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omments27.xml" ContentType="application/vnd.openxmlformats-officedocument.spreadsheetml.comments+xml"/>
  <Default Extension="vml" ContentType="application/vnd.openxmlformats-officedocument.vmlDrawing"/>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comments34.xml" ContentType="application/vnd.openxmlformats-officedocument.spreadsheetml.comments+xml"/>
  <Override PartName="/xl/drawings/drawing4.xml" ContentType="application/vnd.openxmlformats-officedocument.drawing+xml"/>
  <Override PartName="/xl/worksheets/sheet35.xml" ContentType="application/vnd.openxmlformats-officedocument.spreadsheetml.worksheet+xml"/>
  <Override PartName="/xl/drawings/drawing5.xml" ContentType="application/vnd.openxmlformats-officedocument.drawing+xml"/>
  <Override PartName="/xl/worksheets/sheet36.xml" ContentType="application/vnd.openxmlformats-officedocument.spreadsheetml.worksheet+xml"/>
  <Override PartName="/xl/drawings/drawing6.xml" ContentType="application/vnd.openxmlformats-officedocument.drawing+xml"/>
  <Override PartName="/xl/worksheets/sheet37.xml" ContentType="application/vnd.openxmlformats-officedocument.spreadsheetml.worksheet+xml"/>
  <Override PartName="/xl/drawings/drawing7.xml" ContentType="application/vnd.openxmlformats-officedocument.drawing+xml"/>
  <Override PartName="/xl/worksheets/sheet38.xml" ContentType="application/vnd.openxmlformats-officedocument.spreadsheetml.worksheet+xml"/>
  <Override PartName="/xl/drawings/drawing8.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drawings/drawing9.xml" ContentType="application/vnd.openxmlformats-officedocument.drawing+xml"/>
  <Override PartName="/xl/worksheets/sheet41.xml" ContentType="application/vnd.openxmlformats-officedocument.spreadsheetml.worksheet+xml"/>
  <Override PartName="/xl/drawings/drawing10.xml" ContentType="application/vnd.openxmlformats-officedocument.drawing+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drawings/drawing11.xml" ContentType="application/vnd.openxmlformats-officedocument.drawing+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drawings/drawing12.xml" ContentType="application/vnd.openxmlformats-officedocument.drawing+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drawings/drawing13.xml" ContentType="application/vnd.openxmlformats-officedocument.drawing+xml"/>
  <Override PartName="/xl/worksheets/sheet5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6285" tabRatio="824" activeTab="25"/>
  </bookViews>
  <sheets>
    <sheet name="MPP-2" sheetId="1" r:id="rId1"/>
    <sheet name="MPP-3 p1" sheetId="2" r:id="rId2"/>
    <sheet name="MPP-3 p2" sheetId="3" r:id="rId3"/>
    <sheet name="MPP-3 p3&amp;4" sheetId="4" r:id="rId4"/>
    <sheet name="MPP-3 p5" sheetId="5" r:id="rId5"/>
    <sheet name="MPP-3 p6" sheetId="6" r:id="rId6"/>
    <sheet name="MPP-3 p7" sheetId="7" r:id="rId7"/>
    <sheet name="MPP-3 p8" sheetId="8" r:id="rId8"/>
    <sheet name="MPP-3 p9" sheetId="9" r:id="rId9"/>
    <sheet name="MPP-3 p10" sheetId="10" r:id="rId10"/>
    <sheet name="MPP-3 p11" sheetId="11" r:id="rId11"/>
    <sheet name="MPP-3 p12" sheetId="12" r:id="rId12"/>
    <sheet name="MPP-3 p13" sheetId="13" r:id="rId13"/>
    <sheet name="MPP-3 p14" sheetId="14" r:id="rId14"/>
    <sheet name="MPP-3 p15" sheetId="15" r:id="rId15"/>
    <sheet name="MPP-3 p16" sheetId="16" r:id="rId16"/>
    <sheet name="MPP-3 p17" sheetId="17" r:id="rId17"/>
    <sheet name="MPP-3 p18" sheetId="18" r:id="rId18"/>
    <sheet name="MPP-3 p19" sheetId="19" r:id="rId19"/>
    <sheet name="MPP-3 p20" sheetId="20" r:id="rId20"/>
    <sheet name="MPP-3 p21" sheetId="21" r:id="rId21"/>
    <sheet name="MPP-3 p22" sheetId="22" r:id="rId22"/>
    <sheet name="MPP-3 p23" sheetId="23" r:id="rId23"/>
    <sheet name="MPP-3 p24" sheetId="24" r:id="rId24"/>
    <sheet name="MPP-3 p25" sheetId="25" r:id="rId25"/>
    <sheet name="MPP-4" sheetId="26" r:id="rId26"/>
    <sheet name="MPP-5" sheetId="27" r:id="rId27"/>
    <sheet name="JTS-4 S1" sheetId="28" state="hidden" r:id="rId28"/>
    <sheet name=" WP GM Expenses" sheetId="29" state="hidden" r:id="rId29"/>
    <sheet name="JTS-5 S1" sheetId="30" state="hidden" r:id="rId30"/>
    <sheet name="JTS-5 S2" sheetId="31" state="hidden" r:id="rId31"/>
    <sheet name="Weath Input" sheetId="32" state="hidden" r:id="rId32"/>
    <sheet name=" WP  JTS 7 Industrial Closure" sheetId="33" state="hidden" r:id="rId33"/>
    <sheet name="JTS-9 S2 P2&amp;3" sheetId="34" state="hidden" r:id="rId34"/>
    <sheet name="WP JTS-9 S3 " sheetId="35" state="hidden" r:id="rId35"/>
    <sheet name="JTS-9 S3 P1" sheetId="36" state="hidden" r:id="rId36"/>
    <sheet name="WP =% ROR " sheetId="37" state="hidden" r:id="rId37"/>
    <sheet name="JTS-9 S3 WP1" sheetId="38" state="hidden" r:id="rId38"/>
    <sheet name="Max Topsheet" sheetId="39" state="hidden" r:id="rId39"/>
    <sheet name="JTS-9 S3 P2" sheetId="40" state="hidden" r:id="rId40"/>
    <sheet name="WP Level ROR" sheetId="41" state="hidden" r:id="rId41"/>
    <sheet name="JTS-9 S4" sheetId="42" state="hidden" r:id="rId42"/>
    <sheet name="WP JTS-9 S4" sheetId="43" state="hidden" r:id="rId43"/>
    <sheet name="JTS 9 S5" sheetId="44" state="hidden" r:id="rId44"/>
    <sheet name="JTS-9 S6 p1" sheetId="45" state="hidden" r:id="rId45"/>
    <sheet name="JTS-9 S6 p2" sheetId="46" state="hidden" r:id="rId46"/>
    <sheet name="Proposed rates" sheetId="47" state="hidden" r:id="rId47"/>
    <sheet name="KJB-2 p1" sheetId="48" state="hidden" r:id="rId48"/>
    <sheet name="KJB 16" sheetId="49" state="hidden" r:id="rId49"/>
    <sheet name="KJB -17 IRP" sheetId="50" state="hidden" r:id="rId50"/>
    <sheet name="KJB 18" sheetId="51" state="hidden" r:id="rId51"/>
    <sheet name="PM 3 Normal HDD" sheetId="52" state="hidden" r:id="rId52"/>
    <sheet name="PWM 2 " sheetId="53" state="hidden" r:id="rId53"/>
    <sheet name="MdM 1 Cap Structure" sheetId="54" state="hidden" r:id="rId54"/>
    <sheet name="MDM 1ST Debt" sheetId="55" state="hidden" r:id="rId55"/>
    <sheet name="MDM 1LT Debt" sheetId="56" state="hidden" r:id="rId56"/>
    <sheet name="MDM -1 Pro Forma ROR" sheetId="57" state="hidden" r:id="rId57"/>
    <sheet name="BILL-STUFFER" sheetId="58" state="hidden" r:id="rId58"/>
    <sheet name="input" sheetId="59" state="hidden" r:id="rId59"/>
  </sheets>
  <externalReferences>
    <externalReference r:id="rId62"/>
    <externalReference r:id="rId63"/>
    <externalReference r:id="rId64"/>
  </externalReferences>
  <definedNames>
    <definedName name="\1">#REF!</definedName>
    <definedName name="\2">#REF!</definedName>
    <definedName name="\3">#REF!</definedName>
    <definedName name="_Fill" hidden="1">#REF!</definedName>
    <definedName name="adexp">#REF!</definedName>
    <definedName name="ADJREV">#REF!</definedName>
    <definedName name="ADJSALES">#REF!</definedName>
    <definedName name="ARCO">#REF!</definedName>
    <definedName name="ARCO514">#REF!</definedName>
    <definedName name="ARCO514R">#REF!</definedName>
    <definedName name="ARCO560">#REF!</definedName>
    <definedName name="ARCO560D">#REF!</definedName>
    <definedName name="ARCO560R">#REF!</definedName>
    <definedName name="ARCO572">#REF!</definedName>
    <definedName name="ARCO572R">#REF!</definedName>
    <definedName name="ARCO591F">'input'!$C$49</definedName>
    <definedName name="ARCO591I">'input'!$C$50</definedName>
    <definedName name="CFF">#REF!</definedName>
    <definedName name="CGRF">#REF!</definedName>
    <definedName name="COMNORMR">#REF!</definedName>
    <definedName name="COMNORMS">#REF!</definedName>
    <definedName name="DESIGN">#REF!</definedName>
    <definedName name="DESIGNTO">#REF!</definedName>
    <definedName name="DOMC">'input'!$C$48</definedName>
    <definedName name="EAUCR">#REF!</definedName>
    <definedName name="EQUAL_1">#REF!</definedName>
    <definedName name="FILE">'input'!$C$4</definedName>
    <definedName name="FIRMONLY">#REF!</definedName>
    <definedName name="FIT">'input'!$C$16</definedName>
    <definedName name="FITADJ">'input'!$C$27</definedName>
    <definedName name="FITRBADJ">'input'!$C$52</definedName>
    <definedName name="gasc">#REF!</definedName>
    <definedName name="GASCOST">'input'!$C$11</definedName>
    <definedName name="GASCOSTDATE">'input'!$C$10</definedName>
    <definedName name="ID" localSheetId="0">'MPP-2'!#REF!</definedName>
    <definedName name="ID">#REF!</definedName>
    <definedName name="INSURANCE">'input'!$C$20</definedName>
    <definedName name="LASTYEAR">'input'!$C$6</definedName>
    <definedName name="lawsuit">#REF!</definedName>
    <definedName name="NGOBA_G">'input'!$C$32</definedName>
    <definedName name="NGOBDEP">'input'!$C$30</definedName>
    <definedName name="NGOBRB">'input'!$C$29</definedName>
    <definedName name="NGOBTAX">'input'!$C$31</definedName>
    <definedName name="NOI">#REF!</definedName>
    <definedName name="NORMAL">'input'!$C$25</definedName>
    <definedName name="NORMALGC">'input'!$C$26</definedName>
    <definedName name="NTG">'input'!$C$17</definedName>
    <definedName name="OTHERREVCH">'input'!$C$9</definedName>
    <definedName name="OTI">'input'!$C$18</definedName>
    <definedName name="PERCENT">#REF!</definedName>
    <definedName name="PERCENTALL" localSheetId="0">'MPP-2'!#REF!</definedName>
    <definedName name="PERCENTALL">#REF!</definedName>
    <definedName name="PFU">'input'!$C$12</definedName>
    <definedName name="_xlnm.Print_Area" localSheetId="32">' WP  JTS 7 Industrial Closure'!$A$1:$H$37</definedName>
    <definedName name="_xlnm.Print_Area" localSheetId="57">'BILL-STUFFER'!$A$116:$F$145</definedName>
    <definedName name="_xlnm.Print_Area" localSheetId="58">'input'!$B$12:$E$15</definedName>
    <definedName name="_xlnm.Print_Area" localSheetId="27">'JTS-4 S1'!$A$1:$F$25</definedName>
    <definedName name="_xlnm.Print_Area" localSheetId="29">'JTS-5 S1'!$A$1:$F$33</definedName>
    <definedName name="_xlnm.Print_Area" localSheetId="33">'JTS-9 S2 P2&amp;3'!$A$1:$H$105</definedName>
    <definedName name="_xlnm.Print_Area" localSheetId="35">'JTS-9 S3 P1'!$A$6:$L$50</definedName>
    <definedName name="_xlnm.Print_Area" localSheetId="39">'JTS-9 S3 P2'!$A$6:$L$49</definedName>
    <definedName name="_xlnm.Print_Area" localSheetId="37">'JTS-9 S3 WP1'!$Z$14:$AL$49</definedName>
    <definedName name="_xlnm.Print_Area" localSheetId="41">'JTS-9 S4'!$A$1:$E$34</definedName>
    <definedName name="_xlnm.Print_Area" localSheetId="44">'JTS-9 S6 p1'!$A$1:$I$47</definedName>
    <definedName name="_xlnm.Print_Area" localSheetId="0">'MPP-2'!$A$1:$I$42</definedName>
    <definedName name="_xlnm.Print_Area" localSheetId="1">'MPP-3 p1'!$A$1:$L$50</definedName>
    <definedName name="_xlnm.Print_Area" localSheetId="10">'MPP-3 p11'!$A$1:$H$34</definedName>
    <definedName name="_xlnm.Print_Area" localSheetId="14">'MPP-3 p15'!$A$1:$E$30</definedName>
    <definedName name="_xlnm.Print_Area" localSheetId="2">'MPP-3 p2'!$A$3:$O$49</definedName>
    <definedName name="_xlnm.Print_Area" localSheetId="24">'MPP-3 p25'!$A$1:$E$27</definedName>
    <definedName name="_xlnm.Print_Area" localSheetId="3">'MPP-3 p3&amp;4'!$C$3:$V$50</definedName>
    <definedName name="_xlnm.Print_Area" localSheetId="4">'MPP-3 p5'!$A$2:$O$73</definedName>
    <definedName name="_xlnm.Print_Area" localSheetId="51">'PM 3 Normal HDD'!#REF!</definedName>
    <definedName name="_xlnm.Print_Area" localSheetId="52">'PWM 2 '!#REF!</definedName>
    <definedName name="_xlnm.Print_Area" localSheetId="36">'WP =% ROR '!$I$1:$BF$52</definedName>
    <definedName name="_xlnm.Print_Area" localSheetId="34">'WP JTS-9 S3 '!$A$7:$N$61</definedName>
    <definedName name="_xlnm.Print_Area" localSheetId="42">'WP JTS-9 S4'!$A$1:$E$163</definedName>
    <definedName name="_xlnm.Print_Area" localSheetId="40">'WP Level ROR'!$I$1:$BF$52</definedName>
    <definedName name="Print_Area_MI">#REF!</definedName>
    <definedName name="_xlnm.Print_Titles" localSheetId="3">'MPP-3 p3&amp;4'!$A:$B</definedName>
    <definedName name="_xlnm.Print_Titles" localSheetId="36">'WP =% ROR '!$A:$B</definedName>
    <definedName name="_xlnm.Print_Titles" localSheetId="40">'WP Level ROR'!$A:$B</definedName>
    <definedName name="PROCAPTAX">'input'!$C$38</definedName>
    <definedName name="PROCSTSHED">'input'!$C$57</definedName>
    <definedName name="PROFORMA">#REF!</definedName>
    <definedName name="PROGASCST">'input'!$C$55</definedName>
    <definedName name="PROINSUR">'input'!$C$37</definedName>
    <definedName name="PROREVENUE">'input'!$C$59</definedName>
    <definedName name="PROREVSHED">'input'!$C$58</definedName>
    <definedName name="RATEBASE">#REF!</definedName>
    <definedName name="RCASEEXP">'input'!$C$39</definedName>
    <definedName name="rebates">#REF!</definedName>
    <definedName name="RESNORMR">'input'!$C$34</definedName>
    <definedName name="RESNORMS">'input'!$C$33</definedName>
    <definedName name="RESTATE">#REF!</definedName>
    <definedName name="REVCHANGE">'input'!$C$8</definedName>
    <definedName name="REVDATE">'input'!$C$7</definedName>
    <definedName name="REVNOBO">#REF!</definedName>
    <definedName name="REVREQ" localSheetId="0">'MPP-2'!$F$29</definedName>
    <definedName name="REVREQ">#REF!</definedName>
    <definedName name="ROFR">'input'!$C$19</definedName>
    <definedName name="RSHEAD">#REF!</definedName>
    <definedName name="SALRYNON">'input'!$C$56</definedName>
    <definedName name="SUT">'input'!$C$14</definedName>
    <definedName name="TEMP">#REF!</definedName>
    <definedName name="TESTPERIOD">'input'!$C$5</definedName>
    <definedName name="TOTADJREV">#REF!</definedName>
    <definedName name="TOTADJTH">#REF!</definedName>
    <definedName name="TOTPROFORMA">#REF!</definedName>
    <definedName name="TRNSPTREV">'input'!$C$51</definedName>
    <definedName name="UNCOLLECT">'input'!$C$54</definedName>
    <definedName name="WAGEPRO">'input'!$C$24</definedName>
    <definedName name="WAGEPRO2">'input'!$C$53</definedName>
    <definedName name="WAGER">'input'!$C$23</definedName>
    <definedName name="WASALES">#REF!</definedName>
    <definedName name="WOE">'input'!$C$22</definedName>
    <definedName name="WRB">'input'!$C$21</definedName>
    <definedName name="WUTC">'input'!$C$28</definedName>
  </definedNames>
  <calcPr fullCalcOnLoad="1"/>
</workbook>
</file>

<file path=xl/comments27.xml><?xml version="1.0" encoding="utf-8"?>
<comments xmlns="http://schemas.openxmlformats.org/spreadsheetml/2006/main">
  <authors>
    <author>.</author>
  </authors>
  <commentList>
    <comment ref="E16" authorId="0">
      <text>
        <r>
          <rPr>
            <b/>
            <sz val="8"/>
            <rFont val="Tahoma"/>
            <family val="0"/>
          </rPr>
          <t>.:</t>
        </r>
        <r>
          <rPr>
            <sz val="8"/>
            <rFont val="Tahoma"/>
            <family val="0"/>
          </rPr>
          <t xml:space="preserve">
A02, A03, A57, B10
,B50
</t>
        </r>
      </text>
    </comment>
    <comment ref="G16" authorId="0">
      <text>
        <r>
          <rPr>
            <b/>
            <sz val="8"/>
            <rFont val="Tahoma"/>
            <family val="0"/>
          </rPr>
          <t>.:</t>
        </r>
        <r>
          <rPr>
            <sz val="8"/>
            <rFont val="Tahoma"/>
            <family val="0"/>
          </rPr>
          <t xml:space="preserve">
A02, A03, A57, B10
,B50
</t>
        </r>
      </text>
    </comment>
    <comment ref="E17" authorId="0">
      <text>
        <r>
          <rPr>
            <b/>
            <sz val="8"/>
            <rFont val="Tahoma"/>
            <family val="0"/>
          </rPr>
          <t xml:space="preserve">.:
</t>
        </r>
        <r>
          <rPr>
            <sz val="8"/>
            <rFont val="Tahoma"/>
            <family val="2"/>
          </rPr>
          <t xml:space="preserve">T03,T04, B55
</t>
        </r>
      </text>
    </comment>
    <comment ref="G17" authorId="0">
      <text>
        <r>
          <rPr>
            <b/>
            <sz val="8"/>
            <rFont val="Tahoma"/>
            <family val="0"/>
          </rPr>
          <t xml:space="preserve">.:
</t>
        </r>
        <r>
          <rPr>
            <sz val="8"/>
            <rFont val="Tahoma"/>
            <family val="2"/>
          </rPr>
          <t xml:space="preserve">T03,T04, B55
</t>
        </r>
      </text>
    </comment>
    <comment ref="E18" authorId="0">
      <text>
        <r>
          <rPr>
            <b/>
            <sz val="8"/>
            <rFont val="Tahoma"/>
            <family val="0"/>
          </rPr>
          <t>.:</t>
        </r>
        <r>
          <rPr>
            <sz val="8"/>
            <rFont val="Tahoma"/>
            <family val="0"/>
          </rPr>
          <t xml:space="preserve">
T06</t>
        </r>
      </text>
    </comment>
    <comment ref="G18" authorId="0">
      <text>
        <r>
          <rPr>
            <b/>
            <sz val="8"/>
            <rFont val="Tahoma"/>
            <family val="0"/>
          </rPr>
          <t>.:</t>
        </r>
        <r>
          <rPr>
            <sz val="8"/>
            <rFont val="Tahoma"/>
            <family val="0"/>
          </rPr>
          <t xml:space="preserve">
T06</t>
        </r>
      </text>
    </comment>
    <comment ref="E24" authorId="0">
      <text>
        <r>
          <rPr>
            <b/>
            <sz val="8"/>
            <rFont val="Tahoma"/>
            <family val="0"/>
          </rPr>
          <t>.:</t>
        </r>
        <r>
          <rPr>
            <sz val="8"/>
            <rFont val="Tahoma"/>
            <family val="0"/>
          </rPr>
          <t xml:space="preserve">
Used T01, T02 Codes Only</t>
        </r>
      </text>
    </comment>
    <comment ref="G24" authorId="0">
      <text>
        <r>
          <rPr>
            <b/>
            <sz val="8"/>
            <rFont val="Tahoma"/>
            <family val="0"/>
          </rPr>
          <t>.:</t>
        </r>
        <r>
          <rPr>
            <sz val="8"/>
            <rFont val="Tahoma"/>
            <family val="0"/>
          </rPr>
          <t xml:space="preserve">
Used T01, T02 Codes Only</t>
        </r>
      </text>
    </comment>
    <comment ref="E25" authorId="0">
      <text>
        <r>
          <rPr>
            <b/>
            <sz val="8"/>
            <rFont val="Tahoma"/>
            <family val="0"/>
          </rPr>
          <t>.:</t>
        </r>
        <r>
          <rPr>
            <sz val="8"/>
            <rFont val="Tahoma"/>
            <family val="0"/>
          </rPr>
          <t xml:space="preserve">
M92</t>
        </r>
      </text>
    </comment>
    <comment ref="G25" authorId="0">
      <text>
        <r>
          <rPr>
            <b/>
            <sz val="8"/>
            <rFont val="Tahoma"/>
            <family val="0"/>
          </rPr>
          <t>.:</t>
        </r>
        <r>
          <rPr>
            <sz val="8"/>
            <rFont val="Tahoma"/>
            <family val="0"/>
          </rPr>
          <t xml:space="preserve">
M92</t>
        </r>
      </text>
    </comment>
    <comment ref="E26" authorId="0">
      <text>
        <r>
          <rPr>
            <b/>
            <sz val="8"/>
            <rFont val="Tahoma"/>
            <family val="0"/>
          </rPr>
          <t>.:</t>
        </r>
        <r>
          <rPr>
            <sz val="8"/>
            <rFont val="Tahoma"/>
            <family val="0"/>
          </rPr>
          <t xml:space="preserve"> Uses C88, C91, C92, C93 &amp; C94 codes
</t>
        </r>
      </text>
    </comment>
    <comment ref="G26" authorId="0">
      <text>
        <r>
          <rPr>
            <b/>
            <sz val="8"/>
            <rFont val="Tahoma"/>
            <family val="0"/>
          </rPr>
          <t>.:</t>
        </r>
        <r>
          <rPr>
            <sz val="8"/>
            <rFont val="Tahoma"/>
            <family val="0"/>
          </rPr>
          <t xml:space="preserve"> Uses C88, C91, C92, C93 &amp; C94 codes
</t>
        </r>
      </text>
    </comment>
  </commentList>
</comments>
</file>

<file path=xl/comments34.xml><?xml version="1.0" encoding="utf-8"?>
<comments xmlns="http://schemas.openxmlformats.org/spreadsheetml/2006/main">
  <authors>
    <author>ckautzma</author>
  </authors>
  <commentList>
    <comment ref="B43" authorId="0">
      <text>
        <r>
          <rPr>
            <sz val="8"/>
            <rFont val="Tahoma"/>
            <family val="0"/>
          </rPr>
          <t xml:space="preserve">
Includes cost of initial processing as well as the processing associated with recording the nsf
</t>
        </r>
      </text>
    </comment>
  </commentList>
</comments>
</file>

<file path=xl/sharedStrings.xml><?xml version="1.0" encoding="utf-8"?>
<sst xmlns="http://schemas.openxmlformats.org/spreadsheetml/2006/main" count="4234" uniqueCount="1689">
  <si>
    <t xml:space="preserve"> 1/  Used to restate purchases to reflect normalized Lost &amp; Unaccounted For gas</t>
  </si>
  <si>
    <t>Schedule 1 of 2</t>
  </si>
  <si>
    <t>Page 1 of  2</t>
  </si>
  <si>
    <t>Page 2 of  2</t>
  </si>
  <si>
    <t>Remove Administrative Expense</t>
  </si>
  <si>
    <t xml:space="preserve">3/ </t>
  </si>
  <si>
    <t>State Of Washington</t>
  </si>
  <si>
    <t>Removal of Non-Core Competitive Services Revenues and Cost</t>
  </si>
  <si>
    <t>Exh JTS-2, Sched 1, Page 1, Line 22 Col (d)</t>
  </si>
  <si>
    <t>Exh JTS-2, Sched 1, Page 1, Line 21 Col (d)</t>
  </si>
  <si>
    <t>Exh JTS-2, Sched 1, Page 1, Line 35 Col (d)</t>
  </si>
  <si>
    <t>As Adjusted</t>
  </si>
  <si>
    <t>Twelve Months Ended September 30, 2005</t>
  </si>
  <si>
    <t>Rate Schedule 577</t>
  </si>
  <si>
    <t>January</t>
  </si>
  <si>
    <t>February</t>
  </si>
  <si>
    <t>March</t>
  </si>
  <si>
    <t>April</t>
  </si>
  <si>
    <t>June</t>
  </si>
  <si>
    <t>July</t>
  </si>
  <si>
    <t>August</t>
  </si>
  <si>
    <t>September</t>
  </si>
  <si>
    <t>October</t>
  </si>
  <si>
    <t>November</t>
  </si>
  <si>
    <t>December</t>
  </si>
  <si>
    <t>April - Sept</t>
  </si>
  <si>
    <t>Oct - March</t>
  </si>
  <si>
    <t>Rate Schedule 663</t>
  </si>
  <si>
    <t>Docket No. UG-06____</t>
  </si>
  <si>
    <t>TEST PERIOD THERM SALES REPRICED AT RATES</t>
  </si>
  <si>
    <t>EFFECTIVE AT NOVEMBER 1, 2005</t>
  </si>
  <si>
    <t xml:space="preserve">Gas Cost </t>
  </si>
  <si>
    <t>Gas Cost Revenue</t>
  </si>
  <si>
    <t xml:space="preserve">(Removal of </t>
  </si>
  <si>
    <t xml:space="preserve"> @ 11-1-05 Rates</t>
  </si>
  <si>
    <t>In Rates</t>
  </si>
  <si>
    <t>Gross Rev Fees)</t>
  </si>
  <si>
    <t>(i)=(f)-(g)</t>
  </si>
  <si>
    <t xml:space="preserve"> Gas Supply</t>
  </si>
  <si>
    <t>Subtotal (Non-Core Distribution)</t>
  </si>
  <si>
    <t>Non-Core Competitive Services</t>
  </si>
  <si>
    <t>Other Operating Revenue</t>
  </si>
  <si>
    <t>Billing &amp; Technical Adjustments</t>
  </si>
  <si>
    <t xml:space="preserve">    Total Other Revenues &amp; Taxes</t>
  </si>
  <si>
    <t>Booked Gas Cost</t>
  </si>
  <si>
    <t>Restating Adjustment</t>
  </si>
  <si>
    <t xml:space="preserve">  General</t>
  </si>
  <si>
    <t>Restatement of Test Period at Current Rates</t>
  </si>
  <si>
    <t>Removal of Severance Expenses</t>
  </si>
  <si>
    <t>Target ROR</t>
  </si>
  <si>
    <t>avg cost</t>
  </si>
  <si>
    <t>weighted cost</t>
  </si>
  <si>
    <t>Promotional Advertising (9130)</t>
  </si>
  <si>
    <t>Twelve Months Ending 09/30/05</t>
  </si>
  <si>
    <t>Allocation</t>
  </si>
  <si>
    <t>Call Center Severance &amp; Relocation</t>
  </si>
  <si>
    <t>Severance &amp; Moving Expenses</t>
  </si>
  <si>
    <t>Payroll Taxes</t>
  </si>
  <si>
    <t>Executive Transition Costs</t>
  </si>
  <si>
    <t>Severance/Consulting/Relocation Costs</t>
  </si>
  <si>
    <t>September Reorganization</t>
  </si>
  <si>
    <t>Salaries &amp; Outplacement Svcs</t>
  </si>
  <si>
    <t>Total Adjustment</t>
  </si>
  <si>
    <t>(1)  Three Factor Formula</t>
  </si>
  <si>
    <t>Restate Test Period For Normal Weather</t>
  </si>
  <si>
    <t>Weather Normalization Adjustment</t>
  </si>
  <si>
    <t>For Twelve Months Ended 9/30/05</t>
  </si>
  <si>
    <t>Revenues</t>
  </si>
  <si>
    <t>Rate Schedule No. 503</t>
  </si>
  <si>
    <t xml:space="preserve">    Therm Adjustment</t>
  </si>
  <si>
    <t xml:space="preserve">    Revenue at Restating Rate</t>
  </si>
  <si>
    <t>Rate Schedule No. 504</t>
  </si>
  <si>
    <t>Totals</t>
  </si>
  <si>
    <t>Postage Expense</t>
  </si>
  <si>
    <t xml:space="preserve"> Estimated Rate Case Expense - 2006</t>
  </si>
  <si>
    <t xml:space="preserve"> Estimated Total Rate Case Expense</t>
  </si>
  <si>
    <t>Estimated years before next rate case</t>
  </si>
  <si>
    <t>3 years</t>
  </si>
  <si>
    <t>Pro Forma Expense</t>
  </si>
  <si>
    <t>Adjusted</t>
  </si>
  <si>
    <t>Therm</t>
  </si>
  <si>
    <t># of Bills</t>
  </si>
  <si>
    <t>Exhibit _____(JTS-9)</t>
  </si>
  <si>
    <t>Minimum 2 hours for call out</t>
  </si>
  <si>
    <t>14 min</t>
  </si>
  <si>
    <t>Create WO/Dispatch/Apply Completed WO</t>
  </si>
  <si>
    <t>Exhibit ____ (JTS-9)</t>
  </si>
  <si>
    <t>Increase In Service Revenues</t>
  </si>
  <si>
    <t>( c)</t>
  </si>
  <si>
    <t>(m)</t>
  </si>
  <si>
    <t>(n)</t>
  </si>
  <si>
    <t>(o)</t>
  </si>
  <si>
    <t>CORE MARKET RATE SCHEDULES</t>
  </si>
  <si>
    <t>REMOVAL OF SEVERANCE &amp; EXECUTIVE TRANSITION RELATED EXPENSES</t>
  </si>
  <si>
    <t>Formula *</t>
  </si>
  <si>
    <t>(*)  Three Factor Formula</t>
  </si>
  <si>
    <t>RESTATE PAYROLL AND RELATED COSTS</t>
  </si>
  <si>
    <t>CASCADE NATURAL GAS CORPORATION</t>
  </si>
  <si>
    <t>RESTATEMENT FOR CHANGES IN FRANCHISE FEES</t>
  </si>
  <si>
    <t>RESTATEMENT OF WASHINGTON PROPERTY TAXES</t>
  </si>
  <si>
    <t>Calendar 2005 Property Taxes</t>
  </si>
  <si>
    <t>FY 2005 Booked Property Tax Expense</t>
  </si>
  <si>
    <t>REMOVAL OF CERTAIN PROMOTIONAL EXPENSES</t>
  </si>
  <si>
    <t>Industrial Interruptible</t>
  </si>
  <si>
    <t xml:space="preserve">  General </t>
  </si>
  <si>
    <t>Subtotal Core</t>
  </si>
  <si>
    <t>NON-CORE RATE SCHEDULES</t>
  </si>
  <si>
    <t xml:space="preserve">Distribution </t>
  </si>
  <si>
    <t>TOTAL CORE &amp; NON-CORE</t>
  </si>
  <si>
    <t>ADJUSTMENTS</t>
  </si>
  <si>
    <t xml:space="preserve"> Adjusted</t>
  </si>
  <si>
    <t>Adjusted Actual</t>
  </si>
  <si>
    <t xml:space="preserve">Revenue </t>
  </si>
  <si>
    <t>Difference</t>
  </si>
  <si>
    <t>Statement of Operations Per Books</t>
  </si>
  <si>
    <t>Natural Gas Purchased</t>
  </si>
  <si>
    <t>Manufactured Gas Production</t>
  </si>
  <si>
    <t>Distribution</t>
  </si>
  <si>
    <t>Customer Accounts</t>
  </si>
  <si>
    <t>Customer Service and Informational</t>
  </si>
  <si>
    <t>Sales</t>
  </si>
  <si>
    <t>Administrative and General</t>
  </si>
  <si>
    <t>Depreciation and Amortization</t>
  </si>
  <si>
    <t>Total Other Revenues and Taxes</t>
  </si>
  <si>
    <t xml:space="preserve">TEST PERIOD AND PROFORMA MARGIN </t>
  </si>
  <si>
    <t xml:space="preserve"> 1-21</t>
  </si>
  <si>
    <t xml:space="preserve">  Large Volume Trans.</t>
  </si>
  <si>
    <t xml:space="preserve"> Increased Revenue Requirement Assigned to Rate Schedules</t>
  </si>
  <si>
    <t>Exhibit ________(MDM-1)</t>
  </si>
  <si>
    <t>PRO FORMA COST OF CAPITAL</t>
  </si>
  <si>
    <t>Ratios</t>
  </si>
  <si>
    <t>Weighted</t>
  </si>
  <si>
    <t>Long-Term Debt</t>
  </si>
  <si>
    <t>Common Stock</t>
  </si>
  <si>
    <t>Pro forma Cap &amp; ROE</t>
  </si>
  <si>
    <t>Exhibit ________(MDM-2)</t>
  </si>
  <si>
    <t>LONG TERM INTEREST COST AS OF SEPTEMBER 30, 2005</t>
  </si>
  <si>
    <t>7.50%  Notes Due 11/15/31</t>
  </si>
  <si>
    <t>5.21%  Notes Due 9/1/2020</t>
  </si>
  <si>
    <t>1/ Carried forward to Exhibit _____ (MDM-1), Page 1, Column (c ), Line 1</t>
  </si>
  <si>
    <t>Exhibit ________(MDM-4)</t>
  </si>
  <si>
    <t>SHORT TERM BORROWING BALANCES FOR JANUARY 2006</t>
  </si>
  <si>
    <t>Date</t>
  </si>
  <si>
    <t>Short-Term Borrowings</t>
  </si>
  <si>
    <t>Cash in Money Market</t>
  </si>
  <si>
    <t>Net Cash (Borrowings)</t>
  </si>
  <si>
    <t>Average Daily Cash / (Borrowings) Balance</t>
  </si>
  <si>
    <t>MISCELLANEOUS SERVICE REVENUES</t>
  </si>
  <si>
    <t>Occurences</t>
  </si>
  <si>
    <t>EXISTING SERVICES:</t>
  </si>
  <si>
    <t>Disconnect Visit</t>
  </si>
  <si>
    <t>Reconnect Visit (excluding Seasonal Turn-On)</t>
  </si>
  <si>
    <t>Reconnect Visit --Seasonal Turn-On</t>
  </si>
  <si>
    <t>NSF Charges</t>
  </si>
  <si>
    <t xml:space="preserve">  Subtotal Existing Service Charges</t>
  </si>
  <si>
    <t>NEW SERVICE CHARGES:</t>
  </si>
  <si>
    <t>Tampered Meters</t>
  </si>
  <si>
    <t>Short Notice Locate Sevice</t>
  </si>
  <si>
    <t>Late Fees</t>
  </si>
  <si>
    <t>Equity</t>
  </si>
  <si>
    <t>STAFF PRO FORMA COST OF CAPITAL</t>
  </si>
  <si>
    <t xml:space="preserve">   Subtotal New Service Charges</t>
  </si>
  <si>
    <t>Total Miscellaneous Service Revenues</t>
  </si>
  <si>
    <t>Page 2 of  3</t>
  </si>
  <si>
    <t>COSTS FOR MISCELLANEOUS SERVICE VISITS &amp; PROPOSED RATES</t>
  </si>
  <si>
    <t>Unit</t>
  </si>
  <si>
    <t>RECONNECTION VISIT CHARGES</t>
  </si>
  <si>
    <t>Regular Business Hours:</t>
  </si>
  <si>
    <t>Dispatch Service Mechanic</t>
  </si>
  <si>
    <t>OM Review Pending WO Report</t>
  </si>
  <si>
    <t>5 min</t>
  </si>
  <si>
    <t>Reconnect Labor</t>
  </si>
  <si>
    <t>38 min</t>
  </si>
  <si>
    <t>Vehicle Costs @ 5.50/hour</t>
  </si>
  <si>
    <t>Total Reconnection Visit Expenses</t>
  </si>
  <si>
    <t>Additional After Hour Costs (5 pm to Midnight):</t>
  </si>
  <si>
    <t>Minimum 2 hours for Call out</t>
  </si>
  <si>
    <t>GM Review of After Hours Report</t>
  </si>
  <si>
    <t>10 min</t>
  </si>
  <si>
    <t>Total After Hours Reconnect Visit Expenses</t>
  </si>
  <si>
    <t>DISCONNECTION VISIT CHARGES</t>
  </si>
  <si>
    <t>9 min</t>
  </si>
  <si>
    <t>Disconnect Labor</t>
  </si>
  <si>
    <t>23 min</t>
  </si>
  <si>
    <t>Postage &amp; Forms</t>
  </si>
  <si>
    <t>Total Disconnect Visit Expenses</t>
  </si>
  <si>
    <t>NSF CHECK CHARGES</t>
  </si>
  <si>
    <t>Processing Costs</t>
  </si>
  <si>
    <t>Bank Fee for Returned Check</t>
  </si>
  <si>
    <t>Postage</t>
  </si>
  <si>
    <t>Total NSF Expenses</t>
  </si>
  <si>
    <t>TAMPERED METER CHARGES</t>
  </si>
  <si>
    <t>OM Review/Investigation/Billing Adjustments</t>
  </si>
  <si>
    <t>60 min</t>
  </si>
  <si>
    <t>Labor to Remove Damaged Meter</t>
  </si>
  <si>
    <t>Cost to Replace Meter</t>
  </si>
  <si>
    <t>Total Tampered Meter Expenses</t>
  </si>
  <si>
    <t>Page 3 of  3</t>
  </si>
  <si>
    <t>Total Pilot Light/Gas Insert Lighting Expenses</t>
  </si>
  <si>
    <t>Total After Hours Pilot Lighting Expenses</t>
  </si>
  <si>
    <t>LOCATES (Less than Required Notice)</t>
  </si>
  <si>
    <t xml:space="preserve">Locate Labor Cost </t>
  </si>
  <si>
    <t>100 min</t>
  </si>
  <si>
    <t>Total Undergound Locate Costs</t>
  </si>
  <si>
    <t>After Hours:</t>
  </si>
  <si>
    <t>Locate Labor Cost -2 hour Minimum</t>
  </si>
  <si>
    <t>Increase From Misc. Service Charges and Fees</t>
  </si>
  <si>
    <t>Revenue @</t>
  </si>
  <si>
    <t xml:space="preserve">Current Rates </t>
  </si>
  <si>
    <t xml:space="preserve">Total </t>
  </si>
  <si>
    <t>Per Books Cost Allocation - 12 Months Ended September 30, 2005 - Adjusted</t>
  </si>
  <si>
    <t>Summary Report</t>
  </si>
  <si>
    <t>TOTAL CODE</t>
  </si>
  <si>
    <t>Total_Company</t>
  </si>
  <si>
    <t>DO</t>
  </si>
  <si>
    <t>GAC</t>
  </si>
  <si>
    <t>COGS</t>
  </si>
  <si>
    <t>CNG</t>
  </si>
  <si>
    <t>LV</t>
  </si>
  <si>
    <t>INDGS</t>
  </si>
  <si>
    <t>INTGEN</t>
  </si>
  <si>
    <t>INSINTINS</t>
  </si>
  <si>
    <t>NCGEN</t>
  </si>
  <si>
    <t>NCLV</t>
  </si>
  <si>
    <t>NCSPECC</t>
  </si>
  <si>
    <t>Rate Sched Rev</t>
  </si>
  <si>
    <t>REV_RS_</t>
  </si>
  <si>
    <t>Gas Transportation Revenue</t>
  </si>
  <si>
    <t>REV_OTH_GASTRANSP</t>
  </si>
  <si>
    <t>Other Oper Rev</t>
  </si>
  <si>
    <t>REV_OTH_OPER_REV</t>
  </si>
  <si>
    <t>Total Revenue</t>
  </si>
  <si>
    <t>REV</t>
  </si>
  <si>
    <t>Total Cost of Gas</t>
  </si>
  <si>
    <t>EXP_GAS</t>
  </si>
  <si>
    <t>Manf Gas Prod Exp</t>
  </si>
  <si>
    <t>EXP_O&amp;M_P</t>
  </si>
  <si>
    <t>Dist O&amp;M Exp</t>
  </si>
  <si>
    <t>EXP_O&amp;M_D</t>
  </si>
  <si>
    <t>EXP_O&amp;M_CUST_ACCT</t>
  </si>
  <si>
    <t>Cust Serv &amp; Info</t>
  </si>
  <si>
    <t>EXP_O&amp;M_CUST_SVIF</t>
  </si>
  <si>
    <t>Cust Sales</t>
  </si>
  <si>
    <t>EXP_O&amp;M_CUST_SALE</t>
  </si>
  <si>
    <t>Admin &amp; General</t>
  </si>
  <si>
    <t>EXP_A&amp;G</t>
  </si>
  <si>
    <t>Wage Adjustment</t>
  </si>
  <si>
    <t>EXP_WAGE</t>
  </si>
  <si>
    <t>Depr &amp; Amort Exp</t>
  </si>
  <si>
    <t>EXP_O&amp;MDEPR</t>
  </si>
  <si>
    <t>Total Exp less Income Tax</t>
  </si>
  <si>
    <t>EXP</t>
  </si>
  <si>
    <t>Taxes Other Than Income</t>
  </si>
  <si>
    <t>TAX</t>
  </si>
  <si>
    <t>State Income Tax</t>
  </si>
  <si>
    <t>TAX_BOOK_STATE</t>
  </si>
  <si>
    <t>Fed Income Taxes</t>
  </si>
  <si>
    <t>IFIT</t>
  </si>
  <si>
    <t>Total Taxes</t>
  </si>
  <si>
    <t>TOTAL_TAXES</t>
  </si>
  <si>
    <t>Total Operating Rev. Deductions</t>
  </si>
  <si>
    <t>TOTAL_DED</t>
  </si>
  <si>
    <t>RB</t>
  </si>
  <si>
    <t>XRET</t>
  </si>
  <si>
    <t>New Rate Schdule Revenue at Requested Return</t>
  </si>
  <si>
    <t>Customer</t>
  </si>
  <si>
    <t>Commodity Revenue Requirement</t>
  </si>
  <si>
    <t>Commodity</t>
  </si>
  <si>
    <t>Capacity Revenue Requirement</t>
  </si>
  <si>
    <t>Capacity</t>
  </si>
  <si>
    <t>Revenue Revenue Requirements</t>
  </si>
  <si>
    <t>Units for Unit Cost Report - Bills</t>
  </si>
  <si>
    <t>UNITS</t>
  </si>
  <si>
    <t>Units for Unit Cost Report - Therms</t>
  </si>
  <si>
    <t>Customer Cost per Month</t>
  </si>
  <si>
    <t>Commodity plus Capacity Cost per Therm</t>
  </si>
  <si>
    <t>Indicated Change in Revenue</t>
  </si>
  <si>
    <t xml:space="preserve">  Manf Gas Prod Exp</t>
  </si>
  <si>
    <t>Under Proposed</t>
  </si>
  <si>
    <t>Residential General Service 503</t>
  </si>
  <si>
    <t>Residential &amp; Commercial Dry Out Service 502</t>
  </si>
  <si>
    <t>Residential &amp; Commercial Gas AC Service 541</t>
  </si>
  <si>
    <t>Commercial General Service 504</t>
  </si>
  <si>
    <t>Industrial General Service 505</t>
  </si>
  <si>
    <t>Commercial &amp; Industrial Large Volume 511</t>
  </si>
  <si>
    <t>Compressed Natural Gas 512</t>
  </si>
  <si>
    <t>General Interruptible Service 570</t>
  </si>
  <si>
    <t>Institutional Interruptible Service 577</t>
  </si>
  <si>
    <t>Non-Core General Transportation Service 663</t>
  </si>
  <si>
    <t xml:space="preserve">  Total Operating Expenses</t>
  </si>
  <si>
    <t>Other Than Income</t>
  </si>
  <si>
    <t>State Income</t>
  </si>
  <si>
    <t>Federal Income</t>
  </si>
  <si>
    <t xml:space="preserve">  Total Taxes</t>
  </si>
  <si>
    <t>Total Operating Revenue Deductions</t>
  </si>
  <si>
    <t>1/</t>
  </si>
  <si>
    <t>UG06xxxx</t>
  </si>
  <si>
    <t>Docket No. UG-06_______</t>
  </si>
  <si>
    <t>Schedule 1 of  1</t>
  </si>
  <si>
    <t>Page 1 of  1</t>
  </si>
  <si>
    <t xml:space="preserve">                   CASCADE NATURAL GAS CORPORATION</t>
  </si>
  <si>
    <t xml:space="preserve">Test Year </t>
  </si>
  <si>
    <t xml:space="preserve">Proforma </t>
  </si>
  <si>
    <t>Balance</t>
  </si>
  <si>
    <t>Shelton</t>
  </si>
  <si>
    <t>Yakima</t>
  </si>
  <si>
    <t>Union Gap</t>
  </si>
  <si>
    <t>Port Orchard</t>
  </si>
  <si>
    <t>Test Period Cap Structure</t>
  </si>
  <si>
    <t>Docket No. ____________</t>
  </si>
  <si>
    <t>Schedule 2 of  7</t>
  </si>
  <si>
    <t xml:space="preserve">APPLICATION OF EQUAL PERCENT INCREASE TO ALL </t>
  </si>
  <si>
    <t>RATE SCHEDULES OTHER THAN SPECIAL CONTRACTS</t>
  </si>
  <si>
    <t>Exhibit ________(______)</t>
  </si>
  <si>
    <t>Page 1 of 1</t>
  </si>
  <si>
    <t>Increase in Federal Income Taxes from Non-normalized Depreciation Differences on Pre-1981 Fixed Assets</t>
  </si>
  <si>
    <t>Line #</t>
  </si>
  <si>
    <t>Year Ended Sep 30, 2005</t>
  </si>
  <si>
    <t>Year Ended Sep 30, 2007</t>
  </si>
  <si>
    <t>Book Depreciation on Pre-1981 Assets</t>
  </si>
  <si>
    <t>Tax Depreciation on Pre-1981 Assets</t>
  </si>
  <si>
    <t>Non-Normalized Depreciation Difference</t>
  </si>
  <si>
    <t>Income Tax Rate</t>
  </si>
  <si>
    <t>Income Tax Effect</t>
  </si>
  <si>
    <t>Washington Allocation Rate</t>
  </si>
  <si>
    <t>Amount Allocated To Washington</t>
  </si>
  <si>
    <t>1/ Carried forward to Exhibit _____ (_____), Page _, Column ( ), Line __</t>
  </si>
  <si>
    <t>Formula</t>
  </si>
  <si>
    <t>Remove WEI Related</t>
  </si>
  <si>
    <t>Add AGA</t>
  </si>
  <si>
    <t>Effective Rate</t>
  </si>
  <si>
    <t>Annual Cost</t>
  </si>
  <si>
    <t>8.06% MTN Due 9/4/2012</t>
  </si>
  <si>
    <t>8.10% MTN Due 10/8/2012</t>
  </si>
  <si>
    <t>8.11% MTN Due 10/8/2012</t>
  </si>
  <si>
    <t>7.95% MTN Due 2/04/2013</t>
  </si>
  <si>
    <t>8.01% MTN Due 2/12/2013</t>
  </si>
  <si>
    <t>7.95% MTN Due 2/25/2013</t>
  </si>
  <si>
    <t>8.50% MTN Due 10/02/2006</t>
  </si>
  <si>
    <t>7.48% MTN Due 9/15/2027</t>
  </si>
  <si>
    <t>7.10%  MTN Due 3/16/2029</t>
  </si>
  <si>
    <t>5.25%  IQN Due 2/1/2035</t>
  </si>
  <si>
    <t xml:space="preserve">  Total Long-Term Debt</t>
  </si>
  <si>
    <t>HISTORIC CAPITAL RATIOS</t>
  </si>
  <si>
    <t>Ratio</t>
  </si>
  <si>
    <t>Average of Monthly Averages 2005</t>
  </si>
  <si>
    <t>Short Term Debt</t>
  </si>
  <si>
    <t>Long Term Debt</t>
  </si>
  <si>
    <t>Common Equity</t>
  </si>
  <si>
    <t>As of 9/30/05</t>
  </si>
  <si>
    <t>%</t>
  </si>
  <si>
    <t>Customer Mailings</t>
  </si>
  <si>
    <t>Other Mail</t>
  </si>
  <si>
    <t>Page        2 of 2</t>
  </si>
  <si>
    <t>Cust Accts</t>
  </si>
  <si>
    <t>(p)</t>
  </si>
  <si>
    <t>(q)</t>
  </si>
  <si>
    <t>Normalized</t>
  </si>
  <si>
    <t>L&amp;UF</t>
  </si>
  <si>
    <t>Purchases</t>
  </si>
  <si>
    <t>Normalized Purchased Gas - Therms</t>
  </si>
  <si>
    <t>Deliveries</t>
  </si>
  <si>
    <t>Normalized Purchased Gas Cost</t>
  </si>
  <si>
    <t>L&amp;UF @</t>
  </si>
  <si>
    <t>Gas Cost Included</t>
  </si>
  <si>
    <t>L&amp;UF Included</t>
  </si>
  <si>
    <t xml:space="preserve">TEST PERIOD THERMS AND GAS COSTS ADJUSTED FOR </t>
  </si>
  <si>
    <t>NORMALIZED LOST AND UNACCOUNTED FOR GAS</t>
  </si>
  <si>
    <t>Schedule 3 of 3</t>
  </si>
  <si>
    <t>Cost of Debt</t>
  </si>
  <si>
    <t>Cost of Short -Term</t>
  </si>
  <si>
    <t>Available for Equity</t>
  </si>
  <si>
    <t>Equity % of cap structure</t>
  </si>
  <si>
    <t>FY 2005</t>
  </si>
  <si>
    <t>ROE</t>
  </si>
  <si>
    <t xml:space="preserve">Removal </t>
  </si>
  <si>
    <t>Consumer  Representative  Incentive Pay</t>
  </si>
  <si>
    <t>Line No.</t>
  </si>
  <si>
    <t>Restated Wages and Related Costs</t>
  </si>
  <si>
    <t>Restated Franchise Fees Expense</t>
  </si>
  <si>
    <t>Adjustment to Remove Promotional Expense</t>
  </si>
  <si>
    <t xml:space="preserve">Total Restating Adjustments   </t>
  </si>
  <si>
    <t>Washington</t>
  </si>
  <si>
    <t>Estimated Rate Case Expense</t>
  </si>
  <si>
    <t>Docket No. UG-060256</t>
  </si>
  <si>
    <t xml:space="preserve"> Docket No. UG-060256</t>
  </si>
  <si>
    <t>Factors</t>
  </si>
  <si>
    <t>Gross Revenue</t>
  </si>
  <si>
    <t>Less Uncollectibles</t>
  </si>
  <si>
    <t>Net Revenue</t>
  </si>
  <si>
    <t>Less Revenue Sensitive Costs:</t>
  </si>
  <si>
    <t>Gross Revenue Fee</t>
  </si>
  <si>
    <t>City Franchise Fees</t>
  </si>
  <si>
    <t>Increased Rev Req</t>
  </si>
  <si>
    <t>Public Utility Tax (.99788 x 3.852%)</t>
  </si>
  <si>
    <t>Net Before Federal Income Tax</t>
  </si>
  <si>
    <t>Net to Gross Conversion Factor</t>
  </si>
  <si>
    <t>Insurance Expense Adjustment</t>
  </si>
  <si>
    <t>Social Security &amp; Medicare Taxes</t>
  </si>
  <si>
    <t>"name"</t>
  </si>
  <si>
    <t>Define The following "Names" here</t>
  </si>
  <si>
    <t>file</t>
  </si>
  <si>
    <t>Name of the File</t>
  </si>
  <si>
    <t xml:space="preserve"> /</t>
  </si>
  <si>
    <t>testperiod</t>
  </si>
  <si>
    <t>Test Period - XX/XX/XX - use string</t>
  </si>
  <si>
    <t>lastyear</t>
  </si>
  <si>
    <t>The Prior Year</t>
  </si>
  <si>
    <t>revdate</t>
  </si>
  <si>
    <t>Revenue Normalized @ XX/XX/XX - string</t>
  </si>
  <si>
    <t>revchange</t>
  </si>
  <si>
    <t>CHANGE IN RESTATED REVENUE</t>
  </si>
  <si>
    <t>otherrevch</t>
  </si>
  <si>
    <t>OTHER OPERATING REVENUE</t>
  </si>
  <si>
    <t>ADJREV</t>
  </si>
  <si>
    <t>HS119</t>
  </si>
  <si>
    <t>gascostdate</t>
  </si>
  <si>
    <t>Gas Cost Normalized @ XX/XX/XX - string</t>
  </si>
  <si>
    <t>ADJSALES</t>
  </si>
  <si>
    <t>HI119</t>
  </si>
  <si>
    <t>gascost</t>
  </si>
  <si>
    <t>CHANGE IN GAS COST</t>
  </si>
  <si>
    <t>ARCO</t>
  </si>
  <si>
    <t>FC40</t>
  </si>
  <si>
    <t>pfu</t>
  </si>
  <si>
    <t>Provision for uncollectables - value</t>
  </si>
  <si>
    <t>ARCO514</t>
  </si>
  <si>
    <t>FC41</t>
  </si>
  <si>
    <t>cgrf</t>
  </si>
  <si>
    <t>Commission Gross Revenue Fee - value</t>
  </si>
  <si>
    <t>ARCO514R</t>
  </si>
  <si>
    <t>FC44</t>
  </si>
  <si>
    <t>sut</t>
  </si>
  <si>
    <t>State Utility Tax - value</t>
  </si>
  <si>
    <t>ARCO560</t>
  </si>
  <si>
    <t>FC43</t>
  </si>
  <si>
    <t>cff</t>
  </si>
  <si>
    <t>City Franchise Fee - value</t>
  </si>
  <si>
    <t>ARCO560D</t>
  </si>
  <si>
    <t>FC47</t>
  </si>
  <si>
    <t>fit</t>
  </si>
  <si>
    <t>Federal Income Tax Rate</t>
  </si>
  <si>
    <t>ARCO560R</t>
  </si>
  <si>
    <t>FC46</t>
  </si>
  <si>
    <t>ntg</t>
  </si>
  <si>
    <t>Net to gross Conversion Factor</t>
  </si>
  <si>
    <t>ARCO572</t>
  </si>
  <si>
    <t>FC42</t>
  </si>
  <si>
    <t>oti</t>
  </si>
  <si>
    <t>Combined "Other than Income Taxes"</t>
  </si>
  <si>
    <t>ARCO572R</t>
  </si>
  <si>
    <t>FC45</t>
  </si>
  <si>
    <t>rofr</t>
  </si>
  <si>
    <t>REQUESTED OVERALL RATE OF RETURN</t>
  </si>
  <si>
    <t>ARCO591F</t>
  </si>
  <si>
    <t>C49</t>
  </si>
  <si>
    <t>insurance</t>
  </si>
  <si>
    <t>ADJUSTMENT TO RESTATE INSURANCE</t>
  </si>
  <si>
    <t xml:space="preserve"> </t>
  </si>
  <si>
    <t>ARCO591I</t>
  </si>
  <si>
    <t>C50</t>
  </si>
  <si>
    <t>wrb</t>
  </si>
  <si>
    <t>WEATHERIZATION RATE BASE</t>
  </si>
  <si>
    <t>CFF</t>
  </si>
  <si>
    <t>FC15</t>
  </si>
  <si>
    <t>woe</t>
  </si>
  <si>
    <t>WEATHERIZATION OPERATING EXPENSE</t>
  </si>
  <si>
    <t>CGRF</t>
  </si>
  <si>
    <t>FC13</t>
  </si>
  <si>
    <t>wager</t>
  </si>
  <si>
    <t>RESTATED WAGES</t>
  </si>
  <si>
    <t>COMNORMR</t>
  </si>
  <si>
    <t>FC36</t>
  </si>
  <si>
    <t>wagepro</t>
  </si>
  <si>
    <t>PROFORMA WAGES #1</t>
  </si>
  <si>
    <t>COMNORMS</t>
  </si>
  <si>
    <t>FC35</t>
  </si>
  <si>
    <t>normal</t>
  </si>
  <si>
    <t>NORMALIZATION OF WEATHER - REVENUE</t>
  </si>
  <si>
    <t>DESIGN</t>
  </si>
  <si>
    <t>CB2..CX81</t>
  </si>
  <si>
    <t>normalgc</t>
  </si>
  <si>
    <t>NORMALIZATION OF WEATHER - GAS COST</t>
  </si>
  <si>
    <t>DESIGNTO</t>
  </si>
  <si>
    <t>CJ15..CL69</t>
  </si>
  <si>
    <t>fitadj</t>
  </si>
  <si>
    <t>ADJUSTMENT TO FEDERAL INCOME TAX</t>
  </si>
  <si>
    <t>DOMC</t>
  </si>
  <si>
    <t>C48</t>
  </si>
  <si>
    <t>wutc</t>
  </si>
  <si>
    <t>WUTC &amp; FRANCHISE FEE ADJUSTMENT</t>
  </si>
  <si>
    <t>EAUCR</t>
  </si>
  <si>
    <t>IV8192</t>
  </si>
  <si>
    <t>ngobrb</t>
  </si>
  <si>
    <t>PROFORMA NEW GEN. OFF. BLDG. - RATE BASE</t>
  </si>
  <si>
    <t>EQUAL%1</t>
  </si>
  <si>
    <t>ngobdep</t>
  </si>
  <si>
    <t>PROFORMA NEW GEN. OFF. BLDG. - DEPREC.</t>
  </si>
  <si>
    <t>FILE</t>
  </si>
  <si>
    <t>C4</t>
  </si>
  <si>
    <t>ngobtax</t>
  </si>
  <si>
    <t>PROFORMA NEW GEN. OFF. BLDG. - TAXES</t>
  </si>
  <si>
    <t>FIRMONLY</t>
  </si>
  <si>
    <t>CF74</t>
  </si>
  <si>
    <t>ngoba&amp;g</t>
  </si>
  <si>
    <t>PROFORMA NEW GEN. OFF. BLDG. - A &amp; G</t>
  </si>
  <si>
    <t>FIT</t>
  </si>
  <si>
    <t>Weighted average rate for cost of debt</t>
  </si>
  <si>
    <t>Income Tax on Proforma Capitalization</t>
  </si>
  <si>
    <t>C16</t>
  </si>
  <si>
    <t>resnorms</t>
  </si>
  <si>
    <t>RES. WEATHER NORMALIZATION - SALES</t>
  </si>
  <si>
    <t>FITADJ</t>
  </si>
  <si>
    <t>C27</t>
  </si>
  <si>
    <t>resnormr</t>
  </si>
  <si>
    <t>RES. WEATHER NORMALIZATION - REVENUE</t>
  </si>
  <si>
    <t>GASCOST</t>
  </si>
  <si>
    <t>C11</t>
  </si>
  <si>
    <t>comnorms</t>
  </si>
  <si>
    <t>COM. WEATHER NORMALIZATION - SALES</t>
  </si>
  <si>
    <t>GASCOSTDATE</t>
  </si>
  <si>
    <t>C10</t>
  </si>
  <si>
    <t>comnormr</t>
  </si>
  <si>
    <t>COM. WEATHER NORMALIZATION - REVENUE</t>
  </si>
  <si>
    <t>ID</t>
  </si>
  <si>
    <t>AB301</t>
  </si>
  <si>
    <t>proinsur</t>
  </si>
  <si>
    <t>PROFORMA ADJUSTMENT TO INSURANCE COSTS</t>
  </si>
  <si>
    <t>INSURANCE</t>
  </si>
  <si>
    <t>C20</t>
  </si>
  <si>
    <t>procaptax</t>
  </si>
  <si>
    <t>INCOME TAX ON PROFORMA CAPITALIZATION</t>
  </si>
  <si>
    <t>LASTYEAR</t>
  </si>
  <si>
    <t>C6</t>
  </si>
  <si>
    <t>rcaseexp</t>
  </si>
  <si>
    <t>ESTIMATED RATE CASE EXPENSES</t>
  </si>
  <si>
    <t>NGOBA&amp;G</t>
  </si>
  <si>
    <t>C32</t>
  </si>
  <si>
    <t>arco</t>
  </si>
  <si>
    <t>CONTRACT SHIFT REV. ADJ. - PRO FORMA</t>
  </si>
  <si>
    <t>NGOBDEP</t>
  </si>
  <si>
    <t>C30</t>
  </si>
  <si>
    <t>arco514</t>
  </si>
  <si>
    <t xml:space="preserve">CONTRACT SHIFT 514 TH. ADJ. </t>
  </si>
  <si>
    <t>NGOBRB</t>
  </si>
  <si>
    <t>C29</t>
  </si>
  <si>
    <t>arco572</t>
  </si>
  <si>
    <t xml:space="preserve">CONTRACT SHIFT 572 TH. ADJ. </t>
  </si>
  <si>
    <t>NGOBTAX</t>
  </si>
  <si>
    <t>C31</t>
  </si>
  <si>
    <t>arco560</t>
  </si>
  <si>
    <t xml:space="preserve">CONTRACT SHIFT 560 TH. ADJ. </t>
  </si>
  <si>
    <t>NOI</t>
  </si>
  <si>
    <t>AL47</t>
  </si>
  <si>
    <t>arco514r</t>
  </si>
  <si>
    <t>CONTRACT SHIFT 514 REV. ADJ.</t>
  </si>
  <si>
    <t>NORMAL</t>
  </si>
  <si>
    <t>C25</t>
  </si>
  <si>
    <t>arco572r</t>
  </si>
  <si>
    <t xml:space="preserve">CONTRACT SHIFT 572 REV. ADJ. </t>
  </si>
  <si>
    <t>NORMALGC</t>
  </si>
  <si>
    <t>C26</t>
  </si>
  <si>
    <t>arco560r</t>
  </si>
  <si>
    <t xml:space="preserve">CONTRACT SHIFT 560 REV. ADJ. </t>
  </si>
  <si>
    <t>NTG</t>
  </si>
  <si>
    <t>C17</t>
  </si>
  <si>
    <t>arco560d</t>
  </si>
  <si>
    <t xml:space="preserve">CONTRACT SHIFT 560 DEMAND REV. ADJ. </t>
  </si>
  <si>
    <t>OTHERREVCH</t>
  </si>
  <si>
    <t>C9</t>
  </si>
  <si>
    <t>domc</t>
  </si>
  <si>
    <t>DEPRESSED OIL MARKET CREDIT</t>
  </si>
  <si>
    <t>OTI</t>
  </si>
  <si>
    <t>C18</t>
  </si>
  <si>
    <t>arco591f</t>
  </si>
  <si>
    <t xml:space="preserve">CONTRACT SHIFT 591 CR. ADJ. - FIRM </t>
  </si>
  <si>
    <t>PERCENT</t>
  </si>
  <si>
    <t>AF343</t>
  </si>
  <si>
    <t>arco591i</t>
  </si>
  <si>
    <t>PFU</t>
  </si>
  <si>
    <t>C12</t>
  </si>
  <si>
    <t>trnsptrev</t>
  </si>
  <si>
    <t>GAS TRANSPORTATION REVENUE</t>
  </si>
  <si>
    <t>PROCAPTAX</t>
  </si>
  <si>
    <t>C38</t>
  </si>
  <si>
    <t>fitRBadj</t>
  </si>
  <si>
    <t>ADJ TO RATE BASE FOR DEFERRED INCOME TAX</t>
  </si>
  <si>
    <t>PROFORMA</t>
  </si>
  <si>
    <t>wagepro2</t>
  </si>
  <si>
    <t>PROFORMA WAGES #2</t>
  </si>
  <si>
    <t>PROINSUR</t>
  </si>
  <si>
    <t>C37</t>
  </si>
  <si>
    <t>uncollect</t>
  </si>
  <si>
    <t>PROVISION FOR UNCOLLECTIBLES</t>
  </si>
  <si>
    <t>RATEBASE</t>
  </si>
  <si>
    <t>AL49</t>
  </si>
  <si>
    <t>progascst</t>
  </si>
  <si>
    <t>PROFORMA GAS COST ADJUSTMENT</t>
  </si>
  <si>
    <t>RCASEEXP</t>
  </si>
  <si>
    <t>C39</t>
  </si>
  <si>
    <t>salrynon</t>
  </si>
  <si>
    <t>NON-UTILITY SALARY REMOVAL</t>
  </si>
  <si>
    <t>RESNORMR</t>
  </si>
  <si>
    <t>C34</t>
  </si>
  <si>
    <t>procstshed</t>
  </si>
  <si>
    <t>PROFORMA INDUST CUST COST SHED ADJSTMENT</t>
  </si>
  <si>
    <t>RESNORMS</t>
  </si>
  <si>
    <t>C33</t>
  </si>
  <si>
    <t>prorevshed</t>
  </si>
  <si>
    <t>PROFORMA INDUST CUST REV. SHED ADJSTMENT</t>
  </si>
  <si>
    <t>RESTATE</t>
  </si>
  <si>
    <t>AV112</t>
  </si>
  <si>
    <t>prorevenue</t>
  </si>
  <si>
    <t>REVCHANGE</t>
  </si>
  <si>
    <t>C8</t>
  </si>
  <si>
    <t>REVDATE</t>
  </si>
  <si>
    <t>C7</t>
  </si>
  <si>
    <t>REVNOBO</t>
  </si>
  <si>
    <t>BG59</t>
  </si>
  <si>
    <t>REVREQ</t>
  </si>
  <si>
    <t>AF338</t>
  </si>
  <si>
    <t>ROFR</t>
  </si>
  <si>
    <t>C19</t>
  </si>
  <si>
    <t>RSHEAD</t>
  </si>
  <si>
    <t>CB10..CD70</t>
  </si>
  <si>
    <t xml:space="preserve">     Account 1430 - Appliance Loans to Employees</t>
  </si>
  <si>
    <t xml:space="preserve">     Account 1650 - Prepaid Expense (Prepaid ESRIP Deferred Compensation)</t>
  </si>
  <si>
    <t xml:space="preserve">     Account 2320 - Accounts Payable (Pension Contribution)</t>
  </si>
  <si>
    <t>SUT</t>
  </si>
  <si>
    <t>C14</t>
  </si>
  <si>
    <t>TEMP</t>
  </si>
  <si>
    <t>CB2..CV81</t>
  </si>
  <si>
    <t>TESTPERIOD</t>
  </si>
  <si>
    <t>C5</t>
  </si>
  <si>
    <t>TOTADJREV</t>
  </si>
  <si>
    <t>BS119</t>
  </si>
  <si>
    <t>TOTADJTH</t>
  </si>
  <si>
    <t>BI119</t>
  </si>
  <si>
    <t>TOTPROFORMA</t>
  </si>
  <si>
    <t>AP14</t>
  </si>
  <si>
    <t>WAGEPRO</t>
  </si>
  <si>
    <t>C24</t>
  </si>
  <si>
    <t>WAGER</t>
  </si>
  <si>
    <t>C23</t>
  </si>
  <si>
    <t>WASALES</t>
  </si>
  <si>
    <t>BB112..BI176</t>
  </si>
  <si>
    <t>WOE</t>
  </si>
  <si>
    <t>C22</t>
  </si>
  <si>
    <t>WRB</t>
  </si>
  <si>
    <t>C21</t>
  </si>
  <si>
    <t>WUTC</t>
  </si>
  <si>
    <t>C28</t>
  </si>
  <si>
    <t>\1</t>
  </si>
  <si>
    <t>B105</t>
  </si>
  <si>
    <t>\2</t>
  </si>
  <si>
    <t>B118</t>
  </si>
  <si>
    <t>\3</t>
  </si>
  <si>
    <t>B121</t>
  </si>
  <si>
    <t>Cascade Natural Gas Corporation</t>
  </si>
  <si>
    <t>State of Washington</t>
  </si>
  <si>
    <t>(All)</t>
  </si>
  <si>
    <t>Region Rollup</t>
  </si>
  <si>
    <t>Region by Name</t>
  </si>
  <si>
    <t>District</t>
  </si>
  <si>
    <t>Department Rollup</t>
  </si>
  <si>
    <t>Sub Department Rollup</t>
  </si>
  <si>
    <t>Department Name</t>
  </si>
  <si>
    <t>Energy Services</t>
  </si>
  <si>
    <t>Data</t>
  </si>
  <si>
    <t>Expense Rollup 2</t>
  </si>
  <si>
    <t>Expense Rollup 1</t>
  </si>
  <si>
    <t>Expense Detail</t>
  </si>
  <si>
    <t xml:space="preserve"> Sept 05 Actual      </t>
  </si>
  <si>
    <t xml:space="preserve"> Sept 05 Budget      </t>
  </si>
  <si>
    <t xml:space="preserve"> Variance        </t>
  </si>
  <si>
    <t xml:space="preserve"> YTD Actual        </t>
  </si>
  <si>
    <t>REOS</t>
  </si>
  <si>
    <t>Revenue Requirement</t>
  </si>
  <si>
    <t>Annual Volume</t>
  </si>
  <si>
    <t>Contract Demand - Net of Turn-back</t>
  </si>
  <si>
    <t>Average Commodity Cost per Therm</t>
  </si>
  <si>
    <t>Peak Demand</t>
  </si>
  <si>
    <t>Ave Demand</t>
  </si>
  <si>
    <t>Contract Demand - Therms Per Day</t>
  </si>
  <si>
    <t>ACCOUNTNUMBER</t>
  </si>
  <si>
    <t>STATE</t>
  </si>
  <si>
    <t>STATUS</t>
  </si>
  <si>
    <t>SERVICELEVEL</t>
  </si>
  <si>
    <t>MDQ (THERMS)</t>
  </si>
  <si>
    <t xml:space="preserve">0053        </t>
  </si>
  <si>
    <t xml:space="preserve">Active  </t>
  </si>
  <si>
    <t xml:space="preserve">RS-663      </t>
  </si>
  <si>
    <t xml:space="preserve">0055        </t>
  </si>
  <si>
    <t xml:space="preserve">0057        </t>
  </si>
  <si>
    <t xml:space="preserve">0061        </t>
  </si>
  <si>
    <t xml:space="preserve">0124        </t>
  </si>
  <si>
    <t xml:space="preserve">0125        </t>
  </si>
  <si>
    <t xml:space="preserve">0127        </t>
  </si>
  <si>
    <t xml:space="preserve">0128        </t>
  </si>
  <si>
    <t xml:space="preserve">0131        </t>
  </si>
  <si>
    <t xml:space="preserve">0133        </t>
  </si>
  <si>
    <t xml:space="preserve">0135        </t>
  </si>
  <si>
    <t xml:space="preserve">0140        </t>
  </si>
  <si>
    <t xml:space="preserve">0160        </t>
  </si>
  <si>
    <t xml:space="preserve">0224        </t>
  </si>
  <si>
    <t>Restate per books to actual uncollectibles</t>
  </si>
  <si>
    <t>(m)= sum(b):(l)</t>
  </si>
  <si>
    <t>Exhibit ____ (MPP-2)</t>
  </si>
  <si>
    <r>
      <t xml:space="preserve"> 1</t>
    </r>
    <r>
      <rPr>
        <sz val="12"/>
        <rFont val="Times New Roman"/>
        <family val="0"/>
      </rPr>
      <t>/  Carried Forward To Exhibit __ (MPP-3), Page 1, Line 1, Column (g)</t>
    </r>
  </si>
  <si>
    <t xml:space="preserve">0226        </t>
  </si>
  <si>
    <t xml:space="preserve">0230        </t>
  </si>
  <si>
    <t xml:space="preserve">0235        </t>
  </si>
  <si>
    <t xml:space="preserve">0263        </t>
  </si>
  <si>
    <t xml:space="preserve">0278        </t>
  </si>
  <si>
    <t xml:space="preserve">0280        </t>
  </si>
  <si>
    <t xml:space="preserve">0300        </t>
  </si>
  <si>
    <t xml:space="preserve">0358        </t>
  </si>
  <si>
    <t xml:space="preserve">0405        </t>
  </si>
  <si>
    <t xml:space="preserve">0410        </t>
  </si>
  <si>
    <t xml:space="preserve">0440        </t>
  </si>
  <si>
    <t xml:space="preserve">0460        </t>
  </si>
  <si>
    <t xml:space="preserve">0477        </t>
  </si>
  <si>
    <t xml:space="preserve">0482        </t>
  </si>
  <si>
    <t xml:space="preserve">0488        </t>
  </si>
  <si>
    <t xml:space="preserve">0489        </t>
  </si>
  <si>
    <t xml:space="preserve">0490        </t>
  </si>
  <si>
    <t xml:space="preserve">0665        </t>
  </si>
  <si>
    <t xml:space="preserve">0770        </t>
  </si>
  <si>
    <t xml:space="preserve">0780        </t>
  </si>
  <si>
    <t xml:space="preserve">0785        </t>
  </si>
  <si>
    <t xml:space="preserve">0787        </t>
  </si>
  <si>
    <t xml:space="preserve">0800        </t>
  </si>
  <si>
    <t xml:space="preserve">0865        </t>
  </si>
  <si>
    <t xml:space="preserve">0880        </t>
  </si>
  <si>
    <t xml:space="preserve">0885        </t>
  </si>
  <si>
    <t xml:space="preserve">0887        </t>
  </si>
  <si>
    <t xml:space="preserve">0890        </t>
  </si>
  <si>
    <t xml:space="preserve">0900        </t>
  </si>
  <si>
    <t xml:space="preserve">0945        </t>
  </si>
  <si>
    <t xml:space="preserve">0952        </t>
  </si>
  <si>
    <t xml:space="preserve">0957        </t>
  </si>
  <si>
    <t xml:space="preserve">0962        </t>
  </si>
  <si>
    <t xml:space="preserve">0964        </t>
  </si>
  <si>
    <t xml:space="preserve">0975        </t>
  </si>
  <si>
    <t xml:space="preserve">1000        </t>
  </si>
  <si>
    <t xml:space="preserve">1030        </t>
  </si>
  <si>
    <t xml:space="preserve">1031        </t>
  </si>
  <si>
    <t xml:space="preserve">1045        </t>
  </si>
  <si>
    <t xml:space="preserve">1050        </t>
  </si>
  <si>
    <t xml:space="preserve">1060        </t>
  </si>
  <si>
    <t xml:space="preserve">1080        </t>
  </si>
  <si>
    <t xml:space="preserve">1090        </t>
  </si>
  <si>
    <t xml:space="preserve">1120        </t>
  </si>
  <si>
    <t xml:space="preserve">1124        </t>
  </si>
  <si>
    <t xml:space="preserve">1221        </t>
  </si>
  <si>
    <t xml:space="preserve">1262        </t>
  </si>
  <si>
    <t xml:space="preserve">1265        </t>
  </si>
  <si>
    <t xml:space="preserve">1302        </t>
  </si>
  <si>
    <t xml:space="preserve">1305        </t>
  </si>
  <si>
    <t xml:space="preserve">1320        </t>
  </si>
  <si>
    <t xml:space="preserve">1325        </t>
  </si>
  <si>
    <t xml:space="preserve">1331        </t>
  </si>
  <si>
    <t xml:space="preserve">1340        </t>
  </si>
  <si>
    <t xml:space="preserve">1381        </t>
  </si>
  <si>
    <t xml:space="preserve">1382        </t>
  </si>
  <si>
    <t xml:space="preserve">1384        </t>
  </si>
  <si>
    <t xml:space="preserve">1390        </t>
  </si>
  <si>
    <t xml:space="preserve">1414        </t>
  </si>
  <si>
    <t xml:space="preserve">1423        </t>
  </si>
  <si>
    <t xml:space="preserve">1425        </t>
  </si>
  <si>
    <t xml:space="preserve">1427        </t>
  </si>
  <si>
    <t xml:space="preserve">1435        </t>
  </si>
  <si>
    <t xml:space="preserve">1438        </t>
  </si>
  <si>
    <t xml:space="preserve">1440        </t>
  </si>
  <si>
    <t xml:space="preserve">1442        </t>
  </si>
  <si>
    <t xml:space="preserve">1445        </t>
  </si>
  <si>
    <t xml:space="preserve">1457        </t>
  </si>
  <si>
    <t xml:space="preserve">1461        </t>
  </si>
  <si>
    <t xml:space="preserve">1470        </t>
  </si>
  <si>
    <t xml:space="preserve">1492        </t>
  </si>
  <si>
    <t xml:space="preserve">1495        </t>
  </si>
  <si>
    <t xml:space="preserve">1530        </t>
  </si>
  <si>
    <t xml:space="preserve">1625        </t>
  </si>
  <si>
    <t xml:space="preserve">1658        </t>
  </si>
  <si>
    <t xml:space="preserve">1700        </t>
  </si>
  <si>
    <t xml:space="preserve">1805        </t>
  </si>
  <si>
    <t xml:space="preserve">1848        </t>
  </si>
  <si>
    <t xml:space="preserve">1855        </t>
  </si>
  <si>
    <t xml:space="preserve">1865        </t>
  </si>
  <si>
    <t xml:space="preserve">1872        </t>
  </si>
  <si>
    <t xml:space="preserve">1886        </t>
  </si>
  <si>
    <t xml:space="preserve">1887        </t>
  </si>
  <si>
    <t xml:space="preserve">1890        </t>
  </si>
  <si>
    <t xml:space="preserve">1895        </t>
  </si>
  <si>
    <t xml:space="preserve">1900        </t>
  </si>
  <si>
    <t xml:space="preserve">1980        </t>
  </si>
  <si>
    <t xml:space="preserve">1985        </t>
  </si>
  <si>
    <t xml:space="preserve">1986        </t>
  </si>
  <si>
    <t xml:space="preserve">1987        </t>
  </si>
  <si>
    <t xml:space="preserve">1988        </t>
  </si>
  <si>
    <t xml:space="preserve">2005        </t>
  </si>
  <si>
    <t xml:space="preserve">2015        </t>
  </si>
  <si>
    <t xml:space="preserve">2027        </t>
  </si>
  <si>
    <t xml:space="preserve">2078        </t>
  </si>
  <si>
    <t xml:space="preserve">2082        </t>
  </si>
  <si>
    <t xml:space="preserve">2085        </t>
  </si>
  <si>
    <t xml:space="preserve">2090        </t>
  </si>
  <si>
    <t xml:space="preserve">2095        </t>
  </si>
  <si>
    <t xml:space="preserve">2097        </t>
  </si>
  <si>
    <t xml:space="preserve">2190        </t>
  </si>
  <si>
    <t xml:space="preserve">2205        </t>
  </si>
  <si>
    <t xml:space="preserve">2210        </t>
  </si>
  <si>
    <t xml:space="preserve">2255        </t>
  </si>
  <si>
    <t xml:space="preserve">2260        </t>
  </si>
  <si>
    <t xml:space="preserve">2295        </t>
  </si>
  <si>
    <t xml:space="preserve">2310        </t>
  </si>
  <si>
    <t xml:space="preserve">2312        </t>
  </si>
  <si>
    <t xml:space="preserve">2314        </t>
  </si>
  <si>
    <t xml:space="preserve">2323        </t>
  </si>
  <si>
    <t xml:space="preserve">2325        </t>
  </si>
  <si>
    <t xml:space="preserve">2360        </t>
  </si>
  <si>
    <t xml:space="preserve">2380        </t>
  </si>
  <si>
    <t xml:space="preserve">2460        </t>
  </si>
  <si>
    <t xml:space="preserve">2465        </t>
  </si>
  <si>
    <t xml:space="preserve">2505        </t>
  </si>
  <si>
    <t xml:space="preserve">2525        </t>
  </si>
  <si>
    <t xml:space="preserve">2580        </t>
  </si>
  <si>
    <t xml:space="preserve">2600        </t>
  </si>
  <si>
    <t xml:space="preserve">0110        </t>
  </si>
  <si>
    <t xml:space="preserve">RS-664      </t>
  </si>
  <si>
    <t xml:space="preserve">0122        </t>
  </si>
  <si>
    <t xml:space="preserve">0175        </t>
  </si>
  <si>
    <t xml:space="preserve">0178        </t>
  </si>
  <si>
    <t xml:space="preserve">0400        </t>
  </si>
  <si>
    <t xml:space="preserve">0662        </t>
  </si>
  <si>
    <t xml:space="preserve">0680        </t>
  </si>
  <si>
    <t xml:space="preserve">1135        </t>
  </si>
  <si>
    <t xml:space="preserve">1145        </t>
  </si>
  <si>
    <t xml:space="preserve">1220        </t>
  </si>
  <si>
    <t xml:space="preserve">1316        </t>
  </si>
  <si>
    <t xml:space="preserve">1600        </t>
  </si>
  <si>
    <t xml:space="preserve">1640        </t>
  </si>
  <si>
    <t xml:space="preserve">1860        </t>
  </si>
  <si>
    <t xml:space="preserve">1880        </t>
  </si>
  <si>
    <t xml:space="preserve">1915        </t>
  </si>
  <si>
    <t xml:space="preserve">2080        </t>
  </si>
  <si>
    <t xml:space="preserve">2084        </t>
  </si>
  <si>
    <t xml:space="preserve">2092        </t>
  </si>
  <si>
    <t xml:space="preserve">2250        </t>
  </si>
  <si>
    <t xml:space="preserve">2500        </t>
  </si>
  <si>
    <t xml:space="preserve">2540        </t>
  </si>
  <si>
    <t xml:space="preserve">2552        </t>
  </si>
  <si>
    <t>Indicated Contract Demand Charge per month</t>
  </si>
  <si>
    <t>Proposed Contract Demand Per Month</t>
  </si>
  <si>
    <t>Revenue Requirement Recovered Through Demand Charge</t>
  </si>
  <si>
    <t>Reduced Demand</t>
  </si>
  <si>
    <t>Annual Demand</t>
  </si>
  <si>
    <t xml:space="preserve">Modified Straight Fixed-Variable Rate Design </t>
  </si>
  <si>
    <t>for Non-Core 663 – 664 Customers</t>
  </si>
  <si>
    <t>Equipment Service Call</t>
  </si>
  <si>
    <t>EQUIPMENT SERVICE CALL</t>
  </si>
  <si>
    <t xml:space="preserve">Service Mechanic Labor </t>
  </si>
  <si>
    <t>Schedule 4 of 7</t>
  </si>
  <si>
    <t>Schedule 5 of 7</t>
  </si>
  <si>
    <t>Proposed Changes in The Monthly Basic Service Charges</t>
  </si>
  <si>
    <t>Existing</t>
  </si>
  <si>
    <t>Residential General Service Rate Schedule 503</t>
  </si>
  <si>
    <t xml:space="preserve">        October Through March</t>
  </si>
  <si>
    <t xml:space="preserve">        April Through September</t>
  </si>
  <si>
    <t>Building Construction Temporary Heating &amp; Dry Out Service Rate Schedule 502</t>
  </si>
  <si>
    <t>Commercial General Service Rate Schedule 504</t>
  </si>
  <si>
    <t>Industrial General Service Rate Schedule 505</t>
  </si>
  <si>
    <t>Large Volume General Service Rate Schedule 511</t>
  </si>
  <si>
    <t>Compressed Natural Gas Service Rate Schedule 512</t>
  </si>
  <si>
    <t>Interruptible Service Rate Schedule 570</t>
  </si>
  <si>
    <t>Limited Interruptible Service Rate Schedule 577</t>
  </si>
  <si>
    <t>Schedule 3 of 7</t>
  </si>
  <si>
    <t>Schedule 6 of 7</t>
  </si>
  <si>
    <t>Page        1 of 2</t>
  </si>
  <si>
    <t>Overall Percentage Change In Revenue From Proposed Margin Changes</t>
  </si>
  <si>
    <t>Revenue By</t>
  </si>
  <si>
    <t xml:space="preserve">   Winter Average (Oct -Mar)</t>
  </si>
  <si>
    <t xml:space="preserve">   Summer Average (Apr -Sept)</t>
  </si>
  <si>
    <t>Non-core Large Volume</t>
  </si>
  <si>
    <t>Test Period Core Therms Purchased</t>
  </si>
  <si>
    <t>Test Period Core Therms Sold</t>
  </si>
  <si>
    <t>Minus Special Contract Delivered</t>
  </si>
  <si>
    <t>Test Period Adjusted Therms Delivered</t>
  </si>
  <si>
    <t>Weather Adjustment</t>
  </si>
  <si>
    <t>Exh JTS-5, Sched 1, Page 1, Line 5 Col (c)</t>
  </si>
  <si>
    <t>Industrial Therm Adjustmet</t>
  </si>
  <si>
    <t>Exh JTS-6, Sched 1, Page 1, Line 2 Col (b)</t>
  </si>
  <si>
    <t>Return at 9.37% ROR</t>
  </si>
  <si>
    <t>Total Revenue Requirement at 9.37% ROR</t>
  </si>
  <si>
    <t>Increase Service charge</t>
  </si>
  <si>
    <t>overall</t>
  </si>
  <si>
    <t>difference</t>
  </si>
  <si>
    <t xml:space="preserve">per therm change </t>
  </si>
  <si>
    <t>current</t>
  </si>
  <si>
    <t>New</t>
  </si>
  <si>
    <t xml:space="preserve"> YTD Budget        </t>
  </si>
  <si>
    <t xml:space="preserve"> YTD Variance        </t>
  </si>
  <si>
    <t>LABOR EXPENSES</t>
  </si>
  <si>
    <t>EMPLOYEE BENEFITS incl. Pyrl  Taxes</t>
  </si>
  <si>
    <t>TRAVEL AND BUSINESS</t>
  </si>
  <si>
    <t>OFFICE AND ADMINISTRATIVE EXPENSES excl. Advertising Exp</t>
  </si>
  <si>
    <t>FACILITIES EXPENSES</t>
  </si>
  <si>
    <t>EQUIPMENT EXPENSES</t>
  </si>
  <si>
    <t>PURCHASED SERVICES</t>
  </si>
  <si>
    <r>
      <t>1</t>
    </r>
    <r>
      <rPr>
        <sz val="10"/>
        <rFont val="Times New Roman"/>
        <family val="1"/>
      </rPr>
      <t>/  The difference between test period booked revenues and margin restated at base rates effective 11/1/05 is carried forward</t>
    </r>
  </si>
  <si>
    <r>
      <t>2</t>
    </r>
    <r>
      <rPr>
        <sz val="10"/>
        <rFont val="Times New Roman"/>
        <family val="1"/>
      </rPr>
      <t>/  The difference between test period booked gas cost and the gas cost reflected in rates effective 11/1/05 is carried forward</t>
    </r>
  </si>
  <si>
    <t>Remove Test Period Revenue</t>
  </si>
  <si>
    <t>Lost and Unaccounted for Per Books</t>
  </si>
  <si>
    <t>5 Year Average L &amp; UF</t>
  </si>
  <si>
    <t>Remove Test Period Gas Cost</t>
  </si>
  <si>
    <t>2/</t>
  </si>
  <si>
    <t xml:space="preserve">1/ </t>
  </si>
  <si>
    <t xml:space="preserve">2/ </t>
  </si>
  <si>
    <t>Restate Gas Cost For Lost &amp; Unaccounted For Gas</t>
  </si>
  <si>
    <t>Lost &amp; Unaccounted For Per Books</t>
  </si>
  <si>
    <t>5 Year Average Lost &amp; Unaccounted Percentage</t>
  </si>
  <si>
    <t>Test Period Therms Delivered</t>
  </si>
  <si>
    <t>Normalized Lost &amp; Unaccounted For</t>
  </si>
  <si>
    <t>Increased Therms Purchased</t>
  </si>
  <si>
    <t>Increased Gas Costs</t>
  </si>
  <si>
    <t xml:space="preserve"> Carried forward to Exhibit ___ (JTS-2), page 2 of 3, column (d), line 5.</t>
  </si>
  <si>
    <t>WP ____(JTS-9)</t>
  </si>
  <si>
    <t>Exhibit ____(PWM-2)</t>
  </si>
  <si>
    <t xml:space="preserve">   Column (b) Carried Forward to Exhibit _____ (JTS-2), Schedule 1, Page 1, Column (b).</t>
  </si>
  <si>
    <t>1/ Carried forward to Exhibit _____(JTS-2), Page 4, Column (n), Line 13</t>
  </si>
  <si>
    <t>2/ Carried forward to Exhibit _____(JTS-2), Page 4, Column (n), Line 15</t>
  </si>
  <si>
    <t>3/ Carried forward to Exhibit _____(JTS-2), Page 4, Column (n), Line 11</t>
  </si>
  <si>
    <t>4/ Carried forward to Exhibit _____(JTS-2), Page 4, Column (n), Line 21</t>
  </si>
  <si>
    <t>Total             Pro forma Adjustments</t>
  </si>
  <si>
    <t xml:space="preserve"> Docket UG-060256</t>
  </si>
  <si>
    <t>5/ Carried forward to Exhibit _____(JTS-2), Page 4, Column (n), Line 9</t>
  </si>
  <si>
    <t>Special Contracts</t>
  </si>
  <si>
    <t>(r)</t>
  </si>
  <si>
    <t>(s)= sum(b):(r)</t>
  </si>
  <si>
    <t>Printing/Graphics/Mailing Materials</t>
  </si>
  <si>
    <t>Radio Content and Air Time</t>
  </si>
  <si>
    <t xml:space="preserve">Washington Allocation </t>
  </si>
  <si>
    <t>PROFORMA WAGE AND RELATED COSTS ADJUSTMENT</t>
  </si>
  <si>
    <t>Wage &amp; Salary Increases</t>
  </si>
  <si>
    <t>Exhibit _____(KJB-16)</t>
  </si>
  <si>
    <t>PROFORMA ADJUSTMENT FOR GAS MANAGEMENT</t>
  </si>
  <si>
    <t>AND GAS SUPPLY RISK MANAGEMENT SOFTWARE UPGRADE</t>
  </si>
  <si>
    <t xml:space="preserve"> ( c )</t>
  </si>
  <si>
    <t>Direct Costs of Software/Hardware</t>
  </si>
  <si>
    <t>Avg dpn rate</t>
  </si>
  <si>
    <t>Annual subscription for Risk Metrics &amp;  Annual Maintenance Fees</t>
  </si>
  <si>
    <t>1/ Carried forward to Exhibit _____(JTS-2), Page 4 of 4, Column (m), Line 13</t>
  </si>
  <si>
    <t>2/ Carried forward to Exhibit _____(JTS-2), Page 4 of 4, Column (m), Line 15</t>
  </si>
  <si>
    <t>3/ Carried forward to Exhibit _____(JTS-2), Page 4 of 4, Column (m), Line 11</t>
  </si>
  <si>
    <t>4/ Carried forward to Exhibit _____(JTS-2), Page 4 of 4, Column (m), Line 21</t>
  </si>
  <si>
    <t>Exhibit _____(KJB-18)</t>
  </si>
  <si>
    <t>PROFORMA ADJUSTMENT FOR  CIS MAINFRAME UPGRADE</t>
  </si>
  <si>
    <t>Direct Costs of Hardware</t>
  </si>
  <si>
    <t>Incremental Software License Fees &amp; Annual Maintenance Costs</t>
  </si>
  <si>
    <t>1/ Carried forward to Exhibit _____(JTS-2), Page 4 of 4, Column (o), Line 13</t>
  </si>
  <si>
    <t>2/ Carried forward to Exhibit _____(JTS-2), Page 4 of 4, Column (o), Line 15</t>
  </si>
  <si>
    <t>3/ Carried forward to Exhibit _____(JTS-2), Page 4 of 4, Column (o), Line 11</t>
  </si>
  <si>
    <t>4/ Carried forward to Exhibit _____(JTS-2), Page 4 of 4, Column (o), Line 21</t>
  </si>
  <si>
    <t>Weather Normalization Adjustment For Twelve Months Ended 9/30/05</t>
  </si>
  <si>
    <t>Current Rate</t>
  </si>
  <si>
    <t>Exhibit ____(JTS-5)</t>
  </si>
  <si>
    <t>Industrial Plant Closure Pro Forma Adjustment</t>
  </si>
  <si>
    <t>Plant Closure</t>
  </si>
  <si>
    <t>Removal of Test Period Therms Sold</t>
  </si>
  <si>
    <t>Removal of Test Period Revenue</t>
  </si>
  <si>
    <t>Account Number 2380</t>
  </si>
  <si>
    <t>Facilities Contract Expiration</t>
  </si>
  <si>
    <t>Account Number 0175</t>
  </si>
  <si>
    <t>Removal of Facilities Charges</t>
  </si>
  <si>
    <t>Total Industrial Contract Changes</t>
  </si>
  <si>
    <t>PROGRAMS AND PROMOTIONS incl. Advertising Exp</t>
  </si>
  <si>
    <t>ADVERTISING</t>
  </si>
  <si>
    <t>Advertising General</t>
  </si>
  <si>
    <t>ADVERTISING Total</t>
  </si>
  <si>
    <t>PROGRAMS AND PROMOTIONS</t>
  </si>
  <si>
    <t>Public Information &amp; Education</t>
  </si>
  <si>
    <t>PROGRAMS AND PROMOTIONS Total</t>
  </si>
  <si>
    <t>PROGRAMS AND PROMOTIONS incl. Advertising Exp Total</t>
  </si>
  <si>
    <t>CORPORATE EXPENSES</t>
  </si>
  <si>
    <t>Grand Total</t>
  </si>
  <si>
    <t>Less Promotional Advertising Expenses (9130)</t>
  </si>
  <si>
    <t>Total Energy Service Expense Net of Advertising</t>
  </si>
  <si>
    <t>Allocation to Washington @ 77.06%</t>
  </si>
  <si>
    <t>50% Assigned to Gas Mgnt Activities</t>
  </si>
  <si>
    <t>Restated Property Tax Expense</t>
  </si>
  <si>
    <t>Deferred Balance @ 12/31/05</t>
  </si>
  <si>
    <t>Estimated Interest Accruals</t>
  </si>
  <si>
    <t>Estimated Balance @ 12/31/06</t>
  </si>
  <si>
    <t>3-year Amortization</t>
  </si>
  <si>
    <t>Pipeline Safety Public Awareness</t>
  </si>
  <si>
    <t>Revenue</t>
  </si>
  <si>
    <t xml:space="preserve">Statement  </t>
  </si>
  <si>
    <t>Total</t>
  </si>
  <si>
    <t>Increase</t>
  </si>
  <si>
    <t>Twelve Months</t>
  </si>
  <si>
    <t>Line</t>
  </si>
  <si>
    <t xml:space="preserve">of Operations  </t>
  </si>
  <si>
    <t>Restating</t>
  </si>
  <si>
    <t>Restated</t>
  </si>
  <si>
    <t>Pro Forma</t>
  </si>
  <si>
    <t>(Decrease)</t>
  </si>
  <si>
    <t>No.</t>
  </si>
  <si>
    <t>Description</t>
  </si>
  <si>
    <t xml:space="preserve">Per Books  </t>
  </si>
  <si>
    <t>Adjustments</t>
  </si>
  <si>
    <t>Results</t>
  </si>
  <si>
    <t>Required</t>
  </si>
  <si>
    <t>(a)</t>
  </si>
  <si>
    <t>(b)</t>
  </si>
  <si>
    <t>(c)</t>
  </si>
  <si>
    <t>(d)=(b)+(c)</t>
  </si>
  <si>
    <t>(e)</t>
  </si>
  <si>
    <t>(f)=(d)+(e)</t>
  </si>
  <si>
    <t>(g)</t>
  </si>
  <si>
    <t>(h)=(f)+(g)</t>
  </si>
  <si>
    <t>Operating Revenues</t>
  </si>
  <si>
    <t>1</t>
  </si>
  <si>
    <t xml:space="preserve">  Natural Gas Sales</t>
  </si>
  <si>
    <t>2</t>
  </si>
  <si>
    <t xml:space="preserve">  Gas Transportation Revenue</t>
  </si>
  <si>
    <t>3</t>
  </si>
  <si>
    <t xml:space="preserve">  Other Operating Revenue</t>
  </si>
  <si>
    <t>4</t>
  </si>
  <si>
    <t xml:space="preserve">    Total Revenues</t>
  </si>
  <si>
    <t>Operating Expenses</t>
  </si>
  <si>
    <t>5</t>
  </si>
  <si>
    <t xml:space="preserve">  Natural Gas Purchased</t>
  </si>
  <si>
    <t>6</t>
  </si>
  <si>
    <t xml:space="preserve">  Manufactured Gas Production</t>
  </si>
  <si>
    <t>7</t>
  </si>
  <si>
    <t xml:space="preserve">  Distribution</t>
  </si>
  <si>
    <t>8</t>
  </si>
  <si>
    <t xml:space="preserve">  Customer Accounts</t>
  </si>
  <si>
    <t>9</t>
  </si>
  <si>
    <t xml:space="preserve">  Customer Service &amp; Information</t>
  </si>
  <si>
    <t>10</t>
  </si>
  <si>
    <t xml:space="preserve">  Sales</t>
  </si>
  <si>
    <t>11</t>
  </si>
  <si>
    <t xml:space="preserve">  Administrative &amp; General</t>
  </si>
  <si>
    <t>12</t>
  </si>
  <si>
    <t xml:space="preserve">  Wage Adjustment</t>
  </si>
  <si>
    <t>13</t>
  </si>
  <si>
    <t xml:space="preserve">  Depreciation &amp; Amortization</t>
  </si>
  <si>
    <t>14</t>
  </si>
  <si>
    <t xml:space="preserve">    Total Operating Expenses</t>
  </si>
  <si>
    <t>Operating Taxes</t>
  </si>
  <si>
    <t>15</t>
  </si>
  <si>
    <t xml:space="preserve">  Other Than Income</t>
  </si>
  <si>
    <t>16</t>
  </si>
  <si>
    <t xml:space="preserve">  State Income</t>
  </si>
  <si>
    <t>17</t>
  </si>
  <si>
    <t xml:space="preserve">  Federal Income</t>
  </si>
  <si>
    <t>18</t>
  </si>
  <si>
    <t xml:space="preserve">    Total Taxes</t>
  </si>
  <si>
    <t>19</t>
  </si>
  <si>
    <t>Total Op. Rev. Deductions</t>
  </si>
  <si>
    <t>20</t>
  </si>
  <si>
    <t>Net Operating Income</t>
  </si>
  <si>
    <t>21</t>
  </si>
  <si>
    <t>Rate Base</t>
  </si>
  <si>
    <t>22</t>
  </si>
  <si>
    <t>Rate of Return</t>
  </si>
  <si>
    <t>Low Income Assistance</t>
  </si>
  <si>
    <t>SUMMARY OF ADJUSTMENTS</t>
  </si>
  <si>
    <t>Page 2 herein</t>
  </si>
  <si>
    <t>Page 3 herein</t>
  </si>
  <si>
    <t>SCHEDULE OF RESTATING ADJUSTMENTS</t>
  </si>
  <si>
    <t>Test Period</t>
  </si>
  <si>
    <t>Adjustment</t>
  </si>
  <si>
    <t>(d)</t>
  </si>
  <si>
    <t>(f)</t>
  </si>
  <si>
    <t>(h)</t>
  </si>
  <si>
    <t>(i)</t>
  </si>
  <si>
    <t>(j)</t>
  </si>
  <si>
    <t>(k)</t>
  </si>
  <si>
    <t>(l)</t>
  </si>
  <si>
    <t xml:space="preserve">    Total</t>
  </si>
  <si>
    <t>___ (KJB-1)</t>
  </si>
  <si>
    <t>Schedule 1 of 1</t>
  </si>
  <si>
    <t>Amount</t>
  </si>
  <si>
    <t>Proforma Annual Depreciation Expense</t>
  </si>
  <si>
    <t xml:space="preserve"> Cascade Natural Gas Corporation</t>
  </si>
  <si>
    <t xml:space="preserve"> (b)</t>
  </si>
  <si>
    <t xml:space="preserve">   Professional Services</t>
  </si>
  <si>
    <t>$</t>
  </si>
  <si>
    <t xml:space="preserve">   Transcript and Misc.</t>
  </si>
  <si>
    <t xml:space="preserve">     Total</t>
  </si>
  <si>
    <t xml:space="preserve">    $</t>
  </si>
  <si>
    <t xml:space="preserve"> Rate Case Expense Amortized</t>
  </si>
  <si>
    <t xml:space="preserve"> During the Test Period</t>
  </si>
  <si>
    <r>
      <t xml:space="preserve">   </t>
    </r>
    <r>
      <rPr>
        <u val="single"/>
        <sz val="12"/>
        <rFont val="Times New Roman"/>
        <family val="1"/>
      </rPr>
      <t>1</t>
    </r>
    <r>
      <rPr>
        <sz val="12"/>
        <rFont val="Times New Roman"/>
        <family val="0"/>
      </rPr>
      <t>/</t>
    </r>
  </si>
  <si>
    <t xml:space="preserve">      Column (e), Line 11</t>
  </si>
  <si>
    <t>Ex. ____ (Matt?-1) Sch. 1.</t>
  </si>
  <si>
    <t>(c )</t>
  </si>
  <si>
    <t>Conservation Promotional Advertising</t>
  </si>
  <si>
    <t>Income Tax on Pre 1981 Assets</t>
  </si>
  <si>
    <t>Proposed Rates By Rate Block</t>
  </si>
  <si>
    <t>NEW Rate</t>
  </si>
  <si>
    <t>Blocks</t>
  </si>
  <si>
    <t>Basic S C</t>
  </si>
  <si>
    <t>B S C</t>
  </si>
  <si>
    <t>All</t>
  </si>
  <si>
    <t>All Gas Used per Month</t>
  </si>
  <si>
    <t>Rate Schedule 541 S</t>
  </si>
  <si>
    <t>First 30 therms</t>
  </si>
  <si>
    <t>30 &amp; Over</t>
  </si>
  <si>
    <t>Rate Schedule 541 W</t>
  </si>
  <si>
    <t>First 10 Therms</t>
  </si>
  <si>
    <t>40 next</t>
  </si>
  <si>
    <t>50 &amp; over</t>
  </si>
  <si>
    <t>We are eliminating the multi blocks</t>
  </si>
  <si>
    <t xml:space="preserve">First 50 </t>
  </si>
  <si>
    <t>450 Next</t>
  </si>
  <si>
    <t>3500 Next</t>
  </si>
  <si>
    <t>4000 &amp; Over</t>
  </si>
  <si>
    <t xml:space="preserve">First 10000 </t>
  </si>
  <si>
    <t>First 20000</t>
  </si>
  <si>
    <t>Next 80000</t>
  </si>
  <si>
    <t>Over 100000</t>
  </si>
  <si>
    <t>50 Next</t>
  </si>
  <si>
    <t>First 500</t>
  </si>
  <si>
    <t>30000 &amp; Over</t>
  </si>
  <si>
    <t>4000 Next</t>
  </si>
  <si>
    <t>Contract Demand Charge</t>
  </si>
  <si>
    <t>Per CD Therms Per month</t>
  </si>
  <si>
    <t>D S C</t>
  </si>
  <si>
    <t>First 100000</t>
  </si>
  <si>
    <t>DSC Commodity</t>
  </si>
  <si>
    <t>Rate Schedule 664</t>
  </si>
  <si>
    <t>100000 Next</t>
  </si>
  <si>
    <t>200000 Next</t>
  </si>
  <si>
    <t>300000 Next</t>
  </si>
  <si>
    <t>400000 Next</t>
  </si>
  <si>
    <t>1300000 &amp; Over</t>
  </si>
  <si>
    <t>Demand Allocation (55% of Rev Req)</t>
  </si>
  <si>
    <t>Commodity Allocation (45% of Rev Req)</t>
  </si>
  <si>
    <t>Cost</t>
  </si>
  <si>
    <t>Estimated Property Tax Rate</t>
  </si>
  <si>
    <t>Rate Base:</t>
  </si>
  <si>
    <t>Exhibit Reference</t>
  </si>
  <si>
    <t>Page        1 of 1</t>
  </si>
  <si>
    <t>CALCULATION OF REVENUE REQUIREMENTS</t>
  </si>
  <si>
    <t>Reference</t>
  </si>
  <si>
    <t>Ex. ____ (JTS-1) Sch. 1.</t>
  </si>
  <si>
    <t xml:space="preserve">    Rate Base</t>
  </si>
  <si>
    <t>Page 1, Line 20, Col. (h)</t>
  </si>
  <si>
    <t xml:space="preserve"> Rate of Return</t>
  </si>
  <si>
    <t>Page 1, Line 41, Col. (i)</t>
  </si>
  <si>
    <t xml:space="preserve"> Total Net Operating Income</t>
  </si>
  <si>
    <t xml:space="preserve">    (Line 1 X Line 2) </t>
  </si>
  <si>
    <t xml:space="preserve"> Less Adjusted Net Operating</t>
  </si>
  <si>
    <t xml:space="preserve">    Income</t>
  </si>
  <si>
    <t>SCHEDULE OF PRO FORMA ADJUSTMENTS</t>
  </si>
  <si>
    <t>Pro forma Membership /Dues Adjustment</t>
  </si>
  <si>
    <t>Pro forma Amortization Of Gain On Propane Plant</t>
  </si>
  <si>
    <t>Pro forma Gas Management &amp; Risk Management Software</t>
  </si>
  <si>
    <t>Pro forma Adjustment For Integrated Resource Planning Costs</t>
  </si>
  <si>
    <t>Pro forma CIS Hardware Upgrade</t>
  </si>
  <si>
    <t>Pro forma Property Tax Adjustment</t>
  </si>
  <si>
    <t xml:space="preserve">Pro forma Industrial Contract Changes   </t>
  </si>
  <si>
    <t xml:space="preserve">Pro forma Wages &amp; Related Costs  </t>
  </si>
  <si>
    <t>Pro forma</t>
  </si>
  <si>
    <t xml:space="preserve">      to Exhibit ___ (MPP-3), page 2 of 4, column (b), line 1.</t>
  </si>
  <si>
    <t xml:space="preserve">      to Exhibit ___ (MPP-3), page 2 of 4, column (b), line 5.</t>
  </si>
  <si>
    <t>Exhibit ___ (MPP-3)</t>
  </si>
  <si>
    <t>Exhibit ____(MPP-3)</t>
  </si>
  <si>
    <t>Page 6 of 33</t>
  </si>
  <si>
    <t xml:space="preserve"> Carried forward to Exhibit ___ (MPP-3), page 2, column (c), line 1.</t>
  </si>
  <si>
    <t xml:space="preserve"> Carried forward to Exhibit ___ (MPP-3), page 2, column (c), line 5.</t>
  </si>
  <si>
    <t xml:space="preserve"> Carried forward to Exhibit ___ (MPP-3), page 2, column (c), line 11.</t>
  </si>
  <si>
    <t>Federal Income Tax @ 34%</t>
  </si>
  <si>
    <t>CONVERSION FACTOR</t>
  </si>
  <si>
    <t>Exhibit _____(MPP-3)</t>
  </si>
  <si>
    <t>Page 25 of 25</t>
  </si>
  <si>
    <t>Page 6 of  25</t>
  </si>
  <si>
    <t>Page 7 of  25</t>
  </si>
  <si>
    <t>1/ Carried forward to Exhibit _____(MPP-3), Page 2 of 25, Column (g), Line 12</t>
  </si>
  <si>
    <t>Page 8 of  25</t>
  </si>
  <si>
    <t>1/ Carried forward to Exhibit _____(MPP-3),Page 2 of 25, Column (h), Line 15</t>
  </si>
  <si>
    <t>Page 9 of  25</t>
  </si>
  <si>
    <t>Page 10 of  25</t>
  </si>
  <si>
    <t>1/ Carried forward to Exhibit _____(MPP-3),Page 2 of 25, Column (j), Line 10</t>
  </si>
  <si>
    <t xml:space="preserve">    Carried forward to Exhibit ___ (MPP-3), page 2, column (k), line 1.</t>
  </si>
  <si>
    <t>Page 11 of 25</t>
  </si>
  <si>
    <t>1/ Carried forward to Exhibit _____(MPP-3),Page 2 of 25, Column (l), Line 8</t>
  </si>
  <si>
    <t>Page 12 of  25</t>
  </si>
  <si>
    <t>RESTATE PER BOOKS TO ACTUAL UNCOLLECTIBLES</t>
  </si>
  <si>
    <t>Actual Test Period Write-Offs</t>
  </si>
  <si>
    <t>Test Period Booked Accruals</t>
  </si>
  <si>
    <t>Page       5 of 25</t>
  </si>
  <si>
    <t>Page 13 of  25</t>
  </si>
  <si>
    <t>1/ Carried forward to Exhibit _____(MPP-3), Page 3 of 25, Column (b), Line 11</t>
  </si>
  <si>
    <t>1/ Carried forward to Exhibit _____(MPP-3), Page 3 of 25, Column (c), Line 12</t>
  </si>
  <si>
    <t>Page 14 of  25</t>
  </si>
  <si>
    <t>Page 20 of  25</t>
  </si>
  <si>
    <t>1/ Carried forward to Exhibit _____(MPP-3), Page 3, Column (h), Line 11</t>
  </si>
  <si>
    <t>1/ Carried forward to Exhibit _____(MPP-3), Page 3 of 25, Column (i), Line 11</t>
  </si>
  <si>
    <t>Page 19 of  25</t>
  </si>
  <si>
    <t>PRO FORMA MEMBERSHIP/DUES ADJUSTMENT</t>
  </si>
  <si>
    <t>Page 22 of  25</t>
  </si>
  <si>
    <t>1/ Carried forward to Exhibit _____(MPP-3), Page 4, Column (k), Line 11</t>
  </si>
  <si>
    <t>PRO FORMA POSTAL RATE CHANGE ADJUSTMENT</t>
  </si>
  <si>
    <t>Page 21 of  25</t>
  </si>
  <si>
    <t>PRO FORMA PROPERTY TAX ADJUSTMENT</t>
  </si>
  <si>
    <t>Property Tax Pro forma Adjustment</t>
  </si>
  <si>
    <t>1/ Carried forward to Exhibit _____(MPP-3), Page 3 , Column (j), Line 15</t>
  </si>
  <si>
    <t>PRO FORMA AMORTIZATION OF GAIN ON PROPANE PLANT</t>
  </si>
  <si>
    <t>Page 23 of  25</t>
  </si>
  <si>
    <t>1/  Carried forward to Exhibit _____(MPP-3), Page 4, Column (l), Line 13</t>
  </si>
  <si>
    <t>1/ Carried forward to Exhibit _____ (MPP-3), Page 3, Column (f), Line 17</t>
  </si>
  <si>
    <t>Page 17 of 25</t>
  </si>
  <si>
    <t>Page 18 of 25</t>
  </si>
  <si>
    <t>Exh MPP-3, Page 1, Column (h), Line 21</t>
  </si>
  <si>
    <t>Exh DCP-1, Sched 13, Page 1, Line 1 + Line 2</t>
  </si>
  <si>
    <t>Income Tax Adjustment for Pro forma Capitalization</t>
  </si>
  <si>
    <t>1/ Carried forward to Exhibit _____ (MPP-3), Page 3, Column (g), Line 17</t>
  </si>
  <si>
    <t>Pro forma interest expense (line 1 times line 2)</t>
  </si>
  <si>
    <t>Pro forma increase in interest expense (line 3 minus line 4)</t>
  </si>
  <si>
    <t>Pro forma decrease in federal income taxes</t>
  </si>
  <si>
    <t>PRO FORMA SPECIAL CONTRACT REVENUE</t>
  </si>
  <si>
    <t>1/ Carried forward to Exhibit _____ (MPP-3), Page 4, Column (r), Line 1</t>
  </si>
  <si>
    <t>2005 Revenue Escalation Derived from Response to Staff Data Request No 112</t>
  </si>
  <si>
    <t>Second Year Escalation Based on First Year</t>
  </si>
  <si>
    <t>Rate Year Increase in Revenues</t>
  </si>
  <si>
    <t>Page 24 of 25</t>
  </si>
  <si>
    <t>Page 15 of 25</t>
  </si>
  <si>
    <t xml:space="preserve"> Carried forward to Exhibit ___ (MPP-3), page 3, column (d), line 1.</t>
  </si>
  <si>
    <t>Exhibit ___(MPP-3)</t>
  </si>
  <si>
    <t>Page     16 of 25</t>
  </si>
  <si>
    <r>
      <t xml:space="preserve">  </t>
    </r>
    <r>
      <rPr>
        <u val="single"/>
        <sz val="12"/>
        <rFont val="Times New Roman"/>
        <family val="1"/>
      </rPr>
      <t>1</t>
    </r>
    <r>
      <rPr>
        <sz val="12"/>
        <rFont val="Times New Roman"/>
        <family val="0"/>
      </rPr>
      <t>/ Carried forward to Exhibit__(MPP-3), Page 3,</t>
    </r>
  </si>
  <si>
    <t>PRO FORMA INSURANCE EXPENSE ADJUSTMENT</t>
  </si>
  <si>
    <t>PRO FORMA PUBLIC AWARENESS PROGRAM ADJUSTMENT</t>
  </si>
  <si>
    <t>1/ Carried forward to Exhibit _____(MPP-3), Page 2 of 25, Column (i), Line 15</t>
  </si>
  <si>
    <t>1/ Carried forward to Exhibit _____(MPP-3), Page 2 of 25, Column (f), Line 11</t>
  </si>
  <si>
    <t xml:space="preserve">     Exhibit _____ (MPP-3)</t>
  </si>
  <si>
    <t xml:space="preserve">     Page</t>
  </si>
  <si>
    <t>5 of 25</t>
  </si>
  <si>
    <t>6 of 25</t>
  </si>
  <si>
    <t>7 of 25</t>
  </si>
  <si>
    <t>8 of 25</t>
  </si>
  <si>
    <t>9 of 25</t>
  </si>
  <si>
    <t>10 of 25</t>
  </si>
  <si>
    <t>11 of 25</t>
  </si>
  <si>
    <t>12 of 25</t>
  </si>
  <si>
    <t>13 of 25</t>
  </si>
  <si>
    <t>14 of 25</t>
  </si>
  <si>
    <t>15 of 25</t>
  </si>
  <si>
    <t>16 of 25</t>
  </si>
  <si>
    <t>17 of 25</t>
  </si>
  <si>
    <t>18 of 25</t>
  </si>
  <si>
    <t>19 of 25</t>
  </si>
  <si>
    <t>20 of 25</t>
  </si>
  <si>
    <t>21 of 25</t>
  </si>
  <si>
    <t>22 of 25</t>
  </si>
  <si>
    <t>23 of 25</t>
  </si>
  <si>
    <t>24 of 25</t>
  </si>
  <si>
    <t>Page 1, Line 19, Col. (f)</t>
  </si>
  <si>
    <t xml:space="preserve"> Increased Net Operating</t>
  </si>
  <si>
    <t xml:space="preserve">    Income Required</t>
  </si>
  <si>
    <t xml:space="preserve"> Revenue Sensitive Cost and </t>
  </si>
  <si>
    <t>Ex. ____ (LLC-3) Sch. 1.</t>
  </si>
  <si>
    <t xml:space="preserve">    FIT Factor</t>
  </si>
  <si>
    <t>Page 1, Line 9, Col. (b)</t>
  </si>
  <si>
    <t xml:space="preserve"> Increased Revenue Requirement</t>
  </si>
  <si>
    <t xml:space="preserve">    (Line 5 divided by Line 6)</t>
  </si>
  <si>
    <r>
      <t xml:space="preserve"> 1</t>
    </r>
    <r>
      <rPr>
        <sz val="12"/>
        <rFont val="Times New Roman"/>
        <family val="0"/>
      </rPr>
      <t>/</t>
    </r>
  </si>
  <si>
    <t xml:space="preserve"> Increased Percentage Requirement</t>
  </si>
  <si>
    <t xml:space="preserve">     of Margin for all Services other than Special Contracts</t>
  </si>
  <si>
    <t>Total Adjusted</t>
  </si>
  <si>
    <t>Equal</t>
  </si>
  <si>
    <t>Increased</t>
  </si>
  <si>
    <t>Margin at</t>
  </si>
  <si>
    <t>Rate</t>
  </si>
  <si>
    <t>Percentage</t>
  </si>
  <si>
    <t>Margin By</t>
  </si>
  <si>
    <t>Proposed</t>
  </si>
  <si>
    <t>Schedule</t>
  </si>
  <si>
    <t>Therms Sales</t>
  </si>
  <si>
    <t>Customer Group</t>
  </si>
  <si>
    <t>Rates</t>
  </si>
  <si>
    <t>Residential</t>
  </si>
  <si>
    <t xml:space="preserve">  1</t>
  </si>
  <si>
    <t xml:space="preserve">  General Service</t>
  </si>
  <si>
    <t xml:space="preserve">  2</t>
  </si>
  <si>
    <t xml:space="preserve">  Optional Service</t>
  </si>
  <si>
    <t>503</t>
  </si>
  <si>
    <t xml:space="preserve">  3</t>
  </si>
  <si>
    <t xml:space="preserve">      Total</t>
  </si>
  <si>
    <t>Res-Com Dual Service</t>
  </si>
  <si>
    <t xml:space="preserve">  4</t>
  </si>
  <si>
    <t xml:space="preserve">  Dry-out</t>
  </si>
  <si>
    <t>502</t>
  </si>
  <si>
    <t xml:space="preserve">  5</t>
  </si>
  <si>
    <t xml:space="preserve">  Gas Air Conditioning</t>
  </si>
  <si>
    <t>541</t>
  </si>
  <si>
    <t xml:space="preserve">  6</t>
  </si>
  <si>
    <t>Commercial</t>
  </si>
  <si>
    <t xml:space="preserve">  7</t>
  </si>
  <si>
    <t>504</t>
  </si>
  <si>
    <t xml:space="preserve">  8</t>
  </si>
  <si>
    <t xml:space="preserve">  Compressed Natural Gas </t>
  </si>
  <si>
    <t>512</t>
  </si>
  <si>
    <t xml:space="preserve">  9</t>
  </si>
  <si>
    <t>Com-Ind Dual Service</t>
  </si>
  <si>
    <t xml:space="preserve"> 10</t>
  </si>
  <si>
    <t xml:space="preserve">  Large Volume</t>
  </si>
  <si>
    <t>511</t>
  </si>
  <si>
    <t xml:space="preserve"> 11</t>
  </si>
  <si>
    <t>Industrial Firm</t>
  </si>
  <si>
    <t xml:space="preserve"> 12</t>
  </si>
  <si>
    <t>505</t>
  </si>
  <si>
    <t xml:space="preserve"> 13</t>
  </si>
  <si>
    <t>Interruptible</t>
  </si>
  <si>
    <t xml:space="preserve"> 14</t>
  </si>
  <si>
    <t xml:space="preserve">  General (Industrial)</t>
  </si>
  <si>
    <t>570</t>
  </si>
  <si>
    <t xml:space="preserve"> 15</t>
  </si>
  <si>
    <t xml:space="preserve">  Institutional</t>
  </si>
  <si>
    <t>577</t>
  </si>
  <si>
    <t xml:space="preserve"> 16</t>
  </si>
  <si>
    <t xml:space="preserve"> 17</t>
  </si>
  <si>
    <t>Total Core</t>
  </si>
  <si>
    <t>Non-Core</t>
  </si>
  <si>
    <t xml:space="preserve"> 18</t>
  </si>
  <si>
    <t xml:space="preserve">  Distribution Trans.</t>
  </si>
  <si>
    <t>663</t>
  </si>
  <si>
    <t xml:space="preserve"> 19</t>
  </si>
  <si>
    <t xml:space="preserve">  Electric Generation</t>
  </si>
  <si>
    <t>678</t>
  </si>
  <si>
    <t xml:space="preserve"> 20</t>
  </si>
  <si>
    <t xml:space="preserve">  Special Contracts</t>
  </si>
  <si>
    <t>901</t>
  </si>
  <si>
    <t xml:space="preserve"> 21</t>
  </si>
  <si>
    <t>( a )</t>
  </si>
  <si>
    <t>( b )</t>
  </si>
  <si>
    <t>Test Period Insurance General Expense</t>
  </si>
  <si>
    <t>Estimated 2006 Insurance General Expense</t>
  </si>
  <si>
    <t>Washington Allocation Factor  (*)</t>
  </si>
  <si>
    <t>Washington Adjustment</t>
  </si>
  <si>
    <t>(*)  3-Factor Allocation</t>
  </si>
  <si>
    <t xml:space="preserve">  Cost of Gas </t>
  </si>
  <si>
    <t xml:space="preserve"> 22</t>
  </si>
  <si>
    <t>Total Non-Core</t>
  </si>
  <si>
    <t xml:space="preserve"> 23</t>
  </si>
  <si>
    <t>SUBTOTAL</t>
  </si>
  <si>
    <t xml:space="preserve"> 24</t>
  </si>
  <si>
    <t xml:space="preserve">  B&amp;O Tax</t>
  </si>
  <si>
    <t>TOTAL</t>
  </si>
  <si>
    <t>Other Op Rev</t>
  </si>
  <si>
    <t>Change in</t>
  </si>
  <si>
    <t>Removal of Gas Management Services</t>
  </si>
  <si>
    <t>Margin</t>
  </si>
  <si>
    <t>General</t>
  </si>
  <si>
    <t>Overall</t>
  </si>
  <si>
    <t>Billing</t>
  </si>
  <si>
    <t>Service Charge</t>
  </si>
  <si>
    <t>Description of Service</t>
  </si>
  <si>
    <t>(month)</t>
  </si>
  <si>
    <t>(per Therm)</t>
  </si>
  <si>
    <t xml:space="preserve">66.647  c </t>
  </si>
  <si>
    <t xml:space="preserve">60.706  c </t>
  </si>
  <si>
    <t xml:space="preserve">44.680  c </t>
  </si>
  <si>
    <t xml:space="preserve">38.739  c </t>
  </si>
  <si>
    <t>Annual Xover point</t>
  </si>
  <si>
    <t xml:space="preserve">71.840  c </t>
  </si>
  <si>
    <t xml:space="preserve">65.899  c </t>
  </si>
  <si>
    <t xml:space="preserve">51.678  c </t>
  </si>
  <si>
    <t xml:space="preserve">45.737  c </t>
  </si>
  <si>
    <t xml:space="preserve">57.711  c </t>
  </si>
  <si>
    <t xml:space="preserve">51.770  c </t>
  </si>
  <si>
    <t xml:space="preserve">44.678  c </t>
  </si>
  <si>
    <t xml:space="preserve">38.737  c </t>
  </si>
  <si>
    <t xml:space="preserve">60.952  c </t>
  </si>
  <si>
    <t xml:space="preserve">55.011  c </t>
  </si>
  <si>
    <t xml:space="preserve">43.118  c </t>
  </si>
  <si>
    <t xml:space="preserve">37.177  c </t>
  </si>
  <si>
    <t xml:space="preserve">64.532  c </t>
  </si>
  <si>
    <t xml:space="preserve">58.591  c </t>
  </si>
  <si>
    <t xml:space="preserve">52.636  c </t>
  </si>
  <si>
    <t xml:space="preserve">46.695  c </t>
  </si>
  <si>
    <t>June -September</t>
  </si>
  <si>
    <t xml:space="preserve">                    Min. Charge for the first 30 therms per month</t>
  </si>
  <si>
    <t xml:space="preserve">                    Rate for over 30 therms per month</t>
  </si>
  <si>
    <t xml:space="preserve">50.220  c </t>
  </si>
  <si>
    <t xml:space="preserve">44.279  c </t>
  </si>
  <si>
    <t>October-May</t>
  </si>
  <si>
    <t xml:space="preserve">                    Min. Charge for the first 10 therms per month</t>
  </si>
  <si>
    <t xml:space="preserve">                    Rate for the next 40 therms per month</t>
  </si>
  <si>
    <t xml:space="preserve">60.941  c </t>
  </si>
  <si>
    <t xml:space="preserve">55.000  c </t>
  </si>
  <si>
    <t xml:space="preserve">                    Rate for over 50 therms per month</t>
  </si>
  <si>
    <t xml:space="preserve">52.637  c </t>
  </si>
  <si>
    <t xml:space="preserve">46.696  c </t>
  </si>
  <si>
    <t>N/A</t>
  </si>
  <si>
    <t xml:space="preserve">                    Rate for the first 30,000 therms per month</t>
  </si>
  <si>
    <t xml:space="preserve">45.693  c </t>
  </si>
  <si>
    <t xml:space="preserve">36.577  c </t>
  </si>
  <si>
    <t xml:space="preserve">                    Rate for over 30,000 therms per month</t>
  </si>
  <si>
    <t xml:space="preserve">42.537  c </t>
  </si>
  <si>
    <t xml:space="preserve">39.733  c </t>
  </si>
  <si>
    <t xml:space="preserve">                    Rate for the first 4,000 therms per month</t>
  </si>
  <si>
    <t xml:space="preserve">46.928  c </t>
  </si>
  <si>
    <t xml:space="preserve">38.724  c </t>
  </si>
  <si>
    <t xml:space="preserve">                    Rate for over 4,000 therms per month</t>
  </si>
  <si>
    <t xml:space="preserve">44.684  c </t>
  </si>
  <si>
    <t xml:space="preserve">40.968  c </t>
  </si>
  <si>
    <t xml:space="preserve">9.983  c </t>
  </si>
  <si>
    <t xml:space="preserve">9.986  c </t>
  </si>
  <si>
    <t xml:space="preserve">8.793  c </t>
  </si>
  <si>
    <t xml:space="preserve">8.796  c </t>
  </si>
  <si>
    <t xml:space="preserve">7.947  c </t>
  </si>
  <si>
    <t xml:space="preserve">7.950  c </t>
  </si>
  <si>
    <t xml:space="preserve">3.643  c </t>
  </si>
  <si>
    <t xml:space="preserve">3.646  c </t>
  </si>
  <si>
    <t xml:space="preserve">2.071  c </t>
  </si>
  <si>
    <t xml:space="preserve">2.074  c </t>
  </si>
  <si>
    <t xml:space="preserve">0.773  c </t>
  </si>
  <si>
    <t xml:space="preserve">0.776  c </t>
  </si>
  <si>
    <t>Average</t>
  </si>
  <si>
    <t>Rate Change</t>
  </si>
  <si>
    <t>Net Change in</t>
  </si>
  <si>
    <t>Monthly</t>
  </si>
  <si>
    <t>Average Monthly</t>
  </si>
  <si>
    <t>Monthly Bill</t>
  </si>
  <si>
    <t>from PGA</t>
  </si>
  <si>
    <t>Energy Usage</t>
  </si>
  <si>
    <t>Exhibit _____(JTS-5)</t>
  </si>
  <si>
    <t>WP - Exh____(JTS-7)</t>
  </si>
  <si>
    <t>WP Exh ____(JTS-9)</t>
  </si>
  <si>
    <t xml:space="preserve">From the </t>
  </si>
  <si>
    <t>&amp; Tech Adj</t>
  </si>
  <si>
    <t>From all</t>
  </si>
  <si>
    <t>Type of Service</t>
  </si>
  <si>
    <t>(in Therms)</t>
  </si>
  <si>
    <t>3 Filings</t>
  </si>
  <si>
    <t>501&amp;503</t>
  </si>
  <si>
    <t>Residential (all customers will be billed under 503)</t>
  </si>
  <si>
    <t xml:space="preserve">  Average Use per Customer</t>
  </si>
  <si>
    <t xml:space="preserve">     Winter Use (October - March)</t>
  </si>
  <si>
    <t xml:space="preserve">7.573 c </t>
  </si>
  <si>
    <t>(5.941) c</t>
  </si>
  <si>
    <t xml:space="preserve">     Cold Winter Month (based on Jan., 1991)</t>
  </si>
  <si>
    <t xml:space="preserve">0.685 c </t>
  </si>
  <si>
    <t xml:space="preserve">     Summer Use (April - September)</t>
  </si>
  <si>
    <t xml:space="preserve">10.607 c </t>
  </si>
  <si>
    <t>Commercial General Service</t>
  </si>
  <si>
    <t xml:space="preserve">7.635 c </t>
  </si>
  <si>
    <t>Industrial General Service</t>
  </si>
  <si>
    <t xml:space="preserve">1.221 c </t>
  </si>
  <si>
    <t>Large Volume Firm</t>
  </si>
  <si>
    <t xml:space="preserve">0.408 c </t>
  </si>
  <si>
    <t>General Interruptible</t>
  </si>
  <si>
    <t xml:space="preserve">5.632 c </t>
  </si>
  <si>
    <t>(5.960) c</t>
  </si>
  <si>
    <t>Institutional Interruptible</t>
  </si>
  <si>
    <t xml:space="preserve">2.778 c </t>
  </si>
  <si>
    <t>Noncore System Transportation</t>
  </si>
  <si>
    <t>(2.601) c</t>
  </si>
  <si>
    <t xml:space="preserve">0.003 c </t>
  </si>
  <si>
    <t>OVERALL CHANGE IN  REVENUE ON THE AVERAGE MONTHLY BILL</t>
  </si>
  <si>
    <t>Therms</t>
  </si>
  <si>
    <t>Cost Under</t>
  </si>
  <si>
    <t>Amount of</t>
  </si>
  <si>
    <t>Percentage of</t>
  </si>
  <si>
    <t>Customer Type</t>
  </si>
  <si>
    <t>Per Month</t>
  </si>
  <si>
    <t>Current Rates</t>
  </si>
  <si>
    <t>Proposed Rates</t>
  </si>
  <si>
    <t>Change</t>
  </si>
  <si>
    <t>Residential Customers:</t>
  </si>
  <si>
    <t xml:space="preserve">   Winter High Use</t>
  </si>
  <si>
    <t>Non-Core System Transportation</t>
  </si>
  <si>
    <t>May</t>
  </si>
  <si>
    <t>Current</t>
  </si>
  <si>
    <t>Revenue at</t>
  </si>
  <si>
    <t>Docket No. _________</t>
  </si>
  <si>
    <t>Test Period WA Property Expense</t>
  </si>
  <si>
    <t>3 Year Average Increase</t>
  </si>
  <si>
    <t>Property Tax Adjustment</t>
  </si>
  <si>
    <t>___ (JTS-8)</t>
  </si>
  <si>
    <t>Reclassify Gas Transportation into Rate Schedules</t>
  </si>
  <si>
    <t>Restate Test Period For Normal Weather Full rate &amp; Gas cost</t>
  </si>
  <si>
    <t>Restate Test Period For Normal Weather Margin only</t>
  </si>
  <si>
    <t xml:space="preserve">    Commodity Margin </t>
  </si>
  <si>
    <t>Commodity Only WACOG</t>
  </si>
  <si>
    <t>Test year rate base as recorded</t>
  </si>
  <si>
    <t>Test year interest expense deduction used in calculation of federal</t>
  </si>
  <si>
    <t>income taxes charged to Washington utility operating income</t>
  </si>
  <si>
    <t>Federal income tax rate</t>
  </si>
  <si>
    <t>10000 Next</t>
  </si>
  <si>
    <t>30000 Next</t>
  </si>
  <si>
    <t>50000 Next</t>
  </si>
  <si>
    <t>100000 &amp; Over</t>
  </si>
  <si>
    <t>GRF</t>
  </si>
  <si>
    <t>Acct 2380</t>
  </si>
  <si>
    <t>2nd Block</t>
  </si>
  <si>
    <t>3rd Block</t>
  </si>
  <si>
    <t>4th Block</t>
  </si>
  <si>
    <t>DSC Comm</t>
  </si>
  <si>
    <t xml:space="preserve">Rate Of Return By Rate Schedule  </t>
  </si>
  <si>
    <t>Equal Return Basis</t>
  </si>
  <si>
    <t>Non-Core Large Volume Transportation Service 664</t>
  </si>
  <si>
    <t>Non-Core Special Contracts</t>
  </si>
  <si>
    <t>Equal Percent of Margin Basis</t>
  </si>
  <si>
    <t>Overall Rate</t>
  </si>
  <si>
    <t>of Return</t>
  </si>
  <si>
    <t>INDICATED RATE CHANGE TO ACHIEVE EQUAL RATE OF RETURN</t>
  </si>
  <si>
    <t>B&amp;O Taxes</t>
  </si>
  <si>
    <t>Trans Rev</t>
  </si>
  <si>
    <t>Booked</t>
  </si>
  <si>
    <t>Booked Revenue</t>
  </si>
  <si>
    <t xml:space="preserve">  @ 11-1-05 Rates</t>
  </si>
  <si>
    <t>Billing &amp; Tech Adj</t>
  </si>
  <si>
    <t>Gas Management</t>
  </si>
  <si>
    <t>Actual</t>
  </si>
  <si>
    <t>Gross Margin</t>
  </si>
  <si>
    <t>Core Gross Margin</t>
  </si>
  <si>
    <t>Docket UG-060256</t>
  </si>
  <si>
    <t>Exhibit _____ (MPP-4)</t>
  </si>
  <si>
    <t>Schedule of Investor-Supplied Working Capital</t>
  </si>
  <si>
    <t>System</t>
  </si>
  <si>
    <t>Average Invested Capital</t>
  </si>
  <si>
    <t>Average Operating Investments</t>
  </si>
  <si>
    <t>Average Non-Operating Investments</t>
  </si>
  <si>
    <t>Average Non-Operating Investments (Sum lines 3,4,5,6)</t>
  </si>
  <si>
    <t>Total Average Investments</t>
  </si>
  <si>
    <t>Investor-Supplied Working Capital  (Line 1 minus Line 4)</t>
  </si>
  <si>
    <t>Ratio  (Line 5 divided by Line 4)</t>
  </si>
  <si>
    <t>Utility Plant in Service</t>
  </si>
  <si>
    <t>Accumulated Depreciation</t>
  </si>
  <si>
    <t>Customer Advances for Construction</t>
  </si>
  <si>
    <t>Deferred Income Taxes</t>
  </si>
  <si>
    <t>Total Average Operating Investments</t>
  </si>
  <si>
    <t>Working Capital Allowance  (Line 7 times Line 8)</t>
  </si>
  <si>
    <t>Exhibit _____(MPP-5)</t>
  </si>
  <si>
    <t>Electric Generation</t>
  </si>
  <si>
    <t>Core Industrial Gas Distribution</t>
  </si>
  <si>
    <t xml:space="preserve"> Non Core Industrial Gas Distribution</t>
  </si>
  <si>
    <t>Service Plus</t>
  </si>
  <si>
    <t>Other Revenue/Adjustments</t>
  </si>
  <si>
    <t>Adjustments:</t>
  </si>
  <si>
    <t>Unidentified Business Opportunities</t>
  </si>
  <si>
    <t>OR Earning Sharing</t>
  </si>
  <si>
    <t>WA SRIAM</t>
  </si>
  <si>
    <t>Total Gross Revenue</t>
  </si>
  <si>
    <t>Ended 9/30/05</t>
  </si>
  <si>
    <t>Rev</t>
  </si>
  <si>
    <t>Costs</t>
  </si>
  <si>
    <t>Rate Schedule 502</t>
  </si>
  <si>
    <t>WACOG</t>
  </si>
  <si>
    <t>Rate Schedule 503</t>
  </si>
  <si>
    <t>Rate Schedule 504</t>
  </si>
  <si>
    <t>Rate Schedule 505</t>
  </si>
  <si>
    <t>Rate Schedule 511</t>
  </si>
  <si>
    <t>Rate Schedule 512</t>
  </si>
  <si>
    <t>Rate Schedule 570</t>
  </si>
  <si>
    <t>Exhibit _____(KJB-17)</t>
  </si>
  <si>
    <t>PROFORMA ADJUSTMENT FOR INTEGRATED RESOURCE PLANNING COSTS</t>
  </si>
  <si>
    <t xml:space="preserve">WA </t>
  </si>
  <si>
    <t>WA</t>
  </si>
  <si>
    <t>( c )</t>
  </si>
  <si>
    <t xml:space="preserve"> ( d )</t>
  </si>
  <si>
    <t>Vector Gas Monte-Carlo Modeling System:</t>
  </si>
  <si>
    <t>Direct Costs of Hardware/Database Software</t>
  </si>
  <si>
    <t>Weighted Depreciation Rate</t>
  </si>
  <si>
    <t>Proforma Property Tax Expenses</t>
  </si>
  <si>
    <t>Incremental Software Maintence &amp; Licensing Expenses</t>
  </si>
  <si>
    <t>3/</t>
  </si>
  <si>
    <t xml:space="preserve">     System Costs</t>
  </si>
  <si>
    <t xml:space="preserve">     Accumulated Depreciation</t>
  </si>
  <si>
    <t xml:space="preserve">     Accumulated Deferred Tax</t>
  </si>
  <si>
    <t>Bellingham</t>
  </si>
  <si>
    <t>Bremerton</t>
  </si>
  <si>
    <t>Walla Walla</t>
  </si>
  <si>
    <t>Annual</t>
  </si>
  <si>
    <t>Normal Heating Degree Days For</t>
  </si>
  <si>
    <t>Exhibit ____(PWM-3)</t>
  </si>
  <si>
    <t>At Proposed Rates</t>
  </si>
  <si>
    <t>Est. Occurences</t>
  </si>
  <si>
    <t>Est. Revenues</t>
  </si>
  <si>
    <t>Account Activation Charge</t>
  </si>
  <si>
    <t xml:space="preserve">     Proforma Rate Base Adjustment</t>
  </si>
  <si>
    <t>4/</t>
  </si>
  <si>
    <t>Washington Conservation Potential Study</t>
  </si>
  <si>
    <t>5/</t>
  </si>
  <si>
    <t>Software</t>
  </si>
  <si>
    <t>Server</t>
  </si>
  <si>
    <t xml:space="preserve">Don't we currently have some level of Maintenance expense/ Investment in the GMS software.  Is this truly the </t>
  </si>
  <si>
    <t>Is this truly the incremental costs?</t>
  </si>
  <si>
    <t>Calendar 2005 Tax</t>
  </si>
  <si>
    <t>First year MACRS</t>
  </si>
  <si>
    <t>Book Depreciation Rate</t>
  </si>
  <si>
    <t>Apply to Investment Cost for DFIT</t>
  </si>
  <si>
    <t>Property Tax Rate</t>
  </si>
  <si>
    <t>2005 Assessed Value</t>
  </si>
  <si>
    <t>Assessed Value</t>
  </si>
  <si>
    <t>Schedule 2 of  2</t>
  </si>
  <si>
    <t>CALCULATION OF 5-YEAR AVERAGE LOST AND UNACCOUNTED FOR FACTOR</t>
  </si>
  <si>
    <t xml:space="preserve"> 60-Month Rolling Total</t>
  </si>
  <si>
    <t>Month</t>
  </si>
  <si>
    <t>Oct '98</t>
  </si>
  <si>
    <t>Nov '98</t>
  </si>
  <si>
    <t>Dec '98</t>
  </si>
  <si>
    <t>Jan '99</t>
  </si>
  <si>
    <t>Feb '99</t>
  </si>
  <si>
    <t>Mar '99</t>
  </si>
  <si>
    <t>Apr '99</t>
  </si>
  <si>
    <t>May '99</t>
  </si>
  <si>
    <t>Jun '99</t>
  </si>
  <si>
    <t>Jul '99</t>
  </si>
  <si>
    <t>Aug '99</t>
  </si>
  <si>
    <t>Sep '99</t>
  </si>
  <si>
    <t>Oct '99</t>
  </si>
  <si>
    <t>Nov '99</t>
  </si>
  <si>
    <t>Dec '99</t>
  </si>
  <si>
    <t>Jan '00</t>
  </si>
  <si>
    <t>Feb '00</t>
  </si>
  <si>
    <t>Mar '00</t>
  </si>
  <si>
    <t>Apr '00</t>
  </si>
  <si>
    <t>May '00</t>
  </si>
  <si>
    <t>Jun '00</t>
  </si>
  <si>
    <t>Jul '00</t>
  </si>
  <si>
    <t>Aug '00</t>
  </si>
  <si>
    <t>Sep '00</t>
  </si>
  <si>
    <t>Oct '00</t>
  </si>
  <si>
    <t>Nov '00</t>
  </si>
  <si>
    <t>Dec '00</t>
  </si>
  <si>
    <t>Jan '01</t>
  </si>
  <si>
    <t>Feb '01</t>
  </si>
  <si>
    <t>Mar '01</t>
  </si>
  <si>
    <t>Apr '01</t>
  </si>
  <si>
    <t>May '01</t>
  </si>
  <si>
    <t>Jun '01</t>
  </si>
  <si>
    <t>Jul '01</t>
  </si>
  <si>
    <t>Aug '01</t>
  </si>
  <si>
    <t>Sep '01</t>
  </si>
  <si>
    <t>Oct '01</t>
  </si>
  <si>
    <t>Nov '01</t>
  </si>
  <si>
    <t>Dec '01</t>
  </si>
  <si>
    <t>Jan '02</t>
  </si>
  <si>
    <t>Feb '02</t>
  </si>
  <si>
    <t>Mar '02</t>
  </si>
  <si>
    <t>Apr '02</t>
  </si>
  <si>
    <t>May '02</t>
  </si>
  <si>
    <t>Jun '02</t>
  </si>
  <si>
    <t>Jul '02</t>
  </si>
  <si>
    <t>Aug '02</t>
  </si>
  <si>
    <t>Sep '02</t>
  </si>
  <si>
    <t>Oct '02</t>
  </si>
  <si>
    <t>Nov '02</t>
  </si>
  <si>
    <t>Dec '02</t>
  </si>
  <si>
    <t>Jan '03</t>
  </si>
  <si>
    <t>Feb '03</t>
  </si>
  <si>
    <t>Mar '03</t>
  </si>
  <si>
    <t>Apr '03</t>
  </si>
  <si>
    <t>May '03</t>
  </si>
  <si>
    <t>Jun '03</t>
  </si>
  <si>
    <t>Jul '03</t>
  </si>
  <si>
    <t>Aug '03</t>
  </si>
  <si>
    <t>Sep '03</t>
  </si>
  <si>
    <t>Oct '03</t>
  </si>
  <si>
    <t>Nov '03</t>
  </si>
  <si>
    <t>Dec '03</t>
  </si>
  <si>
    <t>Jan '04</t>
  </si>
  <si>
    <t>Feb '04</t>
  </si>
  <si>
    <t>Mar '04</t>
  </si>
  <si>
    <t>Apr '04</t>
  </si>
  <si>
    <t>May '04</t>
  </si>
  <si>
    <t>Jun '04</t>
  </si>
  <si>
    <t>Jul '04</t>
  </si>
  <si>
    <t>Aug '04</t>
  </si>
  <si>
    <t>Sep '04</t>
  </si>
  <si>
    <t>Oct '04</t>
  </si>
  <si>
    <t>Nov '04</t>
  </si>
  <si>
    <t>Dec '04</t>
  </si>
  <si>
    <t>Jan '05</t>
  </si>
  <si>
    <t>Feb '05</t>
  </si>
  <si>
    <t>Mar '05</t>
  </si>
  <si>
    <t>Apr '05</t>
  </si>
  <si>
    <t>May '05</t>
  </si>
  <si>
    <t>Jun '05</t>
  </si>
  <si>
    <t>Jul '05</t>
  </si>
  <si>
    <t>Aug '05</t>
  </si>
  <si>
    <t>Sep '05</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</si>
</sst>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hh:mm\ AM/PM_)"/>
    <numFmt numFmtId="167" formatCode="mm/dd/yy_)"/>
    <numFmt numFmtId="168" formatCode="#,##0.00000_);\(#,##0.00000\)"/>
    <numFmt numFmtId="169" formatCode="0.0000%"/>
    <numFmt numFmtId="170" formatCode="0.000%"/>
    <numFmt numFmtId="171" formatCode="#,##0.0000000_);\(#,##0.0000000\)"/>
    <numFmt numFmtId="172" formatCode="_(&quot;$&quot;* #,##0_);_(&quot;$&quot;* \(#,##0\);_(&quot;$&quot;* &quot;-&quot;??_);_(@_)"/>
    <numFmt numFmtId="173" formatCode="_(&quot;$&quot;* #,##0_);_(&quot;$&quot;* \(#,##0\)"/>
    <numFmt numFmtId="174" formatCode="0.0%"/>
    <numFmt numFmtId="175" formatCode="_(* #,##0_);_(* \(#,##0\);_(* &quot;-&quot;??_);_(@_)"/>
    <numFmt numFmtId="176" formatCode="_(&quot;$&quot;* #,##0.00000_);_(&quot;$&quot;* \(#,##0.00000\);_(&quot;$&quot;* &quot;-&quot;??_);_(@_)"/>
    <numFmt numFmtId="177" formatCode="_(* #,##0.000_);_(* \(#,##0.000\);_(* &quot;-&quot;??_);_(@_)"/>
    <numFmt numFmtId="178" formatCode="#,##0.000000000000_);\(#,##0.000000000000\)"/>
    <numFmt numFmtId="179" formatCode="m/d/yy"/>
    <numFmt numFmtId="180" formatCode="0.00000"/>
    <numFmt numFmtId="181" formatCode="0.000000"/>
    <numFmt numFmtId="182" formatCode="m/d"/>
    <numFmt numFmtId="183" formatCode="[$-409]mmm\-yy;@"/>
    <numFmt numFmtId="184" formatCode="&quot;$&quot;#,##0.00000_);[Red]\(&quot;$&quot;#,##0.00000\)"/>
    <numFmt numFmtId="185" formatCode="#,##0.0000"/>
  </numFmts>
  <fonts count="72">
    <font>
      <sz val="8.5"/>
      <name val="Times New Roman"/>
      <family val="0"/>
    </font>
    <font>
      <b/>
      <sz val="10"/>
      <name val="Arial"/>
      <family val="0"/>
    </font>
    <font>
      <i/>
      <sz val="10"/>
      <name val="Arial"/>
      <family val="0"/>
    </font>
    <font>
      <b/>
      <i/>
      <sz val="10"/>
      <name val="Arial"/>
      <family val="0"/>
    </font>
    <font>
      <sz val="10"/>
      <name val="Arial"/>
      <family val="0"/>
    </font>
    <font>
      <sz val="12"/>
      <name val="Times New Roman"/>
      <family val="0"/>
    </font>
    <font>
      <b/>
      <sz val="14.25"/>
      <name val="Times New Roman"/>
      <family val="0"/>
    </font>
    <font>
      <sz val="10"/>
      <name val="Times New Roman"/>
      <family val="0"/>
    </font>
    <font>
      <b/>
      <u val="single"/>
      <sz val="8.5"/>
      <name val="Times New Roman"/>
      <family val="0"/>
    </font>
    <font>
      <b/>
      <sz val="8.5"/>
      <name val="Times New Roman"/>
      <family val="0"/>
    </font>
    <font>
      <u val="double"/>
      <sz val="8.5"/>
      <name val="Times New Roman"/>
      <family val="0"/>
    </font>
    <font>
      <b/>
      <u val="double"/>
      <sz val="8.5"/>
      <name val="Times New Roman"/>
      <family val="0"/>
    </font>
    <font>
      <b/>
      <u val="double"/>
      <sz val="12"/>
      <name val="Times New Roman"/>
      <family val="0"/>
    </font>
    <font>
      <b/>
      <sz val="12"/>
      <name val="Times New Roman"/>
      <family val="0"/>
    </font>
    <font>
      <sz val="6"/>
      <name val="Times New Roman"/>
      <family val="0"/>
    </font>
    <font>
      <sz val="7.25"/>
      <name val="Times New Roman"/>
      <family val="0"/>
    </font>
    <font>
      <sz val="8.5"/>
      <color indexed="10"/>
      <name val="Times New Roman"/>
      <family val="1"/>
    </font>
    <font>
      <u val="single"/>
      <sz val="12"/>
      <name val="Times New Roman"/>
      <family val="1"/>
    </font>
    <font>
      <sz val="11"/>
      <name val="Times New Roman"/>
      <family val="1"/>
    </font>
    <font>
      <sz val="9"/>
      <name val="Times New Roman"/>
      <family val="1"/>
    </font>
    <font>
      <b/>
      <sz val="16"/>
      <name val="Times New Roman"/>
      <family val="0"/>
    </font>
    <font>
      <u val="single"/>
      <sz val="10"/>
      <name val="Times New Roman"/>
      <family val="1"/>
    </font>
    <font>
      <u val="singleAccounting"/>
      <sz val="8.5"/>
      <name val="Times New Roman"/>
      <family val="1"/>
    </font>
    <font>
      <u val="single"/>
      <sz val="8.5"/>
      <name val="Times New Roman"/>
      <family val="1"/>
    </font>
    <font>
      <u val="doubleAccounting"/>
      <sz val="8.5"/>
      <name val="Times New Roman"/>
      <family val="1"/>
    </font>
    <font>
      <b/>
      <u val="doubleAccounting"/>
      <sz val="12"/>
      <name val="Times New Roman"/>
      <family val="1"/>
    </font>
    <font>
      <u val="singleAccounting"/>
      <sz val="12"/>
      <name val="Times New Roman"/>
      <family val="1"/>
    </font>
    <font>
      <b/>
      <sz val="14"/>
      <name val="Times New Roman"/>
      <family val="1"/>
    </font>
    <font>
      <sz val="14"/>
      <name val="Times New Roman"/>
      <family val="1"/>
    </font>
    <font>
      <sz val="8.5"/>
      <color indexed="8"/>
      <name val="Times New Roman"/>
      <family val="1"/>
    </font>
    <font>
      <u val="singleAccounting"/>
      <sz val="8.5"/>
      <color indexed="8"/>
      <name val="Times New Roman"/>
      <family val="1"/>
    </font>
    <font>
      <b/>
      <sz val="10"/>
      <name val="Times New Roman"/>
      <family val="0"/>
    </font>
    <font>
      <sz val="16"/>
      <name val="Times New Roman"/>
      <family val="1"/>
    </font>
    <font>
      <b/>
      <sz val="48"/>
      <name val="Times New Roman"/>
      <family val="0"/>
    </font>
    <font>
      <sz val="18"/>
      <name val="Times New Roman"/>
      <family val="1"/>
    </font>
    <font>
      <b/>
      <u val="doubleAccounting"/>
      <sz val="8.5"/>
      <name val="Times New Roman"/>
      <family val="1"/>
    </font>
    <font>
      <b/>
      <sz val="8"/>
      <name val="Tahoma"/>
      <family val="0"/>
    </font>
    <font>
      <sz val="8"/>
      <name val="Tahoma"/>
      <family val="0"/>
    </font>
    <font>
      <sz val="10"/>
      <name val="Courier"/>
      <family val="0"/>
    </font>
    <font>
      <sz val="12"/>
      <color indexed="10"/>
      <name val="Times New Roman"/>
      <family val="1"/>
    </font>
    <font>
      <u val="single"/>
      <sz val="8.5"/>
      <color indexed="12"/>
      <name val="Times New Roman"/>
      <family val="0"/>
    </font>
    <font>
      <u val="single"/>
      <sz val="8.5"/>
      <color indexed="36"/>
      <name val="Times New Roman"/>
      <family val="0"/>
    </font>
    <font>
      <sz val="12"/>
      <name val="Arial"/>
      <family val="0"/>
    </font>
    <font>
      <b/>
      <sz val="12"/>
      <name val="Arial"/>
      <family val="2"/>
    </font>
    <font>
      <sz val="12"/>
      <name val="CG Times (W1)"/>
      <family val="1"/>
    </font>
    <font>
      <sz val="10"/>
      <name val="CG Times (W1)"/>
      <family val="1"/>
    </font>
    <font>
      <b/>
      <sz val="16"/>
      <name val="CG Times (W1)"/>
      <family val="1"/>
    </font>
    <font>
      <b/>
      <sz val="10"/>
      <name val="CG Times (W1)"/>
      <family val="1"/>
    </font>
    <font>
      <b/>
      <u val="single"/>
      <sz val="10"/>
      <name val="CG Times (W1)"/>
      <family val="1"/>
    </font>
    <font>
      <b/>
      <sz val="11"/>
      <name val="CG Times (W1)"/>
      <family val="1"/>
    </font>
    <font>
      <b/>
      <sz val="11"/>
      <name val="Times"/>
      <family val="0"/>
    </font>
    <font>
      <sz val="11"/>
      <name val="Times"/>
      <family val="0"/>
    </font>
    <font>
      <b/>
      <u val="single"/>
      <sz val="11"/>
      <name val="Times"/>
      <family val="0"/>
    </font>
    <font>
      <b/>
      <sz val="11"/>
      <name val="Times New Roman"/>
      <family val="1"/>
    </font>
    <font>
      <sz val="9"/>
      <name val="Arial"/>
      <family val="2"/>
    </font>
    <font>
      <b/>
      <u val="single"/>
      <sz val="12"/>
      <name val="Times New Roman"/>
      <family val="1"/>
    </font>
    <font>
      <b/>
      <u val="double"/>
      <sz val="9"/>
      <name val="Arial"/>
      <family val="2"/>
    </font>
    <font>
      <u val="double"/>
      <sz val="12"/>
      <name val="Times New Roman"/>
      <family val="1"/>
    </font>
    <font>
      <b/>
      <u val="single"/>
      <sz val="10"/>
      <name val="Times New Roman"/>
      <family val="0"/>
    </font>
    <font>
      <sz val="8"/>
      <color indexed="8"/>
      <name val="Arial"/>
      <family val="0"/>
    </font>
    <font>
      <u val="doubleAccounting"/>
      <sz val="11"/>
      <name val="Times New Roman"/>
      <family val="1"/>
    </font>
    <font>
      <u val="double"/>
      <sz val="11"/>
      <name val="Times New Roman"/>
      <family val="1"/>
    </font>
    <font>
      <u val="singleAccounting"/>
      <sz val="11"/>
      <name val="Times New Roman"/>
      <family val="1"/>
    </font>
    <font>
      <b/>
      <u val="double"/>
      <sz val="11"/>
      <name val="Times New Roman"/>
      <family val="1"/>
    </font>
    <font>
      <sz val="11"/>
      <color indexed="8"/>
      <name val="Times New Roman"/>
      <family val="1"/>
    </font>
    <font>
      <b/>
      <u val="doubleAccounting"/>
      <sz val="11"/>
      <name val="Times New Roman"/>
      <family val="1"/>
    </font>
    <font>
      <u val="doubleAccounting"/>
      <sz val="11"/>
      <color indexed="8"/>
      <name val="Times New Roman"/>
      <family val="1"/>
    </font>
    <font>
      <b/>
      <u val="doubleAccounting"/>
      <sz val="10"/>
      <name val="Times New Roman"/>
      <family val="1"/>
    </font>
    <font>
      <i/>
      <sz val="12"/>
      <name val="Times New Roman"/>
      <family val="1"/>
    </font>
    <font>
      <b/>
      <sz val="12"/>
      <name val="CG Times (W1)"/>
      <family val="1"/>
    </font>
    <font>
      <sz val="8"/>
      <name val="Times New Roman"/>
      <family val="0"/>
    </font>
    <font>
      <b/>
      <sz val="8"/>
      <name val="Times New Roman"/>
      <family val="2"/>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63">
    <border>
      <left/>
      <right/>
      <top/>
      <bottom/>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style="thin"/>
      <bottom style="thin"/>
    </border>
    <border>
      <left style="thin">
        <color indexed="8"/>
      </left>
      <right>
        <color indexed="63"/>
      </right>
      <top style="thin">
        <color indexed="8"/>
      </top>
      <bottom style="thin">
        <color indexed="8"/>
      </bottom>
    </border>
    <border>
      <left style="thin"/>
      <right style="thin">
        <color indexed="8"/>
      </right>
      <top>
        <color indexed="63"/>
      </top>
      <bottom style="thin"/>
    </border>
    <border>
      <left style="thin"/>
      <right style="thin">
        <color indexed="8"/>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color indexed="8"/>
      </right>
      <top style="thin"/>
      <bottom>
        <color indexed="63"/>
      </bottom>
    </border>
    <border>
      <left style="thin"/>
      <right style="thin">
        <color indexed="8"/>
      </right>
      <top>
        <color indexed="63"/>
      </top>
      <bottom>
        <color indexed="63"/>
      </bottom>
    </border>
    <border>
      <left style="thin">
        <color indexed="8"/>
      </left>
      <right style="thin">
        <color indexed="8"/>
      </right>
      <top style="thin"/>
      <bottom style="thin"/>
    </border>
    <border>
      <left>
        <color indexed="63"/>
      </left>
      <right style="thin">
        <color indexed="8"/>
      </right>
      <top style="thin"/>
      <bottom style="thin"/>
    </border>
    <border>
      <left>
        <color indexed="63"/>
      </left>
      <right>
        <color indexed="63"/>
      </right>
      <top>
        <color indexed="63"/>
      </top>
      <bottom style="medium"/>
    </border>
    <border>
      <left>
        <color indexed="63"/>
      </left>
      <right style="thin"/>
      <top>
        <color indexed="63"/>
      </top>
      <bottom style="double"/>
    </border>
    <border>
      <left>
        <color indexed="63"/>
      </left>
      <right>
        <color indexed="63"/>
      </right>
      <top>
        <color indexed="63"/>
      </top>
      <bottom style="thin">
        <color indexed="8"/>
      </bottom>
    </border>
    <border>
      <left>
        <color indexed="63"/>
      </left>
      <right>
        <color indexed="63"/>
      </right>
      <top>
        <color indexed="63"/>
      </top>
      <bottom style="double"/>
    </border>
    <border>
      <left>
        <color indexed="63"/>
      </left>
      <right style="thin"/>
      <top style="thin"/>
      <bottom style="double"/>
    </border>
    <border>
      <left>
        <color indexed="63"/>
      </left>
      <right>
        <color indexed="63"/>
      </right>
      <top style="thin"/>
      <bottom style="double"/>
    </border>
    <border>
      <left style="thin"/>
      <right style="thin"/>
      <top>
        <color indexed="63"/>
      </top>
      <bottom style="thin">
        <color indexed="8"/>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style="thin"/>
    </border>
    <border>
      <left style="thin"/>
      <right style="thin"/>
      <top style="thin"/>
      <bottom style="medium"/>
    </border>
    <border>
      <left style="thin"/>
      <right style="thin"/>
      <top>
        <color indexed="63"/>
      </top>
      <bottom style="medium"/>
    </border>
    <border>
      <left style="thin"/>
      <right style="thin"/>
      <top>
        <color indexed="63"/>
      </top>
      <bottom style="double"/>
    </border>
    <border>
      <left style="thin"/>
      <right>
        <color indexed="63"/>
      </right>
      <top>
        <color indexed="63"/>
      </top>
      <bottom style="double"/>
    </border>
    <border>
      <left style="thin"/>
      <right>
        <color indexed="63"/>
      </right>
      <top>
        <color indexed="63"/>
      </top>
      <bottom style="thin">
        <color indexed="8"/>
      </bottom>
    </border>
    <border>
      <left style="thin"/>
      <right>
        <color indexed="63"/>
      </right>
      <top style="thin"/>
      <bottom style="double"/>
    </border>
    <border>
      <left style="thin"/>
      <right style="thin">
        <color indexed="8"/>
      </right>
      <top>
        <color indexed="63"/>
      </top>
      <bottom style="thin">
        <color indexed="8"/>
      </bottom>
    </border>
    <border>
      <left>
        <color indexed="63"/>
      </left>
      <right style="thin"/>
      <top>
        <color indexed="63"/>
      </top>
      <bottom style="thin">
        <color indexed="8"/>
      </bottom>
    </border>
    <border>
      <left>
        <color indexed="63"/>
      </left>
      <right style="thin"/>
      <top style="thin">
        <color indexed="8"/>
      </top>
      <bottom>
        <color indexed="63"/>
      </bottom>
    </border>
    <border>
      <left style="thin">
        <color indexed="22"/>
      </left>
      <right style="thin">
        <color indexed="22"/>
      </right>
      <top style="thin">
        <color indexed="22"/>
      </top>
      <bottom style="thin">
        <color indexed="22"/>
      </bottom>
    </border>
    <border>
      <left style="thin"/>
      <right style="thin"/>
      <top style="thin">
        <color indexed="8"/>
      </top>
      <bottom style="thin">
        <color indexed="8"/>
      </bottom>
    </border>
    <border>
      <left style="thin"/>
      <right style="thin"/>
      <top style="thin">
        <color indexed="8"/>
      </top>
      <bottom>
        <color indexed="63"/>
      </bottom>
    </border>
    <border>
      <left style="thin">
        <color indexed="8"/>
      </left>
      <right style="thin">
        <color indexed="8"/>
      </right>
      <top style="thin"/>
      <bottom>
        <color indexed="63"/>
      </bottom>
    </border>
    <border>
      <left style="thin">
        <color indexed="8"/>
      </left>
      <right style="thin">
        <color indexed="8"/>
      </right>
      <top style="thin">
        <color indexed="8"/>
      </top>
      <bottom style="thin"/>
    </border>
  </borders>
  <cellStyleXfs count="29">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 fillId="0" borderId="0">
      <alignment/>
      <protection/>
    </xf>
    <xf numFmtId="0" fontId="4" fillId="0" borderId="0">
      <alignment/>
      <protection/>
    </xf>
    <xf numFmtId="37" fontId="38" fillId="0" borderId="0">
      <alignment/>
      <protection/>
    </xf>
    <xf numFmtId="164" fontId="38" fillId="0" borderId="0">
      <alignment/>
      <protection/>
    </xf>
    <xf numFmtId="0" fontId="7" fillId="0" borderId="0">
      <alignment/>
      <protection/>
    </xf>
    <xf numFmtId="164" fontId="0" fillId="0" borderId="0">
      <alignment/>
      <protection/>
    </xf>
    <xf numFmtId="0" fontId="4" fillId="0" borderId="0">
      <alignment/>
      <protection/>
    </xf>
    <xf numFmtId="9" fontId="4" fillId="0" borderId="0" applyFont="0" applyFill="0" applyBorder="0" applyAlignment="0" applyProtection="0"/>
  </cellStyleXfs>
  <cellXfs count="1361">
    <xf numFmtId="164" fontId="0" fillId="0" borderId="0" xfId="0" applyAlignment="1">
      <alignment/>
    </xf>
    <xf numFmtId="164" fontId="0" fillId="0" borderId="0" xfId="0" applyAlignment="1" applyProtection="1">
      <alignment horizontal="left"/>
      <protection/>
    </xf>
    <xf numFmtId="164" fontId="0" fillId="0" borderId="0" xfId="0" applyAlignment="1" applyProtection="1">
      <alignment/>
      <protection/>
    </xf>
    <xf numFmtId="165" fontId="0" fillId="0" borderId="0" xfId="0" applyNumberFormat="1" applyAlignment="1" applyProtection="1">
      <alignment/>
      <protection/>
    </xf>
    <xf numFmtId="166" fontId="0" fillId="0" borderId="0" xfId="0" applyNumberFormat="1" applyAlignment="1" applyProtection="1">
      <alignment/>
      <protection/>
    </xf>
    <xf numFmtId="167" fontId="0" fillId="0" borderId="0" xfId="0" applyNumberFormat="1" applyAlignment="1" applyProtection="1">
      <alignment/>
      <protection/>
    </xf>
    <xf numFmtId="164" fontId="0" fillId="0" borderId="0" xfId="0" applyAlignment="1" applyProtection="1">
      <alignment horizontal="center"/>
      <protection/>
    </xf>
    <xf numFmtId="168" fontId="0" fillId="0" borderId="0" xfId="0" applyNumberFormat="1" applyAlignment="1" applyProtection="1">
      <alignment/>
      <protection/>
    </xf>
    <xf numFmtId="37" fontId="0" fillId="0" borderId="0" xfId="0" applyNumberFormat="1" applyAlignment="1" applyProtection="1">
      <alignment/>
      <protection/>
    </xf>
    <xf numFmtId="169" fontId="0" fillId="0" borderId="0" xfId="0" applyNumberFormat="1" applyAlignment="1" applyProtection="1">
      <alignment/>
      <protection/>
    </xf>
    <xf numFmtId="10" fontId="0" fillId="0" borderId="0" xfId="0" applyNumberFormat="1" applyAlignment="1" applyProtection="1">
      <alignment/>
      <protection/>
    </xf>
    <xf numFmtId="5" fontId="0" fillId="0" borderId="0" xfId="0" applyNumberFormat="1" applyAlignment="1" applyProtection="1">
      <alignment/>
      <protection/>
    </xf>
    <xf numFmtId="164" fontId="0" fillId="0" borderId="1" xfId="0" applyBorder="1" applyAlignment="1">
      <alignment/>
    </xf>
    <xf numFmtId="164" fontId="0" fillId="0" borderId="2" xfId="0" applyBorder="1" applyAlignment="1">
      <alignment/>
    </xf>
    <xf numFmtId="164" fontId="0" fillId="0" borderId="3" xfId="0" applyBorder="1" applyAlignment="1">
      <alignment/>
    </xf>
    <xf numFmtId="164" fontId="0" fillId="0" borderId="4" xfId="0" applyBorder="1" applyAlignment="1">
      <alignment/>
    </xf>
    <xf numFmtId="164" fontId="0" fillId="0" borderId="5" xfId="0" applyBorder="1" applyAlignment="1">
      <alignment/>
    </xf>
    <xf numFmtId="164" fontId="0" fillId="0" borderId="6" xfId="0" applyBorder="1" applyAlignment="1">
      <alignment/>
    </xf>
    <xf numFmtId="164" fontId="0" fillId="0" borderId="7" xfId="0" applyBorder="1" applyAlignment="1">
      <alignment/>
    </xf>
    <xf numFmtId="164" fontId="0" fillId="0" borderId="3" xfId="0" applyBorder="1" applyAlignment="1" applyProtection="1">
      <alignment horizontal="center"/>
      <protection/>
    </xf>
    <xf numFmtId="164" fontId="0" fillId="0" borderId="8" xfId="0" applyBorder="1" applyAlignment="1">
      <alignment/>
    </xf>
    <xf numFmtId="164" fontId="0" fillId="0" borderId="9" xfId="0" applyBorder="1" applyAlignment="1">
      <alignment/>
    </xf>
    <xf numFmtId="164" fontId="0" fillId="0" borderId="4" xfId="0" applyBorder="1" applyAlignment="1" applyProtection="1">
      <alignment horizontal="center"/>
      <protection/>
    </xf>
    <xf numFmtId="164" fontId="0" fillId="0" borderId="8" xfId="0" applyBorder="1" applyAlignment="1" applyProtection="1">
      <alignment horizontal="center"/>
      <protection/>
    </xf>
    <xf numFmtId="164" fontId="0" fillId="0" borderId="10" xfId="0" applyBorder="1" applyAlignment="1" applyProtection="1">
      <alignment horizontal="center"/>
      <protection/>
    </xf>
    <xf numFmtId="164" fontId="0" fillId="0" borderId="6" xfId="0" applyBorder="1" applyAlignment="1" applyProtection="1">
      <alignment horizontal="center"/>
      <protection/>
    </xf>
    <xf numFmtId="164" fontId="0" fillId="0" borderId="11" xfId="0" applyBorder="1" applyAlignment="1">
      <alignment/>
    </xf>
    <xf numFmtId="164" fontId="0" fillId="0" borderId="11" xfId="0" applyBorder="1" applyAlignment="1" applyProtection="1">
      <alignment horizontal="center"/>
      <protection/>
    </xf>
    <xf numFmtId="164" fontId="0" fillId="0" borderId="12" xfId="0" applyBorder="1" applyAlignment="1" applyProtection="1">
      <alignment horizontal="center"/>
      <protection/>
    </xf>
    <xf numFmtId="164" fontId="8" fillId="0" borderId="7" xfId="0" applyFont="1" applyBorder="1" applyAlignment="1" applyProtection="1">
      <alignment horizontal="left"/>
      <protection/>
    </xf>
    <xf numFmtId="164" fontId="9" fillId="0" borderId="7" xfId="0" applyFont="1" applyBorder="1" applyAlignment="1" applyProtection="1">
      <alignment horizontal="left"/>
      <protection/>
    </xf>
    <xf numFmtId="164" fontId="0" fillId="0" borderId="8" xfId="0" applyBorder="1" applyAlignment="1" applyProtection="1">
      <alignment horizontal="left"/>
      <protection/>
    </xf>
    <xf numFmtId="164" fontId="0" fillId="0" borderId="9" xfId="0" applyBorder="1" applyAlignment="1" applyProtection="1">
      <alignment horizontal="center"/>
      <protection/>
    </xf>
    <xf numFmtId="164" fontId="9" fillId="0" borderId="8" xfId="0" applyFont="1" applyBorder="1" applyAlignment="1" applyProtection="1">
      <alignment horizontal="left"/>
      <protection/>
    </xf>
    <xf numFmtId="164" fontId="0" fillId="0" borderId="10" xfId="0" applyBorder="1" applyAlignment="1">
      <alignment/>
    </xf>
    <xf numFmtId="164" fontId="0" fillId="0" borderId="7" xfId="0" applyBorder="1" applyAlignment="1" applyProtection="1">
      <alignment horizontal="center"/>
      <protection/>
    </xf>
    <xf numFmtId="164" fontId="9" fillId="0" borderId="0" xfId="0" applyFont="1" applyAlignment="1" applyProtection="1">
      <alignment horizontal="left"/>
      <protection/>
    </xf>
    <xf numFmtId="164" fontId="5" fillId="0" borderId="0" xfId="0" applyFont="1" applyAlignment="1" applyProtection="1">
      <alignment horizontal="left"/>
      <protection/>
    </xf>
    <xf numFmtId="164" fontId="5" fillId="0" borderId="0" xfId="0" applyFont="1" applyAlignment="1">
      <alignment/>
    </xf>
    <xf numFmtId="164" fontId="5" fillId="0" borderId="1" xfId="0" applyFont="1" applyBorder="1" applyAlignment="1">
      <alignment/>
    </xf>
    <xf numFmtId="164" fontId="5" fillId="0" borderId="2" xfId="0" applyFont="1" applyBorder="1" applyAlignment="1">
      <alignment/>
    </xf>
    <xf numFmtId="164" fontId="5" fillId="0" borderId="3" xfId="0" applyFont="1" applyBorder="1" applyAlignment="1">
      <alignment/>
    </xf>
    <xf numFmtId="164" fontId="5" fillId="0" borderId="9" xfId="0" applyFont="1" applyBorder="1" applyAlignment="1">
      <alignment/>
    </xf>
    <xf numFmtId="164" fontId="5" fillId="0" borderId="4" xfId="0" applyFont="1" applyBorder="1" applyAlignment="1">
      <alignment/>
    </xf>
    <xf numFmtId="164" fontId="5" fillId="0" borderId="5" xfId="0" applyFont="1" applyBorder="1" applyAlignment="1">
      <alignment/>
    </xf>
    <xf numFmtId="164" fontId="5" fillId="0" borderId="6" xfId="0" applyFont="1" applyBorder="1" applyAlignment="1">
      <alignment/>
    </xf>
    <xf numFmtId="164" fontId="5" fillId="0" borderId="7" xfId="0" applyFont="1" applyBorder="1" applyAlignment="1" applyProtection="1">
      <alignment horizontal="center"/>
      <protection/>
    </xf>
    <xf numFmtId="164" fontId="5" fillId="0" borderId="10" xfId="0" applyFont="1" applyBorder="1" applyAlignment="1" applyProtection="1">
      <alignment horizontal="center"/>
      <protection/>
    </xf>
    <xf numFmtId="164" fontId="5" fillId="0" borderId="11" xfId="0" applyFont="1" applyBorder="1" applyAlignment="1">
      <alignment/>
    </xf>
    <xf numFmtId="164" fontId="5" fillId="0" borderId="7" xfId="0" applyFont="1" applyBorder="1" applyAlignment="1">
      <alignment/>
    </xf>
    <xf numFmtId="164" fontId="5" fillId="0" borderId="8" xfId="0" applyFont="1" applyBorder="1" applyAlignment="1">
      <alignment/>
    </xf>
    <xf numFmtId="164" fontId="5" fillId="0" borderId="9" xfId="0" applyFont="1" applyBorder="1" applyAlignment="1" applyProtection="1">
      <alignment horizontal="left"/>
      <protection/>
    </xf>
    <xf numFmtId="164" fontId="5" fillId="0" borderId="8" xfId="0" applyFont="1" applyBorder="1" applyAlignment="1" applyProtection="1">
      <alignment horizontal="center"/>
      <protection/>
    </xf>
    <xf numFmtId="164" fontId="5" fillId="0" borderId="9" xfId="0" applyFont="1" applyBorder="1" applyAlignment="1" applyProtection="1">
      <alignment horizontal="center"/>
      <protection/>
    </xf>
    <xf numFmtId="37" fontId="5" fillId="0" borderId="4" xfId="0" applyNumberFormat="1" applyFont="1" applyBorder="1" applyAlignment="1" applyProtection="1">
      <alignment/>
      <protection/>
    </xf>
    <xf numFmtId="37" fontId="5" fillId="0" borderId="6" xfId="0" applyNumberFormat="1" applyFont="1" applyBorder="1" applyAlignment="1" applyProtection="1">
      <alignment/>
      <protection/>
    </xf>
    <xf numFmtId="37" fontId="12" fillId="0" borderId="4" xfId="0" applyNumberFormat="1" applyFont="1" applyBorder="1" applyAlignment="1" applyProtection="1">
      <alignment/>
      <protection/>
    </xf>
    <xf numFmtId="164" fontId="5" fillId="0" borderId="10" xfId="0" applyFont="1" applyBorder="1" applyAlignment="1">
      <alignment/>
    </xf>
    <xf numFmtId="37" fontId="5" fillId="0" borderId="0" xfId="0" applyNumberFormat="1" applyFont="1" applyAlignment="1" applyProtection="1">
      <alignment/>
      <protection/>
    </xf>
    <xf numFmtId="164" fontId="14" fillId="0" borderId="3" xfId="0" applyFont="1" applyBorder="1" applyAlignment="1">
      <alignment/>
    </xf>
    <xf numFmtId="37" fontId="15" fillId="0" borderId="4" xfId="0" applyNumberFormat="1" applyFont="1" applyBorder="1" applyAlignment="1" applyProtection="1">
      <alignment/>
      <protection/>
    </xf>
    <xf numFmtId="164" fontId="15" fillId="0" borderId="4" xfId="0" applyFont="1" applyBorder="1" applyAlignment="1" applyProtection="1">
      <alignment/>
      <protection/>
    </xf>
    <xf numFmtId="37" fontId="15" fillId="0" borderId="6" xfId="0" applyNumberFormat="1" applyFont="1" applyBorder="1" applyAlignment="1" applyProtection="1">
      <alignment/>
      <protection/>
    </xf>
    <xf numFmtId="37" fontId="15" fillId="0" borderId="3" xfId="0" applyNumberFormat="1" applyFont="1" applyBorder="1" applyAlignment="1" applyProtection="1">
      <alignment/>
      <protection/>
    </xf>
    <xf numFmtId="37" fontId="14" fillId="0" borderId="6" xfId="0" applyNumberFormat="1" applyFont="1" applyBorder="1" applyAlignment="1" applyProtection="1">
      <alignment/>
      <protection/>
    </xf>
    <xf numFmtId="164" fontId="15" fillId="0" borderId="0" xfId="0" applyFont="1" applyAlignment="1" applyProtection="1">
      <alignment horizontal="center"/>
      <protection/>
    </xf>
    <xf numFmtId="164" fontId="5" fillId="0" borderId="9" xfId="0" applyFont="1" applyBorder="1" applyAlignment="1" applyProtection="1">
      <alignment/>
      <protection/>
    </xf>
    <xf numFmtId="164" fontId="5" fillId="0" borderId="9" xfId="0" applyFont="1" applyBorder="1" applyAlignment="1" applyProtection="1">
      <alignment horizontal="right"/>
      <protection/>
    </xf>
    <xf numFmtId="10" fontId="5" fillId="0" borderId="4" xfId="0" applyNumberFormat="1" applyFont="1" applyBorder="1" applyAlignment="1" applyProtection="1">
      <alignment/>
      <protection/>
    </xf>
    <xf numFmtId="5" fontId="5" fillId="0" borderId="4" xfId="0" applyNumberFormat="1" applyFont="1" applyBorder="1" applyAlignment="1" applyProtection="1">
      <alignment/>
      <protection/>
    </xf>
    <xf numFmtId="171" fontId="5" fillId="0" borderId="4" xfId="0" applyNumberFormat="1" applyFont="1" applyBorder="1" applyAlignment="1" applyProtection="1">
      <alignment/>
      <protection/>
    </xf>
    <xf numFmtId="169" fontId="5" fillId="0" borderId="6" xfId="0" applyNumberFormat="1" applyFont="1" applyBorder="1" applyAlignment="1" applyProtection="1">
      <alignment/>
      <protection/>
    </xf>
    <xf numFmtId="164" fontId="16" fillId="0" borderId="0" xfId="0" applyFont="1" applyAlignment="1">
      <alignment/>
    </xf>
    <xf numFmtId="164" fontId="0" fillId="0" borderId="0" xfId="0" applyAlignment="1">
      <alignment horizontal="centerContinuous"/>
    </xf>
    <xf numFmtId="164" fontId="0" fillId="0" borderId="0" xfId="0" applyBorder="1" applyAlignment="1">
      <alignment horizontal="centerContinuous"/>
    </xf>
    <xf numFmtId="164" fontId="0" fillId="0" borderId="13" xfId="0" applyBorder="1" applyAlignment="1">
      <alignment horizontal="centerContinuous"/>
    </xf>
    <xf numFmtId="164" fontId="0" fillId="0" borderId="14" xfId="0" applyBorder="1" applyAlignment="1">
      <alignment horizontal="centerContinuous"/>
    </xf>
    <xf numFmtId="164" fontId="0" fillId="0" borderId="15" xfId="0" applyBorder="1" applyAlignment="1">
      <alignment horizontal="centerContinuous"/>
    </xf>
    <xf numFmtId="164" fontId="5" fillId="0" borderId="16" xfId="0" applyFont="1" applyBorder="1" applyAlignment="1" applyProtection="1">
      <alignment horizontal="centerContinuous"/>
      <protection/>
    </xf>
    <xf numFmtId="164" fontId="0" fillId="0" borderId="16" xfId="0" applyBorder="1" applyAlignment="1">
      <alignment horizontal="centerContinuous"/>
    </xf>
    <xf numFmtId="164" fontId="0" fillId="0" borderId="17" xfId="0" applyBorder="1" applyAlignment="1">
      <alignment horizontal="centerContinuous"/>
    </xf>
    <xf numFmtId="164" fontId="5" fillId="0" borderId="18" xfId="0" applyFont="1" applyBorder="1" applyAlignment="1" applyProtection="1">
      <alignment horizontal="centerContinuous"/>
      <protection/>
    </xf>
    <xf numFmtId="173" fontId="15" fillId="0" borderId="4" xfId="17" applyNumberFormat="1" applyFont="1" applyBorder="1" applyAlignment="1" applyProtection="1">
      <alignment/>
      <protection/>
    </xf>
    <xf numFmtId="173" fontId="15" fillId="0" borderId="4" xfId="0" applyNumberFormat="1" applyFont="1" applyBorder="1" applyAlignment="1" applyProtection="1">
      <alignment/>
      <protection/>
    </xf>
    <xf numFmtId="164" fontId="14" fillId="0" borderId="19" xfId="0" applyFont="1" applyBorder="1" applyAlignment="1">
      <alignment/>
    </xf>
    <xf numFmtId="37" fontId="15" fillId="0" borderId="20" xfId="0" applyNumberFormat="1" applyFont="1" applyBorder="1" applyAlignment="1" applyProtection="1">
      <alignment/>
      <protection/>
    </xf>
    <xf numFmtId="164" fontId="6" fillId="0" borderId="21" xfId="0" applyFont="1" applyBorder="1" applyAlignment="1" applyProtection="1">
      <alignment horizontal="centerContinuous"/>
      <protection/>
    </xf>
    <xf numFmtId="164" fontId="13" fillId="0" borderId="22" xfId="0" applyFont="1" applyBorder="1" applyAlignment="1" applyProtection="1">
      <alignment horizontal="centerContinuous"/>
      <protection/>
    </xf>
    <xf numFmtId="173" fontId="15" fillId="0" borderId="23" xfId="0" applyNumberFormat="1" applyFont="1" applyBorder="1" applyAlignment="1" applyProtection="1">
      <alignment/>
      <protection/>
    </xf>
    <xf numFmtId="164" fontId="0" fillId="0" borderId="24" xfId="0" applyBorder="1" applyAlignment="1" applyProtection="1">
      <alignment horizontal="center"/>
      <protection/>
    </xf>
    <xf numFmtId="164" fontId="6" fillId="0" borderId="0" xfId="0" applyFont="1" applyAlignment="1" applyProtection="1">
      <alignment horizontal="centerContinuous"/>
      <protection/>
    </xf>
    <xf numFmtId="164" fontId="7" fillId="0" borderId="0" xfId="0" applyFont="1" applyAlignment="1" applyProtection="1">
      <alignment horizontal="centerContinuous"/>
      <protection/>
    </xf>
    <xf numFmtId="164" fontId="18" fillId="0" borderId="8" xfId="0" applyFont="1" applyBorder="1" applyAlignment="1" applyProtection="1">
      <alignment horizontal="left"/>
      <protection/>
    </xf>
    <xf numFmtId="164" fontId="18" fillId="0" borderId="8" xfId="0" applyFont="1" applyBorder="1" applyAlignment="1">
      <alignment/>
    </xf>
    <xf numFmtId="164" fontId="5" fillId="0" borderId="25" xfId="0" applyFont="1" applyBorder="1" applyAlignment="1" applyProtection="1">
      <alignment horizontal="centerContinuous"/>
      <protection/>
    </xf>
    <xf numFmtId="164" fontId="5" fillId="0" borderId="12" xfId="0" applyFont="1" applyBorder="1" applyAlignment="1">
      <alignment horizontal="centerContinuous"/>
    </xf>
    <xf numFmtId="164" fontId="5" fillId="0" borderId="7" xfId="0" applyFont="1" applyBorder="1" applyAlignment="1" applyProtection="1">
      <alignment horizontal="centerContinuous"/>
      <protection/>
    </xf>
    <xf numFmtId="164" fontId="5" fillId="0" borderId="7" xfId="0" applyFont="1" applyBorder="1" applyAlignment="1">
      <alignment horizontal="centerContinuous"/>
    </xf>
    <xf numFmtId="164" fontId="5" fillId="0" borderId="3" xfId="0" applyFont="1" applyBorder="1" applyAlignment="1" applyProtection="1">
      <alignment horizontal="centerContinuous"/>
      <protection/>
    </xf>
    <xf numFmtId="164" fontId="5" fillId="0" borderId="5" xfId="0" applyFont="1" applyBorder="1" applyAlignment="1" applyProtection="1">
      <alignment horizontal="centerContinuous"/>
      <protection/>
    </xf>
    <xf numFmtId="164" fontId="5" fillId="0" borderId="18" xfId="0" applyFont="1" applyBorder="1" applyAlignment="1">
      <alignment/>
    </xf>
    <xf numFmtId="164" fontId="5" fillId="0" borderId="17" xfId="0" applyFont="1" applyBorder="1" applyAlignment="1">
      <alignment/>
    </xf>
    <xf numFmtId="164" fontId="5" fillId="0" borderId="26" xfId="0" applyFont="1" applyBorder="1" applyAlignment="1" applyProtection="1">
      <alignment horizontal="centerContinuous"/>
      <protection/>
    </xf>
    <xf numFmtId="164" fontId="5" fillId="0" borderId="27" xfId="0" applyFont="1" applyBorder="1" applyAlignment="1" applyProtection="1">
      <alignment horizontal="centerContinuous"/>
      <protection/>
    </xf>
    <xf numFmtId="164" fontId="0" fillId="0" borderId="28" xfId="0" applyBorder="1" applyAlignment="1">
      <alignment horizontal="centerContinuous"/>
    </xf>
    <xf numFmtId="164" fontId="5" fillId="0" borderId="0" xfId="0" applyFont="1" applyAlignment="1" applyProtection="1">
      <alignment horizontal="left"/>
      <protection/>
    </xf>
    <xf numFmtId="173" fontId="19" fillId="0" borderId="4" xfId="17" applyNumberFormat="1" applyFont="1" applyBorder="1" applyAlignment="1" applyProtection="1">
      <alignment/>
      <protection/>
    </xf>
    <xf numFmtId="164" fontId="19" fillId="0" borderId="4" xfId="0" applyFont="1" applyBorder="1" applyAlignment="1" applyProtection="1">
      <alignment/>
      <protection/>
    </xf>
    <xf numFmtId="37" fontId="19" fillId="0" borderId="6" xfId="0" applyNumberFormat="1" applyFont="1" applyBorder="1" applyAlignment="1" applyProtection="1">
      <alignment/>
      <protection/>
    </xf>
    <xf numFmtId="173" fontId="19" fillId="0" borderId="23" xfId="0" applyNumberFormat="1" applyFont="1" applyBorder="1" applyAlignment="1" applyProtection="1">
      <alignment/>
      <protection/>
    </xf>
    <xf numFmtId="37" fontId="19" fillId="0" borderId="20" xfId="0" applyNumberFormat="1" applyFont="1" applyBorder="1" applyAlignment="1" applyProtection="1">
      <alignment/>
      <protection/>
    </xf>
    <xf numFmtId="37" fontId="19" fillId="0" borderId="3" xfId="0" applyNumberFormat="1" applyFont="1" applyBorder="1" applyAlignment="1" applyProtection="1">
      <alignment/>
      <protection/>
    </xf>
    <xf numFmtId="173" fontId="19" fillId="0" borderId="4" xfId="0" applyNumberFormat="1" applyFont="1" applyBorder="1" applyAlignment="1" applyProtection="1">
      <alignment/>
      <protection/>
    </xf>
    <xf numFmtId="37" fontId="19" fillId="0" borderId="4" xfId="0" applyNumberFormat="1" applyFont="1" applyBorder="1" applyAlignment="1" applyProtection="1">
      <alignment/>
      <protection/>
    </xf>
    <xf numFmtId="164" fontId="0" fillId="0" borderId="3" xfId="0" applyBorder="1" applyAlignment="1">
      <alignment horizontal="center"/>
    </xf>
    <xf numFmtId="164" fontId="0" fillId="0" borderId="29" xfId="0" applyBorder="1" applyAlignment="1" applyProtection="1">
      <alignment horizontal="center"/>
      <protection/>
    </xf>
    <xf numFmtId="164" fontId="0" fillId="0" borderId="20" xfId="0" applyBorder="1" applyAlignment="1" applyProtection="1">
      <alignment horizontal="center"/>
      <protection/>
    </xf>
    <xf numFmtId="10" fontId="19" fillId="0" borderId="19" xfId="17" applyNumberFormat="1" applyFont="1" applyBorder="1" applyAlignment="1" applyProtection="1">
      <alignment/>
      <protection/>
    </xf>
    <xf numFmtId="164" fontId="0" fillId="0" borderId="20" xfId="0" applyBorder="1" applyAlignment="1">
      <alignment/>
    </xf>
    <xf numFmtId="164" fontId="19" fillId="0" borderId="20" xfId="0" applyFont="1" applyBorder="1" applyAlignment="1" applyProtection="1">
      <alignment/>
      <protection/>
    </xf>
    <xf numFmtId="172" fontId="0" fillId="0" borderId="0" xfId="17" applyNumberFormat="1" applyAlignment="1">
      <alignment/>
    </xf>
    <xf numFmtId="176" fontId="0" fillId="0" borderId="0" xfId="17" applyNumberFormat="1" applyAlignment="1">
      <alignment/>
    </xf>
    <xf numFmtId="164" fontId="5" fillId="0" borderId="16" xfId="0" applyFont="1" applyBorder="1" applyAlignment="1">
      <alignment horizontal="centerContinuous"/>
    </xf>
    <xf numFmtId="164" fontId="5" fillId="0" borderId="17" xfId="0" applyFont="1" applyBorder="1" applyAlignment="1">
      <alignment horizontal="centerContinuous"/>
    </xf>
    <xf numFmtId="164" fontId="5" fillId="0" borderId="0" xfId="0" applyFont="1" applyBorder="1" applyAlignment="1">
      <alignment horizontal="centerContinuous"/>
    </xf>
    <xf numFmtId="164" fontId="5" fillId="0" borderId="13" xfId="0" applyFont="1" applyBorder="1" applyAlignment="1">
      <alignment horizontal="centerContinuous"/>
    </xf>
    <xf numFmtId="164" fontId="5" fillId="0" borderId="22" xfId="0" applyFont="1" applyBorder="1" applyAlignment="1" applyProtection="1">
      <alignment horizontal="centerContinuous"/>
      <protection/>
    </xf>
    <xf numFmtId="164" fontId="5" fillId="0" borderId="14" xfId="0" applyFont="1" applyBorder="1" applyAlignment="1">
      <alignment horizontal="centerContinuous"/>
    </xf>
    <xf numFmtId="164" fontId="5" fillId="0" borderId="15" xfId="0" applyFont="1" applyBorder="1" applyAlignment="1">
      <alignment horizontal="centerContinuous"/>
    </xf>
    <xf numFmtId="164" fontId="0" fillId="0" borderId="19" xfId="0" applyBorder="1" applyAlignment="1">
      <alignment/>
    </xf>
    <xf numFmtId="172" fontId="0" fillId="0" borderId="29" xfId="17" applyNumberFormat="1" applyBorder="1" applyAlignment="1">
      <alignment/>
    </xf>
    <xf numFmtId="175" fontId="0" fillId="0" borderId="29" xfId="15" applyNumberFormat="1" applyBorder="1" applyAlignment="1">
      <alignment/>
    </xf>
    <xf numFmtId="164" fontId="0" fillId="0" borderId="29" xfId="0" applyBorder="1" applyAlignment="1">
      <alignment/>
    </xf>
    <xf numFmtId="164" fontId="0" fillId="0" borderId="19" xfId="0" applyBorder="1" applyAlignment="1">
      <alignment horizontal="center"/>
    </xf>
    <xf numFmtId="164" fontId="0" fillId="0" borderId="29" xfId="0" applyBorder="1" applyAlignment="1">
      <alignment horizontal="center"/>
    </xf>
    <xf numFmtId="164" fontId="0" fillId="0" borderId="20" xfId="0" applyBorder="1" applyAlignment="1">
      <alignment horizontal="center"/>
    </xf>
    <xf numFmtId="164" fontId="0" fillId="0" borderId="7" xfId="0" applyBorder="1" applyAlignment="1">
      <alignment horizontal="center"/>
    </xf>
    <xf numFmtId="164" fontId="0" fillId="0" borderId="8" xfId="0" applyBorder="1" applyAlignment="1">
      <alignment horizontal="center"/>
    </xf>
    <xf numFmtId="164" fontId="0" fillId="0" borderId="0" xfId="0" applyAlignment="1">
      <alignment horizontal="center"/>
    </xf>
    <xf numFmtId="175" fontId="0" fillId="0" borderId="0" xfId="15" applyNumberFormat="1" applyAlignment="1">
      <alignment/>
    </xf>
    <xf numFmtId="175" fontId="0" fillId="0" borderId="0" xfId="15" applyNumberFormat="1" applyAlignment="1" applyProtection="1">
      <alignment/>
      <protection/>
    </xf>
    <xf numFmtId="164" fontId="5" fillId="0" borderId="0" xfId="0" applyFont="1" applyAlignment="1">
      <alignment/>
    </xf>
    <xf numFmtId="164" fontId="9" fillId="0" borderId="11" xfId="0" applyFont="1" applyBorder="1" applyAlignment="1" applyProtection="1">
      <alignment horizontal="left"/>
      <protection/>
    </xf>
    <xf numFmtId="164" fontId="0" fillId="0" borderId="0" xfId="0" applyBorder="1" applyAlignment="1">
      <alignment/>
    </xf>
    <xf numFmtId="164" fontId="23" fillId="0" borderId="0" xfId="0" applyFont="1" applyAlignment="1">
      <alignment/>
    </xf>
    <xf numFmtId="37" fontId="0" fillId="0" borderId="0" xfId="0" applyNumberFormat="1" applyBorder="1" applyAlignment="1" applyProtection="1">
      <alignment/>
      <protection/>
    </xf>
    <xf numFmtId="164" fontId="0" fillId="0" borderId="18" xfId="0" applyBorder="1" applyAlignment="1">
      <alignment/>
    </xf>
    <xf numFmtId="164" fontId="0" fillId="0" borderId="17" xfId="0" applyBorder="1" applyAlignment="1">
      <alignment/>
    </xf>
    <xf numFmtId="37" fontId="0" fillId="0" borderId="21" xfId="0" applyNumberFormat="1" applyBorder="1" applyAlignment="1" applyProtection="1">
      <alignment/>
      <protection/>
    </xf>
    <xf numFmtId="37" fontId="0" fillId="0" borderId="13" xfId="0" applyNumberFormat="1" applyBorder="1" applyAlignment="1" applyProtection="1">
      <alignment/>
      <protection/>
    </xf>
    <xf numFmtId="37" fontId="10" fillId="0" borderId="13" xfId="0" applyNumberFormat="1" applyFont="1" applyBorder="1" applyAlignment="1" applyProtection="1">
      <alignment/>
      <protection/>
    </xf>
    <xf numFmtId="175" fontId="22" fillId="0" borderId="21" xfId="15" applyNumberFormat="1" applyFont="1" applyBorder="1" applyAlignment="1" applyProtection="1">
      <alignment/>
      <protection/>
    </xf>
    <xf numFmtId="175" fontId="22" fillId="0" borderId="13" xfId="15" applyNumberFormat="1" applyFont="1" applyBorder="1" applyAlignment="1" applyProtection="1">
      <alignment/>
      <protection/>
    </xf>
    <xf numFmtId="37" fontId="11" fillId="0" borderId="13" xfId="0" applyNumberFormat="1" applyFont="1" applyBorder="1" applyAlignment="1" applyProtection="1">
      <alignment/>
      <protection/>
    </xf>
    <xf numFmtId="164" fontId="0" fillId="0" borderId="21" xfId="0" applyBorder="1" applyAlignment="1">
      <alignment/>
    </xf>
    <xf numFmtId="164" fontId="0" fillId="0" borderId="13" xfId="0" applyBorder="1" applyAlignment="1">
      <alignment/>
    </xf>
    <xf numFmtId="164" fontId="0" fillId="0" borderId="22" xfId="0" applyBorder="1" applyAlignment="1">
      <alignment/>
    </xf>
    <xf numFmtId="164" fontId="0" fillId="0" borderId="15" xfId="0" applyBorder="1" applyAlignment="1">
      <alignment/>
    </xf>
    <xf numFmtId="164" fontId="0" fillId="0" borderId="21" xfId="0" applyBorder="1" applyAlignment="1" applyProtection="1">
      <alignment horizontal="centerContinuous"/>
      <protection/>
    </xf>
    <xf numFmtId="164" fontId="0" fillId="0" borderId="13" xfId="0" applyBorder="1" applyAlignment="1" applyProtection="1">
      <alignment horizontal="centerContinuous"/>
      <protection/>
    </xf>
    <xf numFmtId="164" fontId="0" fillId="0" borderId="22" xfId="0" applyBorder="1" applyAlignment="1" applyProtection="1">
      <alignment horizontal="centerContinuous"/>
      <protection/>
    </xf>
    <xf numFmtId="164" fontId="0" fillId="0" borderId="15" xfId="0" applyBorder="1" applyAlignment="1" applyProtection="1">
      <alignment horizontal="centerContinuous"/>
      <protection/>
    </xf>
    <xf numFmtId="164" fontId="0" fillId="0" borderId="18" xfId="0" applyBorder="1" applyAlignment="1">
      <alignment horizontal="centerContinuous"/>
    </xf>
    <xf numFmtId="164" fontId="0" fillId="0" borderId="30" xfId="0" applyBorder="1" applyAlignment="1" applyProtection="1">
      <alignment horizontal="centerContinuous"/>
      <protection/>
    </xf>
    <xf numFmtId="164" fontId="0" fillId="0" borderId="28" xfId="0" applyBorder="1" applyAlignment="1" applyProtection="1">
      <alignment horizontal="centerContinuous"/>
      <protection/>
    </xf>
    <xf numFmtId="164" fontId="0" fillId="0" borderId="16" xfId="0" applyBorder="1" applyAlignment="1">
      <alignment/>
    </xf>
    <xf numFmtId="164" fontId="0" fillId="0" borderId="14" xfId="0" applyBorder="1" applyAlignment="1">
      <alignment/>
    </xf>
    <xf numFmtId="172" fontId="10" fillId="0" borderId="21" xfId="17" applyNumberFormat="1" applyFont="1" applyBorder="1" applyAlignment="1" applyProtection="1">
      <alignment/>
      <protection/>
    </xf>
    <xf numFmtId="172" fontId="11" fillId="0" borderId="21" xfId="17" applyNumberFormat="1" applyFont="1" applyBorder="1" applyAlignment="1" applyProtection="1">
      <alignment/>
      <protection/>
    </xf>
    <xf numFmtId="167" fontId="0" fillId="0" borderId="16" xfId="0" applyNumberFormat="1" applyBorder="1" applyAlignment="1" applyProtection="1">
      <alignment horizontal="centerContinuous"/>
      <protection/>
    </xf>
    <xf numFmtId="166" fontId="0" fillId="0" borderId="0" xfId="0" applyNumberFormat="1" applyBorder="1" applyAlignment="1" applyProtection="1">
      <alignment horizontal="centerContinuous"/>
      <protection/>
    </xf>
    <xf numFmtId="164" fontId="5" fillId="0" borderId="22" xfId="0" applyFont="1" applyBorder="1" applyAlignment="1">
      <alignment horizontal="centerContinuous"/>
    </xf>
    <xf numFmtId="37" fontId="10" fillId="0" borderId="28" xfId="0" applyNumberFormat="1" applyFont="1" applyBorder="1" applyAlignment="1" applyProtection="1">
      <alignment/>
      <protection/>
    </xf>
    <xf numFmtId="172" fontId="11" fillId="0" borderId="30" xfId="17" applyNumberFormat="1" applyFont="1" applyBorder="1" applyAlignment="1" applyProtection="1">
      <alignment/>
      <protection/>
    </xf>
    <xf numFmtId="164" fontId="9" fillId="0" borderId="30" xfId="0" applyFont="1" applyBorder="1" applyAlignment="1" applyProtection="1">
      <alignment horizontal="left"/>
      <protection/>
    </xf>
    <xf numFmtId="164" fontId="0" fillId="0" borderId="31" xfId="0" applyBorder="1" applyAlignment="1">
      <alignment/>
    </xf>
    <xf numFmtId="172" fontId="11" fillId="0" borderId="31" xfId="17" applyNumberFormat="1" applyFont="1" applyBorder="1" applyAlignment="1" applyProtection="1">
      <alignment/>
      <protection/>
    </xf>
    <xf numFmtId="175" fontId="11" fillId="0" borderId="28" xfId="15" applyNumberFormat="1" applyFont="1" applyBorder="1" applyAlignment="1" applyProtection="1">
      <alignment/>
      <protection/>
    </xf>
    <xf numFmtId="164" fontId="0" fillId="0" borderId="30" xfId="0" applyBorder="1" applyAlignment="1">
      <alignment/>
    </xf>
    <xf numFmtId="164" fontId="0" fillId="0" borderId="31" xfId="0" applyBorder="1" applyAlignment="1" applyProtection="1">
      <alignment horizontal="center"/>
      <protection/>
    </xf>
    <xf numFmtId="164" fontId="0" fillId="0" borderId="31" xfId="0" applyBorder="1" applyAlignment="1">
      <alignment horizontal="centerContinuous"/>
    </xf>
    <xf numFmtId="164" fontId="0" fillId="0" borderId="31" xfId="0" applyBorder="1" applyAlignment="1">
      <alignment horizontal="center"/>
    </xf>
    <xf numFmtId="164" fontId="9" fillId="0" borderId="31" xfId="0" applyFont="1" applyBorder="1" applyAlignment="1" applyProtection="1">
      <alignment horizontal="left"/>
      <protection/>
    </xf>
    <xf numFmtId="164" fontId="0" fillId="0" borderId="28" xfId="0" applyBorder="1" applyAlignment="1">
      <alignment/>
    </xf>
    <xf numFmtId="164" fontId="0" fillId="0" borderId="0" xfId="0" applyAlignment="1">
      <alignment horizontal="right"/>
    </xf>
    <xf numFmtId="164" fontId="10" fillId="0" borderId="0" xfId="0" applyFont="1" applyAlignment="1">
      <alignment/>
    </xf>
    <xf numFmtId="175" fontId="19" fillId="0" borderId="4" xfId="15" applyNumberFormat="1" applyFont="1" applyBorder="1" applyAlignment="1" applyProtection="1">
      <alignment/>
      <protection/>
    </xf>
    <xf numFmtId="164" fontId="5" fillId="0" borderId="19" xfId="0" applyFont="1" applyBorder="1" applyAlignment="1">
      <alignment/>
    </xf>
    <xf numFmtId="164" fontId="17" fillId="0" borderId="0" xfId="0" applyFont="1" applyAlignment="1" applyProtection="1">
      <alignment horizontal="left"/>
      <protection/>
    </xf>
    <xf numFmtId="164" fontId="5" fillId="0" borderId="21" xfId="0" applyFont="1" applyBorder="1" applyAlignment="1">
      <alignment/>
    </xf>
    <xf numFmtId="164" fontId="5" fillId="0" borderId="13" xfId="0" applyFont="1" applyBorder="1" applyAlignment="1">
      <alignment/>
    </xf>
    <xf numFmtId="164" fontId="5" fillId="0" borderId="28" xfId="0" applyFont="1" applyBorder="1" applyAlignment="1" applyProtection="1">
      <alignment horizontal="centerContinuous"/>
      <protection/>
    </xf>
    <xf numFmtId="175" fontId="26" fillId="0" borderId="29" xfId="15" applyNumberFormat="1" applyFont="1" applyBorder="1" applyAlignment="1">
      <alignment/>
    </xf>
    <xf numFmtId="170" fontId="0" fillId="0" borderId="0" xfId="28" applyNumberFormat="1" applyAlignment="1" applyProtection="1">
      <alignment/>
      <protection/>
    </xf>
    <xf numFmtId="175" fontId="22" fillId="0" borderId="29" xfId="15" applyNumberFormat="1" applyFont="1" applyBorder="1" applyAlignment="1">
      <alignment/>
    </xf>
    <xf numFmtId="172" fontId="24" fillId="0" borderId="29" xfId="17" applyNumberFormat="1" applyFont="1" applyBorder="1" applyAlignment="1">
      <alignment/>
    </xf>
    <xf numFmtId="172" fontId="24" fillId="0" borderId="20" xfId="17" applyNumberFormat="1" applyFont="1" applyBorder="1" applyAlignment="1">
      <alignment/>
    </xf>
    <xf numFmtId="37" fontId="0" fillId="0" borderId="17" xfId="0" applyNumberFormat="1" applyBorder="1" applyAlignment="1" applyProtection="1">
      <alignment/>
      <protection/>
    </xf>
    <xf numFmtId="37" fontId="0" fillId="0" borderId="19" xfId="0" applyNumberFormat="1" applyBorder="1" applyAlignment="1" applyProtection="1">
      <alignment/>
      <protection/>
    </xf>
    <xf numFmtId="164" fontId="7" fillId="0" borderId="0" xfId="0" applyFont="1" applyAlignment="1" applyProtection="1">
      <alignment horizontal="left"/>
      <protection/>
    </xf>
    <xf numFmtId="164" fontId="21" fillId="0" borderId="0" xfId="0" applyFont="1" applyAlignment="1" applyProtection="1">
      <alignment horizontal="left"/>
      <protection/>
    </xf>
    <xf numFmtId="172" fontId="11" fillId="0" borderId="18" xfId="17" applyNumberFormat="1" applyFont="1" applyBorder="1" applyAlignment="1" applyProtection="1">
      <alignment/>
      <protection/>
    </xf>
    <xf numFmtId="164" fontId="9" fillId="0" borderId="18" xfId="0" applyFont="1" applyBorder="1" applyAlignment="1">
      <alignment/>
    </xf>
    <xf numFmtId="37" fontId="23" fillId="0" borderId="17" xfId="0" applyNumberFormat="1" applyFont="1" applyBorder="1" applyAlignment="1" applyProtection="1">
      <alignment horizontal="right"/>
      <protection/>
    </xf>
    <xf numFmtId="164" fontId="27" fillId="0" borderId="21" xfId="0" applyFont="1" applyBorder="1" applyAlignment="1" applyProtection="1">
      <alignment horizontal="centerContinuous"/>
      <protection/>
    </xf>
    <xf numFmtId="164" fontId="27" fillId="0" borderId="21" xfId="0" applyFont="1" applyBorder="1" applyAlignment="1">
      <alignment horizontal="centerContinuous"/>
    </xf>
    <xf numFmtId="164" fontId="9" fillId="0" borderId="32" xfId="0" applyFont="1" applyBorder="1" applyAlignment="1" applyProtection="1">
      <alignment horizontal="left"/>
      <protection/>
    </xf>
    <xf numFmtId="164" fontId="0" fillId="0" borderId="33" xfId="0" applyBorder="1" applyAlignment="1" applyProtection="1">
      <alignment horizontal="left"/>
      <protection/>
    </xf>
    <xf numFmtId="164" fontId="0" fillId="0" borderId="0" xfId="0" applyBorder="1" applyAlignment="1" applyProtection="1">
      <alignment horizontal="left"/>
      <protection/>
    </xf>
    <xf numFmtId="10" fontId="0" fillId="0" borderId="0" xfId="28" applyNumberFormat="1" applyAlignment="1">
      <alignment/>
    </xf>
    <xf numFmtId="175" fontId="0" fillId="0" borderId="0" xfId="15" applyNumberFormat="1" applyFont="1" applyAlignment="1">
      <alignment/>
    </xf>
    <xf numFmtId="164" fontId="28" fillId="0" borderId="0" xfId="0" applyFont="1" applyAlignment="1">
      <alignment/>
    </xf>
    <xf numFmtId="164" fontId="29" fillId="0" borderId="3" xfId="0" applyFont="1" applyBorder="1" applyAlignment="1" applyProtection="1">
      <alignment horizontal="center"/>
      <protection/>
    </xf>
    <xf numFmtId="164" fontId="29" fillId="0" borderId="4" xfId="0" applyFont="1" applyBorder="1" applyAlignment="1" applyProtection="1">
      <alignment horizontal="center"/>
      <protection/>
    </xf>
    <xf numFmtId="164" fontId="29" fillId="0" borderId="6" xfId="0" applyFont="1" applyBorder="1" applyAlignment="1" applyProtection="1">
      <alignment horizontal="center"/>
      <protection/>
    </xf>
    <xf numFmtId="164" fontId="29" fillId="0" borderId="12" xfId="0" applyFont="1" applyBorder="1" applyAlignment="1" applyProtection="1">
      <alignment horizontal="center"/>
      <protection/>
    </xf>
    <xf numFmtId="175" fontId="30" fillId="0" borderId="29" xfId="15" applyNumberFormat="1" applyFont="1" applyBorder="1" applyAlignment="1">
      <alignment/>
    </xf>
    <xf numFmtId="164" fontId="0" fillId="0" borderId="16" xfId="0" applyBorder="1" applyAlignment="1">
      <alignment horizontal="center"/>
    </xf>
    <xf numFmtId="175" fontId="0" fillId="0" borderId="0" xfId="15" applyNumberFormat="1" applyBorder="1" applyAlignment="1">
      <alignment/>
    </xf>
    <xf numFmtId="172" fontId="0" fillId="0" borderId="0" xfId="17" applyNumberFormat="1" applyBorder="1" applyAlignment="1">
      <alignment/>
    </xf>
    <xf numFmtId="44" fontId="0" fillId="0" borderId="0" xfId="17" applyAlignment="1">
      <alignment/>
    </xf>
    <xf numFmtId="164" fontId="6" fillId="0" borderId="0" xfId="0" applyFont="1" applyBorder="1" applyAlignment="1" applyProtection="1">
      <alignment horizontal="centerContinuous"/>
      <protection/>
    </xf>
    <xf numFmtId="164" fontId="5" fillId="0" borderId="14" xfId="0" applyFont="1" applyBorder="1" applyAlignment="1" applyProtection="1">
      <alignment horizontal="centerContinuous"/>
      <protection/>
    </xf>
    <xf numFmtId="164" fontId="0" fillId="0" borderId="27" xfId="0" applyBorder="1" applyAlignment="1">
      <alignment/>
    </xf>
    <xf numFmtId="164" fontId="5" fillId="0" borderId="34" xfId="0" applyFont="1" applyBorder="1" applyAlignment="1" applyProtection="1">
      <alignment horizontal="centerContinuous"/>
      <protection/>
    </xf>
    <xf numFmtId="164" fontId="5" fillId="0" borderId="34" xfId="0" applyFont="1" applyBorder="1" applyAlignment="1">
      <alignment horizontal="centerContinuous"/>
    </xf>
    <xf numFmtId="164" fontId="5" fillId="0" borderId="34" xfId="0" applyFont="1" applyBorder="1" applyAlignment="1" applyProtection="1">
      <alignment horizontal="center"/>
      <protection/>
    </xf>
    <xf numFmtId="164" fontId="5" fillId="0" borderId="35" xfId="0" applyFont="1" applyBorder="1" applyAlignment="1" applyProtection="1">
      <alignment horizontal="centerContinuous"/>
      <protection/>
    </xf>
    <xf numFmtId="37" fontId="29" fillId="0" borderId="19" xfId="0" applyNumberFormat="1" applyFont="1" applyBorder="1" applyAlignment="1" applyProtection="1">
      <alignment/>
      <protection/>
    </xf>
    <xf numFmtId="164" fontId="5" fillId="0" borderId="0" xfId="0" applyFont="1" applyAlignment="1">
      <alignment horizontal="center"/>
    </xf>
    <xf numFmtId="164" fontId="5" fillId="0" borderId="19" xfId="0" applyFont="1" applyBorder="1" applyAlignment="1">
      <alignment horizontal="center"/>
    </xf>
    <xf numFmtId="164" fontId="5" fillId="0" borderId="20" xfId="0" applyFont="1" applyBorder="1" applyAlignment="1">
      <alignment horizontal="center"/>
    </xf>
    <xf numFmtId="164" fontId="5" fillId="0" borderId="24" xfId="0" applyFont="1" applyBorder="1" applyAlignment="1">
      <alignment horizontal="center"/>
    </xf>
    <xf numFmtId="164" fontId="5" fillId="0" borderId="19" xfId="0" applyFont="1" applyBorder="1" applyAlignment="1">
      <alignment/>
    </xf>
    <xf numFmtId="164" fontId="5" fillId="0" borderId="29" xfId="0" applyFont="1" applyBorder="1" applyAlignment="1" quotePrefix="1">
      <alignment horizontal="center"/>
    </xf>
    <xf numFmtId="164" fontId="5" fillId="0" borderId="20" xfId="0" applyFont="1" applyBorder="1" applyAlignment="1">
      <alignment/>
    </xf>
    <xf numFmtId="164" fontId="5" fillId="0" borderId="29" xfId="0" applyFont="1" applyBorder="1" applyAlignment="1">
      <alignment/>
    </xf>
    <xf numFmtId="164" fontId="5" fillId="0" borderId="29" xfId="0" applyFont="1" applyBorder="1" applyAlignment="1">
      <alignment horizontal="center"/>
    </xf>
    <xf numFmtId="175" fontId="5" fillId="0" borderId="29" xfId="15" applyNumberFormat="1" applyFont="1" applyBorder="1" applyAlignment="1">
      <alignment/>
    </xf>
    <xf numFmtId="44" fontId="5" fillId="0" borderId="29" xfId="17" applyFont="1" applyBorder="1" applyAlignment="1">
      <alignment/>
    </xf>
    <xf numFmtId="10" fontId="5" fillId="0" borderId="29" xfId="28" applyNumberFormat="1" applyFont="1" applyBorder="1" applyAlignment="1">
      <alignment/>
    </xf>
    <xf numFmtId="164" fontId="5" fillId="0" borderId="16" xfId="0" applyFont="1" applyBorder="1" applyAlignment="1">
      <alignment horizontal="centerContinuous"/>
    </xf>
    <xf numFmtId="164" fontId="5" fillId="0" borderId="17" xfId="0" applyFont="1" applyBorder="1" applyAlignment="1">
      <alignment horizontal="centerContinuous"/>
    </xf>
    <xf numFmtId="164" fontId="5" fillId="0" borderId="0" xfId="0" applyFont="1" applyBorder="1" applyAlignment="1">
      <alignment horizontal="centerContinuous"/>
    </xf>
    <xf numFmtId="164" fontId="5" fillId="0" borderId="13" xfId="0" applyFont="1" applyBorder="1" applyAlignment="1">
      <alignment horizontal="centerContinuous"/>
    </xf>
    <xf numFmtId="164" fontId="5" fillId="0" borderId="14" xfId="0" applyFont="1" applyBorder="1" applyAlignment="1">
      <alignment horizontal="centerContinuous"/>
    </xf>
    <xf numFmtId="164" fontId="5" fillId="0" borderId="15" xfId="0" applyFont="1" applyBorder="1" applyAlignment="1">
      <alignment horizontal="centerContinuous"/>
    </xf>
    <xf numFmtId="164" fontId="0" fillId="0" borderId="18" xfId="0" applyBorder="1" applyAlignment="1">
      <alignment horizontal="center"/>
    </xf>
    <xf numFmtId="164" fontId="0" fillId="0" borderId="21" xfId="0" applyBorder="1" applyAlignment="1">
      <alignment horizontal="center"/>
    </xf>
    <xf numFmtId="164" fontId="0" fillId="0" borderId="22" xfId="0" applyBorder="1" applyAlignment="1">
      <alignment horizontal="center"/>
    </xf>
    <xf numFmtId="44" fontId="0" fillId="0" borderId="0" xfId="17" applyBorder="1" applyAlignment="1">
      <alignment/>
    </xf>
    <xf numFmtId="44" fontId="0" fillId="0" borderId="13" xfId="17" applyBorder="1" applyAlignment="1">
      <alignment/>
    </xf>
    <xf numFmtId="43" fontId="0" fillId="0" borderId="14" xfId="15" applyBorder="1" applyAlignment="1">
      <alignment/>
    </xf>
    <xf numFmtId="164" fontId="0" fillId="2" borderId="18" xfId="0" applyFill="1" applyBorder="1" applyAlignment="1">
      <alignment horizontal="center"/>
    </xf>
    <xf numFmtId="164" fontId="0" fillId="2" borderId="16" xfId="0" applyFill="1" applyBorder="1" applyAlignment="1">
      <alignment horizontal="center"/>
    </xf>
    <xf numFmtId="164" fontId="0" fillId="2" borderId="17" xfId="0" applyFill="1" applyBorder="1" applyAlignment="1">
      <alignment horizontal="center"/>
    </xf>
    <xf numFmtId="164" fontId="0" fillId="2" borderId="21" xfId="0" applyFill="1" applyBorder="1" applyAlignment="1">
      <alignment horizontal="center"/>
    </xf>
    <xf numFmtId="164" fontId="0" fillId="2" borderId="0" xfId="0" applyFill="1" applyBorder="1" applyAlignment="1">
      <alignment horizontal="center"/>
    </xf>
    <xf numFmtId="164" fontId="0" fillId="2" borderId="13" xfId="0" applyFill="1" applyBorder="1" applyAlignment="1">
      <alignment horizontal="center"/>
    </xf>
    <xf numFmtId="164" fontId="0" fillId="2" borderId="22" xfId="0" applyFill="1" applyBorder="1" applyAlignment="1">
      <alignment horizontal="center"/>
    </xf>
    <xf numFmtId="164" fontId="0" fillId="2" borderId="14" xfId="0" applyFill="1" applyBorder="1" applyAlignment="1">
      <alignment horizontal="center"/>
    </xf>
    <xf numFmtId="164" fontId="0" fillId="2" borderId="15" xfId="0" applyFill="1" applyBorder="1" applyAlignment="1">
      <alignment horizontal="center"/>
    </xf>
    <xf numFmtId="164" fontId="0" fillId="0" borderId="0" xfId="0" applyBorder="1" applyAlignment="1">
      <alignment horizontal="right"/>
    </xf>
    <xf numFmtId="177" fontId="0" fillId="0" borderId="0" xfId="15" applyNumberFormat="1" applyFont="1" applyBorder="1" applyAlignment="1">
      <alignment horizontal="right"/>
    </xf>
    <xf numFmtId="44" fontId="0" fillId="0" borderId="0" xfId="17" applyAlignment="1">
      <alignment horizontal="right"/>
    </xf>
    <xf numFmtId="164" fontId="0" fillId="0" borderId="36" xfId="0" applyBorder="1" applyAlignment="1">
      <alignment/>
    </xf>
    <xf numFmtId="175" fontId="27" fillId="0" borderId="0" xfId="15" applyNumberFormat="1" applyFont="1" applyAlignment="1">
      <alignment/>
    </xf>
    <xf numFmtId="170" fontId="0" fillId="2" borderId="0" xfId="28" applyNumberFormat="1" applyFill="1" applyAlignment="1" applyProtection="1">
      <alignment/>
      <protection/>
    </xf>
    <xf numFmtId="178" fontId="0" fillId="2" borderId="0" xfId="0" applyNumberFormat="1" applyFill="1" applyAlignment="1" applyProtection="1">
      <alignment/>
      <protection/>
    </xf>
    <xf numFmtId="172" fontId="0" fillId="0" borderId="0" xfId="17" applyNumberFormat="1" applyAlignment="1">
      <alignment/>
    </xf>
    <xf numFmtId="164" fontId="0" fillId="0" borderId="21" xfId="0" applyBorder="1" applyAlignment="1" applyProtection="1">
      <alignment horizontal="center"/>
      <protection/>
    </xf>
    <xf numFmtId="164" fontId="5" fillId="0" borderId="18" xfId="0" applyFont="1" applyBorder="1" applyAlignment="1">
      <alignment/>
    </xf>
    <xf numFmtId="164" fontId="5" fillId="0" borderId="17" xfId="0" applyFont="1" applyBorder="1" applyAlignment="1">
      <alignment/>
    </xf>
    <xf numFmtId="164" fontId="5" fillId="0" borderId="21" xfId="0" applyFont="1" applyBorder="1" applyAlignment="1">
      <alignment/>
    </xf>
    <xf numFmtId="164" fontId="5" fillId="0" borderId="0" xfId="0" applyFont="1" applyBorder="1" applyAlignment="1">
      <alignment/>
    </xf>
    <xf numFmtId="164" fontId="5" fillId="0" borderId="0" xfId="0" applyFont="1" applyBorder="1" applyAlignment="1">
      <alignment horizontal="center"/>
    </xf>
    <xf numFmtId="175" fontId="5" fillId="0" borderId="0" xfId="15" applyNumberFormat="1" applyFont="1" applyBorder="1" applyAlignment="1">
      <alignment/>
    </xf>
    <xf numFmtId="172" fontId="5" fillId="0" borderId="13" xfId="17" applyNumberFormat="1" applyFont="1" applyBorder="1" applyAlignment="1">
      <alignment/>
    </xf>
    <xf numFmtId="175" fontId="26" fillId="0" borderId="0" xfId="15" applyNumberFormat="1" applyFont="1" applyBorder="1" applyAlignment="1">
      <alignment/>
    </xf>
    <xf numFmtId="164" fontId="5" fillId="0" borderId="22" xfId="0" applyFont="1" applyBorder="1" applyAlignment="1">
      <alignment/>
    </xf>
    <xf numFmtId="164" fontId="5" fillId="0" borderId="14" xfId="0" applyFont="1" applyBorder="1" applyAlignment="1">
      <alignment/>
    </xf>
    <xf numFmtId="172" fontId="5" fillId="0" borderId="15" xfId="17" applyNumberFormat="1" applyFont="1" applyBorder="1" applyAlignment="1">
      <alignment/>
    </xf>
    <xf numFmtId="164" fontId="5" fillId="0" borderId="17" xfId="0" applyFont="1" applyBorder="1" applyAlignment="1">
      <alignment horizontal="center"/>
    </xf>
    <xf numFmtId="175" fontId="5" fillId="0" borderId="13" xfId="15" applyNumberFormat="1" applyFont="1" applyBorder="1" applyAlignment="1">
      <alignment/>
    </xf>
    <xf numFmtId="164" fontId="5" fillId="0" borderId="13" xfId="0" applyFont="1" applyBorder="1" applyAlignment="1">
      <alignment/>
    </xf>
    <xf numFmtId="175" fontId="5" fillId="0" borderId="15" xfId="15" applyNumberFormat="1" applyFont="1" applyBorder="1" applyAlignment="1">
      <alignment/>
    </xf>
    <xf numFmtId="172" fontId="5" fillId="0" borderId="0" xfId="17" applyNumberFormat="1" applyFont="1" applyBorder="1" applyAlignment="1">
      <alignment/>
    </xf>
    <xf numFmtId="164" fontId="7" fillId="0" borderId="19" xfId="0" applyFont="1" applyBorder="1" applyAlignment="1">
      <alignment/>
    </xf>
    <xf numFmtId="164" fontId="7" fillId="0" borderId="19" xfId="0" applyFont="1" applyBorder="1" applyAlignment="1">
      <alignment horizontal="center"/>
    </xf>
    <xf numFmtId="164" fontId="7" fillId="0" borderId="29" xfId="0" applyFont="1" applyBorder="1" applyAlignment="1">
      <alignment/>
    </xf>
    <xf numFmtId="164" fontId="7" fillId="0" borderId="29" xfId="0" applyFont="1" applyBorder="1" applyAlignment="1">
      <alignment horizontal="center"/>
    </xf>
    <xf numFmtId="164" fontId="7" fillId="0" borderId="20" xfId="0" applyFont="1" applyBorder="1" applyAlignment="1">
      <alignment/>
    </xf>
    <xf numFmtId="172" fontId="7" fillId="0" borderId="19" xfId="17" applyNumberFormat="1" applyFont="1" applyBorder="1" applyAlignment="1">
      <alignment/>
    </xf>
    <xf numFmtId="172" fontId="7" fillId="0" borderId="29" xfId="17" applyNumberFormat="1" applyFont="1" applyBorder="1" applyAlignment="1">
      <alignment/>
    </xf>
    <xf numFmtId="175" fontId="7" fillId="0" borderId="29" xfId="15" applyNumberFormat="1" applyFont="1" applyBorder="1" applyAlignment="1">
      <alignment/>
    </xf>
    <xf numFmtId="164" fontId="0" fillId="0" borderId="17" xfId="0" applyBorder="1" applyAlignment="1">
      <alignment horizontal="center"/>
    </xf>
    <xf numFmtId="179" fontId="0" fillId="0" borderId="0" xfId="0" applyNumberFormat="1" applyAlignment="1" applyProtection="1">
      <alignment horizontal="center"/>
      <protection/>
    </xf>
    <xf numFmtId="164" fontId="7" fillId="0" borderId="0" xfId="0" applyFont="1" applyAlignment="1">
      <alignment/>
    </xf>
    <xf numFmtId="10" fontId="7" fillId="0" borderId="13" xfId="0" applyNumberFormat="1" applyFont="1" applyBorder="1" applyAlignment="1" applyProtection="1">
      <alignment/>
      <protection/>
    </xf>
    <xf numFmtId="10" fontId="7" fillId="0" borderId="13" xfId="0" applyNumberFormat="1" applyFont="1" applyBorder="1" applyAlignment="1">
      <alignment/>
    </xf>
    <xf numFmtId="164" fontId="28" fillId="0" borderId="0" xfId="24" applyFont="1" applyAlignment="1">
      <alignment horizontal="centerContinuous"/>
      <protection/>
    </xf>
    <xf numFmtId="164" fontId="27" fillId="0" borderId="0" xfId="24" applyFont="1" applyAlignment="1">
      <alignment horizontal="centerContinuous"/>
      <protection/>
    </xf>
    <xf numFmtId="164" fontId="5" fillId="0" borderId="0" xfId="24" applyFont="1" applyAlignment="1">
      <alignment horizontal="centerContinuous"/>
      <protection/>
    </xf>
    <xf numFmtId="164" fontId="7" fillId="0" borderId="0" xfId="24" applyFont="1">
      <alignment/>
      <protection/>
    </xf>
    <xf numFmtId="0" fontId="7" fillId="0" borderId="0" xfId="21" applyFont="1">
      <alignment/>
      <protection/>
    </xf>
    <xf numFmtId="17" fontId="7" fillId="0" borderId="0" xfId="21" applyNumberFormat="1" applyFont="1">
      <alignment/>
      <protection/>
    </xf>
    <xf numFmtId="175" fontId="7" fillId="0" borderId="0" xfId="15" applyNumberFormat="1" applyFont="1" applyAlignment="1">
      <alignment/>
    </xf>
    <xf numFmtId="172" fontId="7" fillId="0" borderId="0" xfId="17" applyNumberFormat="1" applyFont="1" applyAlignment="1">
      <alignment/>
    </xf>
    <xf numFmtId="175" fontId="5" fillId="0" borderId="0" xfId="15" applyNumberFormat="1" applyFont="1" applyAlignment="1">
      <alignment/>
    </xf>
    <xf numFmtId="0" fontId="5" fillId="0" borderId="0" xfId="21" applyFont="1">
      <alignment/>
      <protection/>
    </xf>
    <xf numFmtId="172" fontId="5" fillId="0" borderId="0" xfId="17" applyNumberFormat="1" applyFont="1" applyFill="1" applyAlignment="1">
      <alignment/>
    </xf>
    <xf numFmtId="0" fontId="39" fillId="0" borderId="0" xfId="21" applyFont="1" applyAlignment="1">
      <alignment horizontal="right"/>
      <protection/>
    </xf>
    <xf numFmtId="172" fontId="5" fillId="0" borderId="0" xfId="17" applyNumberFormat="1" applyFont="1" applyAlignment="1">
      <alignment/>
    </xf>
    <xf numFmtId="172" fontId="25" fillId="0" borderId="0" xfId="17" applyNumberFormat="1" applyFont="1" applyAlignment="1">
      <alignment/>
    </xf>
    <xf numFmtId="164" fontId="13" fillId="0" borderId="0" xfId="24" applyFont="1" applyAlignment="1">
      <alignment horizontal="centerContinuous"/>
      <protection/>
    </xf>
    <xf numFmtId="0" fontId="5" fillId="0" borderId="29" xfId="21" applyFont="1" applyFill="1" applyBorder="1">
      <alignment/>
      <protection/>
    </xf>
    <xf numFmtId="17" fontId="5" fillId="0" borderId="29" xfId="21" applyNumberFormat="1" applyFont="1" applyBorder="1">
      <alignment/>
      <protection/>
    </xf>
    <xf numFmtId="172" fontId="25" fillId="0" borderId="13" xfId="17" applyNumberFormat="1" applyFont="1" applyBorder="1" applyAlignment="1">
      <alignment/>
    </xf>
    <xf numFmtId="172" fontId="5" fillId="0" borderId="29" xfId="17" applyNumberFormat="1" applyFont="1" applyFill="1" applyBorder="1" applyAlignment="1">
      <alignment/>
    </xf>
    <xf numFmtId="164" fontId="5" fillId="0" borderId="30" xfId="0" applyFont="1" applyBorder="1" applyAlignment="1">
      <alignment/>
    </xf>
    <xf numFmtId="10" fontId="5" fillId="0" borderId="0" xfId="0" applyNumberFormat="1" applyFont="1" applyBorder="1" applyAlignment="1">
      <alignment/>
    </xf>
    <xf numFmtId="179" fontId="0" fillId="0" borderId="27" xfId="0" applyNumberFormat="1" applyBorder="1" applyAlignment="1" applyProtection="1">
      <alignment horizontal="center" wrapText="1"/>
      <protection/>
    </xf>
    <xf numFmtId="164" fontId="0" fillId="0" borderId="34" xfId="0" applyBorder="1" applyAlignment="1" applyProtection="1">
      <alignment horizontal="center"/>
      <protection/>
    </xf>
    <xf numFmtId="179" fontId="0" fillId="0" borderId="35" xfId="0" applyNumberFormat="1" applyBorder="1" applyAlignment="1" applyProtection="1">
      <alignment horizontal="center" wrapText="1"/>
      <protection/>
    </xf>
    <xf numFmtId="179" fontId="0" fillId="0" borderId="28" xfId="0" applyNumberFormat="1" applyBorder="1" applyAlignment="1" applyProtection="1">
      <alignment horizontal="center" wrapText="1"/>
      <protection/>
    </xf>
    <xf numFmtId="10" fontId="0" fillId="0" borderId="0" xfId="0" applyNumberFormat="1" applyBorder="1" applyAlignment="1">
      <alignment/>
    </xf>
    <xf numFmtId="164" fontId="0" fillId="0" borderId="24" xfId="0" applyBorder="1" applyAlignment="1">
      <alignment horizontal="center"/>
    </xf>
    <xf numFmtId="164" fontId="5" fillId="0" borderId="22" xfId="0" applyFont="1" applyBorder="1" applyAlignment="1">
      <alignment horizontal="center"/>
    </xf>
    <xf numFmtId="164" fontId="5" fillId="0" borderId="15" xfId="0" applyFont="1" applyBorder="1" applyAlignment="1">
      <alignment horizontal="center"/>
    </xf>
    <xf numFmtId="164" fontId="5" fillId="0" borderId="21" xfId="0" applyFont="1" applyBorder="1" applyAlignment="1">
      <alignment horizontal="center"/>
    </xf>
    <xf numFmtId="164" fontId="5" fillId="0" borderId="29" xfId="0" applyFont="1" applyBorder="1" applyAlignment="1">
      <alignment horizontal="center"/>
    </xf>
    <xf numFmtId="164" fontId="5" fillId="0" borderId="20" xfId="0" applyFont="1" applyBorder="1" applyAlignment="1">
      <alignment horizontal="center"/>
    </xf>
    <xf numFmtId="164" fontId="5" fillId="0" borderId="24" xfId="0" applyFont="1" applyBorder="1" applyAlignment="1">
      <alignment/>
    </xf>
    <xf numFmtId="164" fontId="5" fillId="0" borderId="28" xfId="0" applyFont="1" applyBorder="1" applyAlignment="1">
      <alignment horizontal="center"/>
    </xf>
    <xf numFmtId="180" fontId="5" fillId="0" borderId="13" xfId="0" applyNumberFormat="1" applyFont="1" applyBorder="1" applyAlignment="1">
      <alignment/>
    </xf>
    <xf numFmtId="180" fontId="5" fillId="0" borderId="21" xfId="0" applyNumberFormat="1" applyFont="1" applyBorder="1" applyAlignment="1">
      <alignment/>
    </xf>
    <xf numFmtId="180" fontId="5" fillId="0" borderId="21" xfId="28" applyNumberFormat="1" applyFont="1" applyBorder="1" applyAlignment="1">
      <alignment/>
    </xf>
    <xf numFmtId="180" fontId="5" fillId="0" borderId="21" xfId="28" applyNumberFormat="1" applyFont="1" applyFill="1" applyBorder="1" applyAlignment="1">
      <alignment/>
    </xf>
    <xf numFmtId="180" fontId="5" fillId="0" borderId="22" xfId="28" applyNumberFormat="1" applyFont="1" applyBorder="1" applyAlignment="1">
      <alignment/>
    </xf>
    <xf numFmtId="180" fontId="5" fillId="0" borderId="15" xfId="0" applyNumberFormat="1" applyFont="1" applyBorder="1" applyAlignment="1">
      <alignment/>
    </xf>
    <xf numFmtId="181" fontId="5" fillId="0" borderId="13" xfId="0" applyNumberFormat="1" applyFont="1" applyBorder="1" applyAlignment="1">
      <alignment/>
    </xf>
    <xf numFmtId="181" fontId="42" fillId="0" borderId="13" xfId="28" applyNumberFormat="1" applyFont="1" applyBorder="1" applyAlignment="1">
      <alignment/>
    </xf>
    <xf numFmtId="181" fontId="5" fillId="0" borderId="37" xfId="0" applyNumberFormat="1" applyFont="1" applyBorder="1" applyAlignment="1">
      <alignment/>
    </xf>
    <xf numFmtId="180" fontId="0" fillId="0" borderId="21" xfId="0" applyNumberFormat="1" applyBorder="1" applyAlignment="1">
      <alignment/>
    </xf>
    <xf numFmtId="179" fontId="0" fillId="0" borderId="24" xfId="0" applyNumberFormat="1" applyBorder="1" applyAlignment="1" applyProtection="1">
      <alignment horizontal="center" wrapText="1"/>
      <protection/>
    </xf>
    <xf numFmtId="2" fontId="0" fillId="0" borderId="0" xfId="0" applyNumberFormat="1" applyAlignment="1">
      <alignment/>
    </xf>
    <xf numFmtId="10" fontId="28" fillId="0" borderId="13" xfId="28" applyNumberFormat="1" applyFont="1" applyBorder="1" applyAlignment="1">
      <alignment/>
    </xf>
    <xf numFmtId="164" fontId="0" fillId="0" borderId="0" xfId="0" applyBorder="1" applyAlignment="1" applyProtection="1">
      <alignment horizontal="center"/>
      <protection/>
    </xf>
    <xf numFmtId="164" fontId="0" fillId="0" borderId="38" xfId="0" applyBorder="1" applyAlignment="1" applyProtection="1">
      <alignment horizontal="center"/>
      <protection/>
    </xf>
    <xf numFmtId="182" fontId="0" fillId="0" borderId="4" xfId="0" applyNumberFormat="1" applyBorder="1" applyAlignment="1" applyProtection="1">
      <alignment horizontal="center"/>
      <protection/>
    </xf>
    <xf numFmtId="175" fontId="45" fillId="0" borderId="17" xfId="15" applyNumberFormat="1" applyFont="1" applyBorder="1" applyAlignment="1">
      <alignment horizontal="centerContinuous"/>
    </xf>
    <xf numFmtId="175" fontId="45" fillId="0" borderId="13" xfId="15" applyNumberFormat="1" applyFont="1" applyBorder="1" applyAlignment="1">
      <alignment horizontal="centerContinuous"/>
    </xf>
    <xf numFmtId="175" fontId="47" fillId="0" borderId="15" xfId="15" applyNumberFormat="1" applyFont="1" applyBorder="1" applyAlignment="1">
      <alignment horizontal="centerContinuous"/>
    </xf>
    <xf numFmtId="175" fontId="45" fillId="0" borderId="17" xfId="15" applyNumberFormat="1" applyFont="1" applyBorder="1" applyAlignment="1">
      <alignment/>
    </xf>
    <xf numFmtId="175" fontId="45" fillId="0" borderId="15" xfId="15" applyNumberFormat="1" applyFont="1" applyBorder="1" applyAlignment="1">
      <alignment horizontal="center"/>
    </xf>
    <xf numFmtId="175" fontId="45" fillId="0" borderId="28" xfId="15" applyNumberFormat="1" applyFont="1" applyBorder="1" applyAlignment="1">
      <alignment horizontal="center"/>
    </xf>
    <xf numFmtId="175" fontId="45" fillId="0" borderId="13" xfId="15" applyNumberFormat="1" applyFont="1" applyBorder="1" applyAlignment="1">
      <alignment/>
    </xf>
    <xf numFmtId="172" fontId="45" fillId="0" borderId="13" xfId="17" applyNumberFormat="1" applyFont="1" applyBorder="1" applyAlignment="1">
      <alignment/>
    </xf>
    <xf numFmtId="175" fontId="45" fillId="0" borderId="15" xfId="15" applyNumberFormat="1" applyFont="1" applyBorder="1" applyAlignment="1">
      <alignment/>
    </xf>
    <xf numFmtId="172" fontId="45" fillId="0" borderId="15" xfId="17" applyNumberFormat="1" applyFont="1" applyBorder="1" applyAlignment="1">
      <alignment/>
    </xf>
    <xf numFmtId="172" fontId="47" fillId="0" borderId="37" xfId="17" applyNumberFormat="1" applyFont="1" applyBorder="1" applyAlignment="1">
      <alignment/>
    </xf>
    <xf numFmtId="10" fontId="47" fillId="0" borderId="37" xfId="28" applyNumberFormat="1" applyFont="1" applyBorder="1" applyAlignment="1">
      <alignment/>
    </xf>
    <xf numFmtId="175" fontId="45" fillId="0" borderId="0" xfId="15" applyNumberFormat="1" applyFont="1" applyBorder="1" applyAlignment="1">
      <alignment/>
    </xf>
    <xf numFmtId="175" fontId="45" fillId="0" borderId="0" xfId="15" applyNumberFormat="1" applyFont="1" applyAlignment="1">
      <alignment/>
    </xf>
    <xf numFmtId="175" fontId="0" fillId="0" borderId="0" xfId="15" applyNumberFormat="1" applyAlignment="1">
      <alignment/>
    </xf>
    <xf numFmtId="180" fontId="5" fillId="0" borderId="15" xfId="0" applyNumberFormat="1" applyFont="1" applyFill="1" applyBorder="1" applyAlignment="1">
      <alignment/>
    </xf>
    <xf numFmtId="37" fontId="7" fillId="0" borderId="0" xfId="25" applyNumberFormat="1" applyFont="1" applyBorder="1" applyProtection="1">
      <alignment/>
      <protection/>
    </xf>
    <xf numFmtId="164" fontId="5" fillId="0" borderId="0" xfId="0" applyFont="1" applyAlignment="1" quotePrefix="1">
      <alignment horizontal="left"/>
    </xf>
    <xf numFmtId="164" fontId="42" fillId="0" borderId="0" xfId="0" applyFont="1" applyAlignment="1">
      <alignment/>
    </xf>
    <xf numFmtId="164" fontId="5" fillId="0" borderId="0" xfId="0" applyFont="1" applyAlignment="1">
      <alignment horizontal="centerContinuous"/>
    </xf>
    <xf numFmtId="164" fontId="27" fillId="0" borderId="0" xfId="0" applyFont="1" applyAlignment="1">
      <alignment horizontal="centerContinuous"/>
    </xf>
    <xf numFmtId="164" fontId="17" fillId="0" borderId="19" xfId="0" applyFont="1" applyBorder="1" applyAlignment="1">
      <alignment/>
    </xf>
    <xf numFmtId="164" fontId="17" fillId="0" borderId="0" xfId="0" applyFont="1" applyBorder="1" applyAlignment="1">
      <alignment horizontal="center"/>
    </xf>
    <xf numFmtId="164" fontId="17" fillId="0" borderId="29" xfId="0" applyFont="1" applyBorder="1" applyAlignment="1">
      <alignment/>
    </xf>
    <xf numFmtId="175" fontId="5" fillId="0" borderId="29" xfId="15" applyNumberFormat="1" applyFont="1" applyBorder="1" applyAlignment="1">
      <alignment horizontal="center"/>
    </xf>
    <xf numFmtId="174" fontId="5" fillId="0" borderId="0" xfId="28" applyNumberFormat="1" applyFont="1" applyBorder="1" applyAlignment="1">
      <alignment/>
    </xf>
    <xf numFmtId="175" fontId="5" fillId="0" borderId="20" xfId="15" applyNumberFormat="1" applyFont="1" applyBorder="1" applyAlignment="1">
      <alignment horizontal="center"/>
    </xf>
    <xf numFmtId="49" fontId="5" fillId="0" borderId="20" xfId="0" applyNumberFormat="1" applyFont="1" applyBorder="1" applyAlignment="1">
      <alignment horizontal="center"/>
    </xf>
    <xf numFmtId="175" fontId="5" fillId="0" borderId="20" xfId="15" applyNumberFormat="1" applyFont="1" applyBorder="1" applyAlignment="1">
      <alignment/>
    </xf>
    <xf numFmtId="164" fontId="5" fillId="0" borderId="24" xfId="0" applyFont="1" applyBorder="1" applyAlignment="1">
      <alignment/>
    </xf>
    <xf numFmtId="175" fontId="5" fillId="0" borderId="24" xfId="15" applyNumberFormat="1" applyFont="1" applyBorder="1" applyAlignment="1" quotePrefix="1">
      <alignment horizontal="center"/>
    </xf>
    <xf numFmtId="49" fontId="5" fillId="0" borderId="24" xfId="0" applyNumberFormat="1" applyFont="1" applyBorder="1" applyAlignment="1" quotePrefix="1">
      <alignment horizontal="center"/>
    </xf>
    <xf numFmtId="169" fontId="5" fillId="0" borderId="29" xfId="28" applyNumberFormat="1" applyFont="1" applyBorder="1" applyAlignment="1">
      <alignment horizontal="center"/>
    </xf>
    <xf numFmtId="9" fontId="5" fillId="0" borderId="29" xfId="28" applyFont="1" applyBorder="1" applyAlignment="1">
      <alignment horizontal="center"/>
    </xf>
    <xf numFmtId="164" fontId="17" fillId="0" borderId="0" xfId="0" applyFont="1" applyAlignment="1">
      <alignment horizontal="centerContinuous"/>
    </xf>
    <xf numFmtId="49" fontId="5" fillId="0" borderId="0" xfId="0" applyNumberFormat="1" applyFont="1" applyBorder="1" applyAlignment="1">
      <alignment horizontal="center"/>
    </xf>
    <xf numFmtId="49" fontId="5" fillId="0" borderId="0" xfId="15" applyNumberFormat="1" applyFont="1" applyBorder="1" applyAlignment="1">
      <alignment horizontal="center"/>
    </xf>
    <xf numFmtId="164" fontId="5" fillId="0" borderId="0" xfId="0" applyFont="1" applyBorder="1" applyAlignment="1" quotePrefix="1">
      <alignment horizontal="left"/>
    </xf>
    <xf numFmtId="175" fontId="5" fillId="0" borderId="0" xfId="0" applyNumberFormat="1" applyFont="1" applyBorder="1" applyAlignment="1">
      <alignment/>
    </xf>
    <xf numFmtId="164" fontId="17" fillId="0" borderId="0" xfId="0" applyFont="1" applyBorder="1" applyAlignment="1">
      <alignment/>
    </xf>
    <xf numFmtId="164" fontId="17" fillId="0" borderId="0" xfId="0" applyFont="1" applyBorder="1" applyAlignment="1">
      <alignment horizontal="centerContinuous"/>
    </xf>
    <xf numFmtId="37" fontId="4" fillId="0" borderId="0" xfId="23" applyFont="1">
      <alignment/>
      <protection/>
    </xf>
    <xf numFmtId="10" fontId="4" fillId="0" borderId="0" xfId="28" applyNumberFormat="1" applyFont="1" applyAlignment="1">
      <alignment/>
    </xf>
    <xf numFmtId="37" fontId="4" fillId="0" borderId="31" xfId="23" applyFont="1" applyBorder="1">
      <alignment/>
      <protection/>
    </xf>
    <xf numFmtId="10" fontId="4" fillId="0" borderId="31" xfId="28" applyNumberFormat="1" applyFont="1" applyBorder="1" applyAlignment="1">
      <alignment/>
    </xf>
    <xf numFmtId="164" fontId="0" fillId="0" borderId="0" xfId="26">
      <alignment/>
      <protection/>
    </xf>
    <xf numFmtId="164" fontId="5" fillId="0" borderId="18" xfId="26" applyFont="1" applyBorder="1" applyAlignment="1" applyProtection="1">
      <alignment horizontal="centerContinuous"/>
      <protection/>
    </xf>
    <xf numFmtId="164" fontId="5" fillId="0" borderId="16" xfId="26" applyFont="1" applyBorder="1" applyAlignment="1" applyProtection="1">
      <alignment horizontal="centerContinuous"/>
      <protection/>
    </xf>
    <xf numFmtId="164" fontId="0" fillId="0" borderId="16" xfId="26" applyBorder="1" applyAlignment="1">
      <alignment horizontal="centerContinuous"/>
      <protection/>
    </xf>
    <xf numFmtId="164" fontId="5" fillId="0" borderId="16" xfId="26" applyFont="1" applyBorder="1" applyAlignment="1">
      <alignment horizontal="centerContinuous"/>
      <protection/>
    </xf>
    <xf numFmtId="164" fontId="5" fillId="0" borderId="17" xfId="26" applyFont="1" applyBorder="1" applyAlignment="1">
      <alignment horizontal="centerContinuous"/>
      <protection/>
    </xf>
    <xf numFmtId="164" fontId="13" fillId="0" borderId="0" xfId="26" applyFont="1" applyBorder="1" applyAlignment="1" applyProtection="1">
      <alignment horizontal="centerContinuous"/>
      <protection/>
    </xf>
    <xf numFmtId="164" fontId="0" fillId="0" borderId="0" xfId="26" applyBorder="1" applyAlignment="1">
      <alignment horizontal="centerContinuous"/>
      <protection/>
    </xf>
    <xf numFmtId="164" fontId="5" fillId="0" borderId="0" xfId="26" applyFont="1" applyBorder="1" applyAlignment="1">
      <alignment horizontal="centerContinuous"/>
      <protection/>
    </xf>
    <xf numFmtId="164" fontId="5" fillId="0" borderId="13" xfId="26" applyFont="1" applyBorder="1" applyAlignment="1">
      <alignment horizontal="centerContinuous"/>
      <protection/>
    </xf>
    <xf numFmtId="164" fontId="5" fillId="0" borderId="22" xfId="26" applyFont="1" applyBorder="1" applyAlignment="1" applyProtection="1">
      <alignment horizontal="centerContinuous"/>
      <protection/>
    </xf>
    <xf numFmtId="164" fontId="5" fillId="0" borderId="14" xfId="26" applyFont="1" applyBorder="1" applyAlignment="1" applyProtection="1">
      <alignment horizontal="centerContinuous"/>
      <protection/>
    </xf>
    <xf numFmtId="164" fontId="0" fillId="0" borderId="14" xfId="26" applyBorder="1" applyAlignment="1">
      <alignment horizontal="centerContinuous"/>
      <protection/>
    </xf>
    <xf numFmtId="164" fontId="5" fillId="0" borderId="14" xfId="26" applyFont="1" applyBorder="1" applyAlignment="1">
      <alignment horizontal="centerContinuous"/>
      <protection/>
    </xf>
    <xf numFmtId="164" fontId="5" fillId="0" borderId="15" xfId="26" applyFont="1" applyBorder="1" applyAlignment="1">
      <alignment horizontal="centerContinuous"/>
      <protection/>
    </xf>
    <xf numFmtId="164" fontId="5" fillId="0" borderId="1" xfId="26" applyFont="1" applyBorder="1" applyAlignment="1" applyProtection="1">
      <alignment horizontal="center"/>
      <protection/>
    </xf>
    <xf numFmtId="164" fontId="5" fillId="0" borderId="19" xfId="26" applyFont="1" applyBorder="1" applyAlignment="1" applyProtection="1">
      <alignment horizontal="center"/>
      <protection/>
    </xf>
    <xf numFmtId="164" fontId="5" fillId="0" borderId="2" xfId="26" applyFont="1" applyBorder="1">
      <alignment/>
      <protection/>
    </xf>
    <xf numFmtId="164" fontId="5" fillId="0" borderId="19" xfId="26" applyFont="1" applyBorder="1">
      <alignment/>
      <protection/>
    </xf>
    <xf numFmtId="164" fontId="5" fillId="0" borderId="3" xfId="26" applyFont="1" applyBorder="1">
      <alignment/>
      <protection/>
    </xf>
    <xf numFmtId="164" fontId="5" fillId="0" borderId="5" xfId="26" applyFont="1" applyBorder="1" applyAlignment="1" applyProtection="1">
      <alignment horizontal="center"/>
      <protection/>
    </xf>
    <xf numFmtId="164" fontId="5" fillId="0" borderId="20" xfId="26" applyFont="1" applyBorder="1" applyAlignment="1" applyProtection="1">
      <alignment horizontal="centerContinuous"/>
      <protection/>
    </xf>
    <xf numFmtId="164" fontId="5" fillId="0" borderId="20" xfId="26" applyFont="1" applyBorder="1" applyAlignment="1" applyProtection="1">
      <alignment horizontal="center"/>
      <protection/>
    </xf>
    <xf numFmtId="164" fontId="5" fillId="0" borderId="6" xfId="26" applyFont="1" applyBorder="1" applyAlignment="1" applyProtection="1">
      <alignment horizontal="center"/>
      <protection/>
    </xf>
    <xf numFmtId="164" fontId="5" fillId="0" borderId="1" xfId="26" applyFont="1" applyBorder="1">
      <alignment/>
      <protection/>
    </xf>
    <xf numFmtId="164" fontId="5" fillId="0" borderId="24" xfId="26" applyFont="1" applyBorder="1" applyAlignment="1" applyProtection="1">
      <alignment horizontal="centerContinuous"/>
      <protection/>
    </xf>
    <xf numFmtId="164" fontId="5" fillId="0" borderId="24" xfId="26" applyFont="1" applyBorder="1" applyAlignment="1" applyProtection="1">
      <alignment horizontal="center"/>
      <protection/>
    </xf>
    <xf numFmtId="164" fontId="5" fillId="0" borderId="3" xfId="26" applyFont="1" applyBorder="1" applyAlignment="1" applyProtection="1">
      <alignment horizontal="center"/>
      <protection/>
    </xf>
    <xf numFmtId="41" fontId="0" fillId="0" borderId="18" xfId="26" applyNumberFormat="1" applyBorder="1">
      <alignment/>
      <protection/>
    </xf>
    <xf numFmtId="41" fontId="0" fillId="0" borderId="19" xfId="26" applyNumberFormat="1" applyBorder="1">
      <alignment/>
      <protection/>
    </xf>
    <xf numFmtId="41" fontId="0" fillId="0" borderId="17" xfId="26" applyNumberFormat="1" applyBorder="1">
      <alignment/>
      <protection/>
    </xf>
    <xf numFmtId="41" fontId="0" fillId="0" borderId="21" xfId="26" applyNumberFormat="1" applyBorder="1">
      <alignment/>
      <protection/>
    </xf>
    <xf numFmtId="41" fontId="1" fillId="0" borderId="29" xfId="26" applyNumberFormat="1" applyFont="1" applyBorder="1">
      <alignment/>
      <protection/>
    </xf>
    <xf numFmtId="41" fontId="0" fillId="0" borderId="29" xfId="26" applyNumberFormat="1" applyBorder="1">
      <alignment/>
      <protection/>
    </xf>
    <xf numFmtId="41" fontId="0" fillId="0" borderId="13" xfId="26" applyNumberFormat="1" applyBorder="1">
      <alignment/>
      <protection/>
    </xf>
    <xf numFmtId="42" fontId="5" fillId="0" borderId="21" xfId="26" applyNumberFormat="1" applyFont="1" applyBorder="1">
      <alignment/>
      <protection/>
    </xf>
    <xf numFmtId="41" fontId="5" fillId="0" borderId="13" xfId="26" applyNumberFormat="1" applyFont="1" applyBorder="1">
      <alignment/>
      <protection/>
    </xf>
    <xf numFmtId="41" fontId="5" fillId="0" borderId="21" xfId="26" applyNumberFormat="1" applyFont="1" applyBorder="1">
      <alignment/>
      <protection/>
    </xf>
    <xf numFmtId="41" fontId="5" fillId="0" borderId="29" xfId="26" applyNumberFormat="1" applyFont="1" applyBorder="1">
      <alignment/>
      <protection/>
    </xf>
    <xf numFmtId="41" fontId="26" fillId="0" borderId="21" xfId="26" applyNumberFormat="1" applyFont="1" applyBorder="1">
      <alignment/>
      <protection/>
    </xf>
    <xf numFmtId="41" fontId="26" fillId="0" borderId="29" xfId="26" applyNumberFormat="1" applyFont="1" applyBorder="1">
      <alignment/>
      <protection/>
    </xf>
    <xf numFmtId="41" fontId="0" fillId="0" borderId="22" xfId="26" applyNumberFormat="1" applyBorder="1">
      <alignment/>
      <protection/>
    </xf>
    <xf numFmtId="41" fontId="0" fillId="0" borderId="20" xfId="26" applyNumberFormat="1" applyBorder="1">
      <alignment/>
      <protection/>
    </xf>
    <xf numFmtId="41" fontId="0" fillId="0" borderId="15" xfId="26" applyNumberFormat="1" applyBorder="1">
      <alignment/>
      <protection/>
    </xf>
    <xf numFmtId="164" fontId="5" fillId="0" borderId="18" xfId="26" applyFont="1" applyBorder="1" applyAlignment="1" applyProtection="1">
      <alignment horizontal="center"/>
      <protection/>
    </xf>
    <xf numFmtId="49" fontId="45" fillId="0" borderId="19" xfId="0" applyNumberFormat="1" applyFont="1" applyBorder="1" applyAlignment="1">
      <alignment horizontal="center"/>
    </xf>
    <xf numFmtId="49" fontId="45" fillId="0" borderId="17" xfId="0" applyNumberFormat="1" applyFont="1" applyBorder="1" applyAlignment="1">
      <alignment horizontal="center"/>
    </xf>
    <xf numFmtId="49" fontId="45" fillId="0" borderId="20" xfId="0" applyNumberFormat="1" applyFont="1" applyBorder="1" applyAlignment="1">
      <alignment horizontal="center"/>
    </xf>
    <xf numFmtId="41" fontId="0" fillId="0" borderId="16" xfId="26" applyNumberFormat="1" applyBorder="1">
      <alignment/>
      <protection/>
    </xf>
    <xf numFmtId="41" fontId="0" fillId="0" borderId="0" xfId="26" applyNumberFormat="1" applyBorder="1">
      <alignment/>
      <protection/>
    </xf>
    <xf numFmtId="164" fontId="0" fillId="0" borderId="21" xfId="26" applyBorder="1">
      <alignment/>
      <protection/>
    </xf>
    <xf numFmtId="42" fontId="5" fillId="0" borderId="0" xfId="26" applyNumberFormat="1" applyFont="1" applyBorder="1">
      <alignment/>
      <protection/>
    </xf>
    <xf numFmtId="37" fontId="5" fillId="0" borderId="29" xfId="26" applyNumberFormat="1" applyFont="1" applyBorder="1" applyProtection="1">
      <alignment/>
      <protection/>
    </xf>
    <xf numFmtId="164" fontId="0" fillId="0" borderId="0" xfId="26" applyFont="1">
      <alignment/>
      <protection/>
    </xf>
    <xf numFmtId="10" fontId="5" fillId="0" borderId="29" xfId="28" applyNumberFormat="1" applyFont="1" applyBorder="1" applyAlignment="1" applyProtection="1">
      <alignment horizontal="center"/>
      <protection/>
    </xf>
    <xf numFmtId="164" fontId="5" fillId="0" borderId="21" xfId="0" applyFont="1" applyBorder="1" applyAlignment="1" quotePrefix="1">
      <alignment horizontal="center"/>
    </xf>
    <xf numFmtId="41" fontId="5" fillId="0" borderId="0" xfId="26" applyNumberFormat="1" applyFont="1" applyBorder="1">
      <alignment/>
      <protection/>
    </xf>
    <xf numFmtId="41" fontId="26" fillId="0" borderId="0" xfId="26" applyNumberFormat="1" applyFont="1" applyBorder="1">
      <alignment/>
      <protection/>
    </xf>
    <xf numFmtId="41" fontId="0" fillId="0" borderId="14" xfId="26" applyNumberFormat="1" applyBorder="1">
      <alignment/>
      <protection/>
    </xf>
    <xf numFmtId="164" fontId="50" fillId="0" borderId="0" xfId="0" applyFont="1" applyAlignment="1">
      <alignment horizontal="centerContinuous"/>
    </xf>
    <xf numFmtId="164" fontId="51" fillId="0" borderId="0" xfId="0" applyFont="1" applyAlignment="1">
      <alignment horizontal="centerContinuous"/>
    </xf>
    <xf numFmtId="172" fontId="51" fillId="0" borderId="0" xfId="17" applyNumberFormat="1" applyFont="1" applyAlignment="1">
      <alignment horizontal="centerContinuous"/>
    </xf>
    <xf numFmtId="164" fontId="50" fillId="0" borderId="0" xfId="0" applyFont="1" applyFill="1" applyAlignment="1">
      <alignment horizontal="centerContinuous"/>
    </xf>
    <xf numFmtId="164" fontId="51" fillId="0" borderId="0" xfId="0" applyFont="1" applyFill="1" applyAlignment="1">
      <alignment horizontal="centerContinuous"/>
    </xf>
    <xf numFmtId="172" fontId="51" fillId="0" borderId="0" xfId="17" applyNumberFormat="1" applyFont="1" applyFill="1" applyAlignment="1">
      <alignment horizontal="centerContinuous"/>
    </xf>
    <xf numFmtId="164" fontId="51" fillId="0" borderId="0" xfId="0" applyFont="1" applyAlignment="1">
      <alignment/>
    </xf>
    <xf numFmtId="172" fontId="51" fillId="0" borderId="0" xfId="17" applyNumberFormat="1" applyFont="1" applyAlignment="1">
      <alignment/>
    </xf>
    <xf numFmtId="164" fontId="52" fillId="0" borderId="0" xfId="0" applyFont="1" applyAlignment="1">
      <alignment/>
    </xf>
    <xf numFmtId="164" fontId="50" fillId="0" borderId="14" xfId="0" applyFont="1" applyBorder="1" applyAlignment="1">
      <alignment horizontal="centerContinuous"/>
    </xf>
    <xf numFmtId="164" fontId="52" fillId="0" borderId="0" xfId="0" applyFont="1" applyAlignment="1">
      <alignment horizontal="center"/>
    </xf>
    <xf numFmtId="172" fontId="52" fillId="0" borderId="0" xfId="17" applyNumberFormat="1" applyFont="1" applyAlignment="1">
      <alignment horizontal="center"/>
    </xf>
    <xf numFmtId="164" fontId="51" fillId="0" borderId="0" xfId="0" applyFont="1" applyAlignment="1">
      <alignment horizontal="center"/>
    </xf>
    <xf numFmtId="164" fontId="50" fillId="0" borderId="0" xfId="0" applyFont="1" applyAlignment="1">
      <alignment/>
    </xf>
    <xf numFmtId="175" fontId="51" fillId="0" borderId="0" xfId="0" applyNumberFormat="1" applyFont="1" applyAlignment="1">
      <alignment/>
    </xf>
    <xf numFmtId="176" fontId="51" fillId="0" borderId="0" xfId="0" applyNumberFormat="1" applyFont="1" applyAlignment="1">
      <alignment/>
    </xf>
    <xf numFmtId="164" fontId="51" fillId="0" borderId="14" xfId="0" applyFont="1" applyBorder="1" applyAlignment="1">
      <alignment/>
    </xf>
    <xf numFmtId="172" fontId="51" fillId="0" borderId="14" xfId="17" applyNumberFormat="1" applyFont="1" applyBorder="1" applyAlignment="1">
      <alignment/>
    </xf>
    <xf numFmtId="175" fontId="51" fillId="0" borderId="39" xfId="0" applyNumberFormat="1" applyFont="1" applyBorder="1" applyAlignment="1">
      <alignment/>
    </xf>
    <xf numFmtId="172" fontId="51" fillId="0" borderId="39" xfId="17" applyNumberFormat="1" applyFont="1" applyBorder="1" applyAlignment="1">
      <alignment/>
    </xf>
    <xf numFmtId="164" fontId="18" fillId="0" borderId="0" xfId="0" applyFont="1" applyAlignment="1">
      <alignment/>
    </xf>
    <xf numFmtId="176" fontId="18" fillId="0" borderId="0" xfId="0" applyNumberFormat="1" applyFont="1" applyAlignment="1">
      <alignment/>
    </xf>
    <xf numFmtId="175" fontId="18" fillId="0" borderId="0" xfId="0" applyNumberFormat="1" applyFont="1" applyAlignment="1">
      <alignment/>
    </xf>
    <xf numFmtId="172" fontId="51" fillId="0" borderId="0" xfId="17" applyNumberFormat="1" applyFont="1" applyBorder="1" applyAlignment="1">
      <alignment/>
    </xf>
    <xf numFmtId="175" fontId="18" fillId="0" borderId="14" xfId="0" applyNumberFormat="1" applyFont="1" applyBorder="1" applyAlignment="1">
      <alignment/>
    </xf>
    <xf numFmtId="172" fontId="18" fillId="0" borderId="0" xfId="17" applyNumberFormat="1" applyFont="1" applyAlignment="1">
      <alignment/>
    </xf>
    <xf numFmtId="164" fontId="18" fillId="0" borderId="0" xfId="0" applyFont="1" applyAlignment="1">
      <alignment horizontal="center"/>
    </xf>
    <xf numFmtId="175" fontId="18" fillId="0" borderId="39" xfId="0" applyNumberFormat="1" applyFont="1" applyBorder="1" applyAlignment="1">
      <alignment/>
    </xf>
    <xf numFmtId="172" fontId="18" fillId="0" borderId="39" xfId="17" applyNumberFormat="1" applyFont="1" applyBorder="1" applyAlignment="1">
      <alignment/>
    </xf>
    <xf numFmtId="175" fontId="0" fillId="0" borderId="0" xfId="0" applyNumberFormat="1" applyAlignment="1">
      <alignment/>
    </xf>
    <xf numFmtId="164" fontId="8" fillId="0" borderId="1" xfId="0" applyFont="1" applyBorder="1" applyAlignment="1" applyProtection="1">
      <alignment horizontal="left"/>
      <protection/>
    </xf>
    <xf numFmtId="164" fontId="0" fillId="0" borderId="9" xfId="0" applyBorder="1" applyAlignment="1" applyProtection="1">
      <alignment horizontal="left"/>
      <protection/>
    </xf>
    <xf numFmtId="37" fontId="15" fillId="0" borderId="15" xfId="0" applyNumberFormat="1" applyFont="1" applyBorder="1" applyAlignment="1" applyProtection="1">
      <alignment/>
      <protection/>
    </xf>
    <xf numFmtId="173" fontId="15" fillId="0" borderId="40" xfId="0" applyNumberFormat="1" applyFont="1" applyBorder="1" applyAlignment="1" applyProtection="1">
      <alignment/>
      <protection/>
    </xf>
    <xf numFmtId="173" fontId="15" fillId="0" borderId="29" xfId="17" applyNumberFormat="1" applyFont="1" applyBorder="1" applyAlignment="1" applyProtection="1">
      <alignment/>
      <protection/>
    </xf>
    <xf numFmtId="164" fontId="15" fillId="0" borderId="29" xfId="0" applyFont="1" applyBorder="1" applyAlignment="1" applyProtection="1">
      <alignment/>
      <protection/>
    </xf>
    <xf numFmtId="173" fontId="15" fillId="0" borderId="0" xfId="17" applyNumberFormat="1" applyFont="1" applyBorder="1" applyAlignment="1" applyProtection="1">
      <alignment/>
      <protection/>
    </xf>
    <xf numFmtId="164" fontId="15" fillId="0" borderId="0" xfId="0" applyFont="1" applyBorder="1" applyAlignment="1" applyProtection="1">
      <alignment/>
      <protection/>
    </xf>
    <xf numFmtId="37" fontId="15" fillId="0" borderId="14" xfId="0" applyNumberFormat="1" applyFont="1" applyBorder="1" applyAlignment="1" applyProtection="1">
      <alignment/>
      <protection/>
    </xf>
    <xf numFmtId="173" fontId="15" fillId="0" borderId="41" xfId="0" applyNumberFormat="1" applyFont="1" applyBorder="1" applyAlignment="1" applyProtection="1">
      <alignment/>
      <protection/>
    </xf>
    <xf numFmtId="37" fontId="15" fillId="0" borderId="42" xfId="0" applyNumberFormat="1" applyFont="1" applyBorder="1" applyAlignment="1" applyProtection="1">
      <alignment/>
      <protection/>
    </xf>
    <xf numFmtId="164" fontId="4" fillId="0" borderId="11" xfId="0" applyFont="1" applyBorder="1" applyAlignment="1">
      <alignment/>
    </xf>
    <xf numFmtId="164" fontId="4" fillId="0" borderId="0" xfId="0" applyFont="1" applyAlignment="1">
      <alignment/>
    </xf>
    <xf numFmtId="164" fontId="4" fillId="0" borderId="1" xfId="0" applyFont="1" applyBorder="1" applyAlignment="1">
      <alignment/>
    </xf>
    <xf numFmtId="164" fontId="4" fillId="0" borderId="43" xfId="0" applyFont="1" applyBorder="1" applyAlignment="1">
      <alignment/>
    </xf>
    <xf numFmtId="164" fontId="4" fillId="0" borderId="44" xfId="0" applyFont="1" applyBorder="1" applyAlignment="1">
      <alignment/>
    </xf>
    <xf numFmtId="164" fontId="4" fillId="0" borderId="2" xfId="0" applyFont="1" applyBorder="1" applyAlignment="1">
      <alignment/>
    </xf>
    <xf numFmtId="164" fontId="4" fillId="3" borderId="2" xfId="0" applyFont="1" applyFill="1" applyBorder="1" applyAlignment="1">
      <alignment/>
    </xf>
    <xf numFmtId="164" fontId="4" fillId="3" borderId="3" xfId="0" applyFont="1" applyFill="1" applyBorder="1" applyAlignment="1">
      <alignment/>
    </xf>
    <xf numFmtId="175" fontId="4" fillId="0" borderId="1" xfId="0" applyNumberFormat="1" applyFont="1" applyBorder="1" applyAlignment="1">
      <alignment/>
    </xf>
    <xf numFmtId="175" fontId="4" fillId="0" borderId="2" xfId="0" applyNumberFormat="1" applyFont="1" applyBorder="1" applyAlignment="1">
      <alignment/>
    </xf>
    <xf numFmtId="175" fontId="4" fillId="3" borderId="2" xfId="0" applyNumberFormat="1" applyFont="1" applyFill="1" applyBorder="1" applyAlignment="1">
      <alignment/>
    </xf>
    <xf numFmtId="175" fontId="4" fillId="3" borderId="3" xfId="0" applyNumberFormat="1" applyFont="1" applyFill="1" applyBorder="1" applyAlignment="1">
      <alignment/>
    </xf>
    <xf numFmtId="164" fontId="4" fillId="0" borderId="45" xfId="0" applyFont="1" applyBorder="1" applyAlignment="1">
      <alignment/>
    </xf>
    <xf numFmtId="164" fontId="4" fillId="0" borderId="25" xfId="0" applyFont="1" applyBorder="1" applyAlignment="1">
      <alignment/>
    </xf>
    <xf numFmtId="164" fontId="4" fillId="0" borderId="46" xfId="0" applyFont="1" applyBorder="1" applyAlignment="1">
      <alignment/>
    </xf>
    <xf numFmtId="175" fontId="4" fillId="0" borderId="25" xfId="0" applyNumberFormat="1" applyFont="1" applyBorder="1" applyAlignment="1">
      <alignment/>
    </xf>
    <xf numFmtId="175" fontId="4" fillId="0" borderId="47" xfId="0" applyNumberFormat="1" applyFont="1" applyBorder="1" applyAlignment="1">
      <alignment/>
    </xf>
    <xf numFmtId="175" fontId="4" fillId="3" borderId="47" xfId="0" applyNumberFormat="1" applyFont="1" applyFill="1" applyBorder="1" applyAlignment="1">
      <alignment/>
    </xf>
    <xf numFmtId="175" fontId="4" fillId="3" borderId="12" xfId="0" applyNumberFormat="1" applyFont="1" applyFill="1" applyBorder="1" applyAlignment="1">
      <alignment/>
    </xf>
    <xf numFmtId="175" fontId="4" fillId="0" borderId="31" xfId="0" applyNumberFormat="1" applyFont="1" applyBorder="1" applyAlignment="1">
      <alignment/>
    </xf>
    <xf numFmtId="175" fontId="4" fillId="0" borderId="0" xfId="0" applyNumberFormat="1" applyFont="1" applyBorder="1" applyAlignment="1">
      <alignment/>
    </xf>
    <xf numFmtId="175" fontId="0" fillId="0" borderId="39" xfId="15" applyNumberFormat="1" applyBorder="1" applyAlignment="1">
      <alignment/>
    </xf>
    <xf numFmtId="164" fontId="4" fillId="0" borderId="11" xfId="0" applyFont="1" applyBorder="1" applyAlignment="1">
      <alignment/>
    </xf>
    <xf numFmtId="164" fontId="4" fillId="0" borderId="1" xfId="0" applyFont="1" applyBorder="1" applyAlignment="1">
      <alignment/>
    </xf>
    <xf numFmtId="0" fontId="5" fillId="0" borderId="0" xfId="22" applyFont="1" applyAlignment="1" quotePrefix="1">
      <alignment horizontal="left"/>
      <protection/>
    </xf>
    <xf numFmtId="0" fontId="5" fillId="0" borderId="0" xfId="22" applyFont="1">
      <alignment/>
      <protection/>
    </xf>
    <xf numFmtId="0" fontId="5" fillId="0" borderId="29" xfId="22" applyFont="1" applyBorder="1" applyAlignment="1" quotePrefix="1">
      <alignment horizontal="center"/>
      <protection/>
    </xf>
    <xf numFmtId="41" fontId="5" fillId="0" borderId="20" xfId="26" applyNumberFormat="1" applyFont="1" applyBorder="1">
      <alignment/>
      <protection/>
    </xf>
    <xf numFmtId="164" fontId="0" fillId="0" borderId="29" xfId="26" applyBorder="1">
      <alignment/>
      <protection/>
    </xf>
    <xf numFmtId="179" fontId="0" fillId="0" borderId="48" xfId="0" applyNumberFormat="1" applyBorder="1" applyAlignment="1" applyProtection="1">
      <alignment horizontal="center" wrapText="1"/>
      <protection/>
    </xf>
    <xf numFmtId="44" fontId="9" fillId="0" borderId="0" xfId="17" applyFont="1" applyAlignment="1">
      <alignment/>
    </xf>
    <xf numFmtId="164" fontId="9" fillId="0" borderId="0" xfId="0" applyFont="1" applyAlignment="1">
      <alignment/>
    </xf>
    <xf numFmtId="37" fontId="4" fillId="0" borderId="0" xfId="23" applyFont="1" applyBorder="1">
      <alignment/>
      <protection/>
    </xf>
    <xf numFmtId="10" fontId="4" fillId="0" borderId="0" xfId="28" applyNumberFormat="1" applyFont="1" applyBorder="1" applyAlignment="1">
      <alignment/>
    </xf>
    <xf numFmtId="175" fontId="32" fillId="0" borderId="0" xfId="15" applyNumberFormat="1" applyFont="1" applyAlignment="1">
      <alignment/>
    </xf>
    <xf numFmtId="175" fontId="5" fillId="0" borderId="24" xfId="15" applyNumberFormat="1" applyFont="1" applyBorder="1" applyAlignment="1">
      <alignment horizontal="center"/>
    </xf>
    <xf numFmtId="175" fontId="5" fillId="0" borderId="24" xfId="15" applyNumberFormat="1" applyFont="1" applyBorder="1" applyAlignment="1">
      <alignment horizontal="center" wrapText="1"/>
    </xf>
    <xf numFmtId="175" fontId="5" fillId="0" borderId="21" xfId="15" applyNumberFormat="1" applyFont="1" applyBorder="1" applyAlignment="1">
      <alignment/>
    </xf>
    <xf numFmtId="175" fontId="5" fillId="0" borderId="0" xfId="15" applyNumberFormat="1" applyFont="1" applyBorder="1" applyAlignment="1">
      <alignment horizontal="center" wrapText="1"/>
    </xf>
    <xf numFmtId="175" fontId="5" fillId="0" borderId="13" xfId="15" applyNumberFormat="1" applyFont="1" applyBorder="1" applyAlignment="1">
      <alignment horizontal="center" wrapText="1"/>
    </xf>
    <xf numFmtId="49" fontId="5" fillId="0" borderId="21" xfId="15" applyNumberFormat="1" applyFont="1" applyBorder="1" applyAlignment="1">
      <alignment horizontal="center"/>
    </xf>
    <xf numFmtId="175" fontId="5" fillId="0" borderId="14" xfId="15" applyNumberFormat="1" applyFont="1" applyBorder="1" applyAlignment="1">
      <alignment/>
    </xf>
    <xf numFmtId="9" fontId="5" fillId="0" borderId="14" xfId="28" applyFont="1" applyBorder="1" applyAlignment="1">
      <alignment/>
    </xf>
    <xf numFmtId="9" fontId="5" fillId="0" borderId="15" xfId="28" applyFont="1" applyBorder="1" applyAlignment="1">
      <alignment/>
    </xf>
    <xf numFmtId="10" fontId="5" fillId="0" borderId="0" xfId="28" applyNumberFormat="1" applyFont="1" applyBorder="1" applyAlignment="1">
      <alignment/>
    </xf>
    <xf numFmtId="10" fontId="5" fillId="0" borderId="13" xfId="28" applyNumberFormat="1" applyFont="1" applyBorder="1" applyAlignment="1">
      <alignment/>
    </xf>
    <xf numFmtId="49" fontId="5" fillId="0" borderId="22" xfId="15" applyNumberFormat="1" applyFont="1" applyBorder="1" applyAlignment="1">
      <alignment horizontal="center"/>
    </xf>
    <xf numFmtId="172" fontId="5" fillId="0" borderId="14" xfId="17" applyNumberFormat="1" applyFont="1" applyBorder="1" applyAlignment="1">
      <alignment/>
    </xf>
    <xf numFmtId="175" fontId="5" fillId="0" borderId="19" xfId="15" applyNumberFormat="1" applyFont="1" applyBorder="1" applyAlignment="1">
      <alignment/>
    </xf>
    <xf numFmtId="175" fontId="5" fillId="0" borderId="19" xfId="15" applyNumberFormat="1" applyFont="1" applyBorder="1" applyAlignment="1">
      <alignment horizontal="center" wrapText="1"/>
    </xf>
    <xf numFmtId="49" fontId="5" fillId="0" borderId="29" xfId="15" applyNumberFormat="1" applyFont="1" applyBorder="1" applyAlignment="1">
      <alignment horizontal="center"/>
    </xf>
    <xf numFmtId="172" fontId="5" fillId="0" borderId="29" xfId="17" applyNumberFormat="1" applyFont="1" applyBorder="1" applyAlignment="1">
      <alignment/>
    </xf>
    <xf numFmtId="9" fontId="5" fillId="0" borderId="29" xfId="28" applyFont="1" applyBorder="1" applyAlignment="1">
      <alignment/>
    </xf>
    <xf numFmtId="172" fontId="5" fillId="0" borderId="49" xfId="17" applyNumberFormat="1" applyFont="1" applyBorder="1" applyAlignment="1">
      <alignment/>
    </xf>
    <xf numFmtId="10" fontId="5" fillId="0" borderId="49" xfId="28" applyNumberFormat="1" applyFont="1" applyBorder="1" applyAlignment="1">
      <alignment/>
    </xf>
    <xf numFmtId="43" fontId="5" fillId="0" borderId="29" xfId="15" applyFont="1" applyBorder="1" applyAlignment="1">
      <alignment/>
    </xf>
    <xf numFmtId="49" fontId="5" fillId="0" borderId="20" xfId="15" applyNumberFormat="1" applyFont="1" applyBorder="1" applyAlignment="1">
      <alignment horizontal="center"/>
    </xf>
    <xf numFmtId="172" fontId="5" fillId="0" borderId="20" xfId="17" applyNumberFormat="1" applyFont="1" applyBorder="1" applyAlignment="1">
      <alignment/>
    </xf>
    <xf numFmtId="49" fontId="5" fillId="0" borderId="19" xfId="15" applyNumberFormat="1" applyFont="1" applyBorder="1" applyAlignment="1">
      <alignment horizontal="center"/>
    </xf>
    <xf numFmtId="172" fontId="5" fillId="0" borderId="19" xfId="17" applyNumberFormat="1" applyFont="1" applyBorder="1" applyAlignment="1">
      <alignment/>
    </xf>
    <xf numFmtId="175" fontId="5" fillId="0" borderId="49" xfId="15" applyNumberFormat="1" applyFont="1" applyBorder="1" applyAlignment="1">
      <alignment/>
    </xf>
    <xf numFmtId="175" fontId="5" fillId="0" borderId="0" xfId="15" applyNumberFormat="1" applyFont="1" applyAlignment="1">
      <alignment horizontal="center"/>
    </xf>
    <xf numFmtId="167" fontId="0" fillId="0" borderId="2" xfId="0" applyNumberFormat="1" applyBorder="1" applyAlignment="1" applyProtection="1">
      <alignment horizontal="center"/>
      <protection/>
    </xf>
    <xf numFmtId="164" fontId="0" fillId="0" borderId="47" xfId="0" applyBorder="1" applyAlignment="1" applyProtection="1">
      <alignment horizontal="center"/>
      <protection/>
    </xf>
    <xf numFmtId="164" fontId="9" fillId="0" borderId="3" xfId="0" applyFont="1" applyBorder="1" applyAlignment="1" applyProtection="1">
      <alignment horizontal="left"/>
      <protection/>
    </xf>
    <xf numFmtId="37" fontId="0" fillId="0" borderId="9" xfId="0" applyNumberFormat="1" applyBorder="1" applyAlignment="1" applyProtection="1">
      <alignment horizontal="center"/>
      <protection/>
    </xf>
    <xf numFmtId="172" fontId="4" fillId="0" borderId="0" xfId="17" applyNumberFormat="1" applyBorder="1" applyAlignment="1" applyProtection="1">
      <alignment/>
      <protection/>
    </xf>
    <xf numFmtId="172" fontId="4" fillId="0" borderId="13" xfId="17" applyNumberFormat="1" applyBorder="1" applyAlignment="1" applyProtection="1">
      <alignment/>
      <protection/>
    </xf>
    <xf numFmtId="172" fontId="4" fillId="0" borderId="21" xfId="17" applyNumberFormat="1" applyBorder="1" applyAlignment="1" applyProtection="1">
      <alignment/>
      <protection/>
    </xf>
    <xf numFmtId="164" fontId="0" fillId="0" borderId="4" xfId="0" applyBorder="1" applyAlignment="1" applyProtection="1">
      <alignment horizontal="left"/>
      <protection/>
    </xf>
    <xf numFmtId="172" fontId="10" fillId="0" borderId="0" xfId="17" applyNumberFormat="1" applyFont="1" applyBorder="1" applyAlignment="1" applyProtection="1">
      <alignment/>
      <protection/>
    </xf>
    <xf numFmtId="172" fontId="10" fillId="0" borderId="13" xfId="17" applyNumberFormat="1" applyFont="1" applyBorder="1" applyAlignment="1" applyProtection="1">
      <alignment/>
      <protection/>
    </xf>
    <xf numFmtId="164" fontId="9" fillId="0" borderId="4" xfId="0" applyFont="1" applyBorder="1" applyAlignment="1" applyProtection="1">
      <alignment horizontal="left"/>
      <protection/>
    </xf>
    <xf numFmtId="172" fontId="11" fillId="0" borderId="0" xfId="17" applyNumberFormat="1" applyFont="1" applyBorder="1" applyAlignment="1" applyProtection="1">
      <alignment/>
      <protection/>
    </xf>
    <xf numFmtId="37" fontId="0" fillId="0" borderId="31" xfId="0" applyNumberFormat="1" applyBorder="1" applyAlignment="1">
      <alignment/>
    </xf>
    <xf numFmtId="175" fontId="4" fillId="0" borderId="0" xfId="15" applyNumberFormat="1" applyBorder="1" applyAlignment="1">
      <alignment/>
    </xf>
    <xf numFmtId="175" fontId="4" fillId="0" borderId="13" xfId="15" applyNumberFormat="1" applyBorder="1" applyAlignment="1">
      <alignment/>
    </xf>
    <xf numFmtId="175" fontId="4" fillId="0" borderId="21" xfId="15" applyNumberFormat="1" applyBorder="1" applyAlignment="1">
      <alignment/>
    </xf>
    <xf numFmtId="175" fontId="4" fillId="0" borderId="13" xfId="15" applyNumberFormat="1" applyBorder="1" applyAlignment="1" applyProtection="1">
      <alignment/>
      <protection/>
    </xf>
    <xf numFmtId="175" fontId="4" fillId="0" borderId="21" xfId="15" applyNumberFormat="1" applyBorder="1" applyAlignment="1" applyProtection="1">
      <alignment horizontal="center"/>
      <protection/>
    </xf>
    <xf numFmtId="175" fontId="4" fillId="0" borderId="13" xfId="15" applyNumberFormat="1" applyBorder="1" applyAlignment="1" applyProtection="1">
      <alignment horizontal="center"/>
      <protection/>
    </xf>
    <xf numFmtId="164" fontId="0" fillId="0" borderId="45" xfId="0" applyBorder="1" applyAlignment="1">
      <alignment/>
    </xf>
    <xf numFmtId="175" fontId="11" fillId="0" borderId="31" xfId="15" applyNumberFormat="1" applyFont="1" applyBorder="1" applyAlignment="1" applyProtection="1">
      <alignment/>
      <protection/>
    </xf>
    <xf numFmtId="175" fontId="11" fillId="0" borderId="13" xfId="15" applyNumberFormat="1" applyFont="1" applyBorder="1" applyAlignment="1" applyProtection="1">
      <alignment/>
      <protection/>
    </xf>
    <xf numFmtId="164" fontId="9" fillId="0" borderId="21" xfId="0" applyFont="1" applyBorder="1" applyAlignment="1" applyProtection="1">
      <alignment horizontal="left"/>
      <protection/>
    </xf>
    <xf numFmtId="175" fontId="11" fillId="0" borderId="21" xfId="15" applyNumberFormat="1" applyFont="1" applyBorder="1" applyAlignment="1" applyProtection="1">
      <alignment/>
      <protection/>
    </xf>
    <xf numFmtId="175" fontId="11" fillId="0" borderId="15" xfId="15" applyNumberFormat="1" applyFont="1" applyBorder="1" applyAlignment="1" applyProtection="1">
      <alignment/>
      <protection/>
    </xf>
    <xf numFmtId="172" fontId="11" fillId="0" borderId="22" xfId="17" applyNumberFormat="1" applyFont="1" applyBorder="1" applyAlignment="1" applyProtection="1">
      <alignment/>
      <protection/>
    </xf>
    <xf numFmtId="37" fontId="23" fillId="0" borderId="13" xfId="0" applyNumberFormat="1" applyFont="1" applyBorder="1" applyAlignment="1" applyProtection="1">
      <alignment horizontal="right"/>
      <protection/>
    </xf>
    <xf numFmtId="37" fontId="7" fillId="0" borderId="22" xfId="0" applyNumberFormat="1" applyFont="1" applyFill="1" applyBorder="1" applyAlignment="1" applyProtection="1">
      <alignment/>
      <protection/>
    </xf>
    <xf numFmtId="37" fontId="0" fillId="0" borderId="22" xfId="0" applyNumberFormat="1" applyBorder="1" applyAlignment="1">
      <alignment/>
    </xf>
    <xf numFmtId="37" fontId="7" fillId="0" borderId="0" xfId="0" applyNumberFormat="1" applyFont="1" applyFill="1" applyBorder="1" applyAlignment="1" applyProtection="1">
      <alignment/>
      <protection/>
    </xf>
    <xf numFmtId="37" fontId="0" fillId="0" borderId="0" xfId="0" applyNumberFormat="1" applyBorder="1" applyAlignment="1">
      <alignment/>
    </xf>
    <xf numFmtId="175" fontId="32" fillId="0" borderId="22" xfId="15" applyNumberFormat="1" applyFont="1" applyBorder="1" applyAlignment="1">
      <alignment/>
    </xf>
    <xf numFmtId="175" fontId="5" fillId="0" borderId="18" xfId="15" applyNumberFormat="1" applyFont="1" applyBorder="1" applyAlignment="1">
      <alignment/>
    </xf>
    <xf numFmtId="175" fontId="5" fillId="0" borderId="17" xfId="15" applyNumberFormat="1" applyFont="1" applyBorder="1" applyAlignment="1">
      <alignment/>
    </xf>
    <xf numFmtId="175" fontId="5" fillId="0" borderId="0" xfId="15" applyNumberFormat="1" applyFont="1" applyBorder="1" applyAlignment="1">
      <alignment vertical="top"/>
    </xf>
    <xf numFmtId="175" fontId="5" fillId="0" borderId="0" xfId="15" applyNumberFormat="1" applyFont="1" applyBorder="1" applyAlignment="1">
      <alignment wrapText="1"/>
    </xf>
    <xf numFmtId="10" fontId="5" fillId="0" borderId="20" xfId="28" applyNumberFormat="1" applyFont="1" applyBorder="1" applyAlignment="1">
      <alignment/>
    </xf>
    <xf numFmtId="172" fontId="5" fillId="0" borderId="50" xfId="17" applyNumberFormat="1" applyFont="1" applyBorder="1" applyAlignment="1">
      <alignment/>
    </xf>
    <xf numFmtId="37" fontId="19" fillId="0" borderId="6" xfId="0" applyNumberFormat="1" applyFont="1" applyFill="1" applyBorder="1" applyAlignment="1" applyProtection="1">
      <alignment/>
      <protection/>
    </xf>
    <xf numFmtId="180" fontId="0" fillId="0" borderId="0" xfId="0" applyNumberFormat="1" applyAlignment="1">
      <alignment/>
    </xf>
    <xf numFmtId="44" fontId="0" fillId="0" borderId="0" xfId="0" applyNumberFormat="1" applyAlignment="1">
      <alignment/>
    </xf>
    <xf numFmtId="183" fontId="0" fillId="0" borderId="0" xfId="0" applyNumberFormat="1" applyAlignment="1" applyProtection="1">
      <alignment horizontal="left"/>
      <protection/>
    </xf>
    <xf numFmtId="44" fontId="5" fillId="0" borderId="0" xfId="0" applyNumberFormat="1" applyFont="1" applyAlignment="1">
      <alignment/>
    </xf>
    <xf numFmtId="37" fontId="19" fillId="0" borderId="4" xfId="0" applyNumberFormat="1" applyFont="1" applyFill="1" applyBorder="1" applyAlignment="1" applyProtection="1">
      <alignment/>
      <protection/>
    </xf>
    <xf numFmtId="164" fontId="13" fillId="0" borderId="21" xfId="24" applyFont="1" applyBorder="1" applyAlignment="1">
      <alignment horizontal="centerContinuous"/>
      <protection/>
    </xf>
    <xf numFmtId="164" fontId="13" fillId="0" borderId="16" xfId="0" applyFont="1" applyBorder="1" applyAlignment="1">
      <alignment horizontal="center"/>
    </xf>
    <xf numFmtId="164" fontId="13" fillId="0" borderId="19" xfId="0" applyFont="1" applyBorder="1" applyAlignment="1">
      <alignment horizontal="center"/>
    </xf>
    <xf numFmtId="164" fontId="13" fillId="0" borderId="17" xfId="0" applyFont="1" applyBorder="1" applyAlignment="1">
      <alignment horizontal="center"/>
    </xf>
    <xf numFmtId="164" fontId="13" fillId="0" borderId="14" xfId="0" applyFont="1" applyBorder="1" applyAlignment="1">
      <alignment horizontal="center"/>
    </xf>
    <xf numFmtId="164" fontId="13" fillId="0" borderId="20" xfId="0" applyFont="1" applyBorder="1" applyAlignment="1">
      <alignment horizontal="center"/>
    </xf>
    <xf numFmtId="164" fontId="13" fillId="0" borderId="15" xfId="0" applyFont="1" applyBorder="1" applyAlignment="1">
      <alignment horizontal="center"/>
    </xf>
    <xf numFmtId="164" fontId="13" fillId="0" borderId="30" xfId="0" applyFont="1" applyBorder="1" applyAlignment="1">
      <alignment horizontal="center"/>
    </xf>
    <xf numFmtId="164" fontId="13" fillId="0" borderId="31" xfId="0" applyFont="1" applyBorder="1" applyAlignment="1">
      <alignment horizontal="center"/>
    </xf>
    <xf numFmtId="164" fontId="5" fillId="0" borderId="21" xfId="0" applyFont="1" applyBorder="1" applyAlignment="1">
      <alignment horizontal="center"/>
    </xf>
    <xf numFmtId="164" fontId="5" fillId="0" borderId="0" xfId="0" applyFont="1" applyAlignment="1">
      <alignment horizontal="left"/>
    </xf>
    <xf numFmtId="164" fontId="5" fillId="0" borderId="0" xfId="0" applyFont="1" applyFill="1" applyBorder="1" applyAlignment="1">
      <alignment horizontal="left"/>
    </xf>
    <xf numFmtId="172" fontId="5" fillId="0" borderId="13" xfId="0" applyNumberFormat="1" applyFont="1" applyBorder="1" applyAlignment="1">
      <alignment/>
    </xf>
    <xf numFmtId="172" fontId="13" fillId="0" borderId="51" xfId="17" applyNumberFormat="1" applyFont="1" applyBorder="1" applyAlignment="1">
      <alignment/>
    </xf>
    <xf numFmtId="175" fontId="0" fillId="0" borderId="21" xfId="15" applyNumberFormat="1" applyFont="1" applyBorder="1" applyAlignment="1" applyProtection="1">
      <alignment/>
      <protection/>
    </xf>
    <xf numFmtId="175" fontId="5" fillId="0" borderId="0" xfId="15" applyNumberFormat="1" applyFont="1" applyBorder="1" applyAlignment="1">
      <alignment horizontal="center"/>
    </xf>
    <xf numFmtId="175" fontId="13" fillId="0" borderId="0" xfId="15" applyNumberFormat="1" applyFont="1" applyBorder="1" applyAlignment="1">
      <alignment horizontal="left"/>
    </xf>
    <xf numFmtId="175" fontId="13" fillId="0" borderId="0" xfId="15" applyNumberFormat="1" applyFont="1" applyBorder="1" applyAlignment="1">
      <alignment horizontal="center"/>
    </xf>
    <xf numFmtId="175" fontId="27" fillId="0" borderId="0" xfId="15" applyNumberFormat="1" applyFont="1" applyBorder="1" applyAlignment="1">
      <alignment horizontal="center" wrapText="1"/>
    </xf>
    <xf numFmtId="175" fontId="5" fillId="0" borderId="0" xfId="15" applyNumberFormat="1" applyFont="1" applyBorder="1" applyAlignment="1">
      <alignment horizontal="right"/>
    </xf>
    <xf numFmtId="176" fontId="5" fillId="0" borderId="29" xfId="17" applyNumberFormat="1" applyFont="1" applyBorder="1" applyAlignment="1">
      <alignment/>
    </xf>
    <xf numFmtId="164" fontId="51" fillId="0" borderId="16" xfId="0" applyFont="1" applyBorder="1" applyAlignment="1">
      <alignment horizontal="centerContinuous"/>
    </xf>
    <xf numFmtId="172" fontId="51" fillId="0" borderId="17" xfId="17" applyNumberFormat="1" applyFont="1" applyBorder="1" applyAlignment="1">
      <alignment horizontal="centerContinuous"/>
    </xf>
    <xf numFmtId="172" fontId="51" fillId="0" borderId="13" xfId="17" applyNumberFormat="1" applyFont="1" applyFill="1" applyBorder="1" applyAlignment="1">
      <alignment horizontal="centerContinuous"/>
    </xf>
    <xf numFmtId="172" fontId="51" fillId="0" borderId="15" xfId="17" applyNumberFormat="1" applyFont="1" applyFill="1" applyBorder="1" applyAlignment="1">
      <alignment horizontal="centerContinuous"/>
    </xf>
    <xf numFmtId="164" fontId="51" fillId="0" borderId="29" xfId="0" applyFont="1" applyBorder="1" applyAlignment="1">
      <alignment/>
    </xf>
    <xf numFmtId="164" fontId="51" fillId="0" borderId="29" xfId="0" applyFont="1" applyBorder="1" applyAlignment="1">
      <alignment horizontal="center"/>
    </xf>
    <xf numFmtId="164" fontId="18" fillId="0" borderId="29" xfId="0" applyFont="1" applyBorder="1" applyAlignment="1">
      <alignment horizontal="center"/>
    </xf>
    <xf numFmtId="164" fontId="18" fillId="0" borderId="29" xfId="0" applyFont="1" applyBorder="1" applyAlignment="1">
      <alignment/>
    </xf>
    <xf numFmtId="164" fontId="52" fillId="0" borderId="21" xfId="0" applyFont="1" applyBorder="1" applyAlignment="1">
      <alignment/>
    </xf>
    <xf numFmtId="164" fontId="50" fillId="0" borderId="13" xfId="0" applyFont="1" applyBorder="1" applyAlignment="1">
      <alignment/>
    </xf>
    <xf numFmtId="164" fontId="51" fillId="0" borderId="21" xfId="0" applyFont="1" applyBorder="1" applyAlignment="1">
      <alignment/>
    </xf>
    <xf numFmtId="164" fontId="51" fillId="0" borderId="13" xfId="0" applyFont="1" applyBorder="1" applyAlignment="1">
      <alignment/>
    </xf>
    <xf numFmtId="164" fontId="18" fillId="0" borderId="21" xfId="0" applyFont="1" applyBorder="1" applyAlignment="1">
      <alignment/>
    </xf>
    <xf numFmtId="164" fontId="18" fillId="0" borderId="13" xfId="0" applyFont="1" applyBorder="1" applyAlignment="1">
      <alignment/>
    </xf>
    <xf numFmtId="176" fontId="51" fillId="0" borderId="29" xfId="0" applyNumberFormat="1" applyFont="1" applyBorder="1" applyAlignment="1">
      <alignment/>
    </xf>
    <xf numFmtId="175" fontId="51" fillId="0" borderId="29" xfId="0" applyNumberFormat="1" applyFont="1" applyBorder="1" applyAlignment="1">
      <alignment/>
    </xf>
    <xf numFmtId="164" fontId="51" fillId="0" borderId="20" xfId="0" applyFont="1" applyBorder="1" applyAlignment="1">
      <alignment/>
    </xf>
    <xf numFmtId="175" fontId="51" fillId="0" borderId="51" xfId="0" applyNumberFormat="1" applyFont="1" applyBorder="1" applyAlignment="1">
      <alignment/>
    </xf>
    <xf numFmtId="172" fontId="51" fillId="0" borderId="21" xfId="17" applyNumberFormat="1" applyFont="1" applyBorder="1" applyAlignment="1">
      <alignment/>
    </xf>
    <xf numFmtId="172" fontId="51" fillId="0" borderId="13" xfId="17" applyNumberFormat="1" applyFont="1" applyBorder="1" applyAlignment="1">
      <alignment/>
    </xf>
    <xf numFmtId="175" fontId="51" fillId="0" borderId="21" xfId="0" applyNumberFormat="1" applyFont="1" applyBorder="1" applyAlignment="1">
      <alignment/>
    </xf>
    <xf numFmtId="172" fontId="51" fillId="0" borderId="22" xfId="17" applyNumberFormat="1" applyFont="1" applyBorder="1" applyAlignment="1">
      <alignment/>
    </xf>
    <xf numFmtId="172" fontId="51" fillId="0" borderId="52" xfId="17" applyNumberFormat="1" applyFont="1" applyBorder="1" applyAlignment="1">
      <alignment/>
    </xf>
    <xf numFmtId="164" fontId="13" fillId="0" borderId="18" xfId="0" applyFont="1" applyBorder="1" applyAlignment="1">
      <alignment horizontal="centerContinuous"/>
    </xf>
    <xf numFmtId="164" fontId="13" fillId="0" borderId="21" xfId="0" applyFont="1" applyFill="1" applyBorder="1" applyAlignment="1">
      <alignment horizontal="centerContinuous"/>
    </xf>
    <xf numFmtId="164" fontId="5" fillId="0" borderId="0" xfId="0" applyFont="1" applyFill="1" applyBorder="1" applyAlignment="1">
      <alignment horizontal="centerContinuous"/>
    </xf>
    <xf numFmtId="164" fontId="13" fillId="0" borderId="22" xfId="0" applyFont="1" applyFill="1" applyBorder="1" applyAlignment="1">
      <alignment horizontal="centerContinuous"/>
    </xf>
    <xf numFmtId="164" fontId="5" fillId="0" borderId="14" xfId="0" applyFont="1" applyFill="1" applyBorder="1" applyAlignment="1">
      <alignment horizontal="centerContinuous"/>
    </xf>
    <xf numFmtId="164" fontId="55" fillId="0" borderId="24" xfId="0" applyFont="1" applyBorder="1" applyAlignment="1">
      <alignment horizontal="center" wrapText="1"/>
    </xf>
    <xf numFmtId="164" fontId="13" fillId="0" borderId="31" xfId="0" applyFont="1" applyBorder="1" applyAlignment="1">
      <alignment horizontal="centerContinuous"/>
    </xf>
    <xf numFmtId="164" fontId="13" fillId="0" borderId="24" xfId="0" applyFont="1" applyBorder="1" applyAlignment="1">
      <alignment horizontal="center"/>
    </xf>
    <xf numFmtId="175" fontId="5" fillId="0" borderId="20" xfId="15" applyNumberFormat="1" applyFont="1" applyBorder="1" applyAlignment="1">
      <alignment horizontal="center" wrapText="1"/>
    </xf>
    <xf numFmtId="0" fontId="5" fillId="0" borderId="0" xfId="15" applyNumberFormat="1" applyFont="1" applyBorder="1" applyAlignment="1">
      <alignment/>
    </xf>
    <xf numFmtId="172" fontId="25" fillId="0" borderId="29" xfId="17" applyNumberFormat="1" applyFont="1" applyBorder="1" applyAlignment="1">
      <alignment/>
    </xf>
    <xf numFmtId="164" fontId="31" fillId="0" borderId="18" xfId="0" applyFont="1" applyBorder="1" applyAlignment="1">
      <alignment horizontal="center"/>
    </xf>
    <xf numFmtId="164" fontId="31" fillId="0" borderId="17" xfId="0" applyFont="1" applyBorder="1" applyAlignment="1">
      <alignment horizontal="center"/>
    </xf>
    <xf numFmtId="164" fontId="31" fillId="0" borderId="22" xfId="0" applyFont="1" applyBorder="1" applyAlignment="1">
      <alignment horizontal="center"/>
    </xf>
    <xf numFmtId="164" fontId="31" fillId="0" borderId="14" xfId="0" applyFont="1" applyBorder="1" applyAlignment="1">
      <alignment horizontal="center"/>
    </xf>
    <xf numFmtId="164" fontId="31" fillId="0" borderId="15" xfId="0" applyFont="1" applyBorder="1" applyAlignment="1">
      <alignment horizontal="center"/>
    </xf>
    <xf numFmtId="164" fontId="44" fillId="0" borderId="18" xfId="0" applyFont="1" applyBorder="1" applyAlignment="1">
      <alignment horizontal="centerContinuous"/>
    </xf>
    <xf numFmtId="164" fontId="45" fillId="0" borderId="16" xfId="0" applyFont="1" applyBorder="1" applyAlignment="1">
      <alignment horizontal="centerContinuous"/>
    </xf>
    <xf numFmtId="164" fontId="45" fillId="0" borderId="0" xfId="0" applyFont="1" applyAlignment="1">
      <alignment/>
    </xf>
    <xf numFmtId="164" fontId="46" fillId="0" borderId="21" xfId="0" applyFont="1" applyBorder="1" applyAlignment="1">
      <alignment horizontal="centerContinuous"/>
    </xf>
    <xf numFmtId="164" fontId="45" fillId="0" borderId="0" xfId="0" applyFont="1" applyBorder="1" applyAlignment="1">
      <alignment horizontal="centerContinuous"/>
    </xf>
    <xf numFmtId="164" fontId="44" fillId="0" borderId="22" xfId="0" applyFont="1" applyBorder="1" applyAlignment="1">
      <alignment horizontal="centerContinuous"/>
    </xf>
    <xf numFmtId="164" fontId="47" fillId="0" borderId="14" xfId="0" applyFont="1" applyBorder="1" applyAlignment="1">
      <alignment horizontal="centerContinuous"/>
    </xf>
    <xf numFmtId="164" fontId="45" fillId="0" borderId="19" xfId="0" applyFont="1" applyBorder="1" applyAlignment="1">
      <alignment horizontal="center"/>
    </xf>
    <xf numFmtId="164" fontId="45" fillId="0" borderId="18" xfId="0" applyFont="1" applyBorder="1" applyAlignment="1">
      <alignment/>
    </xf>
    <xf numFmtId="164" fontId="45" fillId="0" borderId="16" xfId="0" applyFont="1" applyBorder="1" applyAlignment="1">
      <alignment/>
    </xf>
    <xf numFmtId="164" fontId="45" fillId="0" borderId="17" xfId="0" applyFont="1" applyBorder="1" applyAlignment="1">
      <alignment/>
    </xf>
    <xf numFmtId="164" fontId="45" fillId="0" borderId="20" xfId="0" applyFont="1" applyBorder="1" applyAlignment="1">
      <alignment horizontal="center"/>
    </xf>
    <xf numFmtId="164" fontId="45" fillId="0" borderId="22" xfId="0" applyFont="1" applyBorder="1" applyAlignment="1">
      <alignment horizontal="centerContinuous"/>
    </xf>
    <xf numFmtId="164" fontId="45" fillId="0" borderId="14" xfId="0" applyFont="1" applyBorder="1" applyAlignment="1">
      <alignment horizontal="centerContinuous"/>
    </xf>
    <xf numFmtId="164" fontId="45" fillId="0" borderId="15" xfId="0" applyFont="1" applyBorder="1" applyAlignment="1">
      <alignment horizontal="centerContinuous"/>
    </xf>
    <xf numFmtId="164" fontId="45" fillId="0" borderId="24" xfId="0" applyFont="1" applyBorder="1" applyAlignment="1">
      <alignment/>
    </xf>
    <xf numFmtId="164" fontId="45" fillId="0" borderId="30" xfId="0" applyFont="1" applyBorder="1" applyAlignment="1">
      <alignment horizontal="centerContinuous"/>
    </xf>
    <xf numFmtId="164" fontId="45" fillId="0" borderId="31" xfId="0" applyFont="1" applyBorder="1" applyAlignment="1">
      <alignment horizontal="centerContinuous"/>
    </xf>
    <xf numFmtId="164" fontId="45" fillId="0" borderId="28" xfId="0" applyFont="1" applyBorder="1" applyAlignment="1">
      <alignment horizontal="centerContinuous"/>
    </xf>
    <xf numFmtId="164" fontId="45" fillId="0" borderId="29" xfId="0" applyFont="1" applyBorder="1" applyAlignment="1">
      <alignment/>
    </xf>
    <xf numFmtId="164" fontId="48" fillId="0" borderId="21" xfId="0" applyFont="1" applyBorder="1" applyAlignment="1">
      <alignment/>
    </xf>
    <xf numFmtId="164" fontId="45" fillId="0" borderId="0" xfId="0" applyFont="1" applyBorder="1" applyAlignment="1">
      <alignment/>
    </xf>
    <xf numFmtId="164" fontId="45" fillId="0" borderId="13" xfId="0" applyFont="1" applyBorder="1" applyAlignment="1">
      <alignment/>
    </xf>
    <xf numFmtId="164" fontId="45" fillId="0" borderId="29" xfId="0" applyFont="1" applyBorder="1" applyAlignment="1">
      <alignment horizontal="center"/>
    </xf>
    <xf numFmtId="164" fontId="45" fillId="0" borderId="21" xfId="0" applyFont="1" applyBorder="1" applyAlignment="1">
      <alignment/>
    </xf>
    <xf numFmtId="175" fontId="45" fillId="0" borderId="0" xfId="0" applyNumberFormat="1" applyFont="1" applyAlignment="1">
      <alignment/>
    </xf>
    <xf numFmtId="164" fontId="49" fillId="0" borderId="21" xfId="0" applyFont="1" applyBorder="1" applyAlignment="1">
      <alignment/>
    </xf>
    <xf numFmtId="172" fontId="45" fillId="0" borderId="0" xfId="0" applyNumberFormat="1" applyFont="1" applyAlignment="1">
      <alignment/>
    </xf>
    <xf numFmtId="164" fontId="45" fillId="0" borderId="0" xfId="0" applyFont="1" applyAlignment="1">
      <alignment horizontal="left"/>
    </xf>
    <xf numFmtId="164" fontId="45" fillId="0" borderId="22" xfId="0" applyFont="1" applyBorder="1" applyAlignment="1">
      <alignment/>
    </xf>
    <xf numFmtId="164" fontId="45" fillId="0" borderId="14" xfId="0" applyFont="1" applyBorder="1" applyAlignment="1">
      <alignment/>
    </xf>
    <xf numFmtId="164" fontId="45" fillId="0" borderId="15" xfId="0" applyFont="1" applyBorder="1" applyAlignment="1">
      <alignment/>
    </xf>
    <xf numFmtId="164" fontId="45" fillId="0" borderId="0" xfId="0" applyFont="1" applyBorder="1" applyAlignment="1">
      <alignment horizontal="center"/>
    </xf>
    <xf numFmtId="164" fontId="45" fillId="0" borderId="0" xfId="0" applyFont="1" applyAlignment="1">
      <alignment horizontal="center"/>
    </xf>
    <xf numFmtId="164" fontId="45" fillId="0" borderId="0" xfId="0" applyFont="1" applyAlignment="1">
      <alignment/>
    </xf>
    <xf numFmtId="164" fontId="0" fillId="0" borderId="5" xfId="0" applyBorder="1" applyAlignment="1" applyProtection="1">
      <alignment horizontal="center"/>
      <protection/>
    </xf>
    <xf numFmtId="164" fontId="0" fillId="0" borderId="20" xfId="0" applyFill="1" applyBorder="1" applyAlignment="1" applyProtection="1">
      <alignment horizontal="center"/>
      <protection/>
    </xf>
    <xf numFmtId="164" fontId="0" fillId="0" borderId="19" xfId="0" applyFill="1" applyBorder="1" applyAlignment="1" applyProtection="1">
      <alignment horizontal="center"/>
      <protection/>
    </xf>
    <xf numFmtId="164" fontId="0" fillId="0" borderId="19" xfId="0" applyFill="1" applyBorder="1" applyAlignment="1">
      <alignment horizontal="center"/>
    </xf>
    <xf numFmtId="184" fontId="0" fillId="0" borderId="20" xfId="28" applyNumberFormat="1" applyFont="1" applyFill="1" applyBorder="1" applyAlignment="1" applyProtection="1">
      <alignment horizontal="center"/>
      <protection/>
    </xf>
    <xf numFmtId="164" fontId="9" fillId="0" borderId="0" xfId="0" applyFont="1" applyBorder="1" applyAlignment="1" applyProtection="1">
      <alignment horizontal="left"/>
      <protection/>
    </xf>
    <xf numFmtId="164" fontId="0" fillId="0" borderId="24" xfId="0" applyBorder="1" applyAlignment="1">
      <alignment/>
    </xf>
    <xf numFmtId="175" fontId="0" fillId="0" borderId="24" xfId="15" applyNumberFormat="1" applyBorder="1" applyAlignment="1">
      <alignment/>
    </xf>
    <xf numFmtId="164" fontId="0" fillId="0" borderId="17" xfId="0" applyFont="1" applyBorder="1" applyAlignment="1" applyProtection="1">
      <alignment horizontal="left"/>
      <protection/>
    </xf>
    <xf numFmtId="164" fontId="0" fillId="0" borderId="13" xfId="0" applyBorder="1" applyAlignment="1" applyProtection="1">
      <alignment horizontal="left"/>
      <protection/>
    </xf>
    <xf numFmtId="164" fontId="0" fillId="0" borderId="15" xfId="0" applyBorder="1" applyAlignment="1" applyProtection="1">
      <alignment horizontal="left"/>
      <protection/>
    </xf>
    <xf numFmtId="175" fontId="24" fillId="0" borderId="29" xfId="15" applyNumberFormat="1" applyFont="1" applyBorder="1" applyAlignment="1">
      <alignment/>
    </xf>
    <xf numFmtId="175" fontId="22" fillId="0" borderId="28" xfId="15" applyNumberFormat="1" applyFont="1" applyBorder="1" applyAlignment="1">
      <alignment/>
    </xf>
    <xf numFmtId="175" fontId="22" fillId="0" borderId="24" xfId="15" applyNumberFormat="1" applyFont="1" applyBorder="1" applyAlignment="1">
      <alignment/>
    </xf>
    <xf numFmtId="172" fontId="22" fillId="0" borderId="24" xfId="17" applyNumberFormat="1" applyFont="1" applyBorder="1" applyAlignment="1">
      <alignment/>
    </xf>
    <xf numFmtId="172" fontId="22" fillId="0" borderId="29" xfId="17" applyNumberFormat="1" applyFont="1" applyBorder="1" applyAlignment="1">
      <alignment/>
    </xf>
    <xf numFmtId="172" fontId="0" fillId="0" borderId="15" xfId="17" applyNumberFormat="1" applyBorder="1" applyAlignment="1">
      <alignment/>
    </xf>
    <xf numFmtId="164" fontId="7" fillId="0" borderId="0" xfId="0" applyFont="1" applyBorder="1" applyAlignment="1">
      <alignment/>
    </xf>
    <xf numFmtId="164" fontId="31" fillId="0" borderId="30" xfId="0" applyFont="1" applyBorder="1" applyAlignment="1">
      <alignment horizontal="center"/>
    </xf>
    <xf numFmtId="164" fontId="31" fillId="0" borderId="24" xfId="0" applyFont="1" applyBorder="1" applyAlignment="1">
      <alignment horizontal="center"/>
    </xf>
    <xf numFmtId="164" fontId="7" fillId="0" borderId="18" xfId="0" applyFont="1" applyBorder="1" applyAlignment="1">
      <alignment horizontal="center"/>
    </xf>
    <xf numFmtId="164" fontId="7" fillId="0" borderId="21" xfId="0" applyFont="1" applyBorder="1" applyAlignment="1">
      <alignment horizontal="center"/>
    </xf>
    <xf numFmtId="172" fontId="7" fillId="0" borderId="21" xfId="17" applyNumberFormat="1" applyFont="1" applyBorder="1" applyAlignment="1">
      <alignment/>
    </xf>
    <xf numFmtId="164" fontId="7" fillId="0" borderId="0" xfId="0" applyFont="1" applyFill="1" applyBorder="1" applyAlignment="1">
      <alignment horizontal="left"/>
    </xf>
    <xf numFmtId="10" fontId="7" fillId="0" borderId="20" xfId="28" applyNumberFormat="1" applyFont="1" applyBorder="1" applyAlignment="1">
      <alignment/>
    </xf>
    <xf numFmtId="10" fontId="7" fillId="0" borderId="29" xfId="28" applyNumberFormat="1" applyFont="1" applyBorder="1" applyAlignment="1">
      <alignment/>
    </xf>
    <xf numFmtId="172" fontId="31" fillId="0" borderId="51" xfId="17" applyNumberFormat="1" applyFont="1" applyBorder="1" applyAlignment="1">
      <alignment/>
    </xf>
    <xf numFmtId="10" fontId="7" fillId="0" borderId="29" xfId="28" applyNumberFormat="1" applyFont="1" applyFill="1" applyBorder="1" applyAlignment="1">
      <alignment/>
    </xf>
    <xf numFmtId="172" fontId="31" fillId="0" borderId="23" xfId="17" applyNumberFormat="1" applyFont="1" applyBorder="1" applyAlignment="1">
      <alignment/>
    </xf>
    <xf numFmtId="164" fontId="7" fillId="0" borderId="22" xfId="0" applyFont="1" applyBorder="1" applyAlignment="1">
      <alignment/>
    </xf>
    <xf numFmtId="164" fontId="7" fillId="0" borderId="14" xfId="0" applyFont="1" applyBorder="1" applyAlignment="1">
      <alignment/>
    </xf>
    <xf numFmtId="164" fontId="7" fillId="0" borderId="15" xfId="0" applyFont="1" applyBorder="1" applyAlignment="1">
      <alignment/>
    </xf>
    <xf numFmtId="9" fontId="0" fillId="0" borderId="0" xfId="0" applyNumberFormat="1" applyBorder="1" applyAlignment="1">
      <alignment/>
    </xf>
    <xf numFmtId="169" fontId="0" fillId="0" borderId="0" xfId="0" applyNumberFormat="1" applyAlignment="1">
      <alignment/>
    </xf>
    <xf numFmtId="10" fontId="4" fillId="0" borderId="0" xfId="28" applyNumberFormat="1" applyBorder="1" applyAlignment="1">
      <alignment/>
    </xf>
    <xf numFmtId="164" fontId="54" fillId="0" borderId="19" xfId="0" applyFont="1" applyBorder="1" applyAlignment="1">
      <alignment horizontal="center"/>
    </xf>
    <xf numFmtId="164" fontId="54" fillId="0" borderId="16" xfId="0" applyFont="1" applyBorder="1" applyAlignment="1">
      <alignment/>
    </xf>
    <xf numFmtId="164" fontId="54" fillId="0" borderId="30" xfId="0" applyFont="1" applyBorder="1" applyAlignment="1">
      <alignment horizontal="center"/>
    </xf>
    <xf numFmtId="164" fontId="54" fillId="0" borderId="19" xfId="0" applyFont="1" applyBorder="1" applyAlignment="1">
      <alignment/>
    </xf>
    <xf numFmtId="164" fontId="54" fillId="0" borderId="20" xfId="0" applyFont="1" applyBorder="1" applyAlignment="1">
      <alignment horizontal="center"/>
    </xf>
    <xf numFmtId="164" fontId="54" fillId="0" borderId="24" xfId="0" applyFont="1" applyBorder="1" applyAlignment="1">
      <alignment horizontal="center"/>
    </xf>
    <xf numFmtId="164" fontId="54" fillId="0" borderId="14" xfId="0" applyFont="1" applyBorder="1" applyAlignment="1">
      <alignment/>
    </xf>
    <xf numFmtId="164" fontId="54" fillId="0" borderId="29" xfId="0" applyFont="1" applyBorder="1" applyAlignment="1">
      <alignment/>
    </xf>
    <xf numFmtId="164" fontId="54" fillId="0" borderId="31" xfId="0" applyFont="1" applyBorder="1" applyAlignment="1">
      <alignment horizontal="center"/>
    </xf>
    <xf numFmtId="164" fontId="54" fillId="0" borderId="29" xfId="0" applyFont="1" applyBorder="1" applyAlignment="1">
      <alignment horizontal="center"/>
    </xf>
    <xf numFmtId="3" fontId="54" fillId="0" borderId="29" xfId="0" applyNumberFormat="1" applyFont="1" applyBorder="1" applyAlignment="1">
      <alignment/>
    </xf>
    <xf numFmtId="3" fontId="54" fillId="0" borderId="0" xfId="0" applyNumberFormat="1" applyFont="1" applyAlignment="1">
      <alignment/>
    </xf>
    <xf numFmtId="3" fontId="54" fillId="0" borderId="21" xfId="0" applyNumberFormat="1" applyFont="1" applyBorder="1" applyAlignment="1">
      <alignment/>
    </xf>
    <xf numFmtId="3" fontId="54" fillId="0" borderId="20" xfId="0" applyNumberFormat="1" applyFont="1" applyBorder="1" applyAlignment="1">
      <alignment/>
    </xf>
    <xf numFmtId="169" fontId="54" fillId="0" borderId="29" xfId="28" applyNumberFormat="1" applyFont="1" applyBorder="1" applyAlignment="1">
      <alignment/>
    </xf>
    <xf numFmtId="16" fontId="54" fillId="0" borderId="29" xfId="0" applyNumberFormat="1" applyFont="1" applyBorder="1" applyAlignment="1">
      <alignment horizontal="center"/>
    </xf>
    <xf numFmtId="169" fontId="56" fillId="0" borderId="29" xfId="28" applyNumberFormat="1" applyFont="1" applyBorder="1" applyAlignment="1">
      <alignment/>
    </xf>
    <xf numFmtId="169" fontId="5" fillId="0" borderId="29" xfId="28" applyNumberFormat="1" applyFont="1" applyBorder="1" applyAlignment="1">
      <alignment/>
    </xf>
    <xf numFmtId="169" fontId="0" fillId="0" borderId="20" xfId="28" applyNumberFormat="1" applyFill="1" applyBorder="1" applyAlignment="1" applyProtection="1">
      <alignment horizontal="center"/>
      <protection/>
    </xf>
    <xf numFmtId="164" fontId="0" fillId="0" borderId="0" xfId="0" applyAlignment="1">
      <alignment horizontal="left"/>
    </xf>
    <xf numFmtId="164" fontId="0" fillId="0" borderId="0" xfId="0" applyBorder="1" applyAlignment="1">
      <alignment horizontal="center"/>
    </xf>
    <xf numFmtId="164" fontId="54" fillId="0" borderId="0" xfId="0" applyFont="1" applyBorder="1" applyAlignment="1">
      <alignment horizontal="center"/>
    </xf>
    <xf numFmtId="3" fontId="54" fillId="0" borderId="0" xfId="0" applyNumberFormat="1" applyFont="1" applyBorder="1" applyAlignment="1">
      <alignment/>
    </xf>
    <xf numFmtId="3" fontId="54" fillId="0" borderId="13" xfId="0" applyNumberFormat="1" applyFont="1" applyBorder="1" applyAlignment="1">
      <alignment/>
    </xf>
    <xf numFmtId="164" fontId="54" fillId="0" borderId="14" xfId="0" applyFont="1" applyBorder="1" applyAlignment="1">
      <alignment horizontal="center"/>
    </xf>
    <xf numFmtId="3" fontId="54" fillId="0" borderId="15" xfId="0" applyNumberFormat="1" applyFont="1" applyBorder="1" applyAlignment="1">
      <alignment/>
    </xf>
    <xf numFmtId="3" fontId="54" fillId="0" borderId="14" xfId="0" applyNumberFormat="1" applyFont="1" applyBorder="1" applyAlignment="1">
      <alignment/>
    </xf>
    <xf numFmtId="175" fontId="5" fillId="0" borderId="29" xfId="15" applyNumberFormat="1" applyFont="1" applyBorder="1" applyAlignment="1">
      <alignment horizontal="center" wrapText="1"/>
    </xf>
    <xf numFmtId="175" fontId="5" fillId="0" borderId="29" xfId="15" applyNumberFormat="1" applyFont="1" applyBorder="1" applyAlignment="1">
      <alignment wrapText="1"/>
    </xf>
    <xf numFmtId="172" fontId="4" fillId="0" borderId="18" xfId="17" applyNumberFormat="1" applyBorder="1" applyAlignment="1" applyProtection="1">
      <alignment/>
      <protection/>
    </xf>
    <xf numFmtId="175" fontId="4" fillId="0" borderId="17" xfId="15" applyNumberFormat="1" applyBorder="1" applyAlignment="1">
      <alignment/>
    </xf>
    <xf numFmtId="172" fontId="4" fillId="0" borderId="22" xfId="17" applyNumberFormat="1" applyBorder="1" applyAlignment="1" applyProtection="1">
      <alignment/>
      <protection/>
    </xf>
    <xf numFmtId="164" fontId="0" fillId="0" borderId="22" xfId="0" applyBorder="1" applyAlignment="1" applyProtection="1">
      <alignment horizontal="center"/>
      <protection/>
    </xf>
    <xf numFmtId="164" fontId="0" fillId="0" borderId="32" xfId="0" applyFont="1" applyBorder="1" applyAlignment="1" applyProtection="1">
      <alignment horizontal="left"/>
      <protection/>
    </xf>
    <xf numFmtId="164" fontId="0" fillId="0" borderId="21" xfId="0" applyBorder="1" applyAlignment="1" applyProtection="1">
      <alignment horizontal="left"/>
      <protection/>
    </xf>
    <xf numFmtId="164" fontId="0" fillId="0" borderId="21" xfId="0" applyFont="1" applyFill="1" applyBorder="1" applyAlignment="1" applyProtection="1">
      <alignment horizontal="left"/>
      <protection/>
    </xf>
    <xf numFmtId="164" fontId="9" fillId="0" borderId="21" xfId="0" applyFont="1" applyBorder="1" applyAlignment="1">
      <alignment/>
    </xf>
    <xf numFmtId="164" fontId="32" fillId="0" borderId="0" xfId="0" applyFont="1" applyAlignment="1">
      <alignment/>
    </xf>
    <xf numFmtId="175" fontId="13" fillId="0" borderId="0" xfId="15" applyNumberFormat="1" applyFont="1" applyBorder="1" applyAlignment="1">
      <alignment/>
    </xf>
    <xf numFmtId="175" fontId="4" fillId="0" borderId="0" xfId="15" applyNumberFormat="1" applyBorder="1" applyAlignment="1" applyProtection="1">
      <alignment/>
      <protection/>
    </xf>
    <xf numFmtId="44" fontId="0" fillId="0" borderId="0" xfId="17" applyAlignment="1">
      <alignment/>
    </xf>
    <xf numFmtId="175" fontId="0" fillId="0" borderId="29" xfId="15" applyNumberFormat="1" applyBorder="1" applyAlignment="1">
      <alignment/>
    </xf>
    <xf numFmtId="172" fontId="0" fillId="0" borderId="29" xfId="17" applyNumberFormat="1" applyBorder="1" applyAlignment="1">
      <alignment/>
    </xf>
    <xf numFmtId="169" fontId="5" fillId="0" borderId="0" xfId="28" applyNumberFormat="1" applyFont="1" applyAlignment="1">
      <alignment/>
    </xf>
    <xf numFmtId="164" fontId="51" fillId="0" borderId="24" xfId="0" applyFont="1" applyBorder="1" applyAlignment="1">
      <alignment horizontal="center"/>
    </xf>
    <xf numFmtId="172" fontId="51" fillId="0" borderId="30" xfId="17" applyNumberFormat="1" applyFont="1" applyBorder="1" applyAlignment="1">
      <alignment horizontal="center"/>
    </xf>
    <xf numFmtId="164" fontId="0" fillId="0" borderId="11" xfId="0" applyFill="1" applyBorder="1" applyAlignment="1" applyProtection="1">
      <alignment horizontal="center"/>
      <protection/>
    </xf>
    <xf numFmtId="173" fontId="15" fillId="0" borderId="4" xfId="0" applyNumberFormat="1" applyFont="1" applyFill="1" applyBorder="1" applyAlignment="1" applyProtection="1">
      <alignment/>
      <protection/>
    </xf>
    <xf numFmtId="173" fontId="15" fillId="0" borderId="4" xfId="17" applyNumberFormat="1" applyFont="1" applyFill="1" applyBorder="1" applyAlignment="1" applyProtection="1">
      <alignment/>
      <protection/>
    </xf>
    <xf numFmtId="164" fontId="0" fillId="0" borderId="4" xfId="0" applyFill="1" applyBorder="1" applyAlignment="1" applyProtection="1">
      <alignment horizontal="center"/>
      <protection/>
    </xf>
    <xf numFmtId="164" fontId="0" fillId="0" borderId="6" xfId="0" applyFill="1" applyBorder="1" applyAlignment="1" applyProtection="1">
      <alignment horizontal="center"/>
      <protection/>
    </xf>
    <xf numFmtId="37" fontId="57" fillId="0" borderId="4" xfId="0" applyNumberFormat="1" applyFont="1" applyBorder="1" applyAlignment="1" applyProtection="1">
      <alignment/>
      <protection/>
    </xf>
    <xf numFmtId="164" fontId="5" fillId="0" borderId="16" xfId="0" applyFont="1" applyBorder="1" applyAlignment="1" applyProtection="1">
      <alignment horizontal="center"/>
      <protection/>
    </xf>
    <xf numFmtId="164" fontId="5" fillId="0" borderId="17" xfId="0" applyFont="1" applyBorder="1" applyAlignment="1" applyProtection="1">
      <alignment horizontal="center"/>
      <protection/>
    </xf>
    <xf numFmtId="164" fontId="0" fillId="0" borderId="0" xfId="26" applyBorder="1">
      <alignment/>
      <protection/>
    </xf>
    <xf numFmtId="164" fontId="5" fillId="0" borderId="9" xfId="26" applyFont="1" applyBorder="1" applyAlignment="1" applyProtection="1">
      <alignment horizontal="center"/>
      <protection/>
    </xf>
    <xf numFmtId="164" fontId="5" fillId="0" borderId="29" xfId="26" applyFont="1" applyBorder="1" applyAlignment="1" applyProtection="1">
      <alignment horizontal="center"/>
      <protection/>
    </xf>
    <xf numFmtId="164" fontId="5" fillId="0" borderId="0" xfId="26" applyFont="1" applyBorder="1">
      <alignment/>
      <protection/>
    </xf>
    <xf numFmtId="164" fontId="5" fillId="0" borderId="29" xfId="26" applyFont="1" applyBorder="1">
      <alignment/>
      <protection/>
    </xf>
    <xf numFmtId="164" fontId="5" fillId="0" borderId="4" xfId="26" applyFont="1" applyBorder="1">
      <alignment/>
      <protection/>
    </xf>
    <xf numFmtId="164" fontId="5" fillId="0" borderId="53" xfId="26" applyFont="1" applyBorder="1" applyAlignment="1" applyProtection="1">
      <alignment horizontal="center"/>
      <protection/>
    </xf>
    <xf numFmtId="164" fontId="5" fillId="0" borderId="43" xfId="26" applyFont="1" applyBorder="1">
      <alignment/>
      <protection/>
    </xf>
    <xf numFmtId="164" fontId="5" fillId="0" borderId="29" xfId="0" applyFont="1" applyFill="1" applyBorder="1" applyAlignment="1" quotePrefix="1">
      <alignment horizontal="center"/>
    </xf>
    <xf numFmtId="3" fontId="31" fillId="0" borderId="0" xfId="0" applyNumberFormat="1" applyFont="1" applyFill="1" applyAlignment="1" applyProtection="1">
      <alignment/>
      <protection/>
    </xf>
    <xf numFmtId="164" fontId="20" fillId="0" borderId="0" xfId="0" applyFont="1" applyBorder="1" applyAlignment="1">
      <alignment horizontal="center"/>
    </xf>
    <xf numFmtId="164" fontId="20" fillId="0" borderId="13" xfId="0" applyFont="1" applyBorder="1" applyAlignment="1">
      <alignment horizontal="center"/>
    </xf>
    <xf numFmtId="169" fontId="0" fillId="0" borderId="20" xfId="28" applyNumberFormat="1" applyFill="1" applyBorder="1" applyAlignment="1" applyProtection="1">
      <alignment horizontal="center"/>
      <protection/>
    </xf>
    <xf numFmtId="184" fontId="0" fillId="0" borderId="20" xfId="28" applyNumberFormat="1" applyFont="1" applyFill="1" applyBorder="1" applyAlignment="1" applyProtection="1">
      <alignment horizontal="center"/>
      <protection/>
    </xf>
    <xf numFmtId="175" fontId="0" fillId="0" borderId="24" xfId="15" applyNumberFormat="1" applyBorder="1" applyAlignment="1">
      <alignment/>
    </xf>
    <xf numFmtId="164" fontId="0" fillId="0" borderId="29" xfId="0" applyFill="1" applyBorder="1" applyAlignment="1" applyProtection="1">
      <alignment horizontal="center"/>
      <protection/>
    </xf>
    <xf numFmtId="164" fontId="9" fillId="0" borderId="22" xfId="0" applyFont="1" applyBorder="1" applyAlignment="1">
      <alignment/>
    </xf>
    <xf numFmtId="175" fontId="0" fillId="0" borderId="19" xfId="15" applyNumberFormat="1" applyBorder="1" applyAlignment="1">
      <alignment/>
    </xf>
    <xf numFmtId="172" fontId="35" fillId="0" borderId="20" xfId="17" applyNumberFormat="1" applyFont="1" applyBorder="1" applyAlignment="1">
      <alignment/>
    </xf>
    <xf numFmtId="172" fontId="0" fillId="0" borderId="29" xfId="17" applyNumberFormat="1" applyBorder="1" applyAlignment="1">
      <alignment horizontal="center"/>
    </xf>
    <xf numFmtId="172" fontId="0" fillId="0" borderId="29" xfId="17" applyNumberFormat="1" applyFont="1" applyBorder="1" applyAlignment="1">
      <alignment horizontal="center"/>
    </xf>
    <xf numFmtId="175" fontId="0" fillId="0" borderId="29" xfId="15" applyNumberFormat="1" applyBorder="1" applyAlignment="1">
      <alignment horizontal="center"/>
    </xf>
    <xf numFmtId="175" fontId="22" fillId="0" borderId="29" xfId="15" applyNumberFormat="1" applyFont="1" applyBorder="1" applyAlignment="1">
      <alignment horizontal="center"/>
    </xf>
    <xf numFmtId="172" fontId="22" fillId="0" borderId="29" xfId="17" applyNumberFormat="1" applyFont="1" applyBorder="1" applyAlignment="1">
      <alignment horizontal="center"/>
    </xf>
    <xf numFmtId="172" fontId="24" fillId="0" borderId="29" xfId="17" applyNumberFormat="1" applyFont="1" applyBorder="1" applyAlignment="1">
      <alignment horizontal="center"/>
    </xf>
    <xf numFmtId="175" fontId="0" fillId="0" borderId="24" xfId="15" applyNumberFormat="1" applyBorder="1" applyAlignment="1">
      <alignment horizontal="center"/>
    </xf>
    <xf numFmtId="175" fontId="0" fillId="0" borderId="29" xfId="15" applyNumberFormat="1" applyFont="1" applyBorder="1" applyAlignment="1">
      <alignment horizontal="center"/>
    </xf>
    <xf numFmtId="172" fontId="22" fillId="0" borderId="24" xfId="17" applyNumberFormat="1" applyFont="1" applyBorder="1" applyAlignment="1">
      <alignment horizontal="center"/>
    </xf>
    <xf numFmtId="175" fontId="0" fillId="0" borderId="19" xfId="15" applyNumberFormat="1" applyBorder="1" applyAlignment="1">
      <alignment horizontal="center"/>
    </xf>
    <xf numFmtId="172" fontId="35" fillId="0" borderId="20" xfId="17" applyNumberFormat="1" applyFont="1" applyBorder="1" applyAlignment="1">
      <alignment horizontal="center"/>
    </xf>
    <xf numFmtId="0" fontId="0" fillId="0" borderId="0" xfId="0" applyNumberFormat="1" applyAlignment="1" applyProtection="1">
      <alignment horizontal="center"/>
      <protection/>
    </xf>
    <xf numFmtId="175" fontId="5" fillId="0" borderId="4" xfId="15" applyNumberFormat="1" applyFont="1" applyBorder="1" applyAlignment="1">
      <alignment/>
    </xf>
    <xf numFmtId="10" fontId="5" fillId="0" borderId="4" xfId="28" applyNumberFormat="1" applyFont="1" applyBorder="1" applyAlignment="1">
      <alignment/>
    </xf>
    <xf numFmtId="175" fontId="5" fillId="0" borderId="22" xfId="15" applyNumberFormat="1" applyFont="1" applyBorder="1" applyAlignment="1">
      <alignment/>
    </xf>
    <xf numFmtId="10" fontId="5" fillId="0" borderId="29" xfId="15" applyNumberFormat="1" applyFont="1" applyBorder="1" applyAlignment="1">
      <alignment/>
    </xf>
    <xf numFmtId="15" fontId="5" fillId="0" borderId="29" xfId="15" applyNumberFormat="1" applyFont="1" applyBorder="1" applyAlignment="1">
      <alignment horizontal="center"/>
    </xf>
    <xf numFmtId="172" fontId="5" fillId="0" borderId="24" xfId="17" applyNumberFormat="1" applyFont="1" applyBorder="1" applyAlignment="1">
      <alignment/>
    </xf>
    <xf numFmtId="164" fontId="7" fillId="0" borderId="18" xfId="0" applyFont="1" applyFill="1" applyBorder="1" applyAlignment="1">
      <alignment/>
    </xf>
    <xf numFmtId="164" fontId="7" fillId="0" borderId="16" xfId="0" applyFont="1" applyFill="1" applyBorder="1" applyAlignment="1">
      <alignment/>
    </xf>
    <xf numFmtId="164" fontId="7" fillId="0" borderId="17" xfId="0" applyFont="1" applyFill="1" applyBorder="1" applyAlignment="1">
      <alignment/>
    </xf>
    <xf numFmtId="164" fontId="7" fillId="0" borderId="17" xfId="0" applyFont="1" applyBorder="1" applyAlignment="1">
      <alignment/>
    </xf>
    <xf numFmtId="164" fontId="7" fillId="0" borderId="13" xfId="0" applyFont="1" applyBorder="1" applyAlignment="1">
      <alignment/>
    </xf>
    <xf numFmtId="164" fontId="7" fillId="0" borderId="22" xfId="0" applyFont="1" applyFill="1" applyBorder="1" applyAlignment="1">
      <alignment/>
    </xf>
    <xf numFmtId="164" fontId="7" fillId="0" borderId="14" xfId="0" applyFont="1" applyFill="1" applyBorder="1" applyAlignment="1">
      <alignment/>
    </xf>
    <xf numFmtId="164" fontId="7" fillId="0" borderId="15" xfId="0" applyFont="1" applyFill="1" applyBorder="1" applyAlignment="1">
      <alignment/>
    </xf>
    <xf numFmtId="164" fontId="31" fillId="0" borderId="21" xfId="0" applyFont="1" applyFill="1" applyBorder="1" applyAlignment="1">
      <alignment/>
    </xf>
    <xf numFmtId="164" fontId="7" fillId="0" borderId="0" xfId="0" applyFont="1" applyFill="1" applyBorder="1" applyAlignment="1">
      <alignment/>
    </xf>
    <xf numFmtId="164" fontId="7" fillId="0" borderId="13" xfId="0" applyFont="1" applyFill="1" applyBorder="1" applyAlignment="1">
      <alignment/>
    </xf>
    <xf numFmtId="164" fontId="7" fillId="0" borderId="21" xfId="0" applyFont="1" applyBorder="1" applyAlignment="1">
      <alignment/>
    </xf>
    <xf numFmtId="164" fontId="7" fillId="0" borderId="21" xfId="0" applyFont="1" applyFill="1" applyBorder="1" applyAlignment="1">
      <alignment/>
    </xf>
    <xf numFmtId="43" fontId="7" fillId="0" borderId="0" xfId="0" applyNumberFormat="1" applyFont="1" applyFill="1" applyBorder="1" applyAlignment="1">
      <alignment/>
    </xf>
    <xf numFmtId="172" fontId="7" fillId="0" borderId="21" xfId="0" applyNumberFormat="1" applyFont="1" applyBorder="1" applyAlignment="1">
      <alignment/>
    </xf>
    <xf numFmtId="172" fontId="7" fillId="0" borderId="24" xfId="17" applyNumberFormat="1" applyFont="1" applyBorder="1" applyAlignment="1">
      <alignment/>
    </xf>
    <xf numFmtId="172" fontId="7" fillId="0" borderId="30" xfId="0" applyNumberFormat="1" applyFont="1" applyBorder="1" applyAlignment="1">
      <alignment/>
    </xf>
    <xf numFmtId="44" fontId="7" fillId="0" borderId="24" xfId="17" applyFont="1" applyBorder="1" applyAlignment="1">
      <alignment/>
    </xf>
    <xf numFmtId="172" fontId="7" fillId="0" borderId="51" xfId="0" applyNumberFormat="1" applyFont="1" applyBorder="1" applyAlignment="1">
      <alignment/>
    </xf>
    <xf numFmtId="172" fontId="7" fillId="0" borderId="52" xfId="0" applyNumberFormat="1" applyFont="1" applyBorder="1" applyAlignment="1">
      <alignment/>
    </xf>
    <xf numFmtId="172" fontId="7" fillId="0" borderId="22" xfId="0" applyNumberFormat="1" applyFont="1" applyBorder="1" applyAlignment="1">
      <alignment/>
    </xf>
    <xf numFmtId="164" fontId="7" fillId="0" borderId="18" xfId="0" applyFont="1" applyBorder="1" applyAlignment="1">
      <alignment/>
    </xf>
    <xf numFmtId="164" fontId="7" fillId="0" borderId="16" xfId="0" applyFont="1" applyBorder="1" applyAlignment="1">
      <alignment/>
    </xf>
    <xf numFmtId="44" fontId="7" fillId="0" borderId="29" xfId="17" applyFont="1" applyBorder="1" applyAlignment="1">
      <alignment/>
    </xf>
    <xf numFmtId="164" fontId="31" fillId="0" borderId="21" xfId="0" applyFont="1" applyBorder="1" applyAlignment="1">
      <alignment/>
    </xf>
    <xf numFmtId="44" fontId="7" fillId="0" borderId="20" xfId="17" applyFont="1" applyBorder="1" applyAlignment="1">
      <alignment/>
    </xf>
    <xf numFmtId="10" fontId="7" fillId="0" borderId="0" xfId="0" applyNumberFormat="1" applyFont="1" applyBorder="1" applyAlignment="1" applyProtection="1">
      <alignment/>
      <protection/>
    </xf>
    <xf numFmtId="10" fontId="7" fillId="0" borderId="0" xfId="0" applyNumberFormat="1" applyFont="1" applyBorder="1" applyAlignment="1">
      <alignment/>
    </xf>
    <xf numFmtId="10" fontId="28" fillId="0" borderId="0" xfId="28" applyNumberFormat="1" applyFont="1" applyBorder="1" applyAlignment="1">
      <alignment/>
    </xf>
    <xf numFmtId="3" fontId="27" fillId="0" borderId="0" xfId="0" applyNumberFormat="1" applyFont="1" applyFill="1" applyAlignment="1" applyProtection="1">
      <alignment horizontal="center"/>
      <protection/>
    </xf>
    <xf numFmtId="164" fontId="27" fillId="0" borderId="0" xfId="0" applyFont="1" applyFill="1" applyAlignment="1" applyProtection="1">
      <alignment/>
      <protection/>
    </xf>
    <xf numFmtId="3" fontId="27" fillId="0" borderId="0" xfId="0" applyNumberFormat="1" applyFont="1" applyFill="1" applyAlignment="1" applyProtection="1">
      <alignment horizontal="centerContinuous"/>
      <protection/>
    </xf>
    <xf numFmtId="3" fontId="27" fillId="0" borderId="0" xfId="0" applyNumberFormat="1" applyFont="1" applyFill="1" applyAlignment="1" applyProtection="1">
      <alignment/>
      <protection/>
    </xf>
    <xf numFmtId="3" fontId="31" fillId="0" borderId="0" xfId="0" applyNumberFormat="1" applyFont="1" applyFill="1" applyAlignment="1" applyProtection="1">
      <alignment horizontal="center"/>
      <protection/>
    </xf>
    <xf numFmtId="164" fontId="31" fillId="0" borderId="0" xfId="0" applyFont="1" applyFill="1" applyAlignment="1" applyProtection="1">
      <alignment/>
      <protection/>
    </xf>
    <xf numFmtId="3" fontId="31" fillId="0" borderId="0" xfId="0" applyNumberFormat="1" applyFont="1" applyFill="1" applyAlignment="1" applyProtection="1">
      <alignment horizontal="centerContinuous"/>
      <protection/>
    </xf>
    <xf numFmtId="3" fontId="58" fillId="0" borderId="0" xfId="0" applyNumberFormat="1" applyFont="1" applyFill="1" applyAlignment="1" applyProtection="1">
      <alignment/>
      <protection/>
    </xf>
    <xf numFmtId="164" fontId="31" fillId="0" borderId="0" xfId="0" applyFont="1" applyAlignment="1">
      <alignment/>
    </xf>
    <xf numFmtId="10" fontId="31" fillId="0" borderId="0" xfId="0" applyNumberFormat="1" applyFont="1" applyFill="1" applyAlignment="1" applyProtection="1">
      <alignment/>
      <protection/>
    </xf>
    <xf numFmtId="4" fontId="31" fillId="0" borderId="0" xfId="0" applyNumberFormat="1" applyFont="1" applyFill="1" applyAlignment="1" applyProtection="1">
      <alignment/>
      <protection/>
    </xf>
    <xf numFmtId="185" fontId="31" fillId="0" borderId="0" xfId="0" applyNumberFormat="1" applyFont="1" applyFill="1" applyAlignment="1" applyProtection="1">
      <alignment/>
      <protection/>
    </xf>
    <xf numFmtId="37" fontId="19" fillId="0" borderId="0" xfId="0" applyNumberFormat="1" applyFont="1" applyBorder="1" applyAlignment="1" applyProtection="1">
      <alignment/>
      <protection/>
    </xf>
    <xf numFmtId="182" fontId="0" fillId="0" borderId="29" xfId="0" applyNumberFormat="1" applyBorder="1" applyAlignment="1" applyProtection="1">
      <alignment horizontal="center"/>
      <protection/>
    </xf>
    <xf numFmtId="164" fontId="19" fillId="0" borderId="0" xfId="0" applyFont="1" applyBorder="1" applyAlignment="1" applyProtection="1">
      <alignment/>
      <protection/>
    </xf>
    <xf numFmtId="10" fontId="19" fillId="0" borderId="0" xfId="17" applyNumberFormat="1" applyFont="1" applyBorder="1" applyAlignment="1" applyProtection="1">
      <alignment/>
      <protection/>
    </xf>
    <xf numFmtId="173" fontId="19" fillId="0" borderId="19" xfId="0" applyNumberFormat="1" applyFont="1" applyBorder="1" applyAlignment="1" applyProtection="1">
      <alignment/>
      <protection/>
    </xf>
    <xf numFmtId="37" fontId="19" fillId="0" borderId="27" xfId="0" applyNumberFormat="1" applyFont="1" applyBorder="1" applyAlignment="1" applyProtection="1">
      <alignment/>
      <protection/>
    </xf>
    <xf numFmtId="37" fontId="19" fillId="0" borderId="35" xfId="0" applyNumberFormat="1" applyFont="1" applyBorder="1" applyAlignment="1" applyProtection="1">
      <alignment/>
      <protection/>
    </xf>
    <xf numFmtId="37" fontId="19" fillId="0" borderId="28" xfId="0" applyNumberFormat="1" applyFont="1" applyBorder="1" applyAlignment="1" applyProtection="1">
      <alignment/>
      <protection/>
    </xf>
    <xf numFmtId="164" fontId="13" fillId="0" borderId="0" xfId="0" applyFont="1" applyBorder="1" applyAlignment="1" applyProtection="1">
      <alignment horizontal="center"/>
      <protection/>
    </xf>
    <xf numFmtId="164" fontId="0" fillId="0" borderId="28" xfId="0" applyBorder="1" applyAlignment="1">
      <alignment horizontal="center"/>
    </xf>
    <xf numFmtId="164" fontId="13" fillId="0" borderId="13" xfId="0" applyFont="1" applyBorder="1" applyAlignment="1" applyProtection="1">
      <alignment horizontal="center"/>
      <protection/>
    </xf>
    <xf numFmtId="164" fontId="13" fillId="0" borderId="31" xfId="0" applyFont="1" applyBorder="1" applyAlignment="1" applyProtection="1">
      <alignment horizontal="center"/>
      <protection/>
    </xf>
    <xf numFmtId="182" fontId="0" fillId="0" borderId="21" xfId="0" applyNumberFormat="1" applyBorder="1" applyAlignment="1" applyProtection="1">
      <alignment horizontal="center"/>
      <protection/>
    </xf>
    <xf numFmtId="173" fontId="19" fillId="0" borderId="0" xfId="17" applyNumberFormat="1" applyFont="1" applyBorder="1" applyAlignment="1" applyProtection="1">
      <alignment/>
      <protection/>
    </xf>
    <xf numFmtId="175" fontId="19" fillId="0" borderId="0" xfId="15" applyNumberFormat="1" applyFont="1" applyBorder="1" applyAlignment="1" applyProtection="1">
      <alignment/>
      <protection/>
    </xf>
    <xf numFmtId="173" fontId="19" fillId="0" borderId="54" xfId="0" applyNumberFormat="1" applyFont="1" applyBorder="1" applyAlignment="1" applyProtection="1">
      <alignment/>
      <protection/>
    </xf>
    <xf numFmtId="37" fontId="19" fillId="0" borderId="22" xfId="0" applyNumberFormat="1" applyFont="1" applyBorder="1" applyAlignment="1" applyProtection="1">
      <alignment/>
      <protection/>
    </xf>
    <xf numFmtId="37" fontId="19" fillId="0" borderId="2" xfId="0" applyNumberFormat="1" applyFont="1" applyBorder="1" applyAlignment="1" applyProtection="1">
      <alignment/>
      <protection/>
    </xf>
    <xf numFmtId="173" fontId="19" fillId="0" borderId="0" xfId="0" applyNumberFormat="1" applyFont="1" applyBorder="1" applyAlignment="1" applyProtection="1">
      <alignment/>
      <protection/>
    </xf>
    <xf numFmtId="37" fontId="19" fillId="0" borderId="38" xfId="0" applyNumberFormat="1" applyFont="1" applyBorder="1" applyAlignment="1" applyProtection="1">
      <alignment/>
      <protection/>
    </xf>
    <xf numFmtId="173" fontId="19" fillId="0" borderId="18" xfId="0" applyNumberFormat="1" applyFont="1" applyBorder="1" applyAlignment="1" applyProtection="1">
      <alignment/>
      <protection/>
    </xf>
    <xf numFmtId="37" fontId="19" fillId="0" borderId="31" xfId="0" applyNumberFormat="1" applyFont="1" applyBorder="1" applyAlignment="1" applyProtection="1">
      <alignment/>
      <protection/>
    </xf>
    <xf numFmtId="164" fontId="0" fillId="0" borderId="13" xfId="0" applyBorder="1" applyAlignment="1" applyProtection="1">
      <alignment horizontal="center"/>
      <protection/>
    </xf>
    <xf numFmtId="182" fontId="0" fillId="0" borderId="13" xfId="0" applyNumberFormat="1" applyBorder="1" applyAlignment="1" applyProtection="1">
      <alignment horizontal="center"/>
      <protection/>
    </xf>
    <xf numFmtId="164" fontId="0" fillId="0" borderId="15" xfId="0" applyBorder="1" applyAlignment="1" applyProtection="1">
      <alignment horizontal="center"/>
      <protection/>
    </xf>
    <xf numFmtId="173" fontId="19" fillId="0" borderId="40" xfId="0" applyNumberFormat="1" applyFont="1" applyBorder="1" applyAlignment="1" applyProtection="1">
      <alignment/>
      <protection/>
    </xf>
    <xf numFmtId="37" fontId="19" fillId="0" borderId="15" xfId="0" applyNumberFormat="1" applyFont="1" applyBorder="1" applyAlignment="1" applyProtection="1">
      <alignment/>
      <protection/>
    </xf>
    <xf numFmtId="173" fontId="19" fillId="0" borderId="17" xfId="0" applyNumberFormat="1" applyFont="1" applyBorder="1" applyAlignment="1" applyProtection="1">
      <alignment/>
      <protection/>
    </xf>
    <xf numFmtId="10" fontId="19" fillId="0" borderId="17" xfId="17" applyNumberFormat="1" applyFont="1" applyBorder="1" applyAlignment="1" applyProtection="1">
      <alignment/>
      <protection/>
    </xf>
    <xf numFmtId="182" fontId="0" fillId="0" borderId="0" xfId="0" applyNumberFormat="1" applyBorder="1" applyAlignment="1" applyProtection="1">
      <alignment horizontal="center"/>
      <protection/>
    </xf>
    <xf numFmtId="164" fontId="0" fillId="0" borderId="55" xfId="0" applyBorder="1" applyAlignment="1" applyProtection="1">
      <alignment horizontal="center"/>
      <protection/>
    </xf>
    <xf numFmtId="164" fontId="0" fillId="0" borderId="56" xfId="0" applyBorder="1" applyAlignment="1" applyProtection="1">
      <alignment horizontal="center"/>
      <protection/>
    </xf>
    <xf numFmtId="164" fontId="0" fillId="0" borderId="44" xfId="0" applyBorder="1" applyAlignment="1">
      <alignment/>
    </xf>
    <xf numFmtId="164" fontId="0" fillId="0" borderId="57" xfId="0" applyBorder="1" applyAlignment="1">
      <alignment/>
    </xf>
    <xf numFmtId="173" fontId="19" fillId="0" borderId="33" xfId="17" applyNumberFormat="1" applyFont="1" applyBorder="1" applyAlignment="1" applyProtection="1">
      <alignment/>
      <protection/>
    </xf>
    <xf numFmtId="173" fontId="19" fillId="0" borderId="13" xfId="17" applyNumberFormat="1" applyFont="1" applyBorder="1" applyAlignment="1" applyProtection="1">
      <alignment/>
      <protection/>
    </xf>
    <xf numFmtId="175" fontId="19" fillId="0" borderId="33" xfId="15" applyNumberFormat="1" applyFont="1" applyBorder="1" applyAlignment="1" applyProtection="1">
      <alignment/>
      <protection/>
    </xf>
    <xf numFmtId="175" fontId="19" fillId="0" borderId="13" xfId="15" applyNumberFormat="1" applyFont="1" applyBorder="1" applyAlignment="1" applyProtection="1">
      <alignment/>
      <protection/>
    </xf>
    <xf numFmtId="37" fontId="19" fillId="0" borderId="44" xfId="0" applyNumberFormat="1" applyFont="1" applyBorder="1" applyAlignment="1" applyProtection="1">
      <alignment/>
      <protection/>
    </xf>
    <xf numFmtId="37" fontId="19" fillId="0" borderId="57" xfId="0" applyNumberFormat="1" applyFont="1" applyBorder="1" applyAlignment="1" applyProtection="1">
      <alignment/>
      <protection/>
    </xf>
    <xf numFmtId="173" fontId="19" fillId="0" borderId="33" xfId="0" applyNumberFormat="1" applyFont="1" applyBorder="1" applyAlignment="1" applyProtection="1">
      <alignment/>
      <protection/>
    </xf>
    <xf numFmtId="173" fontId="19" fillId="0" borderId="13" xfId="0" applyNumberFormat="1" applyFont="1" applyBorder="1" applyAlignment="1" applyProtection="1">
      <alignment/>
      <protection/>
    </xf>
    <xf numFmtId="37" fontId="19" fillId="0" borderId="33" xfId="0" applyNumberFormat="1" applyFont="1" applyBorder="1" applyAlignment="1" applyProtection="1">
      <alignment/>
      <protection/>
    </xf>
    <xf numFmtId="37" fontId="19" fillId="0" borderId="13" xfId="0" applyNumberFormat="1" applyFont="1" applyBorder="1" applyAlignment="1" applyProtection="1">
      <alignment/>
      <protection/>
    </xf>
    <xf numFmtId="37" fontId="19" fillId="0" borderId="55" xfId="0" applyNumberFormat="1" applyFont="1" applyBorder="1" applyAlignment="1" applyProtection="1">
      <alignment/>
      <protection/>
    </xf>
    <xf numFmtId="37" fontId="19" fillId="0" borderId="56" xfId="0" applyNumberFormat="1" applyFont="1" applyBorder="1" applyAlignment="1" applyProtection="1">
      <alignment/>
      <protection/>
    </xf>
    <xf numFmtId="37" fontId="29" fillId="0" borderId="16" xfId="0" applyNumberFormat="1" applyFont="1" applyBorder="1" applyAlignment="1" applyProtection="1">
      <alignment/>
      <protection/>
    </xf>
    <xf numFmtId="164" fontId="0" fillId="0" borderId="0" xfId="0" applyFill="1" applyBorder="1" applyAlignment="1" applyProtection="1">
      <alignment horizontal="center"/>
      <protection/>
    </xf>
    <xf numFmtId="172" fontId="0" fillId="0" borderId="0" xfId="17" applyNumberFormat="1" applyBorder="1" applyAlignment="1">
      <alignment/>
    </xf>
    <xf numFmtId="175" fontId="0" fillId="0" borderId="0" xfId="15" applyNumberFormat="1" applyBorder="1" applyAlignment="1">
      <alignment/>
    </xf>
    <xf numFmtId="164" fontId="0" fillId="3" borderId="24" xfId="0" applyFill="1" applyBorder="1" applyAlignment="1">
      <alignment horizontal="center"/>
    </xf>
    <xf numFmtId="164" fontId="0" fillId="3" borderId="29" xfId="0" applyFill="1" applyBorder="1" applyAlignment="1">
      <alignment/>
    </xf>
    <xf numFmtId="172" fontId="0" fillId="3" borderId="29" xfId="17" applyNumberFormat="1" applyFill="1" applyBorder="1" applyAlignment="1">
      <alignment/>
    </xf>
    <xf numFmtId="175" fontId="0" fillId="3" borderId="29" xfId="15" applyNumberFormat="1" applyFill="1" applyBorder="1" applyAlignment="1">
      <alignment/>
    </xf>
    <xf numFmtId="172" fontId="35" fillId="3" borderId="20" xfId="17" applyNumberFormat="1" applyFont="1" applyFill="1" applyBorder="1" applyAlignment="1">
      <alignment/>
    </xf>
    <xf numFmtId="175" fontId="0" fillId="0" borderId="19" xfId="15" applyNumberFormat="1" applyFont="1" applyBorder="1" applyAlignment="1">
      <alignment/>
    </xf>
    <xf numFmtId="0" fontId="59" fillId="2" borderId="11" xfId="25" applyFont="1" applyFill="1" applyBorder="1" applyAlignment="1">
      <alignment horizontal="center"/>
      <protection/>
    </xf>
    <xf numFmtId="0" fontId="59" fillId="0" borderId="58" xfId="25" applyFont="1" applyFill="1" applyBorder="1" applyAlignment="1">
      <alignment horizontal="left" wrapText="1"/>
      <protection/>
    </xf>
    <xf numFmtId="175" fontId="59" fillId="0" borderId="58" xfId="15" applyNumberFormat="1" applyFont="1" applyFill="1" applyBorder="1" applyAlignment="1">
      <alignment horizontal="right" wrapText="1"/>
    </xf>
    <xf numFmtId="0" fontId="59" fillId="0" borderId="58" xfId="25" applyFont="1" applyFill="1" applyBorder="1" applyAlignment="1">
      <alignment horizontal="right" wrapText="1"/>
      <protection/>
    </xf>
    <xf numFmtId="0" fontId="59" fillId="2" borderId="8" xfId="25" applyFont="1" applyFill="1" applyBorder="1" applyAlignment="1">
      <alignment horizontal="center"/>
      <protection/>
    </xf>
    <xf numFmtId="164" fontId="28" fillId="0" borderId="0" xfId="0" applyFont="1" applyBorder="1" applyAlignment="1">
      <alignment horizontal="center"/>
    </xf>
    <xf numFmtId="44" fontId="0" fillId="0" borderId="29" xfId="17" applyBorder="1" applyAlignment="1">
      <alignment/>
    </xf>
    <xf numFmtId="176" fontId="0" fillId="0" borderId="29" xfId="17" applyNumberFormat="1" applyBorder="1" applyAlignment="1">
      <alignment/>
    </xf>
    <xf numFmtId="176" fontId="0" fillId="0" borderId="0" xfId="17" applyNumberFormat="1" applyBorder="1" applyAlignment="1">
      <alignment/>
    </xf>
    <xf numFmtId="44" fontId="7" fillId="0" borderId="13" xfId="17" applyFont="1" applyBorder="1" applyAlignment="1">
      <alignment/>
    </xf>
    <xf numFmtId="176" fontId="4" fillId="0" borderId="0" xfId="17" applyNumberFormat="1" applyAlignment="1">
      <alignment/>
    </xf>
    <xf numFmtId="172" fontId="51" fillId="0" borderId="29" xfId="17" applyNumberFormat="1" applyFont="1" applyBorder="1" applyAlignment="1">
      <alignment/>
    </xf>
    <xf numFmtId="164" fontId="0" fillId="0" borderId="12" xfId="0" applyFill="1" applyBorder="1" applyAlignment="1" applyProtection="1">
      <alignment horizontal="center"/>
      <protection/>
    </xf>
    <xf numFmtId="164" fontId="0" fillId="0" borderId="59" xfId="0" applyFill="1" applyBorder="1" applyAlignment="1" applyProtection="1">
      <alignment horizontal="center"/>
      <protection/>
    </xf>
    <xf numFmtId="164" fontId="14" fillId="0" borderId="60" xfId="0" applyFont="1" applyBorder="1" applyAlignment="1">
      <alignment/>
    </xf>
    <xf numFmtId="173" fontId="19" fillId="0" borderId="29" xfId="17" applyNumberFormat="1" applyFont="1" applyBorder="1" applyAlignment="1" applyProtection="1">
      <alignment/>
      <protection/>
    </xf>
    <xf numFmtId="164" fontId="19" fillId="0" borderId="29" xfId="0" applyFont="1" applyBorder="1" applyAlignment="1" applyProtection="1">
      <alignment/>
      <protection/>
    </xf>
    <xf numFmtId="37" fontId="19" fillId="0" borderId="42" xfId="0" applyNumberFormat="1" applyFont="1" applyBorder="1" applyAlignment="1" applyProtection="1">
      <alignment/>
      <protection/>
    </xf>
    <xf numFmtId="37" fontId="19" fillId="0" borderId="60" xfId="0" applyNumberFormat="1" applyFont="1" applyBorder="1" applyAlignment="1" applyProtection="1">
      <alignment/>
      <protection/>
    </xf>
    <xf numFmtId="173" fontId="19" fillId="0" borderId="29" xfId="0" applyNumberFormat="1" applyFont="1" applyBorder="1" applyAlignment="1" applyProtection="1">
      <alignment/>
      <protection/>
    </xf>
    <xf numFmtId="37" fontId="19" fillId="0" borderId="29" xfId="0" applyNumberFormat="1" applyFont="1" applyBorder="1" applyAlignment="1" applyProtection="1">
      <alignment/>
      <protection/>
    </xf>
    <xf numFmtId="37" fontId="14" fillId="0" borderId="20" xfId="0" applyNumberFormat="1" applyFont="1" applyBorder="1" applyAlignment="1" applyProtection="1">
      <alignment/>
      <protection/>
    </xf>
    <xf numFmtId="179" fontId="0" fillId="0" borderId="20" xfId="0" applyNumberFormat="1" applyBorder="1" applyAlignment="1" applyProtection="1">
      <alignment horizontal="center" wrapText="1"/>
      <protection/>
    </xf>
    <xf numFmtId="175" fontId="18" fillId="0" borderId="21" xfId="15" applyNumberFormat="1" applyFont="1" applyBorder="1" applyAlignment="1" applyProtection="1">
      <alignment horizontal="center"/>
      <protection/>
    </xf>
    <xf numFmtId="37" fontId="18" fillId="0" borderId="0" xfId="0" applyNumberFormat="1" applyFont="1" applyBorder="1" applyAlignment="1" applyProtection="1">
      <alignment/>
      <protection/>
    </xf>
    <xf numFmtId="172" fontId="18" fillId="0" borderId="21" xfId="17" applyNumberFormat="1" applyFont="1" applyBorder="1" applyAlignment="1" applyProtection="1">
      <alignment/>
      <protection/>
    </xf>
    <xf numFmtId="172" fontId="18" fillId="0" borderId="13" xfId="17" applyNumberFormat="1" applyFont="1" applyBorder="1" applyAlignment="1" applyProtection="1">
      <alignment/>
      <protection/>
    </xf>
    <xf numFmtId="172" fontId="18" fillId="0" borderId="0" xfId="17" applyNumberFormat="1" applyFont="1" applyBorder="1" applyAlignment="1" applyProtection="1">
      <alignment/>
      <protection/>
    </xf>
    <xf numFmtId="175" fontId="18" fillId="0" borderId="13" xfId="15" applyNumberFormat="1" applyFont="1" applyBorder="1" applyAlignment="1" applyProtection="1">
      <alignment horizontal="center"/>
      <protection/>
    </xf>
    <xf numFmtId="175" fontId="18" fillId="0" borderId="0" xfId="15" applyNumberFormat="1" applyFont="1" applyBorder="1" applyAlignment="1" applyProtection="1">
      <alignment horizontal="center"/>
      <protection/>
    </xf>
    <xf numFmtId="37" fontId="18" fillId="0" borderId="21" xfId="0" applyNumberFormat="1" applyFont="1" applyBorder="1" applyAlignment="1" applyProtection="1">
      <alignment/>
      <protection/>
    </xf>
    <xf numFmtId="37" fontId="18" fillId="0" borderId="13" xfId="0" applyNumberFormat="1" applyFont="1" applyBorder="1" applyAlignment="1" applyProtection="1">
      <alignment/>
      <protection/>
    </xf>
    <xf numFmtId="175" fontId="60" fillId="0" borderId="21" xfId="15" applyNumberFormat="1" applyFont="1" applyBorder="1" applyAlignment="1" applyProtection="1">
      <alignment/>
      <protection/>
    </xf>
    <xf numFmtId="37" fontId="61" fillId="0" borderId="0" xfId="0" applyNumberFormat="1" applyFont="1" applyBorder="1" applyAlignment="1" applyProtection="1">
      <alignment/>
      <protection/>
    </xf>
    <xf numFmtId="172" fontId="61" fillId="0" borderId="21" xfId="17" applyNumberFormat="1" applyFont="1" applyBorder="1" applyAlignment="1" applyProtection="1">
      <alignment/>
      <protection/>
    </xf>
    <xf numFmtId="172" fontId="61" fillId="0" borderId="13" xfId="17" applyNumberFormat="1" applyFont="1" applyBorder="1" applyAlignment="1" applyProtection="1">
      <alignment/>
      <protection/>
    </xf>
    <xf numFmtId="172" fontId="61" fillId="0" borderId="0" xfId="17" applyNumberFormat="1" applyFont="1" applyBorder="1" applyAlignment="1" applyProtection="1">
      <alignment/>
      <protection/>
    </xf>
    <xf numFmtId="37" fontId="61" fillId="0" borderId="13" xfId="0" applyNumberFormat="1" applyFont="1" applyBorder="1" applyAlignment="1" applyProtection="1">
      <alignment/>
      <protection/>
    </xf>
    <xf numFmtId="175" fontId="62" fillId="0" borderId="0" xfId="15" applyNumberFormat="1" applyFont="1" applyBorder="1" applyAlignment="1" applyProtection="1">
      <alignment/>
      <protection/>
    </xf>
    <xf numFmtId="175" fontId="62" fillId="0" borderId="21" xfId="15" applyNumberFormat="1" applyFont="1" applyBorder="1" applyAlignment="1" applyProtection="1">
      <alignment/>
      <protection/>
    </xf>
    <xf numFmtId="175" fontId="62" fillId="0" borderId="13" xfId="15" applyNumberFormat="1" applyFont="1" applyBorder="1" applyAlignment="1" applyProtection="1">
      <alignment/>
      <protection/>
    </xf>
    <xf numFmtId="175" fontId="18" fillId="0" borderId="21" xfId="15" applyNumberFormat="1" applyFont="1" applyBorder="1" applyAlignment="1">
      <alignment/>
    </xf>
    <xf numFmtId="37" fontId="63" fillId="0" borderId="21" xfId="0" applyNumberFormat="1" applyFont="1" applyBorder="1" applyAlignment="1" applyProtection="1">
      <alignment/>
      <protection/>
    </xf>
    <xf numFmtId="37" fontId="63" fillId="0" borderId="0" xfId="0" applyNumberFormat="1" applyFont="1" applyBorder="1" applyAlignment="1" applyProtection="1">
      <alignment/>
      <protection/>
    </xf>
    <xf numFmtId="172" fontId="63" fillId="0" borderId="21" xfId="17" applyNumberFormat="1" applyFont="1" applyBorder="1" applyAlignment="1" applyProtection="1">
      <alignment/>
      <protection/>
    </xf>
    <xf numFmtId="37" fontId="63" fillId="0" borderId="13" xfId="0" applyNumberFormat="1" applyFont="1" applyBorder="1" applyAlignment="1" applyProtection="1">
      <alignment/>
      <protection/>
    </xf>
    <xf numFmtId="175" fontId="53" fillId="0" borderId="22" xfId="15" applyNumberFormat="1" applyFont="1" applyBorder="1" applyAlignment="1">
      <alignment/>
    </xf>
    <xf numFmtId="164" fontId="18" fillId="0" borderId="14" xfId="0" applyFont="1" applyBorder="1" applyAlignment="1">
      <alignment/>
    </xf>
    <xf numFmtId="175" fontId="18" fillId="0" borderId="31" xfId="15" applyNumberFormat="1" applyFont="1" applyBorder="1" applyAlignment="1">
      <alignment/>
    </xf>
    <xf numFmtId="37" fontId="18" fillId="0" borderId="31" xfId="0" applyNumberFormat="1" applyFont="1" applyBorder="1" applyAlignment="1">
      <alignment/>
    </xf>
    <xf numFmtId="164" fontId="18" fillId="0" borderId="31" xfId="0" applyFont="1" applyBorder="1" applyAlignment="1">
      <alignment/>
    </xf>
    <xf numFmtId="164" fontId="18" fillId="0" borderId="30" xfId="0" applyFont="1" applyBorder="1" applyAlignment="1">
      <alignment/>
    </xf>
    <xf numFmtId="164" fontId="18" fillId="0" borderId="28" xfId="0" applyFont="1" applyBorder="1" applyAlignment="1">
      <alignment/>
    </xf>
    <xf numFmtId="175" fontId="18" fillId="0" borderId="16" xfId="15" applyNumberFormat="1" applyFont="1" applyBorder="1" applyAlignment="1">
      <alignment/>
    </xf>
    <xf numFmtId="10" fontId="18" fillId="0" borderId="18" xfId="28" applyNumberFormat="1" applyFont="1" applyBorder="1" applyAlignment="1">
      <alignment/>
    </xf>
    <xf numFmtId="172" fontId="18" fillId="0" borderId="18" xfId="17" applyNumberFormat="1" applyFont="1" applyBorder="1" applyAlignment="1" applyProtection="1">
      <alignment/>
      <protection/>
    </xf>
    <xf numFmtId="175" fontId="18" fillId="0" borderId="17" xfId="15" applyNumberFormat="1" applyFont="1" applyBorder="1" applyAlignment="1">
      <alignment/>
    </xf>
    <xf numFmtId="172" fontId="18" fillId="0" borderId="19" xfId="17" applyNumberFormat="1" applyFont="1" applyBorder="1" applyAlignment="1" applyProtection="1">
      <alignment/>
      <protection/>
    </xf>
    <xf numFmtId="175" fontId="18" fillId="0" borderId="0" xfId="15" applyNumberFormat="1" applyFont="1" applyBorder="1" applyAlignment="1">
      <alignment/>
    </xf>
    <xf numFmtId="175" fontId="18" fillId="0" borderId="13" xfId="15" applyNumberFormat="1" applyFont="1" applyBorder="1" applyAlignment="1">
      <alignment/>
    </xf>
    <xf numFmtId="175" fontId="18" fillId="0" borderId="29" xfId="15" applyNumberFormat="1" applyFont="1" applyBorder="1" applyAlignment="1">
      <alignment/>
    </xf>
    <xf numFmtId="172" fontId="18" fillId="0" borderId="29" xfId="17" applyNumberFormat="1" applyFont="1" applyBorder="1" applyAlignment="1" applyProtection="1">
      <alignment/>
      <protection/>
    </xf>
    <xf numFmtId="175" fontId="18" fillId="0" borderId="21" xfId="15" applyNumberFormat="1" applyFont="1" applyBorder="1" applyAlignment="1" applyProtection="1">
      <alignment/>
      <protection/>
    </xf>
    <xf numFmtId="175" fontId="18" fillId="0" borderId="13" xfId="15" applyNumberFormat="1" applyFont="1" applyBorder="1" applyAlignment="1" applyProtection="1">
      <alignment/>
      <protection/>
    </xf>
    <xf numFmtId="175" fontId="18" fillId="0" borderId="29" xfId="15" applyNumberFormat="1" applyFont="1" applyBorder="1" applyAlignment="1" applyProtection="1">
      <alignment/>
      <protection/>
    </xf>
    <xf numFmtId="164" fontId="18" fillId="0" borderId="0" xfId="0" applyFont="1" applyBorder="1" applyAlignment="1">
      <alignment/>
    </xf>
    <xf numFmtId="172" fontId="18" fillId="0" borderId="22" xfId="17" applyNumberFormat="1" applyFont="1" applyBorder="1" applyAlignment="1" applyProtection="1">
      <alignment/>
      <protection/>
    </xf>
    <xf numFmtId="164" fontId="18" fillId="0" borderId="15" xfId="0" applyFont="1" applyBorder="1" applyAlignment="1">
      <alignment/>
    </xf>
    <xf numFmtId="172" fontId="18" fillId="0" borderId="20" xfId="17" applyNumberFormat="1" applyFont="1" applyBorder="1" applyAlignment="1" applyProtection="1">
      <alignment/>
      <protection/>
    </xf>
    <xf numFmtId="175" fontId="63" fillId="0" borderId="30" xfId="15" applyNumberFormat="1" applyFont="1" applyBorder="1" applyAlignment="1" applyProtection="1">
      <alignment/>
      <protection/>
    </xf>
    <xf numFmtId="175" fontId="63" fillId="0" borderId="31" xfId="15" applyNumberFormat="1" applyFont="1" applyBorder="1" applyAlignment="1" applyProtection="1">
      <alignment/>
      <protection/>
    </xf>
    <xf numFmtId="175" fontId="63" fillId="0" borderId="15" xfId="15" applyNumberFormat="1" applyFont="1" applyBorder="1" applyAlignment="1" applyProtection="1">
      <alignment/>
      <protection/>
    </xf>
    <xf numFmtId="175" fontId="63" fillId="0" borderId="28" xfId="15" applyNumberFormat="1" applyFont="1" applyBorder="1" applyAlignment="1" applyProtection="1">
      <alignment/>
      <protection/>
    </xf>
    <xf numFmtId="175" fontId="63" fillId="0" borderId="29" xfId="15" applyNumberFormat="1" applyFont="1" applyBorder="1" applyAlignment="1" applyProtection="1">
      <alignment/>
      <protection/>
    </xf>
    <xf numFmtId="175" fontId="63" fillId="0" borderId="21" xfId="15" applyNumberFormat="1" applyFont="1" applyBorder="1" applyAlignment="1" applyProtection="1">
      <alignment/>
      <protection/>
    </xf>
    <xf numFmtId="175" fontId="63" fillId="0" borderId="13" xfId="15" applyNumberFormat="1" applyFont="1" applyBorder="1" applyAlignment="1" applyProtection="1">
      <alignment/>
      <protection/>
    </xf>
    <xf numFmtId="175" fontId="63" fillId="0" borderId="20" xfId="15" applyNumberFormat="1" applyFont="1" applyBorder="1" applyAlignment="1" applyProtection="1">
      <alignment/>
      <protection/>
    </xf>
    <xf numFmtId="175" fontId="63" fillId="0" borderId="22" xfId="15" applyNumberFormat="1" applyFont="1" applyBorder="1" applyAlignment="1" applyProtection="1">
      <alignment/>
      <protection/>
    </xf>
    <xf numFmtId="172" fontId="63" fillId="0" borderId="22" xfId="17" applyNumberFormat="1" applyFont="1" applyBorder="1" applyAlignment="1" applyProtection="1">
      <alignment/>
      <protection/>
    </xf>
    <xf numFmtId="172" fontId="63" fillId="0" borderId="15" xfId="17" applyNumberFormat="1" applyFont="1" applyBorder="1" applyAlignment="1" applyProtection="1">
      <alignment/>
      <protection/>
    </xf>
    <xf numFmtId="175" fontId="63" fillId="0" borderId="24" xfId="15" applyNumberFormat="1" applyFont="1" applyBorder="1" applyAlignment="1" applyProtection="1">
      <alignment/>
      <protection/>
    </xf>
    <xf numFmtId="172" fontId="63" fillId="0" borderId="31" xfId="17" applyNumberFormat="1" applyFont="1" applyBorder="1" applyAlignment="1" applyProtection="1">
      <alignment/>
      <protection/>
    </xf>
    <xf numFmtId="37" fontId="61" fillId="0" borderId="28" xfId="0" applyNumberFormat="1" applyFont="1" applyBorder="1" applyAlignment="1" applyProtection="1">
      <alignment/>
      <protection/>
    </xf>
    <xf numFmtId="172" fontId="63" fillId="0" borderId="30" xfId="17" applyNumberFormat="1" applyFont="1" applyBorder="1" applyAlignment="1" applyProtection="1">
      <alignment/>
      <protection/>
    </xf>
    <xf numFmtId="170" fontId="18" fillId="0" borderId="31" xfId="28" applyNumberFormat="1" applyFont="1" applyBorder="1" applyAlignment="1">
      <alignment/>
    </xf>
    <xf numFmtId="164" fontId="18" fillId="0" borderId="17" xfId="0" applyFont="1" applyBorder="1" applyAlignment="1">
      <alignment/>
    </xf>
    <xf numFmtId="164" fontId="18" fillId="0" borderId="16" xfId="0" applyFont="1" applyBorder="1" applyAlignment="1">
      <alignment/>
    </xf>
    <xf numFmtId="37" fontId="18" fillId="0" borderId="18" xfId="0" applyNumberFormat="1" applyFont="1" applyBorder="1" applyAlignment="1" applyProtection="1">
      <alignment/>
      <protection/>
    </xf>
    <xf numFmtId="37" fontId="18" fillId="0" borderId="17" xfId="0" applyNumberFormat="1" applyFont="1" applyBorder="1" applyAlignment="1" applyProtection="1">
      <alignment/>
      <protection/>
    </xf>
    <xf numFmtId="172" fontId="61" fillId="0" borderId="22" xfId="17" applyNumberFormat="1" applyFont="1" applyBorder="1" applyAlignment="1" applyProtection="1">
      <alignment/>
      <protection/>
    </xf>
    <xf numFmtId="172" fontId="61" fillId="0" borderId="15" xfId="17" applyNumberFormat="1" applyFont="1" applyBorder="1" applyAlignment="1" applyProtection="1">
      <alignment/>
      <protection/>
    </xf>
    <xf numFmtId="37" fontId="63" fillId="0" borderId="18" xfId="0" applyNumberFormat="1" applyFont="1" applyBorder="1" applyAlignment="1" applyProtection="1">
      <alignment/>
      <protection/>
    </xf>
    <xf numFmtId="37" fontId="63" fillId="0" borderId="17" xfId="0" applyNumberFormat="1" applyFont="1" applyBorder="1" applyAlignment="1" applyProtection="1">
      <alignment/>
      <protection/>
    </xf>
    <xf numFmtId="172" fontId="63" fillId="0" borderId="18" xfId="17" applyNumberFormat="1" applyFont="1" applyBorder="1" applyAlignment="1" applyProtection="1">
      <alignment/>
      <protection/>
    </xf>
    <xf numFmtId="172" fontId="63" fillId="0" borderId="17" xfId="17" applyNumberFormat="1" applyFont="1" applyBorder="1" applyAlignment="1" applyProtection="1">
      <alignment/>
      <protection/>
    </xf>
    <xf numFmtId="172" fontId="63" fillId="0" borderId="13" xfId="17" applyNumberFormat="1" applyFont="1" applyBorder="1" applyAlignment="1" applyProtection="1">
      <alignment/>
      <protection/>
    </xf>
    <xf numFmtId="172" fontId="63" fillId="0" borderId="0" xfId="17" applyNumberFormat="1" applyFont="1" applyBorder="1" applyAlignment="1" applyProtection="1">
      <alignment/>
      <protection/>
    </xf>
    <xf numFmtId="37" fontId="18" fillId="0" borderId="13" xfId="0" applyNumberFormat="1" applyFont="1" applyBorder="1" applyAlignment="1" applyProtection="1">
      <alignment horizontal="center"/>
      <protection/>
    </xf>
    <xf numFmtId="172" fontId="18" fillId="0" borderId="13" xfId="17" applyNumberFormat="1" applyFont="1" applyBorder="1" applyAlignment="1" applyProtection="1">
      <alignment horizontal="center"/>
      <protection/>
    </xf>
    <xf numFmtId="164" fontId="18" fillId="0" borderId="9" xfId="0" applyFont="1" applyBorder="1" applyAlignment="1" applyProtection="1">
      <alignment horizontal="center"/>
      <protection/>
    </xf>
    <xf numFmtId="164" fontId="18" fillId="0" borderId="9" xfId="0" applyFont="1" applyBorder="1" applyAlignment="1">
      <alignment/>
    </xf>
    <xf numFmtId="164" fontId="18" fillId="0" borderId="61" xfId="0" applyFont="1" applyBorder="1" applyAlignment="1">
      <alignment/>
    </xf>
    <xf numFmtId="164" fontId="18" fillId="0" borderId="8" xfId="0" applyFont="1" applyBorder="1" applyAlignment="1" applyProtection="1">
      <alignment horizontal="center"/>
      <protection/>
    </xf>
    <xf numFmtId="164" fontId="7" fillId="0" borderId="0" xfId="0" applyFont="1" applyAlignment="1" applyProtection="1">
      <alignment horizontal="center"/>
      <protection/>
    </xf>
    <xf numFmtId="49" fontId="5" fillId="0" borderId="29" xfId="15" applyNumberFormat="1" applyFont="1" applyBorder="1" applyAlignment="1">
      <alignment horizontal="center" vertical="top"/>
    </xf>
    <xf numFmtId="175" fontId="5" fillId="0" borderId="19" xfId="15" applyNumberFormat="1" applyFont="1" applyBorder="1" applyAlignment="1">
      <alignment wrapText="1"/>
    </xf>
    <xf numFmtId="175" fontId="5" fillId="0" borderId="20" xfId="15" applyNumberFormat="1" applyFont="1" applyBorder="1" applyAlignment="1">
      <alignment wrapText="1"/>
    </xf>
    <xf numFmtId="9" fontId="5" fillId="0" borderId="20" xfId="28" applyFont="1" applyBorder="1" applyAlignment="1">
      <alignment/>
    </xf>
    <xf numFmtId="164" fontId="5" fillId="0" borderId="31" xfId="0" applyFont="1" applyBorder="1" applyAlignment="1">
      <alignment horizontal="center"/>
    </xf>
    <xf numFmtId="164" fontId="1" fillId="0" borderId="0" xfId="0" applyFont="1" applyAlignment="1">
      <alignment/>
    </xf>
    <xf numFmtId="175" fontId="7" fillId="0" borderId="29" xfId="0" applyNumberFormat="1" applyFont="1" applyBorder="1" applyAlignment="1">
      <alignment/>
    </xf>
    <xf numFmtId="172" fontId="7" fillId="0" borderId="13" xfId="17" applyNumberFormat="1" applyFont="1" applyBorder="1" applyAlignment="1">
      <alignment/>
    </xf>
    <xf numFmtId="172" fontId="7" fillId="0" borderId="0" xfId="17" applyNumberFormat="1" applyFont="1" applyBorder="1" applyAlignment="1">
      <alignment/>
    </xf>
    <xf numFmtId="44" fontId="7" fillId="0" borderId="0" xfId="17" applyFont="1" applyAlignment="1">
      <alignment/>
    </xf>
    <xf numFmtId="175" fontId="62" fillId="0" borderId="0" xfId="15" applyNumberFormat="1" applyFont="1" applyBorder="1" applyAlignment="1">
      <alignment/>
    </xf>
    <xf numFmtId="37" fontId="18" fillId="0" borderId="29" xfId="0" applyNumberFormat="1" applyFont="1" applyBorder="1" applyAlignment="1" applyProtection="1">
      <alignment/>
      <protection/>
    </xf>
    <xf numFmtId="172" fontId="62" fillId="0" borderId="13" xfId="17" applyNumberFormat="1" applyFont="1" applyBorder="1" applyAlignment="1">
      <alignment/>
    </xf>
    <xf numFmtId="10" fontId="64" fillId="0" borderId="29" xfId="0" applyNumberFormat="1" applyFont="1" applyBorder="1" applyAlignment="1" applyProtection="1">
      <alignment/>
      <protection/>
    </xf>
    <xf numFmtId="172" fontId="62" fillId="0" borderId="29" xfId="17" applyNumberFormat="1" applyFont="1" applyBorder="1" applyAlignment="1">
      <alignment/>
    </xf>
    <xf numFmtId="172" fontId="62" fillId="0" borderId="0" xfId="17" applyNumberFormat="1" applyFont="1" applyBorder="1" applyAlignment="1">
      <alignment/>
    </xf>
    <xf numFmtId="37" fontId="61" fillId="0" borderId="29" xfId="0" applyNumberFormat="1" applyFont="1" applyBorder="1" applyAlignment="1" applyProtection="1">
      <alignment/>
      <protection/>
    </xf>
    <xf numFmtId="172" fontId="60" fillId="0" borderId="13" xfId="17" applyNumberFormat="1" applyFont="1" applyBorder="1" applyAlignment="1">
      <alignment/>
    </xf>
    <xf numFmtId="172" fontId="60" fillId="0" borderId="29" xfId="17" applyNumberFormat="1" applyFont="1" applyBorder="1" applyAlignment="1">
      <alignment/>
    </xf>
    <xf numFmtId="172" fontId="60" fillId="0" borderId="0" xfId="17" applyNumberFormat="1" applyFont="1" applyBorder="1" applyAlignment="1">
      <alignment/>
    </xf>
    <xf numFmtId="175" fontId="62" fillId="0" borderId="13" xfId="15" applyNumberFormat="1" applyFont="1" applyBorder="1" applyAlignment="1">
      <alignment/>
    </xf>
    <xf numFmtId="175" fontId="62" fillId="0" borderId="29" xfId="15" applyNumberFormat="1" applyFont="1" applyBorder="1" applyAlignment="1">
      <alignment/>
    </xf>
    <xf numFmtId="37" fontId="63" fillId="0" borderId="29" xfId="0" applyNumberFormat="1" applyFont="1" applyBorder="1" applyAlignment="1" applyProtection="1">
      <alignment/>
      <protection/>
    </xf>
    <xf numFmtId="172" fontId="65" fillId="0" borderId="13" xfId="17" applyNumberFormat="1" applyFont="1" applyBorder="1" applyAlignment="1">
      <alignment/>
    </xf>
    <xf numFmtId="172" fontId="65" fillId="0" borderId="29" xfId="17" applyNumberFormat="1" applyFont="1" applyBorder="1" applyAlignment="1">
      <alignment/>
    </xf>
    <xf numFmtId="10" fontId="18" fillId="0" borderId="29" xfId="0" applyNumberFormat="1" applyFont="1" applyBorder="1" applyAlignment="1">
      <alignment/>
    </xf>
    <xf numFmtId="172" fontId="65" fillId="0" borderId="0" xfId="17" applyNumberFormat="1" applyFont="1" applyBorder="1" applyAlignment="1">
      <alignment/>
    </xf>
    <xf numFmtId="172" fontId="64" fillId="0" borderId="29" xfId="17" applyNumberFormat="1" applyFont="1" applyBorder="1" applyAlignment="1" applyProtection="1">
      <alignment/>
      <protection/>
    </xf>
    <xf numFmtId="172" fontId="64" fillId="0" borderId="0" xfId="17" applyNumberFormat="1" applyFont="1" applyBorder="1" applyAlignment="1" applyProtection="1">
      <alignment/>
      <protection/>
    </xf>
    <xf numFmtId="175" fontId="18" fillId="0" borderId="0" xfId="15" applyNumberFormat="1" applyFont="1" applyBorder="1" applyAlignment="1" applyProtection="1">
      <alignment/>
      <protection/>
    </xf>
    <xf numFmtId="172" fontId="66" fillId="0" borderId="29" xfId="17" applyNumberFormat="1" applyFont="1" applyBorder="1" applyAlignment="1">
      <alignment/>
    </xf>
    <xf numFmtId="172" fontId="66" fillId="0" borderId="0" xfId="17" applyNumberFormat="1" applyFont="1" applyBorder="1" applyAlignment="1">
      <alignment/>
    </xf>
    <xf numFmtId="175" fontId="61" fillId="0" borderId="0" xfId="15" applyNumberFormat="1" applyFont="1" applyBorder="1" applyAlignment="1" applyProtection="1">
      <alignment/>
      <protection/>
    </xf>
    <xf numFmtId="37" fontId="18" fillId="0" borderId="20" xfId="0" applyNumberFormat="1" applyFont="1" applyBorder="1" applyAlignment="1" applyProtection="1">
      <alignment/>
      <protection/>
    </xf>
    <xf numFmtId="172" fontId="60" fillId="0" borderId="20" xfId="17" applyNumberFormat="1" applyFont="1" applyBorder="1" applyAlignment="1">
      <alignment/>
    </xf>
    <xf numFmtId="164" fontId="18" fillId="0" borderId="11" xfId="0" applyFont="1" applyBorder="1" applyAlignment="1">
      <alignment/>
    </xf>
    <xf numFmtId="175" fontId="53" fillId="0" borderId="28" xfId="15" applyNumberFormat="1" applyFont="1" applyBorder="1" applyAlignment="1">
      <alignment/>
    </xf>
    <xf numFmtId="172" fontId="65" fillId="0" borderId="24" xfId="17" applyNumberFormat="1" applyFont="1" applyBorder="1" applyAlignment="1">
      <alignment/>
    </xf>
    <xf numFmtId="164" fontId="18" fillId="0" borderId="24" xfId="0" applyFont="1" applyBorder="1" applyAlignment="1">
      <alignment/>
    </xf>
    <xf numFmtId="164" fontId="7" fillId="0" borderId="17" xfId="0" applyFont="1" applyBorder="1" applyAlignment="1">
      <alignment horizontal="center"/>
    </xf>
    <xf numFmtId="37" fontId="29" fillId="0" borderId="18" xfId="0" applyNumberFormat="1" applyFont="1" applyBorder="1" applyAlignment="1" applyProtection="1">
      <alignment/>
      <protection/>
    </xf>
    <xf numFmtId="10" fontId="64" fillId="0" borderId="21" xfId="0" applyNumberFormat="1" applyFont="1" applyBorder="1" applyAlignment="1" applyProtection="1">
      <alignment/>
      <protection/>
    </xf>
    <xf numFmtId="172" fontId="65" fillId="0" borderId="30" xfId="17" applyNumberFormat="1" applyFont="1" applyBorder="1" applyAlignment="1">
      <alignment/>
    </xf>
    <xf numFmtId="172" fontId="65" fillId="0" borderId="28" xfId="17" applyNumberFormat="1" applyFont="1" applyBorder="1" applyAlignment="1">
      <alignment/>
    </xf>
    <xf numFmtId="10" fontId="64" fillId="0" borderId="29" xfId="0" applyNumberFormat="1" applyFont="1" applyBorder="1" applyAlignment="1" applyProtection="1">
      <alignment horizontal="center"/>
      <protection/>
    </xf>
    <xf numFmtId="172" fontId="60" fillId="0" borderId="29" xfId="17" applyNumberFormat="1" applyFont="1" applyBorder="1" applyAlignment="1">
      <alignment horizontal="center"/>
    </xf>
    <xf numFmtId="37" fontId="18" fillId="0" borderId="29" xfId="0" applyNumberFormat="1" applyFont="1" applyBorder="1" applyAlignment="1" applyProtection="1">
      <alignment horizontal="center"/>
      <protection/>
    </xf>
    <xf numFmtId="172" fontId="65" fillId="0" borderId="29" xfId="17" applyNumberFormat="1" applyFont="1" applyBorder="1" applyAlignment="1">
      <alignment horizontal="center"/>
    </xf>
    <xf numFmtId="172" fontId="60" fillId="0" borderId="20" xfId="17" applyNumberFormat="1" applyFont="1" applyBorder="1" applyAlignment="1">
      <alignment horizontal="center"/>
    </xf>
    <xf numFmtId="10" fontId="64" fillId="0" borderId="24" xfId="0" applyNumberFormat="1" applyFont="1" applyBorder="1" applyAlignment="1" applyProtection="1">
      <alignment horizontal="center"/>
      <protection/>
    </xf>
    <xf numFmtId="164" fontId="0" fillId="0" borderId="0" xfId="0" applyFill="1" applyAlignment="1">
      <alignment/>
    </xf>
    <xf numFmtId="164" fontId="7" fillId="0" borderId="19" xfId="0" applyFont="1" applyFill="1" applyBorder="1" applyAlignment="1">
      <alignment horizontal="center"/>
    </xf>
    <xf numFmtId="164" fontId="7" fillId="0" borderId="20" xfId="0" applyFont="1" applyFill="1" applyBorder="1" applyAlignment="1">
      <alignment horizontal="center"/>
    </xf>
    <xf numFmtId="164" fontId="7" fillId="0" borderId="20" xfId="0" applyFont="1" applyBorder="1" applyAlignment="1">
      <alignment horizontal="center"/>
    </xf>
    <xf numFmtId="164" fontId="7" fillId="0" borderId="29" xfId="0" applyFont="1" applyFill="1" applyBorder="1" applyAlignment="1">
      <alignment/>
    </xf>
    <xf numFmtId="44" fontId="7" fillId="0" borderId="29" xfId="17" applyFont="1" applyFill="1" applyBorder="1" applyAlignment="1">
      <alignment/>
    </xf>
    <xf numFmtId="44" fontId="7" fillId="0" borderId="20" xfId="17" applyFont="1" applyFill="1" applyBorder="1" applyAlignment="1">
      <alignment/>
    </xf>
    <xf numFmtId="44" fontId="7" fillId="0" borderId="29" xfId="0" applyNumberFormat="1" applyFont="1" applyFill="1" applyBorder="1" applyAlignment="1">
      <alignment/>
    </xf>
    <xf numFmtId="44" fontId="7" fillId="0" borderId="20" xfId="0" applyNumberFormat="1" applyFont="1" applyFill="1" applyBorder="1" applyAlignment="1">
      <alignment/>
    </xf>
    <xf numFmtId="164" fontId="0" fillId="0" borderId="0" xfId="0" applyFill="1" applyBorder="1" applyAlignment="1">
      <alignment/>
    </xf>
    <xf numFmtId="164" fontId="7" fillId="0" borderId="30" xfId="0" applyFont="1" applyBorder="1" applyAlignment="1">
      <alignment horizontal="center"/>
    </xf>
    <xf numFmtId="164" fontId="7" fillId="0" borderId="19" xfId="0" applyFont="1" applyFill="1" applyBorder="1" applyAlignment="1">
      <alignment/>
    </xf>
    <xf numFmtId="43" fontId="7" fillId="0" borderId="29" xfId="15" applyFont="1" applyFill="1" applyBorder="1" applyAlignment="1">
      <alignment/>
    </xf>
    <xf numFmtId="43" fontId="7" fillId="0" borderId="20" xfId="15" applyFont="1" applyFill="1" applyBorder="1" applyAlignment="1">
      <alignment/>
    </xf>
    <xf numFmtId="44" fontId="7" fillId="0" borderId="24" xfId="17" applyFont="1" applyFill="1" applyBorder="1" applyAlignment="1">
      <alignment/>
    </xf>
    <xf numFmtId="44" fontId="7" fillId="0" borderId="24" xfId="0" applyNumberFormat="1" applyFont="1" applyFill="1" applyBorder="1" applyAlignment="1">
      <alignment/>
    </xf>
    <xf numFmtId="164" fontId="0" fillId="0" borderId="20" xfId="0" applyFill="1" applyBorder="1" applyAlignment="1">
      <alignment/>
    </xf>
    <xf numFmtId="172" fontId="7" fillId="0" borderId="29" xfId="0" applyNumberFormat="1" applyFont="1" applyBorder="1" applyAlignment="1">
      <alignment/>
    </xf>
    <xf numFmtId="172" fontId="67" fillId="0" borderId="21" xfId="0" applyNumberFormat="1" applyFont="1" applyBorder="1" applyAlignment="1">
      <alignment/>
    </xf>
    <xf numFmtId="164" fontId="7" fillId="0" borderId="24" xfId="0" applyFont="1" applyBorder="1" applyAlignment="1">
      <alignment horizontal="center"/>
    </xf>
    <xf numFmtId="164" fontId="1" fillId="0" borderId="0" xfId="0" applyFont="1" applyAlignment="1">
      <alignment horizontal="center"/>
    </xf>
    <xf numFmtId="44" fontId="4" fillId="0" borderId="0" xfId="17" applyAlignment="1">
      <alignment/>
    </xf>
    <xf numFmtId="176" fontId="0" fillId="0" borderId="0" xfId="0" applyNumberFormat="1" applyAlignment="1">
      <alignment/>
    </xf>
    <xf numFmtId="164" fontId="27" fillId="0" borderId="0" xfId="0" applyFont="1" applyAlignment="1">
      <alignment horizontal="left"/>
    </xf>
    <xf numFmtId="164" fontId="7" fillId="0" borderId="20" xfId="0" applyFont="1" applyFill="1" applyBorder="1" applyAlignment="1">
      <alignment/>
    </xf>
    <xf numFmtId="175" fontId="0" fillId="0" borderId="0" xfId="15" applyNumberFormat="1" applyAlignment="1" applyProtection="1">
      <alignment/>
      <protection/>
    </xf>
    <xf numFmtId="44" fontId="13" fillId="0" borderId="0" xfId="0" applyNumberFormat="1" applyFont="1" applyAlignment="1">
      <alignment/>
    </xf>
    <xf numFmtId="164" fontId="68" fillId="0" borderId="0" xfId="0" applyFont="1" applyAlignment="1">
      <alignment/>
    </xf>
    <xf numFmtId="164" fontId="13" fillId="0" borderId="22" xfId="0" applyFont="1" applyBorder="1" applyAlignment="1">
      <alignment horizontal="center"/>
    </xf>
    <xf numFmtId="164" fontId="5" fillId="0" borderId="22" xfId="0" applyFont="1" applyBorder="1" applyAlignment="1">
      <alignment horizontal="center"/>
    </xf>
    <xf numFmtId="164" fontId="5" fillId="0" borderId="15" xfId="0" applyFont="1" applyBorder="1" applyAlignment="1">
      <alignment horizontal="center"/>
    </xf>
    <xf numFmtId="164" fontId="5" fillId="0" borderId="18" xfId="0" applyFont="1" applyBorder="1" applyAlignment="1">
      <alignment horizontal="center"/>
    </xf>
    <xf numFmtId="164" fontId="31" fillId="0" borderId="19" xfId="0" applyFont="1" applyBorder="1" applyAlignment="1">
      <alignment horizontal="center"/>
    </xf>
    <xf numFmtId="164" fontId="31" fillId="0" borderId="20" xfId="0" applyFont="1" applyBorder="1" applyAlignment="1">
      <alignment horizontal="center"/>
    </xf>
    <xf numFmtId="164" fontId="31" fillId="0" borderId="19" xfId="0" applyFont="1" applyBorder="1" applyAlignment="1">
      <alignment horizontal="left"/>
    </xf>
    <xf numFmtId="164" fontId="7" fillId="0" borderId="29" xfId="0" applyFont="1" applyBorder="1" applyAlignment="1">
      <alignment horizontal="left"/>
    </xf>
    <xf numFmtId="164" fontId="7" fillId="0" borderId="29" xfId="0" applyFont="1" applyFill="1" applyBorder="1" applyAlignment="1">
      <alignment horizontal="left"/>
    </xf>
    <xf numFmtId="172" fontId="7" fillId="0" borderId="17" xfId="17" applyNumberFormat="1" applyFont="1" applyBorder="1" applyAlignment="1">
      <alignment/>
    </xf>
    <xf numFmtId="172" fontId="31" fillId="0" borderId="37" xfId="17" applyNumberFormat="1" applyFont="1" applyBorder="1" applyAlignment="1">
      <alignment/>
    </xf>
    <xf numFmtId="172" fontId="31" fillId="0" borderId="13" xfId="17" applyNumberFormat="1" applyFont="1" applyBorder="1" applyAlignment="1">
      <alignment/>
    </xf>
    <xf numFmtId="172" fontId="7" fillId="0" borderId="15" xfId="17" applyNumberFormat="1" applyFont="1" applyBorder="1" applyAlignment="1">
      <alignment/>
    </xf>
    <xf numFmtId="10" fontId="7" fillId="0" borderId="19" xfId="28" applyNumberFormat="1" applyFont="1" applyBorder="1" applyAlignment="1">
      <alignment/>
    </xf>
    <xf numFmtId="164" fontId="5" fillId="0" borderId="0" xfId="26" applyFont="1">
      <alignment/>
      <protection/>
    </xf>
    <xf numFmtId="164" fontId="5" fillId="0" borderId="17" xfId="0" applyFont="1" applyBorder="1" applyAlignment="1">
      <alignment/>
    </xf>
    <xf numFmtId="164" fontId="5" fillId="0" borderId="21" xfId="0" applyFont="1" applyBorder="1" applyAlignment="1">
      <alignment horizontal="centerContinuous"/>
    </xf>
    <xf numFmtId="10" fontId="5" fillId="0" borderId="29" xfId="28" applyNumberFormat="1" applyFont="1" applyBorder="1" applyAlignment="1">
      <alignment horizontal="center"/>
    </xf>
    <xf numFmtId="172" fontId="5" fillId="0" borderId="51" xfId="17" applyNumberFormat="1" applyFont="1" applyBorder="1" applyAlignment="1">
      <alignment/>
    </xf>
    <xf numFmtId="172" fontId="13" fillId="0" borderId="51" xfId="17" applyNumberFormat="1" applyFont="1" applyBorder="1" applyAlignment="1">
      <alignment/>
    </xf>
    <xf numFmtId="164" fontId="5" fillId="0" borderId="43" xfId="26" applyFont="1" applyBorder="1" applyAlignment="1" applyProtection="1">
      <alignment horizontal="center"/>
      <protection/>
    </xf>
    <xf numFmtId="164" fontId="5" fillId="0" borderId="29" xfId="0" applyFont="1" applyBorder="1" applyAlignment="1">
      <alignment horizontal="left"/>
    </xf>
    <xf numFmtId="164" fontId="5" fillId="0" borderId="29" xfId="0" applyFont="1" applyFill="1" applyBorder="1" applyAlignment="1">
      <alignment horizontal="left"/>
    </xf>
    <xf numFmtId="172" fontId="5" fillId="0" borderId="29" xfId="17" applyNumberFormat="1" applyFont="1" applyBorder="1" applyAlignment="1">
      <alignment horizontal="left"/>
    </xf>
    <xf numFmtId="172" fontId="5" fillId="0" borderId="20" xfId="17" applyNumberFormat="1" applyFont="1" applyFill="1" applyBorder="1" applyAlignment="1">
      <alignment horizontal="left"/>
    </xf>
    <xf numFmtId="164" fontId="42" fillId="0" borderId="0" xfId="0" applyFont="1" applyBorder="1" applyAlignment="1">
      <alignment/>
    </xf>
    <xf numFmtId="164" fontId="5" fillId="0" borderId="30" xfId="0" applyFont="1" applyBorder="1" applyAlignment="1">
      <alignment horizontal="center"/>
    </xf>
    <xf numFmtId="164" fontId="5" fillId="0" borderId="28" xfId="0" applyFont="1" applyBorder="1" applyAlignment="1">
      <alignment horizontal="center"/>
    </xf>
    <xf numFmtId="164" fontId="5" fillId="0" borderId="19" xfId="0" applyFont="1" applyBorder="1" applyAlignment="1">
      <alignment horizontal="left"/>
    </xf>
    <xf numFmtId="10" fontId="5" fillId="0" borderId="19" xfId="28" applyNumberFormat="1" applyFont="1" applyBorder="1" applyAlignment="1">
      <alignment/>
    </xf>
    <xf numFmtId="10" fontId="5" fillId="0" borderId="29" xfId="28" applyNumberFormat="1" applyFont="1" applyFill="1" applyBorder="1" applyAlignment="1">
      <alignment/>
    </xf>
    <xf numFmtId="175" fontId="42" fillId="0" borderId="0" xfId="15" applyNumberFormat="1" applyFont="1" applyBorder="1" applyAlignment="1">
      <alignment/>
    </xf>
    <xf numFmtId="10" fontId="42" fillId="0" borderId="0" xfId="28" applyNumberFormat="1" applyFont="1" applyBorder="1" applyAlignment="1">
      <alignment/>
    </xf>
    <xf numFmtId="10" fontId="5" fillId="0" borderId="21" xfId="28" applyNumberFormat="1" applyFont="1" applyBorder="1" applyAlignment="1">
      <alignment/>
    </xf>
    <xf numFmtId="9" fontId="42" fillId="0" borderId="0" xfId="0" applyNumberFormat="1" applyFont="1" applyBorder="1" applyAlignment="1">
      <alignment/>
    </xf>
    <xf numFmtId="172" fontId="13" fillId="0" borderId="23" xfId="17" applyNumberFormat="1" applyFont="1" applyBorder="1" applyAlignment="1">
      <alignment/>
    </xf>
    <xf numFmtId="10" fontId="42" fillId="0" borderId="0" xfId="0" applyNumberFormat="1" applyFont="1" applyBorder="1" applyAlignment="1">
      <alignment/>
    </xf>
    <xf numFmtId="169" fontId="42" fillId="0" borderId="0" xfId="0" applyNumberFormat="1" applyFont="1" applyAlignment="1">
      <alignment/>
    </xf>
    <xf numFmtId="9" fontId="5" fillId="0" borderId="0" xfId="0" applyNumberFormat="1" applyFont="1" applyBorder="1" applyAlignment="1">
      <alignment/>
    </xf>
    <xf numFmtId="172" fontId="5" fillId="0" borderId="23" xfId="17" applyNumberFormat="1" applyFont="1" applyBorder="1" applyAlignment="1">
      <alignment/>
    </xf>
    <xf numFmtId="169" fontId="5" fillId="0" borderId="0" xfId="0" applyNumberFormat="1" applyFont="1" applyAlignment="1">
      <alignment/>
    </xf>
    <xf numFmtId="164" fontId="5" fillId="0" borderId="53" xfId="26" applyFont="1" applyBorder="1" applyAlignment="1" applyProtection="1">
      <alignment horizontal="centerContinuous"/>
      <protection/>
    </xf>
    <xf numFmtId="42" fontId="5" fillId="0" borderId="0" xfId="26" applyNumberFormat="1" applyFont="1" applyFill="1" applyBorder="1">
      <alignment/>
      <protection/>
    </xf>
    <xf numFmtId="10" fontId="5" fillId="0" borderId="29" xfId="28" applyNumberFormat="1" applyFont="1" applyFill="1" applyBorder="1" applyAlignment="1" applyProtection="1">
      <alignment horizontal="center"/>
      <protection/>
    </xf>
    <xf numFmtId="172" fontId="5" fillId="0" borderId="29" xfId="17" applyNumberFormat="1" applyFont="1" applyFill="1" applyBorder="1" applyAlignment="1" applyProtection="1">
      <alignment/>
      <protection/>
    </xf>
    <xf numFmtId="172" fontId="5" fillId="0" borderId="13" xfId="17" applyNumberFormat="1" applyFont="1" applyFill="1" applyBorder="1" applyAlignment="1">
      <alignment/>
    </xf>
    <xf numFmtId="164" fontId="0" fillId="0" borderId="0" xfId="26" applyFill="1">
      <alignment/>
      <protection/>
    </xf>
    <xf numFmtId="172" fontId="5" fillId="0" borderId="29" xfId="17" applyNumberFormat="1" applyFont="1" applyBorder="1" applyAlignment="1" applyProtection="1">
      <alignment/>
      <protection/>
    </xf>
    <xf numFmtId="42" fontId="5" fillId="0" borderId="29" xfId="26" applyNumberFormat="1" applyFont="1" applyBorder="1">
      <alignment/>
      <protection/>
    </xf>
    <xf numFmtId="164" fontId="5" fillId="0" borderId="30" xfId="0" applyFont="1" applyBorder="1" applyAlignment="1">
      <alignment/>
    </xf>
    <xf numFmtId="164" fontId="5" fillId="0" borderId="15" xfId="26" applyFont="1" applyBorder="1" applyAlignment="1" applyProtection="1">
      <alignment horizontal="centerContinuous"/>
      <protection/>
    </xf>
    <xf numFmtId="164" fontId="17" fillId="0" borderId="13" xfId="0" applyFont="1" applyBorder="1" applyAlignment="1">
      <alignment horizontal="center"/>
    </xf>
    <xf numFmtId="174" fontId="5" fillId="0" borderId="13" xfId="28" applyNumberFormat="1" applyFont="1" applyBorder="1" applyAlignment="1">
      <alignment/>
    </xf>
    <xf numFmtId="174" fontId="5" fillId="0" borderId="15" xfId="28" applyNumberFormat="1" applyFont="1" applyBorder="1" applyAlignment="1">
      <alignment/>
    </xf>
    <xf numFmtId="172" fontId="13" fillId="0" borderId="51" xfId="17" applyNumberFormat="1" applyFont="1" applyFill="1" applyBorder="1" applyAlignment="1">
      <alignment/>
    </xf>
    <xf numFmtId="164" fontId="6" fillId="0" borderId="0" xfId="0" applyFont="1" applyBorder="1" applyAlignment="1" applyProtection="1">
      <alignment horizontal="center"/>
      <protection/>
    </xf>
    <xf numFmtId="164" fontId="5" fillId="0" borderId="0" xfId="0" applyFont="1" applyBorder="1" applyAlignment="1" applyProtection="1">
      <alignment horizontal="center"/>
      <protection/>
    </xf>
    <xf numFmtId="179" fontId="0" fillId="0" borderId="62" xfId="0" applyNumberFormat="1" applyBorder="1" applyAlignment="1" applyProtection="1">
      <alignment horizontal="center" wrapText="1"/>
      <protection/>
    </xf>
    <xf numFmtId="170" fontId="4" fillId="0" borderId="0" xfId="28" applyNumberFormat="1" applyFont="1" applyAlignment="1">
      <alignment/>
    </xf>
    <xf numFmtId="164" fontId="28" fillId="0" borderId="13" xfId="28" applyNumberFormat="1" applyFont="1" applyBorder="1" applyAlignment="1">
      <alignment/>
    </xf>
    <xf numFmtId="0" fontId="45" fillId="0" borderId="0" xfId="27" applyFont="1">
      <alignment/>
      <protection/>
    </xf>
    <xf numFmtId="0" fontId="44" fillId="0" borderId="18" xfId="27" applyFont="1" applyBorder="1" applyAlignment="1">
      <alignment horizontal="centerContinuous"/>
      <protection/>
    </xf>
    <xf numFmtId="0" fontId="69" fillId="0" borderId="16" xfId="27" applyFont="1" applyBorder="1" applyAlignment="1">
      <alignment horizontal="centerContinuous"/>
      <protection/>
    </xf>
    <xf numFmtId="0" fontId="45" fillId="0" borderId="16" xfId="27" applyFont="1" applyBorder="1" applyAlignment="1">
      <alignment horizontal="centerContinuous"/>
      <protection/>
    </xf>
    <xf numFmtId="0" fontId="45" fillId="0" borderId="17" xfId="27" applyFont="1" applyBorder="1" applyAlignment="1">
      <alignment horizontal="centerContinuous"/>
      <protection/>
    </xf>
    <xf numFmtId="0" fontId="46" fillId="0" borderId="21" xfId="27" applyFont="1" applyBorder="1" applyAlignment="1">
      <alignment horizontal="centerContinuous"/>
      <protection/>
    </xf>
    <xf numFmtId="0" fontId="69" fillId="0" borderId="0" xfId="27" applyFont="1" applyBorder="1" applyAlignment="1">
      <alignment horizontal="centerContinuous"/>
      <protection/>
    </xf>
    <xf numFmtId="0" fontId="45" fillId="0" borderId="0" xfId="27" applyFont="1" applyBorder="1" applyAlignment="1">
      <alignment horizontal="centerContinuous"/>
      <protection/>
    </xf>
    <xf numFmtId="0" fontId="45" fillId="0" borderId="13" xfId="27" applyFont="1" applyBorder="1" applyAlignment="1">
      <alignment horizontal="centerContinuous"/>
      <protection/>
    </xf>
    <xf numFmtId="0" fontId="44" fillId="0" borderId="22" xfId="27" applyFont="1" applyBorder="1" applyAlignment="1">
      <alignment horizontal="centerContinuous"/>
      <protection/>
    </xf>
    <xf numFmtId="0" fontId="69" fillId="0" borderId="14" xfId="27" applyFont="1" applyBorder="1" applyAlignment="1">
      <alignment horizontal="centerContinuous"/>
      <protection/>
    </xf>
    <xf numFmtId="0" fontId="45" fillId="0" borderId="14" xfId="27" applyFont="1" applyBorder="1" applyAlignment="1">
      <alignment horizontal="centerContinuous"/>
      <protection/>
    </xf>
    <xf numFmtId="0" fontId="45" fillId="0" borderId="15" xfId="27" applyFont="1" applyBorder="1" applyAlignment="1">
      <alignment horizontal="centerContinuous"/>
      <protection/>
    </xf>
    <xf numFmtId="0" fontId="45" fillId="0" borderId="19" xfId="27" applyFont="1" applyBorder="1">
      <alignment/>
      <protection/>
    </xf>
    <xf numFmtId="0" fontId="45" fillId="0" borderId="18" xfId="27" applyFont="1" applyBorder="1">
      <alignment/>
      <protection/>
    </xf>
    <xf numFmtId="0" fontId="45" fillId="0" borderId="17" xfId="27" applyFont="1" applyBorder="1">
      <alignment/>
      <protection/>
    </xf>
    <xf numFmtId="0" fontId="45" fillId="0" borderId="29" xfId="27" applyFont="1" applyBorder="1" applyAlignment="1">
      <alignment horizontal="center"/>
      <protection/>
    </xf>
    <xf numFmtId="0" fontId="45" fillId="0" borderId="21" xfId="27" applyFont="1" applyBorder="1">
      <alignment/>
      <protection/>
    </xf>
    <xf numFmtId="0" fontId="45" fillId="0" borderId="13" xfId="27" applyFont="1" applyBorder="1" applyAlignment="1">
      <alignment horizontal="center"/>
      <protection/>
    </xf>
    <xf numFmtId="0" fontId="45" fillId="0" borderId="20" xfId="27" applyFont="1" applyBorder="1" applyAlignment="1">
      <alignment horizontal="center"/>
      <protection/>
    </xf>
    <xf numFmtId="0" fontId="45" fillId="0" borderId="22" xfId="27" applyFont="1" applyBorder="1">
      <alignment/>
      <protection/>
    </xf>
    <xf numFmtId="0" fontId="45" fillId="0" borderId="15" xfId="27" applyFont="1" applyBorder="1" applyAlignment="1">
      <alignment horizontal="center"/>
      <protection/>
    </xf>
    <xf numFmtId="0" fontId="45" fillId="0" borderId="24" xfId="27" applyFont="1" applyBorder="1">
      <alignment/>
      <protection/>
    </xf>
    <xf numFmtId="0" fontId="45" fillId="0" borderId="30" xfId="27" applyFont="1" applyBorder="1">
      <alignment/>
      <protection/>
    </xf>
    <xf numFmtId="0" fontId="45" fillId="0" borderId="28" xfId="27" applyFont="1" applyBorder="1" applyAlignment="1">
      <alignment horizontal="center"/>
      <protection/>
    </xf>
    <xf numFmtId="0" fontId="45" fillId="0" borderId="29" xfId="27" applyFont="1" applyBorder="1">
      <alignment/>
      <protection/>
    </xf>
    <xf numFmtId="0" fontId="45" fillId="0" borderId="13" xfId="27" applyFont="1" applyBorder="1">
      <alignment/>
      <protection/>
    </xf>
    <xf numFmtId="175" fontId="45" fillId="0" borderId="29" xfId="15" applyNumberFormat="1" applyFont="1" applyBorder="1" applyAlignment="1">
      <alignment/>
    </xf>
    <xf numFmtId="172" fontId="45" fillId="0" borderId="37" xfId="17" applyNumberFormat="1" applyFont="1" applyBorder="1" applyAlignment="1">
      <alignment/>
    </xf>
    <xf numFmtId="10" fontId="45" fillId="0" borderId="37" xfId="28" applyNumberFormat="1" applyFont="1" applyBorder="1" applyAlignment="1">
      <alignment/>
    </xf>
    <xf numFmtId="0" fontId="45" fillId="0" borderId="20" xfId="27" applyFont="1" applyBorder="1">
      <alignment/>
      <protection/>
    </xf>
    <xf numFmtId="0" fontId="45" fillId="0" borderId="15" xfId="27" applyFont="1" applyBorder="1">
      <alignment/>
      <protection/>
    </xf>
    <xf numFmtId="0" fontId="45" fillId="0" borderId="0" xfId="27" applyFont="1" applyAlignment="1">
      <alignment/>
      <protection/>
    </xf>
    <xf numFmtId="0" fontId="45" fillId="0" borderId="19" xfId="27" applyFont="1" applyBorder="1" applyAlignment="1">
      <alignment horizontal="center"/>
      <protection/>
    </xf>
    <xf numFmtId="0" fontId="45" fillId="0" borderId="17" xfId="27" applyFont="1" applyBorder="1" applyAlignment="1">
      <alignment horizontal="center"/>
      <protection/>
    </xf>
    <xf numFmtId="0" fontId="45" fillId="0" borderId="17" xfId="27" applyFont="1" applyBorder="1" applyAlignment="1">
      <alignment/>
      <protection/>
    </xf>
    <xf numFmtId="0" fontId="45" fillId="0" borderId="29" xfId="27" applyFont="1" applyFill="1" applyBorder="1" applyAlignment="1">
      <alignment horizontal="center"/>
      <protection/>
    </xf>
    <xf numFmtId="0" fontId="45" fillId="0" borderId="21" xfId="27" applyFont="1" applyFill="1" applyBorder="1">
      <alignment/>
      <protection/>
    </xf>
    <xf numFmtId="0" fontId="45" fillId="0" borderId="13" xfId="27" applyFont="1" applyFill="1" applyBorder="1">
      <alignment/>
      <protection/>
    </xf>
    <xf numFmtId="175" fontId="45" fillId="0" borderId="20" xfId="15" applyNumberFormat="1" applyFont="1" applyFill="1" applyBorder="1" applyAlignment="1">
      <alignment/>
    </xf>
    <xf numFmtId="0" fontId="45" fillId="0" borderId="0" xfId="27" applyFont="1" applyFill="1">
      <alignment/>
      <protection/>
    </xf>
    <xf numFmtId="10" fontId="45" fillId="0" borderId="15" xfId="28" applyNumberFormat="1" applyFont="1" applyBorder="1" applyAlignment="1">
      <alignment/>
    </xf>
    <xf numFmtId="172" fontId="5" fillId="0" borderId="20" xfId="28" applyNumberFormat="1" applyFont="1" applyBorder="1" applyAlignment="1">
      <alignment/>
    </xf>
    <xf numFmtId="9" fontId="5" fillId="0" borderId="0" xfId="28" applyFont="1" applyBorder="1" applyAlignment="1">
      <alignment/>
    </xf>
    <xf numFmtId="175" fontId="5" fillId="0" borderId="16" xfId="15" applyNumberFormat="1" applyFont="1" applyBorder="1" applyAlignment="1">
      <alignment/>
    </xf>
    <xf numFmtId="49" fontId="5" fillId="0" borderId="20" xfId="15" applyNumberFormat="1" applyFont="1" applyBorder="1" applyAlignment="1">
      <alignment horizontal="center" vertical="top"/>
    </xf>
    <xf numFmtId="49" fontId="5" fillId="0" borderId="16" xfId="15" applyNumberFormat="1" applyFont="1" applyBorder="1" applyAlignment="1">
      <alignment horizontal="center" vertical="top"/>
    </xf>
    <xf numFmtId="49" fontId="5" fillId="0" borderId="0" xfId="15" applyNumberFormat="1" applyFont="1" applyBorder="1" applyAlignment="1">
      <alignment horizontal="center" vertical="top"/>
    </xf>
    <xf numFmtId="164" fontId="32" fillId="0" borderId="0" xfId="0" applyFont="1" applyAlignment="1" applyProtection="1">
      <alignment horizontal="left"/>
      <protection/>
    </xf>
    <xf numFmtId="175" fontId="20" fillId="0" borderId="0" xfId="15" applyNumberFormat="1" applyFont="1" applyAlignment="1">
      <alignment horizontal="center" wrapText="1"/>
    </xf>
    <xf numFmtId="175" fontId="5" fillId="0" borderId="21" xfId="15" applyNumberFormat="1" applyFont="1" applyBorder="1" applyAlignment="1">
      <alignment horizontal="left"/>
    </xf>
    <xf numFmtId="175" fontId="5" fillId="0" borderId="0" xfId="15" applyNumberFormat="1" applyFont="1" applyBorder="1" applyAlignment="1">
      <alignment horizontal="left"/>
    </xf>
    <xf numFmtId="175" fontId="5" fillId="0" borderId="13" xfId="15" applyNumberFormat="1" applyFont="1" applyBorder="1" applyAlignment="1">
      <alignment horizontal="left"/>
    </xf>
    <xf numFmtId="175" fontId="20" fillId="0" borderId="14" xfId="15" applyNumberFormat="1" applyFont="1" applyBorder="1" applyAlignment="1">
      <alignment horizontal="center" wrapText="1"/>
    </xf>
    <xf numFmtId="175" fontId="20" fillId="0" borderId="15" xfId="15" applyNumberFormat="1" applyFont="1" applyBorder="1" applyAlignment="1">
      <alignment horizontal="center" wrapText="1"/>
    </xf>
    <xf numFmtId="175" fontId="5" fillId="0" borderId="21" xfId="15" applyNumberFormat="1" applyFont="1" applyBorder="1" applyAlignment="1">
      <alignment horizontal="left" vertical="top"/>
    </xf>
    <xf numFmtId="175" fontId="5" fillId="0" borderId="0" xfId="15" applyNumberFormat="1" applyFont="1" applyBorder="1" applyAlignment="1">
      <alignment horizontal="left" vertical="top"/>
    </xf>
    <xf numFmtId="175" fontId="27" fillId="0" borderId="0" xfId="15" applyNumberFormat="1" applyFont="1" applyBorder="1" applyAlignment="1">
      <alignment horizontal="center" wrapText="1"/>
    </xf>
    <xf numFmtId="175" fontId="27" fillId="0" borderId="13" xfId="15" applyNumberFormat="1" applyFont="1" applyBorder="1" applyAlignment="1">
      <alignment horizontal="center" wrapText="1"/>
    </xf>
    <xf numFmtId="175" fontId="13" fillId="0" borderId="22" xfId="15" applyNumberFormat="1" applyFont="1" applyBorder="1" applyAlignment="1">
      <alignment horizontal="center" wrapText="1"/>
    </xf>
    <xf numFmtId="175" fontId="13" fillId="0" borderId="14" xfId="15" applyNumberFormat="1" applyFont="1" applyBorder="1" applyAlignment="1">
      <alignment horizontal="center" wrapText="1"/>
    </xf>
    <xf numFmtId="175" fontId="13" fillId="0" borderId="15" xfId="15" applyNumberFormat="1" applyFont="1" applyBorder="1" applyAlignment="1">
      <alignment horizontal="center" wrapText="1"/>
    </xf>
    <xf numFmtId="175" fontId="13" fillId="0" borderId="0" xfId="15" applyNumberFormat="1" applyFont="1" applyAlignment="1">
      <alignment horizontal="center"/>
    </xf>
    <xf numFmtId="175" fontId="13" fillId="0" borderId="18" xfId="15" applyNumberFormat="1" applyFont="1" applyBorder="1" applyAlignment="1">
      <alignment horizontal="center"/>
    </xf>
    <xf numFmtId="175" fontId="13" fillId="0" borderId="16" xfId="15" applyNumberFormat="1" applyFont="1" applyBorder="1" applyAlignment="1">
      <alignment horizontal="center"/>
    </xf>
    <xf numFmtId="175" fontId="13" fillId="0" borderId="17" xfId="15" applyNumberFormat="1" applyFont="1" applyBorder="1" applyAlignment="1">
      <alignment horizontal="center"/>
    </xf>
    <xf numFmtId="175" fontId="5" fillId="0" borderId="22" xfId="15" applyNumberFormat="1" applyFont="1" applyBorder="1" applyAlignment="1">
      <alignment horizontal="center"/>
    </xf>
    <xf numFmtId="175" fontId="5" fillId="0" borderId="15" xfId="15" applyNumberFormat="1" applyFont="1" applyBorder="1" applyAlignment="1">
      <alignment horizontal="center"/>
    </xf>
    <xf numFmtId="175" fontId="5" fillId="0" borderId="28" xfId="15" applyNumberFormat="1" applyFont="1" applyBorder="1" applyAlignment="1">
      <alignment horizontal="center"/>
    </xf>
    <xf numFmtId="175" fontId="5" fillId="0" borderId="24" xfId="15" applyNumberFormat="1" applyFont="1" applyBorder="1" applyAlignment="1">
      <alignment horizontal="center"/>
    </xf>
    <xf numFmtId="175" fontId="27" fillId="0" borderId="21" xfId="15" applyNumberFormat="1" applyFont="1" applyBorder="1" applyAlignment="1">
      <alignment horizontal="center" wrapText="1"/>
    </xf>
    <xf numFmtId="164" fontId="0" fillId="0" borderId="0" xfId="0" applyBorder="1" applyAlignment="1" applyProtection="1">
      <alignment horizontal="center"/>
      <protection/>
    </xf>
    <xf numFmtId="164" fontId="0" fillId="0" borderId="30" xfId="0" applyBorder="1" applyAlignment="1" applyProtection="1">
      <alignment horizontal="center"/>
      <protection/>
    </xf>
    <xf numFmtId="164" fontId="0" fillId="0" borderId="28" xfId="0" applyBorder="1" applyAlignment="1" applyProtection="1">
      <alignment horizontal="center"/>
      <protection/>
    </xf>
    <xf numFmtId="164" fontId="13" fillId="0" borderId="21" xfId="24" applyFont="1" applyBorder="1" applyAlignment="1">
      <alignment horizontal="center"/>
      <protection/>
    </xf>
    <xf numFmtId="164" fontId="13" fillId="0" borderId="0" xfId="24" applyFont="1" applyBorder="1" applyAlignment="1">
      <alignment horizontal="center"/>
      <protection/>
    </xf>
    <xf numFmtId="164" fontId="13" fillId="0" borderId="13" xfId="24" applyFont="1" applyBorder="1" applyAlignment="1">
      <alignment horizontal="center"/>
      <protection/>
    </xf>
    <xf numFmtId="164" fontId="5" fillId="0" borderId="18" xfId="26" applyFont="1" applyBorder="1" applyAlignment="1" applyProtection="1">
      <alignment horizontal="center"/>
      <protection/>
    </xf>
    <xf numFmtId="164" fontId="5" fillId="0" borderId="16" xfId="26" applyFont="1" applyBorder="1" applyAlignment="1" applyProtection="1">
      <alignment horizontal="center"/>
      <protection/>
    </xf>
    <xf numFmtId="164" fontId="5" fillId="0" borderId="17" xfId="26" applyFont="1" applyBorder="1" applyAlignment="1" applyProtection="1">
      <alignment horizontal="center"/>
      <protection/>
    </xf>
    <xf numFmtId="164" fontId="51" fillId="0" borderId="30" xfId="0" applyFont="1" applyBorder="1" applyAlignment="1">
      <alignment horizontal="center"/>
    </xf>
    <xf numFmtId="164" fontId="51" fillId="0" borderId="28" xfId="0" applyFont="1" applyBorder="1" applyAlignment="1">
      <alignment horizontal="center"/>
    </xf>
    <xf numFmtId="164" fontId="5" fillId="0" borderId="18" xfId="0" applyFont="1" applyBorder="1" applyAlignment="1" applyProtection="1">
      <alignment horizontal="center"/>
      <protection/>
    </xf>
    <xf numFmtId="164" fontId="5" fillId="0" borderId="16" xfId="0" applyFont="1" applyBorder="1" applyAlignment="1" applyProtection="1">
      <alignment horizontal="center"/>
      <protection/>
    </xf>
    <xf numFmtId="164" fontId="5" fillId="0" borderId="17" xfId="0" applyFont="1" applyBorder="1" applyAlignment="1" applyProtection="1">
      <alignment horizontal="center"/>
      <protection/>
    </xf>
    <xf numFmtId="164" fontId="20" fillId="0" borderId="21" xfId="0" applyFont="1" applyBorder="1" applyAlignment="1">
      <alignment horizontal="center"/>
    </xf>
    <xf numFmtId="164" fontId="20" fillId="0" borderId="0" xfId="0" applyFont="1" applyBorder="1" applyAlignment="1">
      <alignment horizontal="center"/>
    </xf>
    <xf numFmtId="164" fontId="20" fillId="0" borderId="13" xfId="0" applyFont="1" applyBorder="1" applyAlignment="1">
      <alignment horizontal="center"/>
    </xf>
    <xf numFmtId="164" fontId="13" fillId="0" borderId="22" xfId="0" applyFont="1" applyBorder="1" applyAlignment="1" applyProtection="1">
      <alignment horizontal="center"/>
      <protection/>
    </xf>
    <xf numFmtId="164" fontId="13" fillId="0" borderId="14" xfId="0" applyFont="1" applyBorder="1" applyAlignment="1" applyProtection="1">
      <alignment horizontal="center"/>
      <protection/>
    </xf>
    <xf numFmtId="164" fontId="13" fillId="0" borderId="15" xfId="0" applyFont="1" applyBorder="1" applyAlignment="1" applyProtection="1">
      <alignment horizontal="center"/>
      <protection/>
    </xf>
    <xf numFmtId="164" fontId="20" fillId="0" borderId="21" xfId="0" applyFont="1" applyBorder="1" applyAlignment="1" applyProtection="1">
      <alignment horizontal="center"/>
      <protection/>
    </xf>
    <xf numFmtId="164" fontId="20" fillId="0" borderId="0" xfId="0" applyFont="1" applyBorder="1" applyAlignment="1" applyProtection="1">
      <alignment horizontal="center"/>
      <protection/>
    </xf>
    <xf numFmtId="164" fontId="20" fillId="0" borderId="13" xfId="0" applyFont="1" applyBorder="1" applyAlignment="1" applyProtection="1">
      <alignment horizontal="center"/>
      <protection/>
    </xf>
    <xf numFmtId="164" fontId="13" fillId="0" borderId="22" xfId="0" applyFont="1" applyBorder="1" applyAlignment="1" applyProtection="1">
      <alignment horizontal="center"/>
      <protection/>
    </xf>
    <xf numFmtId="164" fontId="13" fillId="0" borderId="14" xfId="0" applyFont="1" applyBorder="1" applyAlignment="1" applyProtection="1">
      <alignment horizontal="center"/>
      <protection/>
    </xf>
    <xf numFmtId="164" fontId="13" fillId="0" borderId="15" xfId="0" applyFont="1" applyBorder="1" applyAlignment="1" applyProtection="1">
      <alignment horizontal="center"/>
      <protection/>
    </xf>
    <xf numFmtId="164" fontId="6" fillId="0" borderId="21" xfId="0" applyFont="1" applyBorder="1" applyAlignment="1" applyProtection="1">
      <alignment horizontal="center"/>
      <protection/>
    </xf>
    <xf numFmtId="164" fontId="6" fillId="0" borderId="0" xfId="0" applyFont="1" applyBorder="1" applyAlignment="1" applyProtection="1">
      <alignment horizontal="center"/>
      <protection/>
    </xf>
    <xf numFmtId="164" fontId="6" fillId="0" borderId="13" xfId="0" applyFont="1" applyBorder="1" applyAlignment="1" applyProtection="1">
      <alignment horizontal="center"/>
      <protection/>
    </xf>
    <xf numFmtId="164" fontId="0" fillId="0" borderId="18" xfId="0" applyBorder="1" applyAlignment="1">
      <alignment horizontal="center"/>
    </xf>
    <xf numFmtId="164" fontId="0" fillId="0" borderId="16" xfId="0" applyBorder="1" applyAlignment="1">
      <alignment horizontal="center"/>
    </xf>
    <xf numFmtId="164" fontId="0" fillId="0" borderId="21" xfId="0" applyBorder="1" applyAlignment="1" applyProtection="1">
      <alignment horizontal="center"/>
      <protection/>
    </xf>
    <xf numFmtId="164" fontId="27" fillId="0" borderId="21" xfId="0" applyFont="1" applyBorder="1" applyAlignment="1">
      <alignment horizontal="center"/>
    </xf>
    <xf numFmtId="164" fontId="27" fillId="0" borderId="0" xfId="0" applyFont="1" applyBorder="1" applyAlignment="1">
      <alignment horizontal="center"/>
    </xf>
    <xf numFmtId="164" fontId="27" fillId="0" borderId="13" xfId="0" applyFont="1" applyBorder="1" applyAlignment="1">
      <alignment horizontal="center"/>
    </xf>
    <xf numFmtId="164" fontId="5" fillId="0" borderId="22" xfId="26" applyFont="1" applyBorder="1" applyAlignment="1" applyProtection="1">
      <alignment horizontal="center"/>
      <protection/>
    </xf>
    <xf numFmtId="164" fontId="5" fillId="0" borderId="14" xfId="26" applyFont="1" applyBorder="1" applyAlignment="1" applyProtection="1">
      <alignment horizontal="center"/>
      <protection/>
    </xf>
    <xf numFmtId="164" fontId="5" fillId="0" borderId="15" xfId="26" applyFont="1" applyBorder="1" applyAlignment="1" applyProtection="1">
      <alignment horizontal="center"/>
      <protection/>
    </xf>
    <xf numFmtId="164" fontId="5" fillId="0" borderId="30" xfId="0" applyFont="1" applyBorder="1" applyAlignment="1">
      <alignment horizontal="center"/>
    </xf>
    <xf numFmtId="164" fontId="5" fillId="0" borderId="28" xfId="0" applyFont="1" applyBorder="1" applyAlignment="1">
      <alignment horizontal="center"/>
    </xf>
    <xf numFmtId="164" fontId="43" fillId="0" borderId="21" xfId="0" applyFont="1" applyBorder="1" applyAlignment="1">
      <alignment horizontal="center"/>
    </xf>
    <xf numFmtId="164" fontId="43" fillId="0" borderId="0" xfId="0" applyFont="1" applyBorder="1" applyAlignment="1">
      <alignment horizontal="center"/>
    </xf>
    <xf numFmtId="164" fontId="43" fillId="0" borderId="13" xfId="0" applyFont="1" applyBorder="1" applyAlignment="1">
      <alignment horizontal="center"/>
    </xf>
    <xf numFmtId="164" fontId="5" fillId="0" borderId="18" xfId="0" applyFont="1" applyBorder="1" applyAlignment="1">
      <alignment horizontal="center"/>
    </xf>
    <xf numFmtId="164" fontId="5" fillId="0" borderId="16" xfId="0" applyFont="1" applyBorder="1" applyAlignment="1">
      <alignment horizontal="center"/>
    </xf>
    <xf numFmtId="164" fontId="5" fillId="0" borderId="17" xfId="0" applyFont="1" applyBorder="1" applyAlignment="1">
      <alignment horizontal="center"/>
    </xf>
    <xf numFmtId="164" fontId="5" fillId="0" borderId="22" xfId="0" applyFont="1" applyBorder="1" applyAlignment="1">
      <alignment horizontal="center"/>
    </xf>
    <xf numFmtId="164" fontId="5" fillId="0" borderId="14" xfId="0" applyFont="1" applyBorder="1" applyAlignment="1">
      <alignment horizontal="center"/>
    </xf>
    <xf numFmtId="164" fontId="5" fillId="0" borderId="15" xfId="0" applyFont="1" applyBorder="1" applyAlignment="1">
      <alignment horizontal="center"/>
    </xf>
    <xf numFmtId="164" fontId="7" fillId="0" borderId="30" xfId="0" applyFont="1" applyFill="1" applyBorder="1" applyAlignment="1">
      <alignment horizontal="center"/>
    </xf>
    <xf numFmtId="164" fontId="7" fillId="0" borderId="31" xfId="0" applyFont="1" applyFill="1" applyBorder="1" applyAlignment="1">
      <alignment horizontal="center"/>
    </xf>
    <xf numFmtId="164" fontId="7" fillId="0" borderId="28" xfId="0" applyFont="1" applyFill="1" applyBorder="1" applyAlignment="1">
      <alignment horizontal="center"/>
    </xf>
    <xf numFmtId="164" fontId="7" fillId="0" borderId="21" xfId="0" applyFont="1" applyFill="1" applyBorder="1" applyAlignment="1">
      <alignment horizontal="center"/>
    </xf>
    <xf numFmtId="164" fontId="7" fillId="0" borderId="0" xfId="0" applyFont="1" applyFill="1" applyBorder="1" applyAlignment="1">
      <alignment horizontal="center"/>
    </xf>
    <xf numFmtId="164" fontId="7" fillId="0" borderId="13" xfId="0" applyFont="1" applyFill="1" applyBorder="1" applyAlignment="1">
      <alignment horizontal="center"/>
    </xf>
    <xf numFmtId="164" fontId="7" fillId="0" borderId="18" xfId="0" applyFont="1" applyBorder="1" applyAlignment="1">
      <alignment horizontal="center"/>
    </xf>
    <xf numFmtId="164" fontId="7" fillId="0" borderId="17" xfId="0" applyFont="1" applyBorder="1" applyAlignment="1">
      <alignment horizontal="center"/>
    </xf>
    <xf numFmtId="164" fontId="7" fillId="0" borderId="16" xfId="0" applyFont="1" applyBorder="1" applyAlignment="1">
      <alignment horizontal="center"/>
    </xf>
    <xf numFmtId="175" fontId="20" fillId="0" borderId="21" xfId="15" applyNumberFormat="1" applyFont="1" applyBorder="1" applyAlignment="1">
      <alignment horizontal="center"/>
    </xf>
    <xf numFmtId="175" fontId="20" fillId="0" borderId="0" xfId="15" applyNumberFormat="1" applyFont="1" applyBorder="1" applyAlignment="1">
      <alignment horizontal="center"/>
    </xf>
    <xf numFmtId="175" fontId="20" fillId="0" borderId="13" xfId="15" applyNumberFormat="1" applyFont="1" applyBorder="1" applyAlignment="1">
      <alignment horizontal="center"/>
    </xf>
    <xf numFmtId="175" fontId="5" fillId="0" borderId="14" xfId="15" applyNumberFormat="1" applyFont="1" applyBorder="1" applyAlignment="1">
      <alignment horizontal="center"/>
    </xf>
    <xf numFmtId="164" fontId="13" fillId="0" borderId="18" xfId="0" applyFont="1" applyBorder="1" applyAlignment="1">
      <alignment horizontal="center"/>
    </xf>
    <xf numFmtId="164" fontId="13" fillId="0" borderId="16" xfId="0" applyFont="1" applyBorder="1" applyAlignment="1">
      <alignment horizontal="center"/>
    </xf>
    <xf numFmtId="164" fontId="13" fillId="0" borderId="17" xfId="0" applyFont="1" applyBorder="1" applyAlignment="1">
      <alignment horizontal="center"/>
    </xf>
    <xf numFmtId="164" fontId="53" fillId="0" borderId="21" xfId="0" applyFont="1" applyBorder="1" applyAlignment="1">
      <alignment horizontal="center"/>
    </xf>
    <xf numFmtId="164" fontId="53" fillId="0" borderId="0" xfId="0" applyFont="1" applyBorder="1" applyAlignment="1">
      <alignment horizontal="center"/>
    </xf>
    <xf numFmtId="164" fontId="53" fillId="0" borderId="13" xfId="0" applyFont="1" applyBorder="1" applyAlignment="1">
      <alignment horizontal="center"/>
    </xf>
    <xf numFmtId="164" fontId="13" fillId="0" borderId="22" xfId="0" applyFont="1" applyBorder="1" applyAlignment="1">
      <alignment horizontal="center"/>
    </xf>
    <xf numFmtId="164" fontId="13" fillId="0" borderId="14" xfId="0" applyFont="1" applyBorder="1" applyAlignment="1">
      <alignment horizontal="center"/>
    </xf>
    <xf numFmtId="164" fontId="13" fillId="0" borderId="15" xfId="0" applyFont="1" applyBorder="1" applyAlignment="1">
      <alignment horizontal="center"/>
    </xf>
    <xf numFmtId="164" fontId="54" fillId="0" borderId="16" xfId="0" applyFont="1" applyBorder="1" applyAlignment="1">
      <alignment horizontal="center"/>
    </xf>
    <xf numFmtId="164" fontId="54" fillId="0" borderId="30" xfId="0" applyFont="1" applyBorder="1" applyAlignment="1">
      <alignment horizontal="center"/>
    </xf>
    <xf numFmtId="164" fontId="54" fillId="0" borderId="28" xfId="0" applyFont="1" applyBorder="1" applyAlignment="1">
      <alignment horizontal="center"/>
    </xf>
    <xf numFmtId="164" fontId="5" fillId="0" borderId="22" xfId="26" applyFont="1" applyFill="1" applyBorder="1" applyAlignment="1" applyProtection="1">
      <alignment horizontal="center"/>
      <protection/>
    </xf>
    <xf numFmtId="164" fontId="5" fillId="0" borderId="14" xfId="26" applyFont="1" applyFill="1" applyBorder="1" applyAlignment="1" applyProtection="1">
      <alignment horizontal="center"/>
      <protection/>
    </xf>
    <xf numFmtId="164" fontId="5" fillId="0" borderId="15" xfId="26" applyFont="1" applyFill="1" applyBorder="1" applyAlignment="1" applyProtection="1">
      <alignment horizontal="center"/>
      <protection/>
    </xf>
    <xf numFmtId="164" fontId="7" fillId="0" borderId="14" xfId="0" applyFont="1" applyFill="1" applyBorder="1" applyAlignment="1">
      <alignment horizontal="center"/>
    </xf>
    <xf numFmtId="164" fontId="7" fillId="0" borderId="30" xfId="0" applyFont="1" applyBorder="1" applyAlignment="1">
      <alignment horizontal="center"/>
    </xf>
    <xf numFmtId="164" fontId="7" fillId="0" borderId="28" xfId="0" applyFont="1" applyBorder="1" applyAlignment="1">
      <alignment horizontal="center"/>
    </xf>
    <xf numFmtId="164" fontId="13" fillId="0" borderId="21" xfId="24" applyFont="1" applyFill="1" applyBorder="1" applyAlignment="1">
      <alignment horizontal="center"/>
      <protection/>
    </xf>
    <xf numFmtId="164" fontId="13" fillId="0" borderId="0" xfId="24" applyFont="1" applyFill="1" applyBorder="1" applyAlignment="1">
      <alignment horizontal="center"/>
      <protection/>
    </xf>
    <xf numFmtId="164" fontId="13" fillId="0" borderId="13" xfId="24" applyFont="1" applyFill="1" applyBorder="1" applyAlignment="1">
      <alignment horizontal="center"/>
      <protection/>
    </xf>
    <xf numFmtId="164" fontId="5" fillId="0" borderId="18" xfId="26" applyFont="1" applyFill="1" applyBorder="1" applyAlignment="1" applyProtection="1">
      <alignment horizontal="center"/>
      <protection/>
    </xf>
    <xf numFmtId="164" fontId="5" fillId="0" borderId="16" xfId="26" applyFont="1" applyFill="1" applyBorder="1" applyAlignment="1" applyProtection="1">
      <alignment horizontal="center"/>
      <protection/>
    </xf>
    <xf numFmtId="164" fontId="5" fillId="0" borderId="17" xfId="26" applyFont="1" applyFill="1" applyBorder="1" applyAlignment="1" applyProtection="1">
      <alignment horizontal="center"/>
      <protection/>
    </xf>
    <xf numFmtId="164" fontId="7" fillId="0" borderId="22" xfId="0" applyFont="1" applyBorder="1" applyAlignment="1">
      <alignment horizontal="center"/>
    </xf>
    <xf numFmtId="164" fontId="7" fillId="0" borderId="15" xfId="0" applyFont="1" applyBorder="1" applyAlignment="1">
      <alignment horizontal="center"/>
    </xf>
    <xf numFmtId="164" fontId="0" fillId="0" borderId="22" xfId="0" applyBorder="1" applyAlignment="1">
      <alignment horizontal="center"/>
    </xf>
    <xf numFmtId="164" fontId="0" fillId="0" borderId="14" xfId="0" applyBorder="1" applyAlignment="1">
      <alignment horizontal="center"/>
    </xf>
    <xf numFmtId="164" fontId="0" fillId="0" borderId="15" xfId="0" applyBorder="1" applyAlignment="1">
      <alignment horizontal="center"/>
    </xf>
    <xf numFmtId="164" fontId="27" fillId="0" borderId="21" xfId="0" applyFont="1" applyBorder="1" applyAlignment="1" applyProtection="1">
      <alignment horizontal="center"/>
      <protection/>
    </xf>
    <xf numFmtId="164" fontId="27" fillId="0" borderId="0" xfId="0" applyFont="1" applyBorder="1" applyAlignment="1" applyProtection="1">
      <alignment horizontal="center"/>
      <protection/>
    </xf>
    <xf numFmtId="164" fontId="27" fillId="0" borderId="13" xfId="0" applyFont="1" applyBorder="1" applyAlignment="1" applyProtection="1">
      <alignment horizontal="center"/>
      <protection/>
    </xf>
    <xf numFmtId="164" fontId="27" fillId="0" borderId="21" xfId="0" applyFont="1" applyBorder="1" applyAlignment="1">
      <alignment horizontal="center"/>
    </xf>
    <xf numFmtId="164" fontId="27" fillId="0" borderId="0" xfId="0" applyFont="1" applyBorder="1" applyAlignment="1">
      <alignment horizontal="center"/>
    </xf>
    <xf numFmtId="164" fontId="27" fillId="0" borderId="13" xfId="0" applyFont="1" applyBorder="1" applyAlignment="1">
      <alignment horizontal="center"/>
    </xf>
    <xf numFmtId="164" fontId="5" fillId="0" borderId="22" xfId="0" applyFont="1" applyBorder="1" applyAlignment="1">
      <alignment horizontal="center"/>
    </xf>
    <xf numFmtId="164" fontId="5" fillId="0" borderId="14" xfId="0" applyFont="1" applyBorder="1" applyAlignment="1">
      <alignment horizontal="center"/>
    </xf>
    <xf numFmtId="164" fontId="5" fillId="0" borderId="15" xfId="0" applyFont="1" applyBorder="1" applyAlignment="1">
      <alignment horizontal="center"/>
    </xf>
    <xf numFmtId="164" fontId="0" fillId="0" borderId="30" xfId="0" applyBorder="1" applyAlignment="1">
      <alignment horizontal="center"/>
    </xf>
    <xf numFmtId="164" fontId="0" fillId="0" borderId="31" xfId="0" applyBorder="1" applyAlignment="1">
      <alignment horizontal="center"/>
    </xf>
    <xf numFmtId="164" fontId="0" fillId="0" borderId="28" xfId="0" applyBorder="1" applyAlignment="1">
      <alignment horizontal="center"/>
    </xf>
    <xf numFmtId="164" fontId="5" fillId="0" borderId="0" xfId="0" applyFont="1" applyBorder="1" applyAlignment="1" applyProtection="1">
      <alignment horizontal="center"/>
      <protection/>
    </xf>
    <xf numFmtId="164" fontId="5" fillId="0" borderId="0" xfId="0" applyFont="1" applyBorder="1" applyAlignment="1">
      <alignment horizontal="center"/>
    </xf>
    <xf numFmtId="164" fontId="5" fillId="0" borderId="18" xfId="0" applyFont="1" applyBorder="1" applyAlignment="1">
      <alignment horizontal="center"/>
    </xf>
    <xf numFmtId="164" fontId="5" fillId="0" borderId="16" xfId="0" applyFont="1" applyBorder="1" applyAlignment="1">
      <alignment horizontal="center"/>
    </xf>
    <xf numFmtId="164" fontId="5" fillId="0" borderId="17" xfId="0" applyFont="1" applyBorder="1" applyAlignment="1">
      <alignment horizontal="center"/>
    </xf>
    <xf numFmtId="164" fontId="28" fillId="0" borderId="21" xfId="0" applyFont="1" applyBorder="1" applyAlignment="1">
      <alignment horizontal="center"/>
    </xf>
    <xf numFmtId="164" fontId="28" fillId="0" borderId="0" xfId="0" applyFont="1" applyBorder="1" applyAlignment="1">
      <alignment horizontal="center"/>
    </xf>
    <xf numFmtId="164" fontId="28" fillId="0" borderId="13" xfId="0" applyFont="1" applyBorder="1" applyAlignment="1">
      <alignment horizontal="center"/>
    </xf>
    <xf numFmtId="164" fontId="28" fillId="0" borderId="0" xfId="0" applyFont="1" applyAlignment="1">
      <alignment horizontal="center"/>
    </xf>
    <xf numFmtId="164" fontId="27" fillId="0" borderId="0" xfId="0" applyFont="1" applyAlignment="1">
      <alignment horizontal="center"/>
    </xf>
    <xf numFmtId="164" fontId="13" fillId="0" borderId="21" xfId="0" applyFont="1" applyBorder="1" applyAlignment="1">
      <alignment horizontal="center"/>
    </xf>
    <xf numFmtId="164" fontId="13" fillId="0" borderId="0" xfId="0" applyFont="1" applyBorder="1" applyAlignment="1">
      <alignment horizontal="center"/>
    </xf>
    <xf numFmtId="164" fontId="13" fillId="0" borderId="13" xfId="0" applyFont="1" applyBorder="1" applyAlignment="1">
      <alignment horizontal="center"/>
    </xf>
    <xf numFmtId="164" fontId="5" fillId="0" borderId="21" xfId="0" applyFont="1" applyBorder="1" applyAlignment="1">
      <alignment horizontal="center"/>
    </xf>
    <xf numFmtId="164" fontId="5" fillId="0" borderId="13" xfId="0" applyFont="1" applyBorder="1" applyAlignment="1">
      <alignment horizontal="center"/>
    </xf>
    <xf numFmtId="175" fontId="28" fillId="0" borderId="18" xfId="15" applyNumberFormat="1" applyFont="1" applyBorder="1" applyAlignment="1">
      <alignment horizontal="center"/>
    </xf>
    <xf numFmtId="175" fontId="28" fillId="0" borderId="16" xfId="15" applyNumberFormat="1" applyFont="1" applyBorder="1" applyAlignment="1">
      <alignment horizontal="center"/>
    </xf>
    <xf numFmtId="175" fontId="28" fillId="0" borderId="17" xfId="15" applyNumberFormat="1" applyFont="1" applyBorder="1" applyAlignment="1">
      <alignment horizontal="center"/>
    </xf>
    <xf numFmtId="175" fontId="28" fillId="0" borderId="22" xfId="15" applyNumberFormat="1" applyFont="1" applyBorder="1" applyAlignment="1">
      <alignment horizontal="center"/>
    </xf>
    <xf numFmtId="175" fontId="28" fillId="0" borderId="14" xfId="15" applyNumberFormat="1" applyFont="1" applyBorder="1" applyAlignment="1">
      <alignment horizontal="center"/>
    </xf>
    <xf numFmtId="175" fontId="28" fillId="0" borderId="15" xfId="15" applyNumberFormat="1" applyFont="1" applyBorder="1" applyAlignment="1">
      <alignment horizontal="center"/>
    </xf>
    <xf numFmtId="175" fontId="5" fillId="0" borderId="0" xfId="15" applyNumberFormat="1" applyFont="1" applyAlignment="1">
      <alignment horizontal="center"/>
    </xf>
    <xf numFmtId="175" fontId="20" fillId="0" borderId="0" xfId="15" applyNumberFormat="1" applyFont="1" applyAlignment="1" applyProtection="1">
      <alignment horizontal="center" wrapText="1"/>
      <protection locked="0"/>
    </xf>
    <xf numFmtId="175" fontId="20" fillId="0" borderId="21" xfId="15" applyNumberFormat="1" applyFont="1" applyBorder="1" applyAlignment="1">
      <alignment horizontal="center" wrapText="1"/>
    </xf>
    <xf numFmtId="175" fontId="20" fillId="0" borderId="0" xfId="15" applyNumberFormat="1" applyFont="1" applyBorder="1" applyAlignment="1">
      <alignment horizontal="center" wrapText="1"/>
    </xf>
    <xf numFmtId="175" fontId="20" fillId="0" borderId="13" xfId="15" applyNumberFormat="1" applyFont="1" applyBorder="1" applyAlignment="1">
      <alignment horizontal="center" wrapText="1"/>
    </xf>
  </cellXfs>
  <cellStyles count="15">
    <cellStyle name="Normal" xfId="0"/>
    <cellStyle name="Comma" xfId="15"/>
    <cellStyle name="Comma [0]" xfId="16"/>
    <cellStyle name="Currency" xfId="17"/>
    <cellStyle name="Currency [0]" xfId="18"/>
    <cellStyle name="Followed Hyperlink" xfId="19"/>
    <cellStyle name="Hyperlink" xfId="20"/>
    <cellStyle name="Normal_Advtise Exp" xfId="21"/>
    <cellStyle name="Normal_Book1" xfId="22"/>
    <cellStyle name="Normal_CAP1203" xfId="23"/>
    <cellStyle name="Normal_RORO1200" xfId="24"/>
    <cellStyle name="Normal_Sheet1" xfId="25"/>
    <cellStyle name="Normal_UG06XXXprelim test" xfId="26"/>
    <cellStyle name="Normal_Working Capital Calc" xfId="27"/>
    <cellStyle name="Percent"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styles" Target="styles.xml" /><Relationship Id="rId61" Type="http://schemas.openxmlformats.org/officeDocument/2006/relationships/sharedStrings" Target="sharedStrings.xml" /><Relationship Id="rId62" Type="http://schemas.openxmlformats.org/officeDocument/2006/relationships/externalLink" Target="externalLinks/externalLink1.xml" /><Relationship Id="rId63" Type="http://schemas.openxmlformats.org/officeDocument/2006/relationships/externalLink" Target="externalLinks/externalLink2.xml" /><Relationship Id="rId64" Type="http://schemas.openxmlformats.org/officeDocument/2006/relationships/externalLink" Target="externalLinks/externalLink3.xml" /><Relationship Id="rId6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39</xdr:row>
      <xdr:rowOff>114300</xdr:rowOff>
    </xdr:from>
    <xdr:to>
      <xdr:col>10</xdr:col>
      <xdr:colOff>0</xdr:colOff>
      <xdr:row>56</xdr:row>
      <xdr:rowOff>9525</xdr:rowOff>
    </xdr:to>
    <xdr:sp>
      <xdr:nvSpPr>
        <xdr:cNvPr id="1" name="Text 1"/>
        <xdr:cNvSpPr txBox="1">
          <a:spLocks noChangeArrowheads="1"/>
        </xdr:cNvSpPr>
      </xdr:nvSpPr>
      <xdr:spPr>
        <a:xfrm>
          <a:off x="9963150" y="6391275"/>
          <a:ext cx="0" cy="2505075"/>
        </a:xfrm>
        <a:prstGeom prst="rect">
          <a:avLst/>
        </a:prstGeom>
        <a:solidFill>
          <a:srgbClr val="FFFFFF"/>
        </a:solidFill>
        <a:ln w="1" cmpd="sng">
          <a:noFill/>
        </a:ln>
      </xdr:spPr>
      <xdr:txBody>
        <a:bodyPr vertOverflow="clip" wrap="square" vert="vert"/>
        <a:p>
          <a:pPr algn="l">
            <a:defRPr/>
          </a:pPr>
          <a:r>
            <a:rPr lang="en-US" cap="none" sz="1000" b="0" i="0" u="none" baseline="0">
              <a:latin typeface="Times New Roman"/>
              <a:ea typeface="Times New Roman"/>
              <a:cs typeface="Times New Roman"/>
            </a:rPr>
            <a:t>UG-04____
Exhibit ____ (JTS-1)
Schedule </a:t>
          </a:r>
          <a:r>
            <a:rPr lang="en-US" cap="none" sz="1000" b="0" i="0" u="sng" baseline="0">
              <a:latin typeface="Times New Roman"/>
              <a:ea typeface="Times New Roman"/>
              <a:cs typeface="Times New Roman"/>
            </a:rPr>
            <a:t>1</a:t>
          </a:r>
          <a:r>
            <a:rPr lang="en-US" cap="none" sz="1000" b="0" i="0" u="none" baseline="0">
              <a:latin typeface="Times New Roman"/>
              <a:ea typeface="Times New Roman"/>
              <a:cs typeface="Times New Roman"/>
            </a:rPr>
            <a:t> of </a:t>
          </a:r>
          <a:r>
            <a:rPr lang="en-US" cap="none" sz="1000" b="0" i="0" u="sng" baseline="0">
              <a:latin typeface="Times New Roman"/>
              <a:ea typeface="Times New Roman"/>
              <a:cs typeface="Times New Roman"/>
            </a:rPr>
            <a:t>1
</a:t>
          </a:r>
          <a:r>
            <a:rPr lang="en-US" cap="none" sz="1000" b="0" i="0" u="none" baseline="0">
              <a:latin typeface="Times New Roman"/>
              <a:ea typeface="Times New Roman"/>
              <a:cs typeface="Times New Roman"/>
            </a:rPr>
            <a:t>Page      </a:t>
          </a:r>
          <a:r>
            <a:rPr lang="en-US" cap="none" sz="1000" b="0" i="0" u="sng" baseline="0">
              <a:latin typeface="Times New Roman"/>
              <a:ea typeface="Times New Roman"/>
              <a:cs typeface="Times New Roman"/>
            </a:rPr>
            <a:t>1</a:t>
          </a:r>
          <a:r>
            <a:rPr lang="en-US" cap="none" sz="1000" b="0" i="0" u="none" baseline="0">
              <a:latin typeface="Times New Roman"/>
              <a:ea typeface="Times New Roman"/>
              <a:cs typeface="Times New Roman"/>
            </a:rPr>
            <a:t> of </a:t>
          </a:r>
          <a:r>
            <a:rPr lang="en-US" cap="none" sz="1000" b="0" i="0" u="sng" baseline="0">
              <a:latin typeface="Times New Roman"/>
              <a:ea typeface="Times New Roman"/>
              <a:cs typeface="Times New Roman"/>
            </a:rPr>
            <a:t>3</a:t>
          </a:r>
        </a:p>
      </xdr:txBody>
    </xdr:sp>
    <xdr:clientData/>
  </xdr:twoCellAnchor>
  <xdr:twoCellAnchor>
    <xdr:from>
      <xdr:col>9</xdr:col>
      <xdr:colOff>28575</xdr:colOff>
      <xdr:row>39</xdr:row>
      <xdr:rowOff>66675</xdr:rowOff>
    </xdr:from>
    <xdr:to>
      <xdr:col>11</xdr:col>
      <xdr:colOff>152400</xdr:colOff>
      <xdr:row>48</xdr:row>
      <xdr:rowOff>76200</xdr:rowOff>
    </xdr:to>
    <xdr:sp>
      <xdr:nvSpPr>
        <xdr:cNvPr id="2" name="Text 2"/>
        <xdr:cNvSpPr txBox="1">
          <a:spLocks noChangeArrowheads="1"/>
        </xdr:cNvSpPr>
      </xdr:nvSpPr>
      <xdr:spPr>
        <a:xfrm>
          <a:off x="9677400" y="6343650"/>
          <a:ext cx="971550" cy="1304925"/>
        </a:xfrm>
        <a:prstGeom prst="rect">
          <a:avLst/>
        </a:prstGeom>
        <a:solidFill>
          <a:srgbClr val="FFFFFF"/>
        </a:solidFill>
        <a:ln w="1" cmpd="sng">
          <a:noFill/>
        </a:ln>
      </xdr:spPr>
      <xdr:txBody>
        <a:bodyPr vertOverflow="clip" wrap="square" vert="vert"/>
        <a:p>
          <a:pPr algn="l">
            <a:defRPr/>
          </a:pPr>
          <a:r>
            <a:rPr lang="en-US" cap="none" sz="1000" b="0" i="0" u="none" baseline="0">
              <a:latin typeface="Times New Roman"/>
              <a:ea typeface="Times New Roman"/>
              <a:cs typeface="Times New Roman"/>
            </a:rPr>
            <a:t>Docket UG-060256
Exhibit ____ (MPP-3)
Page      </a:t>
          </a:r>
          <a:r>
            <a:rPr lang="en-US" cap="none" sz="1000" b="0" i="0" u="sng" baseline="0">
              <a:latin typeface="Times New Roman"/>
              <a:ea typeface="Times New Roman"/>
              <a:cs typeface="Times New Roman"/>
            </a:rPr>
            <a:t>1</a:t>
          </a:r>
          <a:r>
            <a:rPr lang="en-US" cap="none" sz="1000" b="0" i="0" u="none" baseline="0">
              <a:latin typeface="Times New Roman"/>
              <a:ea typeface="Times New Roman"/>
              <a:cs typeface="Times New Roman"/>
            </a:rPr>
            <a:t> of 25</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43</xdr:row>
      <xdr:rowOff>114300</xdr:rowOff>
    </xdr:from>
    <xdr:to>
      <xdr:col>11</xdr:col>
      <xdr:colOff>0</xdr:colOff>
      <xdr:row>60</xdr:row>
      <xdr:rowOff>9525</xdr:rowOff>
    </xdr:to>
    <xdr:sp>
      <xdr:nvSpPr>
        <xdr:cNvPr id="1" name="Text 1"/>
        <xdr:cNvSpPr txBox="1">
          <a:spLocks noChangeArrowheads="1"/>
        </xdr:cNvSpPr>
      </xdr:nvSpPr>
      <xdr:spPr>
        <a:xfrm>
          <a:off x="3543300" y="7153275"/>
          <a:ext cx="0" cy="2505075"/>
        </a:xfrm>
        <a:prstGeom prst="rect">
          <a:avLst/>
        </a:prstGeom>
        <a:solidFill>
          <a:srgbClr val="FFFFFF"/>
        </a:solidFill>
        <a:ln w="1" cmpd="sng">
          <a:noFill/>
        </a:ln>
      </xdr:spPr>
      <xdr:txBody>
        <a:bodyPr vertOverflow="clip" wrap="square" vert="vert"/>
        <a:p>
          <a:pPr algn="l">
            <a:defRPr/>
          </a:pPr>
          <a:r>
            <a:rPr lang="en-US" cap="none" sz="1000" b="0" i="0" u="none" baseline="0">
              <a:latin typeface="Times New Roman"/>
              <a:ea typeface="Times New Roman"/>
              <a:cs typeface="Times New Roman"/>
            </a:rPr>
            <a:t>UG-04____
Exhibit ____ (JTS-1)
Schedule </a:t>
          </a:r>
          <a:r>
            <a:rPr lang="en-US" cap="none" sz="1000" b="0" i="0" u="sng" baseline="0">
              <a:latin typeface="Times New Roman"/>
              <a:ea typeface="Times New Roman"/>
              <a:cs typeface="Times New Roman"/>
            </a:rPr>
            <a:t>1</a:t>
          </a:r>
          <a:r>
            <a:rPr lang="en-US" cap="none" sz="1000" b="0" i="0" u="none" baseline="0">
              <a:latin typeface="Times New Roman"/>
              <a:ea typeface="Times New Roman"/>
              <a:cs typeface="Times New Roman"/>
            </a:rPr>
            <a:t> of </a:t>
          </a:r>
          <a:r>
            <a:rPr lang="en-US" cap="none" sz="1000" b="0" i="0" u="sng" baseline="0">
              <a:latin typeface="Times New Roman"/>
              <a:ea typeface="Times New Roman"/>
              <a:cs typeface="Times New Roman"/>
            </a:rPr>
            <a:t>1
</a:t>
          </a:r>
          <a:r>
            <a:rPr lang="en-US" cap="none" sz="1000" b="0" i="0" u="none" baseline="0">
              <a:latin typeface="Times New Roman"/>
              <a:ea typeface="Times New Roman"/>
              <a:cs typeface="Times New Roman"/>
            </a:rPr>
            <a:t>Page      </a:t>
          </a:r>
          <a:r>
            <a:rPr lang="en-US" cap="none" sz="1000" b="0" i="0" u="sng" baseline="0">
              <a:latin typeface="Times New Roman"/>
              <a:ea typeface="Times New Roman"/>
              <a:cs typeface="Times New Roman"/>
            </a:rPr>
            <a:t>1</a:t>
          </a:r>
          <a:r>
            <a:rPr lang="en-US" cap="none" sz="1000" b="0" i="0" u="none" baseline="0">
              <a:latin typeface="Times New Roman"/>
              <a:ea typeface="Times New Roman"/>
              <a:cs typeface="Times New Roman"/>
            </a:rPr>
            <a:t> of </a:t>
          </a:r>
          <a:r>
            <a:rPr lang="en-US" cap="none" sz="1000" b="0" i="0" u="sng" baseline="0">
              <a:latin typeface="Times New Roman"/>
              <a:ea typeface="Times New Roman"/>
              <a:cs typeface="Times New Roman"/>
            </a:rPr>
            <a:t>3</a:t>
          </a:r>
        </a:p>
      </xdr:txBody>
    </xdr:sp>
    <xdr:clientData/>
  </xdr:twoCellAnchor>
  <xdr:twoCellAnchor>
    <xdr:from>
      <xdr:col>21</xdr:col>
      <xdr:colOff>114300</xdr:colOff>
      <xdr:row>43</xdr:row>
      <xdr:rowOff>0</xdr:rowOff>
    </xdr:from>
    <xdr:to>
      <xdr:col>21</xdr:col>
      <xdr:colOff>923925</xdr:colOff>
      <xdr:row>52</xdr:row>
      <xdr:rowOff>28575</xdr:rowOff>
    </xdr:to>
    <xdr:sp>
      <xdr:nvSpPr>
        <xdr:cNvPr id="2" name="Text 2"/>
        <xdr:cNvSpPr txBox="1">
          <a:spLocks noChangeArrowheads="1"/>
        </xdr:cNvSpPr>
      </xdr:nvSpPr>
      <xdr:spPr>
        <a:xfrm>
          <a:off x="10991850" y="7038975"/>
          <a:ext cx="809625" cy="1323975"/>
        </a:xfrm>
        <a:prstGeom prst="rect">
          <a:avLst/>
        </a:prstGeom>
        <a:solidFill>
          <a:srgbClr val="FFFFFF"/>
        </a:solidFill>
        <a:ln w="1" cmpd="sng">
          <a:noFill/>
        </a:ln>
      </xdr:spPr>
      <xdr:txBody>
        <a:bodyPr vertOverflow="clip" wrap="square" vert="vert"/>
        <a:p>
          <a:pPr algn="l">
            <a:defRPr/>
          </a:pPr>
          <a:r>
            <a:rPr lang="en-US" cap="none" sz="1000" b="0" i="0" u="none" baseline="0">
              <a:latin typeface="Times New Roman"/>
              <a:ea typeface="Times New Roman"/>
              <a:cs typeface="Times New Roman"/>
            </a:rPr>
            <a:t>Docket UG-060256
WP Exh ____ (JTS-9)
Schedule 3 of </a:t>
          </a:r>
          <a:r>
            <a:rPr lang="en-US" cap="none" sz="1000" b="0" i="0" u="sng" baseline="0">
              <a:latin typeface="Times New Roman"/>
              <a:ea typeface="Times New Roman"/>
              <a:cs typeface="Times New Roman"/>
            </a:rPr>
            <a:t>7
</a:t>
          </a:r>
          <a:r>
            <a:rPr lang="en-US" cap="none" sz="1000" b="0" i="0" u="none" baseline="0">
              <a:latin typeface="Times New Roman"/>
              <a:ea typeface="Times New Roman"/>
              <a:cs typeface="Times New Roman"/>
            </a:rPr>
            <a:t>Page      </a:t>
          </a:r>
          <a:r>
            <a:rPr lang="en-US" cap="none" sz="1000" b="0" i="0" u="sng" baseline="0">
              <a:latin typeface="Times New Roman"/>
              <a:ea typeface="Times New Roman"/>
              <a:cs typeface="Times New Roman"/>
            </a:rPr>
            <a:t>5 </a:t>
          </a:r>
          <a:r>
            <a:rPr lang="en-US" cap="none" sz="1000" b="0" i="0" u="none" baseline="0">
              <a:latin typeface="Times New Roman"/>
              <a:ea typeface="Times New Roman"/>
              <a:cs typeface="Times New Roman"/>
            </a:rPr>
            <a:t>of </a:t>
          </a:r>
          <a:r>
            <a:rPr lang="en-US" cap="none" sz="1000" b="0" i="0" u="sng" baseline="0">
              <a:latin typeface="Times New Roman"/>
              <a:ea typeface="Times New Roman"/>
              <a:cs typeface="Times New Roman"/>
            </a:rPr>
            <a:t>8</a:t>
          </a:r>
        </a:p>
      </xdr:txBody>
    </xdr:sp>
    <xdr:clientData/>
  </xdr:twoCellAnchor>
  <xdr:twoCellAnchor>
    <xdr:from>
      <xdr:col>33</xdr:col>
      <xdr:colOff>161925</xdr:colOff>
      <xdr:row>42</xdr:row>
      <xdr:rowOff>142875</xdr:rowOff>
    </xdr:from>
    <xdr:to>
      <xdr:col>33</xdr:col>
      <xdr:colOff>952500</xdr:colOff>
      <xdr:row>52</xdr:row>
      <xdr:rowOff>28575</xdr:rowOff>
    </xdr:to>
    <xdr:sp>
      <xdr:nvSpPr>
        <xdr:cNvPr id="3" name="Text 2"/>
        <xdr:cNvSpPr txBox="1">
          <a:spLocks noChangeArrowheads="1"/>
        </xdr:cNvSpPr>
      </xdr:nvSpPr>
      <xdr:spPr>
        <a:xfrm>
          <a:off x="19983450" y="7029450"/>
          <a:ext cx="790575" cy="1333500"/>
        </a:xfrm>
        <a:prstGeom prst="rect">
          <a:avLst/>
        </a:prstGeom>
        <a:solidFill>
          <a:srgbClr val="FFFFFF"/>
        </a:solidFill>
        <a:ln w="1" cmpd="sng">
          <a:noFill/>
        </a:ln>
      </xdr:spPr>
      <xdr:txBody>
        <a:bodyPr vertOverflow="clip" wrap="square" vert="vert"/>
        <a:p>
          <a:pPr algn="l">
            <a:defRPr/>
          </a:pPr>
          <a:r>
            <a:rPr lang="en-US" cap="none" sz="1000" b="0" i="0" u="none" baseline="0">
              <a:latin typeface="Times New Roman"/>
              <a:ea typeface="Times New Roman"/>
              <a:cs typeface="Times New Roman"/>
            </a:rPr>
            <a:t>UG-06____
WP Exh ____ (JTS-9)
Schedule 3 of </a:t>
          </a:r>
          <a:r>
            <a:rPr lang="en-US" cap="none" sz="1000" b="0" i="0" u="sng" baseline="0">
              <a:latin typeface="Times New Roman"/>
              <a:ea typeface="Times New Roman"/>
              <a:cs typeface="Times New Roman"/>
            </a:rPr>
            <a:t>7
</a:t>
          </a:r>
          <a:r>
            <a:rPr lang="en-US" cap="none" sz="1000" b="0" i="0" u="none" baseline="0">
              <a:latin typeface="Times New Roman"/>
              <a:ea typeface="Times New Roman"/>
              <a:cs typeface="Times New Roman"/>
            </a:rPr>
            <a:t>Page      </a:t>
          </a:r>
          <a:r>
            <a:rPr lang="en-US" cap="none" sz="1000" b="0" i="0" u="sng" baseline="0">
              <a:latin typeface="Times New Roman"/>
              <a:ea typeface="Times New Roman"/>
              <a:cs typeface="Times New Roman"/>
            </a:rPr>
            <a:t>6</a:t>
          </a:r>
          <a:r>
            <a:rPr lang="en-US" cap="none" sz="1000" b="0" i="0" u="none" baseline="0">
              <a:latin typeface="Times New Roman"/>
              <a:ea typeface="Times New Roman"/>
              <a:cs typeface="Times New Roman"/>
            </a:rPr>
            <a:t> of </a:t>
          </a:r>
          <a:r>
            <a:rPr lang="en-US" cap="none" sz="1000" b="0" i="0" u="sng" baseline="0">
              <a:latin typeface="Times New Roman"/>
              <a:ea typeface="Times New Roman"/>
              <a:cs typeface="Times New Roman"/>
            </a:rPr>
            <a:t>8</a:t>
          </a:r>
        </a:p>
      </xdr:txBody>
    </xdr:sp>
    <xdr:clientData/>
  </xdr:twoCellAnchor>
  <xdr:twoCellAnchor>
    <xdr:from>
      <xdr:col>45</xdr:col>
      <xdr:colOff>114300</xdr:colOff>
      <xdr:row>42</xdr:row>
      <xdr:rowOff>123825</xdr:rowOff>
    </xdr:from>
    <xdr:to>
      <xdr:col>45</xdr:col>
      <xdr:colOff>923925</xdr:colOff>
      <xdr:row>52</xdr:row>
      <xdr:rowOff>0</xdr:rowOff>
    </xdr:to>
    <xdr:sp>
      <xdr:nvSpPr>
        <xdr:cNvPr id="4" name="Text 2"/>
        <xdr:cNvSpPr txBox="1">
          <a:spLocks noChangeArrowheads="1"/>
        </xdr:cNvSpPr>
      </xdr:nvSpPr>
      <xdr:spPr>
        <a:xfrm>
          <a:off x="29013150" y="7010400"/>
          <a:ext cx="809625" cy="1323975"/>
        </a:xfrm>
        <a:prstGeom prst="rect">
          <a:avLst/>
        </a:prstGeom>
        <a:solidFill>
          <a:srgbClr val="FFFFFF"/>
        </a:solidFill>
        <a:ln w="1" cmpd="sng">
          <a:noFill/>
        </a:ln>
      </xdr:spPr>
      <xdr:txBody>
        <a:bodyPr vertOverflow="clip" wrap="square" vert="vert"/>
        <a:p>
          <a:pPr algn="l">
            <a:defRPr/>
          </a:pPr>
          <a:r>
            <a:rPr lang="en-US" cap="none" sz="1000" b="0" i="0" u="none" baseline="0">
              <a:latin typeface="Times New Roman"/>
              <a:ea typeface="Times New Roman"/>
              <a:cs typeface="Times New Roman"/>
            </a:rPr>
            <a:t>UG-06____
WP Exh ____ (JTS-9)
Schedule 3 of </a:t>
          </a:r>
          <a:r>
            <a:rPr lang="en-US" cap="none" sz="1000" b="0" i="0" u="sng" baseline="0">
              <a:latin typeface="Times New Roman"/>
              <a:ea typeface="Times New Roman"/>
              <a:cs typeface="Times New Roman"/>
            </a:rPr>
            <a:t>7
</a:t>
          </a:r>
          <a:r>
            <a:rPr lang="en-US" cap="none" sz="1000" b="0" i="0" u="none" baseline="0">
              <a:latin typeface="Times New Roman"/>
              <a:ea typeface="Times New Roman"/>
              <a:cs typeface="Times New Roman"/>
            </a:rPr>
            <a:t>Page      </a:t>
          </a:r>
          <a:r>
            <a:rPr lang="en-US" cap="none" sz="1000" b="0" i="0" u="sng" baseline="0">
              <a:latin typeface="Times New Roman"/>
              <a:ea typeface="Times New Roman"/>
              <a:cs typeface="Times New Roman"/>
            </a:rPr>
            <a:t>7</a:t>
          </a:r>
          <a:r>
            <a:rPr lang="en-US" cap="none" sz="1000" b="0" i="0" u="none" baseline="0">
              <a:latin typeface="Times New Roman"/>
              <a:ea typeface="Times New Roman"/>
              <a:cs typeface="Times New Roman"/>
            </a:rPr>
            <a:t>of </a:t>
          </a:r>
          <a:r>
            <a:rPr lang="en-US" cap="none" sz="1000" b="0" i="0" u="sng" baseline="0">
              <a:latin typeface="Times New Roman"/>
              <a:ea typeface="Times New Roman"/>
              <a:cs typeface="Times New Roman"/>
            </a:rPr>
            <a:t>8</a:t>
          </a:r>
        </a:p>
      </xdr:txBody>
    </xdr:sp>
    <xdr:clientData/>
  </xdr:twoCellAnchor>
  <xdr:twoCellAnchor>
    <xdr:from>
      <xdr:col>56</xdr:col>
      <xdr:colOff>952500</xdr:colOff>
      <xdr:row>43</xdr:row>
      <xdr:rowOff>66675</xdr:rowOff>
    </xdr:from>
    <xdr:to>
      <xdr:col>58</xdr:col>
      <xdr:colOff>28575</xdr:colOff>
      <xdr:row>52</xdr:row>
      <xdr:rowOff>104775</xdr:rowOff>
    </xdr:to>
    <xdr:sp>
      <xdr:nvSpPr>
        <xdr:cNvPr id="5" name="Text 2"/>
        <xdr:cNvSpPr txBox="1">
          <a:spLocks noChangeArrowheads="1"/>
        </xdr:cNvSpPr>
      </xdr:nvSpPr>
      <xdr:spPr>
        <a:xfrm>
          <a:off x="38576250" y="7105650"/>
          <a:ext cx="790575" cy="1333500"/>
        </a:xfrm>
        <a:prstGeom prst="rect">
          <a:avLst/>
        </a:prstGeom>
        <a:solidFill>
          <a:srgbClr val="FFFFFF"/>
        </a:solidFill>
        <a:ln w="1" cmpd="sng">
          <a:noFill/>
        </a:ln>
      </xdr:spPr>
      <xdr:txBody>
        <a:bodyPr vertOverflow="clip" wrap="square" vert="vert"/>
        <a:p>
          <a:pPr algn="l">
            <a:defRPr/>
          </a:pPr>
          <a:r>
            <a:rPr lang="en-US" cap="none" sz="1000" b="0" i="0" u="none" baseline="0">
              <a:latin typeface="Times New Roman"/>
              <a:ea typeface="Times New Roman"/>
              <a:cs typeface="Times New Roman"/>
            </a:rPr>
            <a:t>UG-06____
WP Exh ____(JTS-9)
Schedule 3 of 7</a:t>
          </a:r>
          <a:r>
            <a:rPr lang="en-US" cap="none" sz="1000" b="0" i="0" u="sng" baseline="0">
              <a:latin typeface="Times New Roman"/>
              <a:ea typeface="Times New Roman"/>
              <a:cs typeface="Times New Roman"/>
            </a:rPr>
            <a:t>
</a:t>
          </a:r>
          <a:r>
            <a:rPr lang="en-US" cap="none" sz="1000" b="0" i="0" u="none" baseline="0">
              <a:latin typeface="Times New Roman"/>
              <a:ea typeface="Times New Roman"/>
              <a:cs typeface="Times New Roman"/>
            </a:rPr>
            <a:t>Page      </a:t>
          </a:r>
          <a:r>
            <a:rPr lang="en-US" cap="none" sz="1000" b="0" i="0" u="sng" baseline="0">
              <a:latin typeface="Times New Roman"/>
              <a:ea typeface="Times New Roman"/>
              <a:cs typeface="Times New Roman"/>
            </a:rPr>
            <a:t>8</a:t>
          </a:r>
          <a:r>
            <a:rPr lang="en-US" cap="none" sz="1000" b="0" i="0" u="none" baseline="0">
              <a:latin typeface="Times New Roman"/>
              <a:ea typeface="Times New Roman"/>
              <a:cs typeface="Times New Roman"/>
            </a:rPr>
            <a:t> of 8</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26</xdr:row>
      <xdr:rowOff>114300</xdr:rowOff>
    </xdr:from>
    <xdr:to>
      <xdr:col>9</xdr:col>
      <xdr:colOff>447675</xdr:colOff>
      <xdr:row>35</xdr:row>
      <xdr:rowOff>161925</xdr:rowOff>
    </xdr:to>
    <xdr:sp>
      <xdr:nvSpPr>
        <xdr:cNvPr id="1" name="Text 1"/>
        <xdr:cNvSpPr txBox="1">
          <a:spLocks noChangeArrowheads="1"/>
        </xdr:cNvSpPr>
      </xdr:nvSpPr>
      <xdr:spPr>
        <a:xfrm>
          <a:off x="8429625" y="5353050"/>
          <a:ext cx="904875" cy="1847850"/>
        </a:xfrm>
        <a:prstGeom prst="rect">
          <a:avLst/>
        </a:prstGeom>
        <a:solidFill>
          <a:srgbClr val="FFFFFF"/>
        </a:solidFill>
        <a:ln w="1" cmpd="sng">
          <a:noFill/>
        </a:ln>
      </xdr:spPr>
      <xdr:txBody>
        <a:bodyPr vertOverflow="clip" wrap="square" vert="vert"/>
        <a:p>
          <a:pPr algn="l">
            <a:defRPr/>
          </a:pPr>
          <a:r>
            <a:rPr lang="en-US" cap="none" sz="1200" b="0" i="0" u="none" baseline="0">
              <a:latin typeface="Times New Roman"/>
              <a:ea typeface="Times New Roman"/>
              <a:cs typeface="Times New Roman"/>
            </a:rPr>
            <a:t>Docket No. UG-060256
Exhibit ____ (JTS-9)
Schedule 6 of 7
Page        2 of 2</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19</xdr:row>
      <xdr:rowOff>38100</xdr:rowOff>
    </xdr:from>
    <xdr:ext cx="3600450" cy="1581150"/>
    <xdr:sp>
      <xdr:nvSpPr>
        <xdr:cNvPr id="1" name="TextBox 1"/>
        <xdr:cNvSpPr txBox="1">
          <a:spLocks noChangeArrowheads="1"/>
        </xdr:cNvSpPr>
      </xdr:nvSpPr>
      <xdr:spPr>
        <a:xfrm>
          <a:off x="1647825" y="3038475"/>
          <a:ext cx="3600450" cy="1581150"/>
        </a:xfrm>
        <a:prstGeom prst="rect">
          <a:avLst/>
        </a:prstGeom>
        <a:noFill/>
        <a:ln w="73025" cmpd="thinThick">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
Mote, P. W. 2003. </a:t>
          </a:r>
          <a:r>
            <a:rPr lang="en-US" cap="none" sz="1400" b="1" i="0" u="none" baseline="0">
              <a:latin typeface="Times New Roman"/>
              <a:ea typeface="Times New Roman"/>
              <a:cs typeface="Times New Roman"/>
            </a:rPr>
            <a:t>Trends In Temperature And Precipitation In The Pacific Northwest During The Twentieth Century</a:t>
          </a:r>
          <a:r>
            <a:rPr lang="en-US" cap="none" sz="1200" b="0" i="0" u="none" baseline="0">
              <a:latin typeface="Times New Roman"/>
              <a:ea typeface="Times New Roman"/>
              <a:cs typeface="Times New Roman"/>
            </a:rPr>
            <a:t>. Northwest Science 77(4): 271-282.</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25</xdr:row>
      <xdr:rowOff>85725</xdr:rowOff>
    </xdr:from>
    <xdr:to>
      <xdr:col>2</xdr:col>
      <xdr:colOff>628650</xdr:colOff>
      <xdr:row>45</xdr:row>
      <xdr:rowOff>0</xdr:rowOff>
    </xdr:to>
    <xdr:sp>
      <xdr:nvSpPr>
        <xdr:cNvPr id="1" name="Text 1"/>
        <xdr:cNvSpPr txBox="1">
          <a:spLocks noChangeArrowheads="1"/>
        </xdr:cNvSpPr>
      </xdr:nvSpPr>
      <xdr:spPr>
        <a:xfrm>
          <a:off x="590550" y="3657600"/>
          <a:ext cx="2619375" cy="29622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4800" b="1" i="0" u="none" baseline="0">
              <a:latin typeface="Times New Roman"/>
              <a:ea typeface="Times New Roman"/>
              <a:cs typeface="Times New Roman"/>
            </a:rPr>
            <a:t>No
Change
here!</a:t>
          </a:r>
        </a:p>
      </xdr:txBody>
    </xdr:sp>
    <xdr:clientData/>
  </xdr:twoCellAnchor>
  <xdr:twoCellAnchor>
    <xdr:from>
      <xdr:col>5</xdr:col>
      <xdr:colOff>190500</xdr:colOff>
      <xdr:row>30</xdr:row>
      <xdr:rowOff>28575</xdr:rowOff>
    </xdr:from>
    <xdr:to>
      <xdr:col>6</xdr:col>
      <xdr:colOff>552450</xdr:colOff>
      <xdr:row>44</xdr:row>
      <xdr:rowOff>133350</xdr:rowOff>
    </xdr:to>
    <xdr:sp>
      <xdr:nvSpPr>
        <xdr:cNvPr id="2" name="Text 2"/>
        <xdr:cNvSpPr txBox="1">
          <a:spLocks noChangeArrowheads="1"/>
        </xdr:cNvSpPr>
      </xdr:nvSpPr>
      <xdr:spPr>
        <a:xfrm>
          <a:off x="4924425" y="4314825"/>
          <a:ext cx="981075" cy="22955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50" b="1" i="0" u="none" baseline="0">
              <a:latin typeface="Times New Roman"/>
              <a:ea typeface="Times New Roman"/>
              <a:cs typeface="Times New Roman"/>
            </a:rPr>
            <a:t>
</a:t>
          </a:r>
          <a:r>
            <a:rPr lang="en-US" cap="none" sz="1400" b="1" i="0" u="none" baseline="0">
              <a:latin typeface="Times New Roman"/>
              <a:ea typeface="Times New Roman"/>
              <a:cs typeface="Times New Roman"/>
            </a:rPr>
            <a:t>Need
 these 
changes!
</a:t>
          </a:r>
          <a:r>
            <a:rPr lang="en-US" cap="none" sz="850" b="1" i="0" u="none" baseline="0">
              <a:latin typeface="Times New Roman"/>
              <a:ea typeface="Times New Roman"/>
              <a:cs typeface="Times New Roman"/>
            </a:rPr>
            <a:t>
</a:t>
          </a:r>
        </a:p>
      </xdr:txBody>
    </xdr:sp>
    <xdr:clientData/>
  </xdr:twoCellAnchor>
  <xdr:twoCellAnchor>
    <xdr:from>
      <xdr:col>3</xdr:col>
      <xdr:colOff>685800</xdr:colOff>
      <xdr:row>25</xdr:row>
      <xdr:rowOff>19050</xdr:rowOff>
    </xdr:from>
    <xdr:to>
      <xdr:col>6</xdr:col>
      <xdr:colOff>76200</xdr:colOff>
      <xdr:row>30</xdr:row>
      <xdr:rowOff>19050</xdr:rowOff>
    </xdr:to>
    <xdr:sp>
      <xdr:nvSpPr>
        <xdr:cNvPr id="3" name="Line 3"/>
        <xdr:cNvSpPr>
          <a:spLocks/>
        </xdr:cNvSpPr>
      </xdr:nvSpPr>
      <xdr:spPr>
        <a:xfrm flipH="1" flipV="1">
          <a:off x="3933825" y="3590925"/>
          <a:ext cx="1495425" cy="714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476250</xdr:colOff>
      <xdr:row>25</xdr:row>
      <xdr:rowOff>19050</xdr:rowOff>
    </xdr:from>
    <xdr:to>
      <xdr:col>6</xdr:col>
      <xdr:colOff>66675</xdr:colOff>
      <xdr:row>30</xdr:row>
      <xdr:rowOff>9525</xdr:rowOff>
    </xdr:to>
    <xdr:sp>
      <xdr:nvSpPr>
        <xdr:cNvPr id="4" name="Line 4"/>
        <xdr:cNvSpPr>
          <a:spLocks/>
        </xdr:cNvSpPr>
      </xdr:nvSpPr>
      <xdr:spPr>
        <a:xfrm flipH="1" flipV="1">
          <a:off x="4572000" y="3590925"/>
          <a:ext cx="847725" cy="704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152400</xdr:colOff>
      <xdr:row>44</xdr:row>
      <xdr:rowOff>85725</xdr:rowOff>
    </xdr:from>
    <xdr:to>
      <xdr:col>5</xdr:col>
      <xdr:colOff>180975</xdr:colOff>
      <xdr:row>50</xdr:row>
      <xdr:rowOff>123825</xdr:rowOff>
    </xdr:to>
    <xdr:sp>
      <xdr:nvSpPr>
        <xdr:cNvPr id="5" name="Line 5"/>
        <xdr:cNvSpPr>
          <a:spLocks/>
        </xdr:cNvSpPr>
      </xdr:nvSpPr>
      <xdr:spPr>
        <a:xfrm flipH="1">
          <a:off x="2733675" y="6562725"/>
          <a:ext cx="2181225" cy="8953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323850</xdr:colOff>
      <xdr:row>74</xdr:row>
      <xdr:rowOff>114300</xdr:rowOff>
    </xdr:from>
    <xdr:to>
      <xdr:col>6</xdr:col>
      <xdr:colOff>123825</xdr:colOff>
      <xdr:row>86</xdr:row>
      <xdr:rowOff>133350</xdr:rowOff>
    </xdr:to>
    <xdr:sp>
      <xdr:nvSpPr>
        <xdr:cNvPr id="6" name="Text 6"/>
        <xdr:cNvSpPr txBox="1">
          <a:spLocks noChangeArrowheads="1"/>
        </xdr:cNvSpPr>
      </xdr:nvSpPr>
      <xdr:spPr>
        <a:xfrm>
          <a:off x="323850" y="10877550"/>
          <a:ext cx="5153025" cy="1733550"/>
        </a:xfrm>
        <a:prstGeom prst="rect">
          <a:avLst/>
        </a:prstGeom>
        <a:solidFill>
          <a:srgbClr val="E3E3E3"/>
        </a:solidFill>
        <a:ln w="1" cmpd="sng">
          <a:noFill/>
        </a:ln>
      </xdr:spPr>
      <xdr:txBody>
        <a:bodyPr vertOverflow="clip" wrap="square"/>
        <a:p>
          <a:pPr algn="l">
            <a:defRPr/>
          </a:pPr>
          <a:r>
            <a:rPr lang="en-US" cap="none" sz="850" b="0" i="0" u="none" baseline="0">
              <a:latin typeface="Times New Roman"/>
              <a:ea typeface="Times New Roman"/>
              <a:cs typeface="Times New Roman"/>
            </a:rPr>
            <a:t>On December 29, 1995 Cascade Natural Gas Corporation filed two additional applications with the Washington Utilities and Transportation Commission (WUTC) to lower rates.  The first application, referred to as a Cost of Purchased Gas Adjustment (PGA), is estimated by the Company to reduce annual revenues from customer billing by $5,875,000, a 3.77% decrease.  The second application, referred to as a Temporary Technical Adjustment Application, will pass on to customers gas cost savings and other deferred account balances over a two year period.  It is estimated that the Temporary Technical Adjustment Application will reduce annual revenues from customer billing by $3,431,000 or 2.2%.
Although these two filings and the General Rate Case filing are all separate filings, Cascade has requested that the WUTC implement the effectiveness of all three on the same date to minimize the number of rate changes and the overall magnitude of the three changes.
</a:t>
          </a:r>
          <a:r>
            <a:rPr lang="en-US" cap="none" sz="1400" b="0" i="0" u="none" baseline="0">
              <a:latin typeface="Times New Roman"/>
              <a:ea typeface="Times New Roman"/>
              <a:cs typeface="Times New Roman"/>
            </a:rPr>
            <a:t> </a:t>
          </a:r>
        </a:p>
      </xdr:txBody>
    </xdr:sp>
    <xdr:clientData/>
  </xdr:twoCellAnchor>
  <xdr:twoCellAnchor>
    <xdr:from>
      <xdr:col>0</xdr:col>
      <xdr:colOff>333375</xdr:colOff>
      <xdr:row>90</xdr:row>
      <xdr:rowOff>0</xdr:rowOff>
    </xdr:from>
    <xdr:to>
      <xdr:col>6</xdr:col>
      <xdr:colOff>123825</xdr:colOff>
      <xdr:row>96</xdr:row>
      <xdr:rowOff>0</xdr:rowOff>
    </xdr:to>
    <xdr:sp>
      <xdr:nvSpPr>
        <xdr:cNvPr id="7" name="Text 7"/>
        <xdr:cNvSpPr txBox="1">
          <a:spLocks noChangeArrowheads="1"/>
        </xdr:cNvSpPr>
      </xdr:nvSpPr>
      <xdr:spPr>
        <a:xfrm>
          <a:off x="333375" y="12954000"/>
          <a:ext cx="5143500" cy="857250"/>
        </a:xfrm>
        <a:prstGeom prst="rect">
          <a:avLst/>
        </a:prstGeom>
        <a:solidFill>
          <a:srgbClr val="FFFFFF"/>
        </a:solidFill>
        <a:ln w="1" cmpd="sng">
          <a:noFill/>
        </a:ln>
      </xdr:spPr>
      <xdr:txBody>
        <a:bodyPr vertOverflow="clip" wrap="square"/>
        <a:p>
          <a:pPr algn="l">
            <a:defRPr/>
          </a:pPr>
          <a:r>
            <a:rPr lang="en-US" cap="none" sz="1800" b="0" i="0" u="none" baseline="0">
              <a:latin typeface="Times New Roman"/>
              <a:ea typeface="Times New Roman"/>
              <a:cs typeface="Times New Roman"/>
            </a:rPr>
            <a:t>                    What this would mean to you.</a:t>
          </a:r>
          <a:r>
            <a:rPr lang="en-US" cap="none" sz="850" b="0" i="0" u="none" baseline="0">
              <a:latin typeface="Times New Roman"/>
              <a:ea typeface="Times New Roman"/>
              <a:cs typeface="Times New Roman"/>
            </a:rPr>
            <a:t>
Asummary of how customers would be affected </a:t>
          </a:r>
          <a:r>
            <a:rPr lang="en-US" cap="none" sz="850" b="0" i="0" u="sng" baseline="0">
              <a:latin typeface="Times New Roman"/>
              <a:ea typeface="Times New Roman"/>
              <a:cs typeface="Times New Roman"/>
            </a:rPr>
            <a:t>by the General Rate Case as well as the overall effect of all three applications</a:t>
          </a:r>
          <a:r>
            <a:rPr lang="en-US" cap="none" sz="850" b="0" i="0" u="none" baseline="0">
              <a:latin typeface="Times New Roman"/>
              <a:ea typeface="Times New Roman"/>
              <a:cs typeface="Times New Roman"/>
            </a:rPr>
            <a:t> is included below.  Detailed rate descriptions follow this summary.</a:t>
          </a:r>
        </a:p>
      </xdr:txBody>
    </xdr:sp>
    <xdr:clientData/>
  </xdr:twoCellAnchor>
  <xdr:twoCellAnchor>
    <xdr:from>
      <xdr:col>0</xdr:col>
      <xdr:colOff>161925</xdr:colOff>
      <xdr:row>116</xdr:row>
      <xdr:rowOff>123825</xdr:rowOff>
    </xdr:from>
    <xdr:to>
      <xdr:col>4</xdr:col>
      <xdr:colOff>485775</xdr:colOff>
      <xdr:row>122</xdr:row>
      <xdr:rowOff>19050</xdr:rowOff>
    </xdr:to>
    <xdr:sp>
      <xdr:nvSpPr>
        <xdr:cNvPr id="8" name="Text 8"/>
        <xdr:cNvSpPr txBox="1">
          <a:spLocks noChangeArrowheads="1"/>
        </xdr:cNvSpPr>
      </xdr:nvSpPr>
      <xdr:spPr>
        <a:xfrm>
          <a:off x="161925" y="16792575"/>
          <a:ext cx="4419600" cy="752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50" b="0" i="0" u="none" baseline="0">
              <a:latin typeface="Times New Roman"/>
              <a:ea typeface="Times New Roman"/>
              <a:cs typeface="Times New Roman"/>
            </a:rPr>
            <a:t>Insert A.
A General rate filing covers the cost of doing business and reflects the Company's return on the pipes, meters and other facilities along with the operating expenses required to provide distribution service to our customers , other than the wholesale cost of gas supply.</a:t>
          </a:r>
        </a:p>
      </xdr:txBody>
    </xdr:sp>
    <xdr:clientData/>
  </xdr:twoCellAnchor>
  <xdr:twoCellAnchor>
    <xdr:from>
      <xdr:col>0</xdr:col>
      <xdr:colOff>161925</xdr:colOff>
      <xdr:row>127</xdr:row>
      <xdr:rowOff>123825</xdr:rowOff>
    </xdr:from>
    <xdr:to>
      <xdr:col>4</xdr:col>
      <xdr:colOff>485775</xdr:colOff>
      <xdr:row>131</xdr:row>
      <xdr:rowOff>66675</xdr:rowOff>
    </xdr:to>
    <xdr:sp>
      <xdr:nvSpPr>
        <xdr:cNvPr id="9" name="Text 9"/>
        <xdr:cNvSpPr txBox="1">
          <a:spLocks noChangeArrowheads="1"/>
        </xdr:cNvSpPr>
      </xdr:nvSpPr>
      <xdr:spPr>
        <a:xfrm>
          <a:off x="161925" y="18364200"/>
          <a:ext cx="4419600" cy="514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50" b="0" i="0" u="none" baseline="0">
              <a:latin typeface="Times New Roman"/>
              <a:ea typeface="Times New Roman"/>
              <a:cs typeface="Times New Roman"/>
            </a:rPr>
            <a:t>Insert B.
A PGA filing reflects the Company's current wholesale cost of gas supply. </a:t>
          </a:r>
        </a:p>
      </xdr:txBody>
    </xdr:sp>
    <xdr:clientData/>
  </xdr:twoCellAnchor>
  <xdr:twoCellAnchor>
    <xdr:from>
      <xdr:col>0</xdr:col>
      <xdr:colOff>161925</xdr:colOff>
      <xdr:row>137</xdr:row>
      <xdr:rowOff>123825</xdr:rowOff>
    </xdr:from>
    <xdr:to>
      <xdr:col>4</xdr:col>
      <xdr:colOff>485775</xdr:colOff>
      <xdr:row>141</xdr:row>
      <xdr:rowOff>85725</xdr:rowOff>
    </xdr:to>
    <xdr:sp>
      <xdr:nvSpPr>
        <xdr:cNvPr id="10" name="Text 10"/>
        <xdr:cNvSpPr txBox="1">
          <a:spLocks noChangeArrowheads="1"/>
        </xdr:cNvSpPr>
      </xdr:nvSpPr>
      <xdr:spPr>
        <a:xfrm>
          <a:off x="161925" y="19792950"/>
          <a:ext cx="4419600"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50" b="0" i="0" u="none" baseline="0">
              <a:latin typeface="Times New Roman"/>
              <a:ea typeface="Times New Roman"/>
              <a:cs typeface="Times New Roman"/>
            </a:rPr>
            <a:t>Insert D.
Commercial and Industrial large volume users that have an annual . . .</a:t>
          </a:r>
        </a:p>
      </xdr:txBody>
    </xdr:sp>
    <xdr:clientData/>
  </xdr:twoCellAnchor>
  <xdr:twoCellAnchor>
    <xdr:from>
      <xdr:col>0</xdr:col>
      <xdr:colOff>161925</xdr:colOff>
      <xdr:row>132</xdr:row>
      <xdr:rowOff>123825</xdr:rowOff>
    </xdr:from>
    <xdr:to>
      <xdr:col>4</xdr:col>
      <xdr:colOff>485775</xdr:colOff>
      <xdr:row>136</xdr:row>
      <xdr:rowOff>85725</xdr:rowOff>
    </xdr:to>
    <xdr:sp>
      <xdr:nvSpPr>
        <xdr:cNvPr id="11" name="Text 11"/>
        <xdr:cNvSpPr txBox="1">
          <a:spLocks noChangeArrowheads="1"/>
        </xdr:cNvSpPr>
      </xdr:nvSpPr>
      <xdr:spPr>
        <a:xfrm>
          <a:off x="161925" y="19078575"/>
          <a:ext cx="4419600"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50" b="0" i="0" u="none" baseline="0">
              <a:latin typeface="Times New Roman"/>
              <a:ea typeface="Times New Roman"/>
              <a:cs typeface="Times New Roman"/>
            </a:rPr>
            <a:t>Insert C.
over the previous PGA cost level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314325</xdr:colOff>
      <xdr:row>40</xdr:row>
      <xdr:rowOff>57150</xdr:rowOff>
    </xdr:from>
    <xdr:to>
      <xdr:col>15</xdr:col>
      <xdr:colOff>76200</xdr:colOff>
      <xdr:row>49</xdr:row>
      <xdr:rowOff>76200</xdr:rowOff>
    </xdr:to>
    <xdr:sp>
      <xdr:nvSpPr>
        <xdr:cNvPr id="1" name="Text 2"/>
        <xdr:cNvSpPr txBox="1">
          <a:spLocks noChangeArrowheads="1"/>
        </xdr:cNvSpPr>
      </xdr:nvSpPr>
      <xdr:spPr>
        <a:xfrm>
          <a:off x="11239500" y="6734175"/>
          <a:ext cx="971550" cy="1304925"/>
        </a:xfrm>
        <a:prstGeom prst="rect">
          <a:avLst/>
        </a:prstGeom>
        <a:solidFill>
          <a:srgbClr val="FFFFFF"/>
        </a:solidFill>
        <a:ln w="1" cmpd="sng">
          <a:noFill/>
        </a:ln>
      </xdr:spPr>
      <xdr:txBody>
        <a:bodyPr vertOverflow="clip" wrap="square" vert="vert"/>
        <a:p>
          <a:pPr algn="l">
            <a:defRPr/>
          </a:pPr>
          <a:r>
            <a:rPr lang="en-US" cap="none" sz="1000" b="0" i="0" u="none" baseline="0">
              <a:latin typeface="Times New Roman"/>
              <a:ea typeface="Times New Roman"/>
              <a:cs typeface="Times New Roman"/>
            </a:rPr>
            <a:t>Docket UG-060256
Exhibit ____ (MPP-3)
Page      </a:t>
          </a:r>
          <a:r>
            <a:rPr lang="en-US" cap="none" sz="1000" b="0" i="0" u="sng" baseline="0">
              <a:latin typeface="Times New Roman"/>
              <a:ea typeface="Times New Roman"/>
              <a:cs typeface="Times New Roman"/>
            </a:rPr>
            <a:t>2</a:t>
          </a:r>
          <a:r>
            <a:rPr lang="en-US" cap="none" sz="1000" b="0" i="0" u="none" baseline="0">
              <a:latin typeface="Times New Roman"/>
              <a:ea typeface="Times New Roman"/>
              <a:cs typeface="Times New Roman"/>
            </a:rPr>
            <a:t> of 25</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66675</xdr:colOff>
      <xdr:row>39</xdr:row>
      <xdr:rowOff>47625</xdr:rowOff>
    </xdr:from>
    <xdr:to>
      <xdr:col>21</xdr:col>
      <xdr:colOff>1028700</xdr:colOff>
      <xdr:row>49</xdr:row>
      <xdr:rowOff>76200</xdr:rowOff>
    </xdr:to>
    <xdr:sp>
      <xdr:nvSpPr>
        <xdr:cNvPr id="1" name="Text 1"/>
        <xdr:cNvSpPr txBox="1">
          <a:spLocks noChangeArrowheads="1"/>
        </xdr:cNvSpPr>
      </xdr:nvSpPr>
      <xdr:spPr>
        <a:xfrm>
          <a:off x="17973675" y="6781800"/>
          <a:ext cx="962025" cy="1552575"/>
        </a:xfrm>
        <a:prstGeom prst="rect">
          <a:avLst/>
        </a:prstGeom>
        <a:solidFill>
          <a:srgbClr val="FFFFFF"/>
        </a:solidFill>
        <a:ln w="1" cmpd="sng">
          <a:noFill/>
        </a:ln>
      </xdr:spPr>
      <xdr:txBody>
        <a:bodyPr vertOverflow="clip" wrap="square" vert="vert"/>
        <a:p>
          <a:pPr algn="l">
            <a:defRPr/>
          </a:pPr>
          <a:r>
            <a:rPr lang="en-US" cap="none" sz="1200" b="0" i="0" u="none" baseline="0">
              <a:latin typeface="Times New Roman"/>
              <a:ea typeface="Times New Roman"/>
              <a:cs typeface="Times New Roman"/>
            </a:rPr>
            <a:t>Docket UG-060256
Exhibit ____ (MPP-3)</a:t>
          </a:r>
          <a:r>
            <a:rPr lang="en-US" cap="none" sz="1200" b="0" i="0" u="sng" baseline="0">
              <a:latin typeface="Times New Roman"/>
              <a:ea typeface="Times New Roman"/>
              <a:cs typeface="Times New Roman"/>
            </a:rPr>
            <a:t>
</a:t>
          </a:r>
          <a:r>
            <a:rPr lang="en-US" cap="none" sz="1200" b="0" i="0" u="none" baseline="0">
              <a:latin typeface="Times New Roman"/>
              <a:ea typeface="Times New Roman"/>
              <a:cs typeface="Times New Roman"/>
            </a:rPr>
            <a:t>Page      </a:t>
          </a:r>
          <a:r>
            <a:rPr lang="en-US" cap="none" sz="1200" b="0" i="0" u="sng" baseline="0">
              <a:latin typeface="Times New Roman"/>
              <a:ea typeface="Times New Roman"/>
              <a:cs typeface="Times New Roman"/>
            </a:rPr>
            <a:t>4</a:t>
          </a:r>
          <a:r>
            <a:rPr lang="en-US" cap="none" sz="1200" b="0" i="0" u="none" baseline="0">
              <a:latin typeface="Times New Roman"/>
              <a:ea typeface="Times New Roman"/>
              <a:cs typeface="Times New Roman"/>
            </a:rPr>
            <a:t> of 25</a:t>
          </a:r>
        </a:p>
      </xdr:txBody>
    </xdr:sp>
    <xdr:clientData/>
  </xdr:twoCellAnchor>
  <xdr:twoCellAnchor>
    <xdr:from>
      <xdr:col>11</xdr:col>
      <xdr:colOff>57150</xdr:colOff>
      <xdr:row>39</xdr:row>
      <xdr:rowOff>0</xdr:rowOff>
    </xdr:from>
    <xdr:to>
      <xdr:col>11</xdr:col>
      <xdr:colOff>1133475</xdr:colOff>
      <xdr:row>49</xdr:row>
      <xdr:rowOff>76200</xdr:rowOff>
    </xdr:to>
    <xdr:sp>
      <xdr:nvSpPr>
        <xdr:cNvPr id="2" name="Text 1"/>
        <xdr:cNvSpPr txBox="1">
          <a:spLocks noChangeArrowheads="1"/>
        </xdr:cNvSpPr>
      </xdr:nvSpPr>
      <xdr:spPr>
        <a:xfrm>
          <a:off x="9163050" y="6734175"/>
          <a:ext cx="1076325" cy="1600200"/>
        </a:xfrm>
        <a:prstGeom prst="rect">
          <a:avLst/>
        </a:prstGeom>
        <a:solidFill>
          <a:srgbClr val="FFFFFF"/>
        </a:solidFill>
        <a:ln w="1" cmpd="sng">
          <a:noFill/>
        </a:ln>
      </xdr:spPr>
      <xdr:txBody>
        <a:bodyPr vertOverflow="clip" wrap="square" vert="vert"/>
        <a:p>
          <a:pPr algn="l">
            <a:defRPr/>
          </a:pPr>
          <a:r>
            <a:rPr lang="en-US" cap="none" sz="1200" b="0" i="0" u="none" baseline="0">
              <a:latin typeface="Times New Roman"/>
              <a:ea typeface="Times New Roman"/>
              <a:cs typeface="Times New Roman"/>
            </a:rPr>
            <a:t>Docket UG-060256
Exhibit ____ (MPP-3)
Page      </a:t>
          </a:r>
          <a:r>
            <a:rPr lang="en-US" cap="none" sz="1200" b="0" i="0" u="sng" baseline="0">
              <a:latin typeface="Times New Roman"/>
              <a:ea typeface="Times New Roman"/>
              <a:cs typeface="Times New Roman"/>
            </a:rPr>
            <a:t>3</a:t>
          </a:r>
          <a:r>
            <a:rPr lang="en-US" cap="none" sz="1200" b="0" i="0" u="none" baseline="0">
              <a:latin typeface="Times New Roman"/>
              <a:ea typeface="Times New Roman"/>
              <a:cs typeface="Times New Roman"/>
            </a:rPr>
            <a:t> of 25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47625</xdr:rowOff>
    </xdr:from>
    <xdr:to>
      <xdr:col>0</xdr:col>
      <xdr:colOff>0</xdr:colOff>
      <xdr:row>59</xdr:row>
      <xdr:rowOff>161925</xdr:rowOff>
    </xdr:to>
    <xdr:sp>
      <xdr:nvSpPr>
        <xdr:cNvPr id="1" name="AutoShape 3"/>
        <xdr:cNvSpPr>
          <a:spLocks/>
        </xdr:cNvSpPr>
      </xdr:nvSpPr>
      <xdr:spPr>
        <a:xfrm rot="21600000">
          <a:off x="0" y="8439150"/>
          <a:ext cx="0" cy="5619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FFFF"/>
              </a:solidFill>
              <a:latin typeface="Arial Black"/>
              <a:cs typeface="Arial Black"/>
            </a:rPr>
            <a:t>TO BE UPDATED</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200025</xdr:colOff>
      <xdr:row>51</xdr:row>
      <xdr:rowOff>114300</xdr:rowOff>
    </xdr:from>
    <xdr:ext cx="628650" cy="1181100"/>
    <xdr:sp>
      <xdr:nvSpPr>
        <xdr:cNvPr id="1" name="TextBox 1"/>
        <xdr:cNvSpPr txBox="1">
          <a:spLocks noChangeArrowheads="1"/>
        </xdr:cNvSpPr>
      </xdr:nvSpPr>
      <xdr:spPr>
        <a:xfrm>
          <a:off x="9763125" y="8105775"/>
          <a:ext cx="628650" cy="1181100"/>
        </a:xfrm>
        <a:prstGeom prst="rect">
          <a:avLst/>
        </a:prstGeom>
        <a:noFill/>
        <a:ln w="9525" cmpd="sng">
          <a:noFill/>
        </a:ln>
      </xdr:spPr>
      <xdr:txBody>
        <a:bodyPr vertOverflow="clip" wrap="square" vert="vert">
          <a:spAutoFit/>
        </a:bodyPr>
        <a:p>
          <a:pPr algn="l">
            <a:defRPr/>
          </a:pPr>
          <a:r>
            <a:rPr lang="en-US" cap="none" sz="850" b="0" i="0" u="none" baseline="0">
              <a:latin typeface="Times New Roman"/>
              <a:ea typeface="Times New Roman"/>
              <a:cs typeface="Times New Roman"/>
            </a:rPr>
            <a:t>  Docket No. UG-060256
  WP Exh ____(JTS-9)
  Schedule 3 of 7
  Page 1 of 1</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533400</xdr:colOff>
      <xdr:row>40</xdr:row>
      <xdr:rowOff>0</xdr:rowOff>
    </xdr:from>
    <xdr:to>
      <xdr:col>12</xdr:col>
      <xdr:colOff>180975</xdr:colOff>
      <xdr:row>49</xdr:row>
      <xdr:rowOff>66675</xdr:rowOff>
    </xdr:to>
    <xdr:sp>
      <xdr:nvSpPr>
        <xdr:cNvPr id="1" name="Text 2"/>
        <xdr:cNvSpPr txBox="1">
          <a:spLocks noChangeArrowheads="1"/>
        </xdr:cNvSpPr>
      </xdr:nvSpPr>
      <xdr:spPr>
        <a:xfrm>
          <a:off x="9420225" y="7905750"/>
          <a:ext cx="1095375" cy="1885950"/>
        </a:xfrm>
        <a:prstGeom prst="rect">
          <a:avLst/>
        </a:prstGeom>
        <a:solidFill>
          <a:srgbClr val="FFFFFF"/>
        </a:solidFill>
        <a:ln w="1" cmpd="sng">
          <a:noFill/>
        </a:ln>
      </xdr:spPr>
      <xdr:txBody>
        <a:bodyPr vertOverflow="clip" wrap="square" vert="vert"/>
        <a:p>
          <a:pPr algn="l">
            <a:defRPr/>
          </a:pPr>
          <a:r>
            <a:rPr lang="en-US" cap="none" sz="1200" b="0" i="0" u="none" baseline="0">
              <a:latin typeface="Times New Roman"/>
              <a:ea typeface="Times New Roman"/>
              <a:cs typeface="Times New Roman"/>
            </a:rPr>
            <a:t>Docket UG-060256
Exhibit ____ (JTS-9)
Schedule 3 of 7</a:t>
          </a:r>
          <a:r>
            <a:rPr lang="en-US" cap="none" sz="1200" b="0" i="0" u="sng" baseline="0">
              <a:latin typeface="Times New Roman"/>
              <a:ea typeface="Times New Roman"/>
              <a:cs typeface="Times New Roman"/>
            </a:rPr>
            <a:t>
</a:t>
          </a:r>
          <a:r>
            <a:rPr lang="en-US" cap="none" sz="1200" b="0" i="0" u="none" baseline="0">
              <a:latin typeface="Times New Roman"/>
              <a:ea typeface="Times New Roman"/>
              <a:cs typeface="Times New Roman"/>
            </a:rPr>
            <a:t>Page      1 of 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43</xdr:row>
      <xdr:rowOff>114300</xdr:rowOff>
    </xdr:from>
    <xdr:to>
      <xdr:col>11</xdr:col>
      <xdr:colOff>0</xdr:colOff>
      <xdr:row>60</xdr:row>
      <xdr:rowOff>9525</xdr:rowOff>
    </xdr:to>
    <xdr:sp>
      <xdr:nvSpPr>
        <xdr:cNvPr id="1" name="Text 1"/>
        <xdr:cNvSpPr txBox="1">
          <a:spLocks noChangeArrowheads="1"/>
        </xdr:cNvSpPr>
      </xdr:nvSpPr>
      <xdr:spPr>
        <a:xfrm>
          <a:off x="3543300" y="7153275"/>
          <a:ext cx="0" cy="2514600"/>
        </a:xfrm>
        <a:prstGeom prst="rect">
          <a:avLst/>
        </a:prstGeom>
        <a:solidFill>
          <a:srgbClr val="FFFFFF"/>
        </a:solidFill>
        <a:ln w="1" cmpd="sng">
          <a:noFill/>
        </a:ln>
      </xdr:spPr>
      <xdr:txBody>
        <a:bodyPr vertOverflow="clip" wrap="square" vert="vert"/>
        <a:p>
          <a:pPr algn="l">
            <a:defRPr/>
          </a:pPr>
          <a:r>
            <a:rPr lang="en-US" cap="none" sz="1000" b="0" i="0" u="none" baseline="0">
              <a:latin typeface="Times New Roman"/>
              <a:ea typeface="Times New Roman"/>
              <a:cs typeface="Times New Roman"/>
            </a:rPr>
            <a:t>UG-04____
Exhibit ____ (JTS-1)
Schedule </a:t>
          </a:r>
          <a:r>
            <a:rPr lang="en-US" cap="none" sz="1000" b="0" i="0" u="sng" baseline="0">
              <a:latin typeface="Times New Roman"/>
              <a:ea typeface="Times New Roman"/>
              <a:cs typeface="Times New Roman"/>
            </a:rPr>
            <a:t>1</a:t>
          </a:r>
          <a:r>
            <a:rPr lang="en-US" cap="none" sz="1000" b="0" i="0" u="none" baseline="0">
              <a:latin typeface="Times New Roman"/>
              <a:ea typeface="Times New Roman"/>
              <a:cs typeface="Times New Roman"/>
            </a:rPr>
            <a:t> of </a:t>
          </a:r>
          <a:r>
            <a:rPr lang="en-US" cap="none" sz="1000" b="0" i="0" u="sng" baseline="0">
              <a:latin typeface="Times New Roman"/>
              <a:ea typeface="Times New Roman"/>
              <a:cs typeface="Times New Roman"/>
            </a:rPr>
            <a:t>1
</a:t>
          </a:r>
          <a:r>
            <a:rPr lang="en-US" cap="none" sz="1000" b="0" i="0" u="none" baseline="0">
              <a:latin typeface="Times New Roman"/>
              <a:ea typeface="Times New Roman"/>
              <a:cs typeface="Times New Roman"/>
            </a:rPr>
            <a:t>Page      </a:t>
          </a:r>
          <a:r>
            <a:rPr lang="en-US" cap="none" sz="1000" b="0" i="0" u="sng" baseline="0">
              <a:latin typeface="Times New Roman"/>
              <a:ea typeface="Times New Roman"/>
              <a:cs typeface="Times New Roman"/>
            </a:rPr>
            <a:t>1</a:t>
          </a:r>
          <a:r>
            <a:rPr lang="en-US" cap="none" sz="1000" b="0" i="0" u="none" baseline="0">
              <a:latin typeface="Times New Roman"/>
              <a:ea typeface="Times New Roman"/>
              <a:cs typeface="Times New Roman"/>
            </a:rPr>
            <a:t> of </a:t>
          </a:r>
          <a:r>
            <a:rPr lang="en-US" cap="none" sz="1000" b="0" i="0" u="sng" baseline="0">
              <a:latin typeface="Times New Roman"/>
              <a:ea typeface="Times New Roman"/>
              <a:cs typeface="Times New Roman"/>
            </a:rPr>
            <a:t>3</a:t>
          </a:r>
        </a:p>
      </xdr:txBody>
    </xdr:sp>
    <xdr:clientData/>
  </xdr:twoCellAnchor>
  <xdr:twoCellAnchor>
    <xdr:from>
      <xdr:col>21</xdr:col>
      <xdr:colOff>114300</xdr:colOff>
      <xdr:row>43</xdr:row>
      <xdr:rowOff>0</xdr:rowOff>
    </xdr:from>
    <xdr:to>
      <xdr:col>21</xdr:col>
      <xdr:colOff>923925</xdr:colOff>
      <xdr:row>52</xdr:row>
      <xdr:rowOff>28575</xdr:rowOff>
    </xdr:to>
    <xdr:sp>
      <xdr:nvSpPr>
        <xdr:cNvPr id="2" name="Text 2"/>
        <xdr:cNvSpPr txBox="1">
          <a:spLocks noChangeArrowheads="1"/>
        </xdr:cNvSpPr>
      </xdr:nvSpPr>
      <xdr:spPr>
        <a:xfrm>
          <a:off x="10991850" y="7038975"/>
          <a:ext cx="809625" cy="1323975"/>
        </a:xfrm>
        <a:prstGeom prst="rect">
          <a:avLst/>
        </a:prstGeom>
        <a:solidFill>
          <a:srgbClr val="FFFFFF"/>
        </a:solidFill>
        <a:ln w="1" cmpd="sng">
          <a:noFill/>
        </a:ln>
      </xdr:spPr>
      <xdr:txBody>
        <a:bodyPr vertOverflow="clip" wrap="square" vert="vert"/>
        <a:p>
          <a:pPr algn="l">
            <a:defRPr/>
          </a:pPr>
          <a:r>
            <a:rPr lang="en-US" cap="none" sz="1000" b="0" i="0" u="none" baseline="0">
              <a:latin typeface="Times New Roman"/>
              <a:ea typeface="Times New Roman"/>
              <a:cs typeface="Times New Roman"/>
            </a:rPr>
            <a:t>UG-060256
WP Exh ____ (JTS-9)
Schedule 3 of </a:t>
          </a:r>
          <a:r>
            <a:rPr lang="en-US" cap="none" sz="1000" b="0" i="0" u="sng" baseline="0">
              <a:latin typeface="Times New Roman"/>
              <a:ea typeface="Times New Roman"/>
              <a:cs typeface="Times New Roman"/>
            </a:rPr>
            <a:t>6
</a:t>
          </a:r>
          <a:r>
            <a:rPr lang="en-US" cap="none" sz="1000" b="0" i="0" u="none" baseline="0">
              <a:latin typeface="Times New Roman"/>
              <a:ea typeface="Times New Roman"/>
              <a:cs typeface="Times New Roman"/>
            </a:rPr>
            <a:t>Page      </a:t>
          </a:r>
          <a:r>
            <a:rPr lang="en-US" cap="none" sz="1000" b="0" i="0" u="sng" baseline="0">
              <a:latin typeface="Times New Roman"/>
              <a:ea typeface="Times New Roman"/>
              <a:cs typeface="Times New Roman"/>
            </a:rPr>
            <a:t>1</a:t>
          </a:r>
          <a:r>
            <a:rPr lang="en-US" cap="none" sz="1000" b="0" i="0" u="none" baseline="0">
              <a:latin typeface="Times New Roman"/>
              <a:ea typeface="Times New Roman"/>
              <a:cs typeface="Times New Roman"/>
            </a:rPr>
            <a:t> of </a:t>
          </a:r>
          <a:r>
            <a:rPr lang="en-US" cap="none" sz="1000" b="0" i="0" u="sng" baseline="0">
              <a:latin typeface="Times New Roman"/>
              <a:ea typeface="Times New Roman"/>
              <a:cs typeface="Times New Roman"/>
            </a:rPr>
            <a:t>8</a:t>
          </a:r>
        </a:p>
      </xdr:txBody>
    </xdr:sp>
    <xdr:clientData/>
  </xdr:twoCellAnchor>
  <xdr:twoCellAnchor>
    <xdr:from>
      <xdr:col>33</xdr:col>
      <xdr:colOff>161925</xdr:colOff>
      <xdr:row>42</xdr:row>
      <xdr:rowOff>142875</xdr:rowOff>
    </xdr:from>
    <xdr:to>
      <xdr:col>33</xdr:col>
      <xdr:colOff>952500</xdr:colOff>
      <xdr:row>52</xdr:row>
      <xdr:rowOff>28575</xdr:rowOff>
    </xdr:to>
    <xdr:sp>
      <xdr:nvSpPr>
        <xdr:cNvPr id="3" name="Text 2"/>
        <xdr:cNvSpPr txBox="1">
          <a:spLocks noChangeArrowheads="1"/>
        </xdr:cNvSpPr>
      </xdr:nvSpPr>
      <xdr:spPr>
        <a:xfrm>
          <a:off x="19983450" y="7029450"/>
          <a:ext cx="790575" cy="1333500"/>
        </a:xfrm>
        <a:prstGeom prst="rect">
          <a:avLst/>
        </a:prstGeom>
        <a:solidFill>
          <a:srgbClr val="FFFFFF"/>
        </a:solidFill>
        <a:ln w="1" cmpd="sng">
          <a:noFill/>
        </a:ln>
      </xdr:spPr>
      <xdr:txBody>
        <a:bodyPr vertOverflow="clip" wrap="square" vert="vert"/>
        <a:p>
          <a:pPr algn="l">
            <a:defRPr/>
          </a:pPr>
          <a:r>
            <a:rPr lang="en-US" cap="none" sz="1000" b="0" i="0" u="none" baseline="0">
              <a:latin typeface="Times New Roman"/>
              <a:ea typeface="Times New Roman"/>
              <a:cs typeface="Times New Roman"/>
            </a:rPr>
            <a:t>UG-060256
WP Exh ____ (JTS-9)
Schedule 3 of </a:t>
          </a:r>
          <a:r>
            <a:rPr lang="en-US" cap="none" sz="1000" b="0" i="0" u="sng" baseline="0">
              <a:latin typeface="Times New Roman"/>
              <a:ea typeface="Times New Roman"/>
              <a:cs typeface="Times New Roman"/>
            </a:rPr>
            <a:t>7
</a:t>
          </a:r>
          <a:r>
            <a:rPr lang="en-US" cap="none" sz="1000" b="0" i="0" u="none" baseline="0">
              <a:latin typeface="Times New Roman"/>
              <a:ea typeface="Times New Roman"/>
              <a:cs typeface="Times New Roman"/>
            </a:rPr>
            <a:t>Page      </a:t>
          </a:r>
          <a:r>
            <a:rPr lang="en-US" cap="none" sz="1000" b="0" i="0" u="sng" baseline="0">
              <a:latin typeface="Times New Roman"/>
              <a:ea typeface="Times New Roman"/>
              <a:cs typeface="Times New Roman"/>
            </a:rPr>
            <a:t>2</a:t>
          </a:r>
          <a:r>
            <a:rPr lang="en-US" cap="none" sz="1000" b="0" i="0" u="none" baseline="0">
              <a:latin typeface="Times New Roman"/>
              <a:ea typeface="Times New Roman"/>
              <a:cs typeface="Times New Roman"/>
            </a:rPr>
            <a:t>of </a:t>
          </a:r>
          <a:r>
            <a:rPr lang="en-US" cap="none" sz="1000" b="0" i="0" u="sng" baseline="0">
              <a:latin typeface="Times New Roman"/>
              <a:ea typeface="Times New Roman"/>
              <a:cs typeface="Times New Roman"/>
            </a:rPr>
            <a:t>8</a:t>
          </a:r>
        </a:p>
      </xdr:txBody>
    </xdr:sp>
    <xdr:clientData/>
  </xdr:twoCellAnchor>
  <xdr:twoCellAnchor>
    <xdr:from>
      <xdr:col>45</xdr:col>
      <xdr:colOff>114300</xdr:colOff>
      <xdr:row>42</xdr:row>
      <xdr:rowOff>123825</xdr:rowOff>
    </xdr:from>
    <xdr:to>
      <xdr:col>45</xdr:col>
      <xdr:colOff>923925</xdr:colOff>
      <xdr:row>52</xdr:row>
      <xdr:rowOff>0</xdr:rowOff>
    </xdr:to>
    <xdr:sp>
      <xdr:nvSpPr>
        <xdr:cNvPr id="4" name="Text 2"/>
        <xdr:cNvSpPr txBox="1">
          <a:spLocks noChangeArrowheads="1"/>
        </xdr:cNvSpPr>
      </xdr:nvSpPr>
      <xdr:spPr>
        <a:xfrm>
          <a:off x="29013150" y="7010400"/>
          <a:ext cx="809625" cy="1323975"/>
        </a:xfrm>
        <a:prstGeom prst="rect">
          <a:avLst/>
        </a:prstGeom>
        <a:solidFill>
          <a:srgbClr val="FFFFFF"/>
        </a:solidFill>
        <a:ln w="1" cmpd="sng">
          <a:noFill/>
        </a:ln>
      </xdr:spPr>
      <xdr:txBody>
        <a:bodyPr vertOverflow="clip" wrap="square" vert="vert"/>
        <a:p>
          <a:pPr algn="l">
            <a:defRPr/>
          </a:pPr>
          <a:r>
            <a:rPr lang="en-US" cap="none" sz="1000" b="0" i="0" u="none" baseline="0">
              <a:latin typeface="Times New Roman"/>
              <a:ea typeface="Times New Roman"/>
              <a:cs typeface="Times New Roman"/>
            </a:rPr>
            <a:t>UG-060256
WP Exh ____ (JTS-9)
Schedule 3 of </a:t>
          </a:r>
          <a:r>
            <a:rPr lang="en-US" cap="none" sz="1000" b="0" i="0" u="sng" baseline="0">
              <a:latin typeface="Times New Roman"/>
              <a:ea typeface="Times New Roman"/>
              <a:cs typeface="Times New Roman"/>
            </a:rPr>
            <a:t>7
</a:t>
          </a:r>
          <a:r>
            <a:rPr lang="en-US" cap="none" sz="1000" b="0" i="0" u="none" baseline="0">
              <a:latin typeface="Times New Roman"/>
              <a:ea typeface="Times New Roman"/>
              <a:cs typeface="Times New Roman"/>
            </a:rPr>
            <a:t>Page      </a:t>
          </a:r>
          <a:r>
            <a:rPr lang="en-US" cap="none" sz="1000" b="0" i="0" u="sng" baseline="0">
              <a:latin typeface="Times New Roman"/>
              <a:ea typeface="Times New Roman"/>
              <a:cs typeface="Times New Roman"/>
            </a:rPr>
            <a:t>3</a:t>
          </a:r>
          <a:r>
            <a:rPr lang="en-US" cap="none" sz="1000" b="0" i="0" u="none" baseline="0">
              <a:latin typeface="Times New Roman"/>
              <a:ea typeface="Times New Roman"/>
              <a:cs typeface="Times New Roman"/>
            </a:rPr>
            <a:t> of </a:t>
          </a:r>
          <a:r>
            <a:rPr lang="en-US" cap="none" sz="1000" b="0" i="0" u="sng" baseline="0">
              <a:latin typeface="Times New Roman"/>
              <a:ea typeface="Times New Roman"/>
              <a:cs typeface="Times New Roman"/>
            </a:rPr>
            <a:t>8</a:t>
          </a:r>
        </a:p>
      </xdr:txBody>
    </xdr:sp>
    <xdr:clientData/>
  </xdr:twoCellAnchor>
  <xdr:twoCellAnchor>
    <xdr:from>
      <xdr:col>56</xdr:col>
      <xdr:colOff>952500</xdr:colOff>
      <xdr:row>43</xdr:row>
      <xdr:rowOff>66675</xdr:rowOff>
    </xdr:from>
    <xdr:to>
      <xdr:col>58</xdr:col>
      <xdr:colOff>28575</xdr:colOff>
      <xdr:row>52</xdr:row>
      <xdr:rowOff>104775</xdr:rowOff>
    </xdr:to>
    <xdr:sp>
      <xdr:nvSpPr>
        <xdr:cNvPr id="5" name="Text 2"/>
        <xdr:cNvSpPr txBox="1">
          <a:spLocks noChangeArrowheads="1"/>
        </xdr:cNvSpPr>
      </xdr:nvSpPr>
      <xdr:spPr>
        <a:xfrm>
          <a:off x="38576250" y="7105650"/>
          <a:ext cx="790575" cy="1333500"/>
        </a:xfrm>
        <a:prstGeom prst="rect">
          <a:avLst/>
        </a:prstGeom>
        <a:solidFill>
          <a:srgbClr val="FFFFFF"/>
        </a:solidFill>
        <a:ln w="1" cmpd="sng">
          <a:noFill/>
        </a:ln>
      </xdr:spPr>
      <xdr:txBody>
        <a:bodyPr vertOverflow="clip" wrap="square" vert="vert"/>
        <a:p>
          <a:pPr algn="l">
            <a:defRPr/>
          </a:pPr>
          <a:r>
            <a:rPr lang="en-US" cap="none" sz="1000" b="0" i="0" u="none" baseline="0">
              <a:latin typeface="Times New Roman"/>
              <a:ea typeface="Times New Roman"/>
              <a:cs typeface="Times New Roman"/>
            </a:rPr>
            <a:t>UG-060256
WP Exh ____ (JTS-9)
Schedule 3 of </a:t>
          </a:r>
          <a:r>
            <a:rPr lang="en-US" cap="none" sz="1000" b="0" i="0" u="sng" baseline="0">
              <a:latin typeface="Times New Roman"/>
              <a:ea typeface="Times New Roman"/>
              <a:cs typeface="Times New Roman"/>
            </a:rPr>
            <a:t>7
</a:t>
          </a:r>
          <a:r>
            <a:rPr lang="en-US" cap="none" sz="1000" b="0" i="0" u="none" baseline="0">
              <a:latin typeface="Times New Roman"/>
              <a:ea typeface="Times New Roman"/>
              <a:cs typeface="Times New Roman"/>
            </a:rPr>
            <a:t>Page      </a:t>
          </a:r>
          <a:r>
            <a:rPr lang="en-US" cap="none" sz="1000" b="0" i="0" u="sng" baseline="0">
              <a:latin typeface="Times New Roman"/>
              <a:ea typeface="Times New Roman"/>
              <a:cs typeface="Times New Roman"/>
            </a:rPr>
            <a:t>4</a:t>
          </a:r>
          <a:r>
            <a:rPr lang="en-US" cap="none" sz="1000" b="0" i="0" u="none" baseline="0">
              <a:latin typeface="Times New Roman"/>
              <a:ea typeface="Times New Roman"/>
              <a:cs typeface="Times New Roman"/>
            </a:rPr>
            <a:t> of 8</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0</xdr:colOff>
      <xdr:row>61</xdr:row>
      <xdr:rowOff>38100</xdr:rowOff>
    </xdr:from>
    <xdr:ext cx="638175" cy="1362075"/>
    <xdr:sp>
      <xdr:nvSpPr>
        <xdr:cNvPr id="1" name="TextBox 1"/>
        <xdr:cNvSpPr txBox="1">
          <a:spLocks noChangeArrowheads="1"/>
        </xdr:cNvSpPr>
      </xdr:nvSpPr>
      <xdr:spPr>
        <a:xfrm>
          <a:off x="14354175" y="10382250"/>
          <a:ext cx="638175" cy="1362075"/>
        </a:xfrm>
        <a:prstGeom prst="rect">
          <a:avLst/>
        </a:prstGeom>
        <a:noFill/>
        <a:ln w="9525" cmpd="sng">
          <a:noFill/>
        </a:ln>
      </xdr:spPr>
      <xdr:txBody>
        <a:bodyPr vertOverflow="clip" wrap="square" vert="vert">
          <a:spAutoFit/>
        </a:bodyPr>
        <a:p>
          <a:pPr algn="l">
            <a:defRPr/>
          </a:pPr>
          <a:r>
            <a:rPr lang="en-US" cap="none" sz="850" b="0" i="0" u="none" baseline="0">
              <a:latin typeface="Times New Roman"/>
              <a:ea typeface="Times New Roman"/>
              <a:cs typeface="Times New Roman"/>
            </a:rPr>
            <a:t>  Docket No. UG-06____
  Exhibit ____(JTS-7)
  Schedule 3 of x
  Page 1 of 1</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428625</xdr:colOff>
      <xdr:row>39</xdr:row>
      <xdr:rowOff>0</xdr:rowOff>
    </xdr:from>
    <xdr:to>
      <xdr:col>12</xdr:col>
      <xdr:colOff>0</xdr:colOff>
      <xdr:row>48</xdr:row>
      <xdr:rowOff>38100</xdr:rowOff>
    </xdr:to>
    <xdr:sp>
      <xdr:nvSpPr>
        <xdr:cNvPr id="1" name="Text 2"/>
        <xdr:cNvSpPr txBox="1">
          <a:spLocks noChangeArrowheads="1"/>
        </xdr:cNvSpPr>
      </xdr:nvSpPr>
      <xdr:spPr>
        <a:xfrm>
          <a:off x="9448800" y="7686675"/>
          <a:ext cx="1019175" cy="1857375"/>
        </a:xfrm>
        <a:prstGeom prst="rect">
          <a:avLst/>
        </a:prstGeom>
        <a:solidFill>
          <a:srgbClr val="FFFFFF"/>
        </a:solidFill>
        <a:ln w="1" cmpd="sng">
          <a:noFill/>
        </a:ln>
      </xdr:spPr>
      <xdr:txBody>
        <a:bodyPr vertOverflow="clip" wrap="square" vert="vert"/>
        <a:p>
          <a:pPr algn="l">
            <a:defRPr/>
          </a:pPr>
          <a:r>
            <a:rPr lang="en-US" cap="none" sz="1200" b="0" i="0" u="none" baseline="0">
              <a:latin typeface="Times New Roman"/>
              <a:ea typeface="Times New Roman"/>
              <a:cs typeface="Times New Roman"/>
            </a:rPr>
            <a:t>Docket UG-060256
Exhibit ____ (JTS-9)
Schedule 3 of 7</a:t>
          </a:r>
          <a:r>
            <a:rPr lang="en-US" cap="none" sz="1200" b="0" i="0" u="sng" baseline="0">
              <a:latin typeface="Times New Roman"/>
              <a:ea typeface="Times New Roman"/>
              <a:cs typeface="Times New Roman"/>
            </a:rPr>
            <a:t>
</a:t>
          </a:r>
          <a:r>
            <a:rPr lang="en-US" cap="none" sz="1200" b="0" i="0" u="none" baseline="0">
              <a:latin typeface="Times New Roman"/>
              <a:ea typeface="Times New Roman"/>
              <a:cs typeface="Times New Roman"/>
            </a:rPr>
            <a:t>Page      2 of 2</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Service%20Chg%20Revenues-final%20Feb%2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RATECASE\060256%20Cascade%20GRC\Company%20Direct%20Testimony%20&amp;%20Exh\WP%20JTS%209%20Proposed%20REV%20BY%20BILL%20FREQ.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Data\CNG\GEN\Working%20Capital%20Cal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TS8 Sched 2; Page 1"/>
      <sheetName val="JTS-8 sched 2,page2-3"/>
      <sheetName val="Occurences Calc."/>
    </sheetNames>
    <sheetDataSet>
      <sheetData sheetId="1">
        <row r="21">
          <cell r="G21">
            <v>32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502"/>
      <sheetName val="503"/>
      <sheetName val="R541S"/>
      <sheetName val="R541W"/>
      <sheetName val="C502"/>
      <sheetName val="504"/>
      <sheetName val="C511"/>
      <sheetName val="512"/>
      <sheetName val="C541S"/>
      <sheetName val="C541W"/>
      <sheetName val="505"/>
      <sheetName val="I511"/>
      <sheetName val="I512"/>
      <sheetName val="I570"/>
      <sheetName val="INS570"/>
      <sheetName val="577"/>
      <sheetName val="S570"/>
      <sheetName val="663"/>
      <sheetName val="DSC663"/>
      <sheetName val="664"/>
      <sheetName val="DSC664"/>
    </sheetNames>
    <sheetDataSet>
      <sheetData sheetId="0">
        <row r="11">
          <cell r="F11">
            <v>0.018899750439344318</v>
          </cell>
        </row>
      </sheetData>
      <sheetData sheetId="1">
        <row r="11">
          <cell r="J11">
            <v>0.269373</v>
          </cell>
        </row>
      </sheetData>
      <sheetData sheetId="2">
        <row r="10">
          <cell r="F10">
            <v>10.38</v>
          </cell>
        </row>
        <row r="11">
          <cell r="F11">
            <v>0.2505874656491366</v>
          </cell>
        </row>
      </sheetData>
      <sheetData sheetId="3">
        <row r="9">
          <cell r="F9">
            <v>6.91</v>
          </cell>
        </row>
        <row r="11">
          <cell r="F11">
            <v>0.40433</v>
          </cell>
        </row>
        <row r="12">
          <cell r="F12">
            <v>0.2848947220323981</v>
          </cell>
        </row>
      </sheetData>
      <sheetData sheetId="5">
        <row r="11">
          <cell r="J11">
            <v>0.21252</v>
          </cell>
        </row>
        <row r="12">
          <cell r="J12">
            <v>0.21252</v>
          </cell>
        </row>
        <row r="13">
          <cell r="J13">
            <v>0.21252</v>
          </cell>
        </row>
        <row r="14">
          <cell r="J14">
            <v>0.21252</v>
          </cell>
        </row>
      </sheetData>
      <sheetData sheetId="6">
        <row r="11">
          <cell r="F11">
            <v>0.065</v>
          </cell>
        </row>
        <row r="12">
          <cell r="F12">
            <v>0.065</v>
          </cell>
        </row>
        <row r="13">
          <cell r="F13">
            <v>0.04445</v>
          </cell>
        </row>
        <row r="14">
          <cell r="F14">
            <v>0.04445</v>
          </cell>
        </row>
        <row r="15">
          <cell r="F15">
            <v>0.02142</v>
          </cell>
        </row>
      </sheetData>
      <sheetData sheetId="7">
        <row r="11">
          <cell r="F11">
            <v>0.19756446814296186</v>
          </cell>
        </row>
      </sheetData>
      <sheetData sheetId="10">
        <row r="11">
          <cell r="F11">
            <v>0.20586</v>
          </cell>
        </row>
        <row r="12">
          <cell r="F12">
            <v>0.20586</v>
          </cell>
        </row>
        <row r="13">
          <cell r="F13">
            <v>0.17696</v>
          </cell>
        </row>
        <row r="14">
          <cell r="F14">
            <v>0.15</v>
          </cell>
        </row>
      </sheetData>
      <sheetData sheetId="13">
        <row r="11">
          <cell r="F11">
            <v>0.06021165992773054</v>
          </cell>
        </row>
        <row r="12">
          <cell r="F12">
            <v>0.02001</v>
          </cell>
        </row>
      </sheetData>
      <sheetData sheetId="15">
        <row r="11">
          <cell r="F11">
            <v>0.0623988690092298</v>
          </cell>
        </row>
        <row r="12">
          <cell r="F12">
            <v>0.05</v>
          </cell>
        </row>
      </sheetData>
      <sheetData sheetId="17">
        <row r="12">
          <cell r="H12">
            <v>0.043</v>
          </cell>
        </row>
        <row r="13">
          <cell r="H13">
            <v>0.043</v>
          </cell>
        </row>
        <row r="14">
          <cell r="H14">
            <v>0.043</v>
          </cell>
        </row>
        <row r="15">
          <cell r="H15">
            <v>0.043</v>
          </cell>
        </row>
        <row r="16">
          <cell r="H16">
            <v>0.041</v>
          </cell>
        </row>
      </sheetData>
      <sheetData sheetId="19">
        <row r="12">
          <cell r="F12">
            <v>0.043</v>
          </cell>
        </row>
        <row r="13">
          <cell r="F13">
            <v>0.00357</v>
          </cell>
        </row>
        <row r="14">
          <cell r="F14">
            <v>0.00357</v>
          </cell>
        </row>
        <row r="15">
          <cell r="F15">
            <v>0.00357</v>
          </cell>
        </row>
        <row r="16">
          <cell r="F16">
            <v>0.00357</v>
          </cell>
        </row>
        <row r="17">
          <cell r="F17">
            <v>0.00357</v>
          </cell>
        </row>
        <row r="18">
          <cell r="F18">
            <v>0.00357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ched 1"/>
      <sheetName val="Sched 2"/>
      <sheetName val="Sched 3"/>
      <sheetName val="Sched 5"/>
    </sheetNames>
    <sheetDataSet>
      <sheetData sheetId="2">
        <row r="17">
          <cell r="G17">
            <v>462674857</v>
          </cell>
        </row>
        <row r="28">
          <cell r="G28">
            <v>-199419250</v>
          </cell>
        </row>
        <row r="32">
          <cell r="G32">
            <v>-4356248</v>
          </cell>
        </row>
      </sheetData>
      <sheetData sheetId="3">
        <row r="18">
          <cell r="C18">
            <v>0.7918485179135092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4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4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4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41"/>
  <sheetViews>
    <sheetView showGridLines="0" workbookViewId="0" topLeftCell="A1">
      <selection activeCell="G1" sqref="G1"/>
    </sheetView>
  </sheetViews>
  <sheetFormatPr defaultColWidth="9.33203125" defaultRowHeight="11.25"/>
  <cols>
    <col min="1" max="1" width="5.83203125" style="0" customWidth="1"/>
    <col min="2" max="2" width="39.33203125" style="0" customWidth="1"/>
    <col min="3" max="3" width="30.83203125" style="0" customWidth="1"/>
    <col min="4" max="4" width="0.328125" style="0" hidden="1" customWidth="1"/>
    <col min="5" max="5" width="2.5" style="0" customWidth="1"/>
    <col min="6" max="6" width="16.16015625" style="0" customWidth="1"/>
  </cols>
  <sheetData>
    <row r="1" spans="2:7" ht="15.75">
      <c r="B1" s="3"/>
      <c r="G1" s="37" t="s">
        <v>1522</v>
      </c>
    </row>
    <row r="2" spans="2:7" ht="15.75">
      <c r="B2" s="4"/>
      <c r="C2" s="38"/>
      <c r="D2" s="38"/>
      <c r="G2" s="37" t="s">
        <v>707</v>
      </c>
    </row>
    <row r="3" spans="2:7" ht="15.75">
      <c r="B3" s="38"/>
      <c r="C3" s="38"/>
      <c r="D3" s="38"/>
      <c r="G3" s="37" t="s">
        <v>1145</v>
      </c>
    </row>
    <row r="4" spans="2:4" ht="15.75">
      <c r="B4" s="38"/>
      <c r="C4" s="38"/>
      <c r="D4" s="38"/>
    </row>
    <row r="5" spans="2:7" ht="15.75">
      <c r="B5" s="38"/>
      <c r="C5" s="38"/>
      <c r="D5" s="38"/>
      <c r="E5" s="38"/>
      <c r="F5" s="38"/>
      <c r="G5" s="38"/>
    </row>
    <row r="6" spans="1:7" ht="15.75">
      <c r="A6" s="81" t="s">
        <v>658</v>
      </c>
      <c r="B6" s="78"/>
      <c r="C6" s="122"/>
      <c r="D6" s="122"/>
      <c r="E6" s="122"/>
      <c r="F6" s="123"/>
      <c r="G6" s="38"/>
    </row>
    <row r="7" spans="1:7" ht="18.75">
      <c r="A7" s="86" t="s">
        <v>1146</v>
      </c>
      <c r="B7" s="221"/>
      <c r="C7" s="124"/>
      <c r="D7" s="124"/>
      <c r="E7" s="124"/>
      <c r="F7" s="125"/>
      <c r="G7" s="38"/>
    </row>
    <row r="8" spans="1:7" ht="15.75">
      <c r="A8" s="126" t="s">
        <v>659</v>
      </c>
      <c r="B8" s="222"/>
      <c r="C8" s="127"/>
      <c r="D8" s="127"/>
      <c r="E8" s="127"/>
      <c r="F8" s="128"/>
      <c r="G8" s="38"/>
    </row>
    <row r="9" spans="1:7" ht="15.75">
      <c r="A9" s="35" t="s">
        <v>1006</v>
      </c>
      <c r="B9" s="96" t="s">
        <v>1007</v>
      </c>
      <c r="C9" s="97"/>
      <c r="D9" s="46" t="s">
        <v>1147</v>
      </c>
      <c r="E9" s="98" t="s">
        <v>1084</v>
      </c>
      <c r="F9" s="98"/>
      <c r="G9" s="38"/>
    </row>
    <row r="10" spans="1:7" ht="15.75">
      <c r="A10" s="223"/>
      <c r="B10" s="224" t="s">
        <v>1012</v>
      </c>
      <c r="C10" s="225"/>
      <c r="D10" s="226" t="s">
        <v>1013</v>
      </c>
      <c r="E10" s="227" t="s">
        <v>1014</v>
      </c>
      <c r="F10" s="191"/>
      <c r="G10" s="38"/>
    </row>
    <row r="11" spans="1:7" ht="15.75">
      <c r="A11" s="18"/>
      <c r="B11" s="39"/>
      <c r="C11" s="41"/>
      <c r="D11" s="49"/>
      <c r="E11" s="39"/>
      <c r="F11" s="41"/>
      <c r="G11" s="38"/>
    </row>
    <row r="12" spans="1:7" ht="15.75">
      <c r="A12" s="52" t="s">
        <v>1021</v>
      </c>
      <c r="B12" s="66" t="s">
        <v>12</v>
      </c>
      <c r="C12" s="43"/>
      <c r="D12" s="92" t="s">
        <v>1148</v>
      </c>
      <c r="E12" s="42"/>
      <c r="F12" s="43"/>
      <c r="G12" s="38"/>
    </row>
    <row r="13" spans="1:7" ht="15.75">
      <c r="A13" s="50"/>
      <c r="B13" s="51" t="s">
        <v>1149</v>
      </c>
      <c r="C13" s="43"/>
      <c r="D13" s="92" t="s">
        <v>1150</v>
      </c>
      <c r="E13" s="67" t="s">
        <v>1089</v>
      </c>
      <c r="F13" s="54">
        <f>+'MPP-3 p1'!G37</f>
        <v>231460401</v>
      </c>
      <c r="G13" s="38"/>
    </row>
    <row r="14" spans="1:7" ht="15.75">
      <c r="A14" s="50"/>
      <c r="B14" s="42"/>
      <c r="C14" s="43"/>
      <c r="D14" s="93"/>
      <c r="E14" s="42"/>
      <c r="F14" s="43"/>
      <c r="G14" s="38"/>
    </row>
    <row r="15" spans="1:7" ht="15.75">
      <c r="A15" s="52" t="s">
        <v>1023</v>
      </c>
      <c r="B15" s="51" t="s">
        <v>1151</v>
      </c>
      <c r="C15" s="43"/>
      <c r="D15" s="92" t="s">
        <v>1097</v>
      </c>
      <c r="E15" s="42"/>
      <c r="F15" s="68">
        <f>ROFR</f>
        <v>0.08329205</v>
      </c>
      <c r="G15" s="38"/>
    </row>
    <row r="16" spans="1:7" ht="15.75">
      <c r="A16" s="50"/>
      <c r="B16" s="42"/>
      <c r="C16" s="43"/>
      <c r="D16" s="92" t="s">
        <v>1152</v>
      </c>
      <c r="E16" s="42"/>
      <c r="F16" s="155"/>
      <c r="G16" s="38"/>
    </row>
    <row r="17" spans="1:7" ht="15.75">
      <c r="A17" s="52" t="s">
        <v>1025</v>
      </c>
      <c r="B17" s="51" t="s">
        <v>1153</v>
      </c>
      <c r="C17" s="43"/>
      <c r="D17" s="93"/>
      <c r="E17" s="42"/>
      <c r="F17" s="43"/>
      <c r="G17" s="38"/>
    </row>
    <row r="18" spans="1:7" ht="15.75">
      <c r="A18" s="50"/>
      <c r="B18" s="51" t="s">
        <v>1154</v>
      </c>
      <c r="C18" s="43"/>
      <c r="D18" s="93"/>
      <c r="E18" s="67" t="s">
        <v>1089</v>
      </c>
      <c r="F18" s="54">
        <f>ROUND(+F13*F15,0)</f>
        <v>19278811</v>
      </c>
      <c r="G18" s="38"/>
    </row>
    <row r="19" spans="1:7" ht="15.75">
      <c r="A19" s="50"/>
      <c r="B19" s="42"/>
      <c r="C19" s="43"/>
      <c r="D19" s="93"/>
      <c r="E19" s="42"/>
      <c r="F19" s="43"/>
      <c r="G19" s="38"/>
    </row>
    <row r="20" spans="1:7" ht="15.75">
      <c r="A20" s="52" t="s">
        <v>1027</v>
      </c>
      <c r="B20" s="51" t="s">
        <v>1155</v>
      </c>
      <c r="C20" s="43"/>
      <c r="D20" s="92" t="s">
        <v>1148</v>
      </c>
      <c r="E20" s="42"/>
      <c r="F20" s="43"/>
      <c r="G20" s="38"/>
    </row>
    <row r="21" spans="1:7" ht="15.75">
      <c r="A21" s="50"/>
      <c r="B21" s="51" t="s">
        <v>1156</v>
      </c>
      <c r="C21" s="43"/>
      <c r="D21" s="92" t="s">
        <v>1261</v>
      </c>
      <c r="E21" s="42"/>
      <c r="F21" s="54">
        <f>'MPP-3 p1'!G35</f>
        <v>18250045.68055347</v>
      </c>
      <c r="G21" s="38"/>
    </row>
    <row r="22" spans="1:7" ht="15.75">
      <c r="A22" s="52" t="s">
        <v>1030</v>
      </c>
      <c r="B22" s="51" t="s">
        <v>1262</v>
      </c>
      <c r="C22" s="43"/>
      <c r="D22" s="93"/>
      <c r="E22" s="42"/>
      <c r="F22" s="43"/>
      <c r="G22" s="38"/>
    </row>
    <row r="23" spans="1:7" ht="15.75">
      <c r="A23" s="50"/>
      <c r="B23" s="51" t="s">
        <v>1263</v>
      </c>
      <c r="C23" s="43"/>
      <c r="D23" s="93"/>
      <c r="E23" s="67" t="s">
        <v>1089</v>
      </c>
      <c r="F23" s="69">
        <f>F18-F21</f>
        <v>1028765.3194465302</v>
      </c>
      <c r="G23" s="38"/>
    </row>
    <row r="24" spans="1:7" ht="15.75">
      <c r="A24" s="50"/>
      <c r="B24" s="42"/>
      <c r="C24" s="43"/>
      <c r="D24" s="93"/>
      <c r="E24" s="42"/>
      <c r="F24" s="43"/>
      <c r="G24" s="38"/>
    </row>
    <row r="25" spans="1:7" ht="15.75">
      <c r="A25" s="52" t="s">
        <v>1032</v>
      </c>
      <c r="B25" s="51" t="s">
        <v>1264</v>
      </c>
      <c r="C25" s="43"/>
      <c r="D25" s="92" t="s">
        <v>1265</v>
      </c>
      <c r="E25" s="42"/>
      <c r="F25" s="43"/>
      <c r="G25" s="38"/>
    </row>
    <row r="26" spans="1:7" ht="15.75">
      <c r="A26" s="50"/>
      <c r="B26" s="51" t="s">
        <v>1266</v>
      </c>
      <c r="C26" s="43"/>
      <c r="D26" s="92" t="s">
        <v>1267</v>
      </c>
      <c r="E26" s="42"/>
      <c r="F26" s="70">
        <f>NTG</f>
        <v>0.6313687349852611</v>
      </c>
      <c r="G26" s="38"/>
    </row>
    <row r="27" spans="1:7" ht="15.75">
      <c r="A27" s="50"/>
      <c r="B27" s="42"/>
      <c r="C27" s="43"/>
      <c r="D27" s="93"/>
      <c r="E27" s="42"/>
      <c r="F27" s="43"/>
      <c r="G27" s="38"/>
    </row>
    <row r="28" spans="1:7" ht="15.75">
      <c r="A28" s="52" t="s">
        <v>1034</v>
      </c>
      <c r="B28" s="51" t="s">
        <v>1268</v>
      </c>
      <c r="C28" s="43"/>
      <c r="D28" s="93"/>
      <c r="E28" s="42"/>
      <c r="F28" s="43"/>
      <c r="G28" s="38"/>
    </row>
    <row r="29" spans="1:7" ht="15.75">
      <c r="A29" s="50"/>
      <c r="B29" s="51" t="s">
        <v>1269</v>
      </c>
      <c r="C29" s="43"/>
      <c r="D29" s="50"/>
      <c r="E29" s="67" t="s">
        <v>1089</v>
      </c>
      <c r="F29" s="56">
        <f>ROUND(+F23/F26,0)+1</f>
        <v>1629422</v>
      </c>
      <c r="G29" s="188" t="s">
        <v>1270</v>
      </c>
    </row>
    <row r="30" spans="1:7" ht="15.75">
      <c r="A30" s="50"/>
      <c r="B30" s="42"/>
      <c r="C30" s="43"/>
      <c r="D30" s="50"/>
      <c r="E30" s="42"/>
      <c r="F30" s="43"/>
      <c r="G30" s="38"/>
    </row>
    <row r="31" spans="1:7" ht="15.75">
      <c r="A31" s="52">
        <v>8</v>
      </c>
      <c r="B31" s="42" t="s">
        <v>206</v>
      </c>
      <c r="C31" s="43"/>
      <c r="D31" s="50"/>
      <c r="E31" s="67" t="s">
        <v>1089</v>
      </c>
      <c r="F31" s="816">
        <f>+'MPP-5'!H31-'MPP-5'!F31</f>
        <v>1885720</v>
      </c>
      <c r="G31" s="38"/>
    </row>
    <row r="32" spans="1:7" ht="15.75">
      <c r="A32" s="52"/>
      <c r="B32" s="42"/>
      <c r="C32" s="43"/>
      <c r="D32" s="50"/>
      <c r="E32" s="42"/>
      <c r="F32" s="43"/>
      <c r="G32" s="38"/>
    </row>
    <row r="33" spans="1:7" ht="15.75">
      <c r="A33" s="52">
        <v>9</v>
      </c>
      <c r="B33" s="51" t="s">
        <v>127</v>
      </c>
      <c r="C33" s="43"/>
      <c r="D33" s="50"/>
      <c r="E33" s="67" t="s">
        <v>1089</v>
      </c>
      <c r="F33" s="56">
        <f>+REVREQ-F31</f>
        <v>-256298</v>
      </c>
      <c r="G33" s="38"/>
    </row>
    <row r="34" spans="1:7" ht="15.75">
      <c r="A34" s="52"/>
      <c r="B34" s="42"/>
      <c r="C34" s="43"/>
      <c r="D34" s="50"/>
      <c r="E34" s="42"/>
      <c r="F34" s="43"/>
      <c r="G34" s="38"/>
    </row>
    <row r="35" spans="1:7" ht="15.75">
      <c r="A35" s="52">
        <v>10</v>
      </c>
      <c r="B35" s="51" t="s">
        <v>1271</v>
      </c>
      <c r="C35" s="43"/>
      <c r="D35" s="50"/>
      <c r="E35" s="42"/>
      <c r="F35" s="43"/>
      <c r="G35" s="38"/>
    </row>
    <row r="36" spans="1:7" ht="15.75">
      <c r="A36" s="50"/>
      <c r="B36" s="51" t="s">
        <v>1272</v>
      </c>
      <c r="C36" s="43"/>
      <c r="D36" s="50"/>
      <c r="E36" s="42"/>
      <c r="F36" s="817">
        <f>+F33/('JTS-9 S3 P1'!F45-'JTS-9 S3 P1'!F41)</f>
        <v>-0.003917456163010873</v>
      </c>
      <c r="G36" s="38"/>
    </row>
    <row r="37" spans="1:7" ht="15.75">
      <c r="A37" s="50"/>
      <c r="B37" s="42"/>
      <c r="C37" s="43"/>
      <c r="D37" s="50"/>
      <c r="E37" s="42"/>
      <c r="F37" s="43"/>
      <c r="G37" s="38"/>
    </row>
    <row r="38" spans="1:7" ht="15.75">
      <c r="A38" s="34"/>
      <c r="B38" s="44"/>
      <c r="C38" s="45"/>
      <c r="D38" s="57"/>
      <c r="E38" s="44"/>
      <c r="F38" s="71"/>
      <c r="G38" s="38"/>
    </row>
    <row r="39" spans="2:7" ht="15.75">
      <c r="B39" s="38"/>
      <c r="C39" s="38"/>
      <c r="D39" s="38"/>
      <c r="E39" s="38"/>
      <c r="G39" s="38"/>
    </row>
    <row r="40" spans="2:7" ht="15.75">
      <c r="B40" s="38"/>
      <c r="C40" s="38"/>
      <c r="D40" s="38"/>
      <c r="E40" s="38"/>
      <c r="F40" s="38"/>
      <c r="G40" s="38"/>
    </row>
    <row r="41" spans="2:7" ht="15.75">
      <c r="B41" s="188" t="s">
        <v>708</v>
      </c>
      <c r="C41" s="38"/>
      <c r="D41" s="38"/>
      <c r="E41" s="38"/>
      <c r="F41" s="38"/>
      <c r="G41" s="38"/>
    </row>
  </sheetData>
  <printOptions/>
  <pageMargins left="1.29" right="0.26" top="0.25" bottom="0.27" header="0.25" footer="0.27"/>
  <pageSetup fitToHeight="1" fitToWidth="1" horizontalDpi="300" verticalDpi="300" orientation="portrait" scale="95" r:id="rId1"/>
</worksheet>
</file>

<file path=xl/worksheets/sheet10.xml><?xml version="1.0" encoding="utf-8"?>
<worksheet xmlns="http://schemas.openxmlformats.org/spreadsheetml/2006/main" xmlns:r="http://schemas.openxmlformats.org/officeDocument/2006/relationships">
  <sheetPr>
    <pageSetUpPr fitToPage="1"/>
  </sheetPr>
  <dimension ref="A1:H37"/>
  <sheetViews>
    <sheetView workbookViewId="0" topLeftCell="A1">
      <selection activeCell="E1" sqref="E1"/>
    </sheetView>
  </sheetViews>
  <sheetFormatPr defaultColWidth="9.33203125" defaultRowHeight="11.25"/>
  <cols>
    <col min="1" max="1" width="5.16015625" style="395" customWidth="1"/>
    <col min="2" max="2" width="47" style="395" customWidth="1"/>
    <col min="3" max="3" width="9.33203125" style="395" customWidth="1"/>
    <col min="4" max="4" width="14.33203125" style="395" customWidth="1"/>
    <col min="5" max="5" width="18" style="395" bestFit="1" customWidth="1"/>
    <col min="6" max="6" width="12.33203125" style="395" customWidth="1"/>
    <col min="7" max="7" width="13.5" style="395" customWidth="1"/>
    <col min="8" max="16384" width="9.33203125" style="395" customWidth="1"/>
  </cols>
  <sheetData>
    <row r="1" ht="15.75">
      <c r="E1" s="367" t="s">
        <v>1522</v>
      </c>
    </row>
    <row r="2" ht="15.75">
      <c r="E2" s="141" t="s">
        <v>1177</v>
      </c>
    </row>
    <row r="3" ht="15.75">
      <c r="E3" s="367" t="s">
        <v>1185</v>
      </c>
    </row>
    <row r="8" spans="1:5" ht="15.75">
      <c r="A8" s="396" t="s">
        <v>658</v>
      </c>
      <c r="B8" s="397"/>
      <c r="C8" s="398"/>
      <c r="D8" s="399"/>
      <c r="E8" s="400"/>
    </row>
    <row r="9" spans="1:5" ht="15.75">
      <c r="A9" s="601" t="s">
        <v>102</v>
      </c>
      <c r="B9" s="401"/>
      <c r="C9" s="402"/>
      <c r="D9" s="403"/>
      <c r="E9" s="404"/>
    </row>
    <row r="10" spans="1:5" ht="15.75">
      <c r="A10" s="1142" t="s">
        <v>659</v>
      </c>
      <c r="B10" s="406"/>
      <c r="C10" s="407"/>
      <c r="D10" s="408"/>
      <c r="E10" s="409"/>
    </row>
    <row r="11" spans="1:5" ht="15.75">
      <c r="A11" s="410" t="s">
        <v>1000</v>
      </c>
      <c r="B11" s="411"/>
      <c r="C11" s="412"/>
      <c r="D11" s="413"/>
      <c r="E11" s="414"/>
    </row>
    <row r="12" spans="1:5" ht="15.75">
      <c r="A12" s="415" t="s">
        <v>1006</v>
      </c>
      <c r="B12" s="416" t="s">
        <v>1007</v>
      </c>
      <c r="D12" s="417" t="s">
        <v>373</v>
      </c>
      <c r="E12" s="418" t="s">
        <v>1084</v>
      </c>
    </row>
    <row r="13" spans="1:5" ht="15.75">
      <c r="A13" s="419"/>
      <c r="B13" s="420" t="s">
        <v>1012</v>
      </c>
      <c r="D13" s="421" t="s">
        <v>1013</v>
      </c>
      <c r="E13" s="422" t="s">
        <v>1014</v>
      </c>
    </row>
    <row r="14" spans="1:5" ht="11.25">
      <c r="A14" s="423"/>
      <c r="B14" s="424"/>
      <c r="C14" s="423"/>
      <c r="D14" s="424"/>
      <c r="E14" s="425"/>
    </row>
    <row r="15" spans="1:5" ht="15.75">
      <c r="A15" s="793"/>
      <c r="B15" s="427" t="s">
        <v>52</v>
      </c>
      <c r="C15" s="426"/>
      <c r="D15" s="428"/>
      <c r="E15" s="429"/>
    </row>
    <row r="16" spans="1:5" ht="15.75">
      <c r="A16" s="793">
        <v>1</v>
      </c>
      <c r="B16" s="315" t="s">
        <v>53</v>
      </c>
      <c r="C16" s="430"/>
      <c r="D16" s="318">
        <f>60270.35</f>
        <v>60270.35</v>
      </c>
      <c r="E16" s="431"/>
    </row>
    <row r="17" spans="1:5" ht="15.75">
      <c r="A17" s="793">
        <v>2</v>
      </c>
      <c r="B17" s="316" t="s">
        <v>375</v>
      </c>
      <c r="C17" s="432"/>
      <c r="D17" s="433"/>
      <c r="E17" s="318">
        <f>-D16</f>
        <v>-60270.35</v>
      </c>
    </row>
    <row r="18" spans="1:5" ht="15.75">
      <c r="A18" s="426"/>
      <c r="B18" s="316"/>
      <c r="C18" s="432"/>
      <c r="D18" s="433"/>
      <c r="E18" s="318"/>
    </row>
    <row r="19" spans="1:5" ht="15.75">
      <c r="A19" s="426"/>
      <c r="B19" s="427" t="s">
        <v>376</v>
      </c>
      <c r="C19" s="432"/>
      <c r="D19" s="433"/>
      <c r="E19" s="318"/>
    </row>
    <row r="20" spans="1:5" ht="15.75">
      <c r="A20" s="793">
        <v>3</v>
      </c>
      <c r="B20" s="315" t="s">
        <v>53</v>
      </c>
      <c r="C20" s="432"/>
      <c r="D20" s="318">
        <v>123315</v>
      </c>
      <c r="E20" s="318"/>
    </row>
    <row r="21" spans="1:5" ht="15.75">
      <c r="A21" s="793">
        <v>4</v>
      </c>
      <c r="B21" s="316" t="s">
        <v>375</v>
      </c>
      <c r="C21" s="432"/>
      <c r="D21" s="433"/>
      <c r="E21" s="318">
        <f>-D20</f>
        <v>-123315</v>
      </c>
    </row>
    <row r="22" spans="1:5" ht="18">
      <c r="A22" s="426"/>
      <c r="B22" s="316"/>
      <c r="C22" s="432"/>
      <c r="D22" s="433"/>
      <c r="E22" s="317"/>
    </row>
    <row r="23" spans="1:6" ht="18">
      <c r="A23" s="793">
        <v>5</v>
      </c>
      <c r="B23" s="433" t="s">
        <v>997</v>
      </c>
      <c r="C23" s="434"/>
      <c r="D23" s="435"/>
      <c r="E23" s="317">
        <f>SUM(E17:E21)</f>
        <v>-183585.35</v>
      </c>
      <c r="F23" s="375" t="s">
        <v>295</v>
      </c>
    </row>
    <row r="24" spans="1:5" ht="11.25">
      <c r="A24" s="436"/>
      <c r="B24" s="437"/>
      <c r="C24" s="436"/>
      <c r="D24" s="437"/>
      <c r="E24" s="438"/>
    </row>
    <row r="25" spans="1:8" ht="18.75">
      <c r="A25" s="300"/>
      <c r="B25" s="300"/>
      <c r="C25" s="300"/>
      <c r="D25" s="300"/>
      <c r="E25" s="300"/>
      <c r="F25" s="300"/>
      <c r="G25" s="300"/>
      <c r="H25" s="300"/>
    </row>
    <row r="26" spans="2:8" ht="18.75">
      <c r="B26" s="301"/>
      <c r="C26" s="301"/>
      <c r="D26" s="301"/>
      <c r="E26" s="301"/>
      <c r="F26" s="301"/>
      <c r="G26" s="301"/>
      <c r="H26" s="301"/>
    </row>
    <row r="27" spans="1:8" ht="15.75">
      <c r="A27" s="387" t="s">
        <v>1186</v>
      </c>
      <c r="B27" s="302"/>
      <c r="C27" s="302"/>
      <c r="D27" s="302"/>
      <c r="E27" s="302"/>
      <c r="F27" s="302"/>
      <c r="G27" s="302"/>
      <c r="H27" s="302"/>
    </row>
    <row r="28" spans="1:8" ht="15.75">
      <c r="A28" s="387"/>
      <c r="B28" s="303"/>
      <c r="C28" s="303"/>
      <c r="D28" s="303"/>
      <c r="E28" s="303"/>
      <c r="F28" s="303"/>
      <c r="G28" s="303"/>
      <c r="H28" s="303"/>
    </row>
    <row r="29" spans="1:8" ht="12.75">
      <c r="A29" s="304" t="s">
        <v>458</v>
      </c>
      <c r="B29" s="304"/>
      <c r="C29" s="304"/>
      <c r="D29" s="304"/>
      <c r="E29" s="304"/>
      <c r="F29" s="304"/>
      <c r="G29" s="304"/>
      <c r="H29" s="304"/>
    </row>
    <row r="30" spans="1:8" ht="12.75">
      <c r="A30" s="304"/>
      <c r="B30" s="303"/>
      <c r="C30" s="304"/>
      <c r="D30" s="304"/>
      <c r="E30" s="304"/>
      <c r="F30" s="304"/>
      <c r="G30" s="304"/>
      <c r="H30" s="304"/>
    </row>
    <row r="31" spans="1:8" ht="12.75">
      <c r="A31" s="305"/>
      <c r="B31" s="304"/>
      <c r="C31" s="306"/>
      <c r="D31" s="304"/>
      <c r="E31" s="304"/>
      <c r="F31" s="304"/>
      <c r="G31" s="307"/>
      <c r="H31" s="304"/>
    </row>
    <row r="32" spans="1:8" ht="12.75">
      <c r="A32" s="305"/>
      <c r="B32" s="304"/>
      <c r="C32" s="306"/>
      <c r="D32" s="304"/>
      <c r="E32" s="304"/>
      <c r="F32" s="304"/>
      <c r="G32" s="307"/>
      <c r="H32" s="304"/>
    </row>
    <row r="33" spans="1:8" ht="15.75">
      <c r="A33" s="303"/>
      <c r="B33" s="303"/>
      <c r="D33" s="309"/>
      <c r="E33" s="309"/>
      <c r="F33" s="309"/>
      <c r="H33" s="304"/>
    </row>
    <row r="34" spans="1:8" ht="15.75">
      <c r="A34" s="303"/>
      <c r="B34" s="303"/>
      <c r="C34" s="309"/>
      <c r="D34" s="309"/>
      <c r="E34" s="309"/>
      <c r="F34" s="311"/>
      <c r="G34" s="312"/>
      <c r="H34" s="304"/>
    </row>
    <row r="35" spans="1:8" ht="15.75">
      <c r="A35" s="303"/>
      <c r="B35" s="305"/>
      <c r="C35" s="308"/>
      <c r="D35" s="309"/>
      <c r="E35" s="309"/>
      <c r="F35" s="309"/>
      <c r="G35" s="312"/>
      <c r="H35" s="304"/>
    </row>
    <row r="36" spans="1:8" ht="18">
      <c r="A36" s="303"/>
      <c r="B36" s="303"/>
      <c r="D36" s="309"/>
      <c r="E36" s="309"/>
      <c r="F36" s="309"/>
      <c r="G36" s="313"/>
      <c r="H36" s="304"/>
    </row>
    <row r="37" spans="1:8" ht="12.75">
      <c r="A37" s="305"/>
      <c r="B37" s="306"/>
      <c r="C37" s="306"/>
      <c r="D37" s="304"/>
      <c r="E37" s="304"/>
      <c r="F37" s="304"/>
      <c r="G37" s="304"/>
      <c r="H37" s="304"/>
    </row>
  </sheetData>
  <printOptions/>
  <pageMargins left="0.75" right="0.75" top="1" bottom="1" header="0.5" footer="0.5"/>
  <pageSetup fitToHeight="1" fitToWidth="1" horizontalDpi="600" verticalDpi="600" orientation="portrait" scale="90" r:id="rId1"/>
</worksheet>
</file>

<file path=xl/worksheets/sheet11.xml><?xml version="1.0" encoding="utf-8"?>
<worksheet xmlns="http://schemas.openxmlformats.org/spreadsheetml/2006/main" xmlns:r="http://schemas.openxmlformats.org/officeDocument/2006/relationships">
  <dimension ref="A2:Q34"/>
  <sheetViews>
    <sheetView workbookViewId="0" topLeftCell="A1">
      <selection activeCell="F2" sqref="F2"/>
    </sheetView>
  </sheetViews>
  <sheetFormatPr defaultColWidth="9.33203125" defaultRowHeight="11.25"/>
  <cols>
    <col min="1" max="1" width="6.5" style="0" customWidth="1"/>
    <col min="2" max="2" width="18.5" style="0" customWidth="1"/>
    <col min="3" max="3" width="18.33203125" style="0" customWidth="1"/>
    <col min="4" max="4" width="15.66015625" style="0" customWidth="1"/>
    <col min="5" max="5" width="14.66015625" style="0" customWidth="1"/>
    <col min="6" max="6" width="16.66015625" style="0" customWidth="1"/>
    <col min="7" max="7" width="5.66015625" style="0" customWidth="1"/>
    <col min="9" max="9" width="36.83203125" style="0" customWidth="1"/>
    <col min="13" max="13" width="16.33203125" style="0" bestFit="1" customWidth="1"/>
    <col min="14" max="14" width="11.33203125" style="0" bestFit="1" customWidth="1"/>
    <col min="16" max="17" width="15.16015625" style="0" bestFit="1" customWidth="1"/>
  </cols>
  <sheetData>
    <row r="2" ht="15.75">
      <c r="F2" s="37" t="s">
        <v>934</v>
      </c>
    </row>
    <row r="3" ht="15.75">
      <c r="F3" s="308" t="s">
        <v>1170</v>
      </c>
    </row>
    <row r="4" ht="15.75">
      <c r="F4" s="308" t="s">
        <v>1188</v>
      </c>
    </row>
    <row r="7" spans="1:7" ht="15.75">
      <c r="A7" s="645" t="s">
        <v>658</v>
      </c>
      <c r="B7" s="622"/>
      <c r="C7" s="622"/>
      <c r="D7" s="622"/>
      <c r="E7" s="622"/>
      <c r="F7" s="622"/>
      <c r="G7" s="623"/>
    </row>
    <row r="8" spans="1:7" ht="15.75">
      <c r="A8" s="646" t="s">
        <v>963</v>
      </c>
      <c r="B8" s="647"/>
      <c r="C8" s="647"/>
      <c r="D8" s="647"/>
      <c r="E8" s="647"/>
      <c r="F8" s="647"/>
      <c r="G8" s="624"/>
    </row>
    <row r="9" spans="1:7" ht="15.75">
      <c r="A9" s="648" t="s">
        <v>659</v>
      </c>
      <c r="B9" s="649"/>
      <c r="C9" s="649"/>
      <c r="D9" s="649"/>
      <c r="E9" s="649"/>
      <c r="F9" s="649"/>
      <c r="G9" s="625"/>
    </row>
    <row r="10" spans="1:7" ht="31.5">
      <c r="A10" s="650" t="s">
        <v>377</v>
      </c>
      <c r="B10" s="651" t="s">
        <v>1007</v>
      </c>
      <c r="C10" s="651"/>
      <c r="D10" s="652" t="s">
        <v>964</v>
      </c>
      <c r="E10" s="652" t="s">
        <v>1465</v>
      </c>
      <c r="F10" s="608" t="s">
        <v>1356</v>
      </c>
      <c r="G10" s="183"/>
    </row>
    <row r="11" spans="1:7" ht="15">
      <c r="A11" s="638"/>
      <c r="B11" s="1241" t="s">
        <v>1012</v>
      </c>
      <c r="C11" s="1242"/>
      <c r="D11" s="775" t="s">
        <v>1013</v>
      </c>
      <c r="E11" s="775" t="s">
        <v>1098</v>
      </c>
      <c r="F11" s="776" t="s">
        <v>1074</v>
      </c>
      <c r="G11" s="183"/>
    </row>
    <row r="12" spans="1:7" ht="15">
      <c r="A12" s="626"/>
      <c r="B12" s="632"/>
      <c r="C12" s="633"/>
      <c r="D12" s="626"/>
      <c r="E12" s="626"/>
      <c r="F12" s="640"/>
      <c r="G12" s="155"/>
    </row>
    <row r="13" spans="1:7" ht="15">
      <c r="A13" s="627"/>
      <c r="B13" s="630" t="s">
        <v>1285</v>
      </c>
      <c r="C13" s="631"/>
      <c r="D13" s="626"/>
      <c r="E13" s="626"/>
      <c r="F13" s="640"/>
      <c r="G13" s="155"/>
    </row>
    <row r="14" spans="1:7" ht="15">
      <c r="A14" s="626"/>
      <c r="B14" s="632"/>
      <c r="C14" s="633"/>
      <c r="D14" s="626"/>
      <c r="E14" s="626"/>
      <c r="F14" s="640"/>
      <c r="G14" s="155"/>
    </row>
    <row r="15" spans="1:7" ht="15">
      <c r="A15" s="626"/>
      <c r="B15" s="632" t="s">
        <v>68</v>
      </c>
      <c r="C15" s="633"/>
      <c r="D15" s="626"/>
      <c r="E15" s="626"/>
      <c r="F15" s="640"/>
      <c r="G15" s="155"/>
    </row>
    <row r="16" spans="1:7" ht="15">
      <c r="A16" s="627">
        <v>1</v>
      </c>
      <c r="B16" s="632" t="s">
        <v>69</v>
      </c>
      <c r="C16" s="633"/>
      <c r="D16" s="626"/>
      <c r="E16" s="637">
        <v>5862710</v>
      </c>
      <c r="F16" s="640"/>
      <c r="G16" s="155"/>
    </row>
    <row r="17" spans="1:7" ht="15">
      <c r="A17" s="626"/>
      <c r="B17" s="632"/>
      <c r="C17" s="633"/>
      <c r="D17" s="626"/>
      <c r="E17" s="626"/>
      <c r="F17" s="640"/>
      <c r="G17" s="155"/>
    </row>
    <row r="18" spans="1:15" ht="15">
      <c r="A18" s="627">
        <v>2</v>
      </c>
      <c r="B18" s="632" t="s">
        <v>1488</v>
      </c>
      <c r="C18" s="633"/>
      <c r="D18">
        <v>0.2265799999999999</v>
      </c>
      <c r="E18" s="626"/>
      <c r="F18" s="640">
        <f>+E16*D18</f>
        <v>1328372.8317999993</v>
      </c>
      <c r="G18" s="155"/>
      <c r="M18" s="636">
        <v>1.146</v>
      </c>
      <c r="N18" s="929">
        <v>0.91942</v>
      </c>
      <c r="O18">
        <f>+M18-N18</f>
        <v>0.2265799999999999</v>
      </c>
    </row>
    <row r="19" spans="1:14" ht="15">
      <c r="A19" s="626"/>
      <c r="B19" s="632"/>
      <c r="C19" s="633"/>
      <c r="E19" s="626"/>
      <c r="F19" s="632"/>
      <c r="G19" s="641"/>
      <c r="M19" s="930">
        <f>+E16*M18</f>
        <v>6718665.659999999</v>
      </c>
      <c r="N19">
        <f>+N18*0.04633</f>
        <v>0.0425967286</v>
      </c>
    </row>
    <row r="20" spans="1:14" ht="15">
      <c r="A20" s="626"/>
      <c r="B20" s="632"/>
      <c r="C20" s="633"/>
      <c r="E20" s="626"/>
      <c r="F20" s="632"/>
      <c r="G20" s="641"/>
      <c r="M20" s="626"/>
      <c r="N20">
        <f>+N18-N19</f>
        <v>0.8768232714</v>
      </c>
    </row>
    <row r="21" spans="1:17" ht="15">
      <c r="A21" s="626"/>
      <c r="B21" s="632"/>
      <c r="C21" s="633"/>
      <c r="E21" s="626"/>
      <c r="F21" s="632"/>
      <c r="G21" s="641"/>
      <c r="M21" s="626"/>
      <c r="P21" s="525">
        <v>11505944</v>
      </c>
      <c r="Q21" s="525">
        <v>11818112</v>
      </c>
    </row>
    <row r="22" spans="1:17" ht="15">
      <c r="A22" s="626"/>
      <c r="B22" s="630" t="s">
        <v>1301</v>
      </c>
      <c r="C22" s="633"/>
      <c r="E22" s="626"/>
      <c r="F22" s="632"/>
      <c r="G22" s="641"/>
      <c r="M22" s="626"/>
      <c r="P22" s="525">
        <v>11152388</v>
      </c>
      <c r="Q22">
        <f>+P22</f>
        <v>11152388</v>
      </c>
    </row>
    <row r="23" spans="1:17" ht="15">
      <c r="A23" s="626"/>
      <c r="B23" s="632"/>
      <c r="C23" s="633"/>
      <c r="E23" s="626"/>
      <c r="F23" s="632"/>
      <c r="G23" s="641"/>
      <c r="M23" s="626"/>
      <c r="P23" s="220">
        <f>+P21-P22</f>
        <v>353556</v>
      </c>
      <c r="Q23" s="220">
        <f>+Q21-Q22</f>
        <v>665724</v>
      </c>
    </row>
    <row r="24" spans="1:13" ht="15">
      <c r="A24" s="626"/>
      <c r="B24" s="632" t="s">
        <v>71</v>
      </c>
      <c r="C24" s="633"/>
      <c r="E24" s="626"/>
      <c r="F24" s="632"/>
      <c r="G24" s="641"/>
      <c r="M24" s="626"/>
    </row>
    <row r="25" spans="1:13" ht="15">
      <c r="A25" s="627">
        <v>3</v>
      </c>
      <c r="B25" s="632" t="s">
        <v>69</v>
      </c>
      <c r="C25" s="633"/>
      <c r="E25" s="637">
        <v>4439798</v>
      </c>
      <c r="F25" s="642"/>
      <c r="G25" s="641"/>
      <c r="M25" s="626"/>
    </row>
    <row r="26" spans="1:13" ht="15">
      <c r="A26" s="626"/>
      <c r="B26" s="632"/>
      <c r="C26" s="633"/>
      <c r="E26" s="626"/>
      <c r="F26" s="632"/>
      <c r="G26" s="641"/>
      <c r="M26" s="626"/>
    </row>
    <row r="27" spans="1:16" ht="15">
      <c r="A27" s="627">
        <v>4</v>
      </c>
      <c r="B27" s="632" t="s">
        <v>1488</v>
      </c>
      <c r="C27" s="633"/>
      <c r="D27">
        <v>0.19468999999999992</v>
      </c>
      <c r="E27" s="638"/>
      <c r="F27" s="643">
        <f>+E25*D27</f>
        <v>864384.2726199996</v>
      </c>
      <c r="G27" s="155"/>
      <c r="M27" s="636">
        <v>1.11252</v>
      </c>
      <c r="N27" s="929">
        <v>0.91783</v>
      </c>
      <c r="O27">
        <f>+M27-N27</f>
        <v>0.19468999999999992</v>
      </c>
      <c r="P27" s="636">
        <v>1.11252</v>
      </c>
    </row>
    <row r="28" spans="1:16" ht="15">
      <c r="A28" s="626"/>
      <c r="B28" s="632"/>
      <c r="C28" s="633"/>
      <c r="D28" s="626"/>
      <c r="E28" s="626"/>
      <c r="F28" s="640"/>
      <c r="G28" s="155"/>
      <c r="M28" s="930">
        <f>+M27*E25</f>
        <v>4939364.07096</v>
      </c>
      <c r="N28">
        <f>+N27*0.04633</f>
        <v>0.042523063900000005</v>
      </c>
      <c r="P28" s="929">
        <v>0.91783</v>
      </c>
    </row>
    <row r="29" spans="1:16" ht="16.5" thickBot="1">
      <c r="A29" s="627">
        <v>5</v>
      </c>
      <c r="B29" s="632" t="s">
        <v>72</v>
      </c>
      <c r="C29" s="633"/>
      <c r="D29" s="626"/>
      <c r="E29" s="639">
        <f>+E25+E16</f>
        <v>10302508</v>
      </c>
      <c r="F29" s="644">
        <f>+F27+F18</f>
        <v>2192757.104419999</v>
      </c>
      <c r="G29" s="283" t="s">
        <v>295</v>
      </c>
      <c r="N29">
        <f>+N27-N28</f>
        <v>0.8753069361</v>
      </c>
      <c r="P29">
        <f>+P27-P28</f>
        <v>0.19468999999999992</v>
      </c>
    </row>
    <row r="30" spans="1:16" ht="15.75" thickTop="1">
      <c r="A30" s="626"/>
      <c r="B30" s="632"/>
      <c r="C30" s="633"/>
      <c r="D30" s="626"/>
      <c r="E30" s="626"/>
      <c r="F30" s="632"/>
      <c r="G30" s="641"/>
      <c r="P30" s="929">
        <v>0.91783</v>
      </c>
    </row>
    <row r="31" spans="1:7" ht="11.25">
      <c r="A31" s="118"/>
      <c r="B31" s="156"/>
      <c r="C31" s="157"/>
      <c r="D31" s="118"/>
      <c r="E31" s="118"/>
      <c r="F31" s="156"/>
      <c r="G31" s="712"/>
    </row>
    <row r="33" spans="1:2" ht="15.75">
      <c r="A33" s="620" t="s">
        <v>916</v>
      </c>
      <c r="B33" s="308" t="s">
        <v>1187</v>
      </c>
    </row>
    <row r="34" spans="1:2" ht="15.75">
      <c r="A34" s="620"/>
      <c r="B34" s="308"/>
    </row>
  </sheetData>
  <mergeCells count="1">
    <mergeCell ref="B11:C11"/>
  </mergeCells>
  <printOptions/>
  <pageMargins left="1.16" right="0.75" top="0.26" bottom="0.6" header="0.18"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F28"/>
  <sheetViews>
    <sheetView workbookViewId="0" topLeftCell="A1">
      <selection activeCell="E1" sqref="E1"/>
    </sheetView>
  </sheetViews>
  <sheetFormatPr defaultColWidth="9.33203125" defaultRowHeight="11.25"/>
  <cols>
    <col min="1" max="1" width="7.16015625" style="0" customWidth="1"/>
    <col min="2" max="2" width="47.66015625" style="0" customWidth="1"/>
    <col min="3" max="3" width="4.5" style="0" customWidth="1"/>
    <col min="4" max="4" width="15" style="0" bestFit="1" customWidth="1"/>
    <col min="5" max="5" width="15.5" style="0" customWidth="1"/>
    <col min="6" max="6" width="11.16015625" style="0" customWidth="1"/>
  </cols>
  <sheetData>
    <row r="1" spans="1:6" ht="15.75">
      <c r="A1" s="395"/>
      <c r="B1" s="395"/>
      <c r="C1" s="395"/>
      <c r="D1" s="395"/>
      <c r="E1" s="367" t="s">
        <v>1522</v>
      </c>
      <c r="F1" s="395"/>
    </row>
    <row r="2" spans="1:6" ht="15.75">
      <c r="A2" s="395"/>
      <c r="B2" s="395"/>
      <c r="C2" s="395"/>
      <c r="D2" s="395"/>
      <c r="E2" s="141" t="s">
        <v>1177</v>
      </c>
      <c r="F2" s="395"/>
    </row>
    <row r="3" spans="1:6" ht="15.75">
      <c r="A3" s="395"/>
      <c r="B3" s="395"/>
      <c r="C3" s="395"/>
      <c r="D3" s="395"/>
      <c r="E3" s="367" t="s">
        <v>1190</v>
      </c>
      <c r="F3" s="395"/>
    </row>
    <row r="4" spans="1:6" ht="11.25">
      <c r="A4" s="395"/>
      <c r="B4" s="395"/>
      <c r="C4" s="395"/>
      <c r="D4" s="395"/>
      <c r="E4" s="395"/>
      <c r="F4" s="395"/>
    </row>
    <row r="5" spans="1:6" ht="11.25">
      <c r="A5" s="395"/>
      <c r="B5" s="395"/>
      <c r="C5" s="395"/>
      <c r="D5" s="395"/>
      <c r="E5" s="395"/>
      <c r="F5" s="395"/>
    </row>
    <row r="6" spans="1:6" ht="11.25">
      <c r="A6" s="395"/>
      <c r="B6" s="395"/>
      <c r="C6" s="395"/>
      <c r="D6" s="395"/>
      <c r="E6" s="395"/>
      <c r="F6" s="395"/>
    </row>
    <row r="7" spans="1:6" ht="11.25">
      <c r="A7" s="395"/>
      <c r="B7" s="395"/>
      <c r="C7" s="395"/>
      <c r="D7" s="395"/>
      <c r="E7" s="395"/>
      <c r="F7" s="395"/>
    </row>
    <row r="8" spans="1:6" ht="15.75">
      <c r="A8" s="396" t="s">
        <v>658</v>
      </c>
      <c r="B8" s="397"/>
      <c r="C8" s="398"/>
      <c r="D8" s="399"/>
      <c r="E8" s="400"/>
      <c r="F8" s="395"/>
    </row>
    <row r="9" spans="1:6" ht="15.75">
      <c r="A9" s="601" t="s">
        <v>1191</v>
      </c>
      <c r="B9" s="401"/>
      <c r="C9" s="402"/>
      <c r="D9" s="403"/>
      <c r="E9" s="404"/>
      <c r="F9" s="395"/>
    </row>
    <row r="10" spans="1:6" ht="15.75">
      <c r="A10" s="1142" t="s">
        <v>659</v>
      </c>
      <c r="B10" s="406"/>
      <c r="C10" s="407"/>
      <c r="D10" s="408"/>
      <c r="E10" s="409"/>
      <c r="F10" s="395"/>
    </row>
    <row r="11" spans="1:6" ht="15.75">
      <c r="A11" s="410" t="s">
        <v>1000</v>
      </c>
      <c r="B11" s="411"/>
      <c r="C11" s="412"/>
      <c r="D11" s="413"/>
      <c r="E11" s="414"/>
      <c r="F11" s="395"/>
    </row>
    <row r="12" spans="1:6" ht="15.75">
      <c r="A12" s="415" t="s">
        <v>1006</v>
      </c>
      <c r="B12" s="416" t="s">
        <v>1007</v>
      </c>
      <c r="C12" s="395"/>
      <c r="D12" s="417" t="s">
        <v>1084</v>
      </c>
      <c r="E12" s="418" t="s">
        <v>1084</v>
      </c>
      <c r="F12" s="395"/>
    </row>
    <row r="13" spans="1:6" ht="15.75">
      <c r="A13" s="419"/>
      <c r="B13" s="420" t="s">
        <v>1012</v>
      </c>
      <c r="C13" s="395"/>
      <c r="D13" s="421" t="s">
        <v>1013</v>
      </c>
      <c r="E13" s="421" t="s">
        <v>1014</v>
      </c>
      <c r="F13" s="395"/>
    </row>
    <row r="14" spans="1:6" ht="11.25">
      <c r="A14" s="423"/>
      <c r="B14" s="424"/>
      <c r="C14" s="423"/>
      <c r="D14" s="424"/>
      <c r="E14" s="425"/>
      <c r="F14" s="395"/>
    </row>
    <row r="15" spans="1:6" ht="15.75">
      <c r="A15" s="793">
        <v>1</v>
      </c>
      <c r="B15" s="315" t="s">
        <v>1192</v>
      </c>
      <c r="C15" s="426"/>
      <c r="D15" s="318">
        <v>775413.75</v>
      </c>
      <c r="E15" s="429"/>
      <c r="F15" s="395"/>
    </row>
    <row r="16" spans="1:6" ht="15.75">
      <c r="A16" s="793">
        <v>2</v>
      </c>
      <c r="B16" s="315" t="s">
        <v>1193</v>
      </c>
      <c r="C16" s="430"/>
      <c r="D16" s="318">
        <v>966420</v>
      </c>
      <c r="E16" s="431"/>
      <c r="F16" s="395"/>
    </row>
    <row r="17" spans="1:6" ht="16.5" thickBot="1">
      <c r="A17" s="793">
        <v>3</v>
      </c>
      <c r="B17" s="316" t="s">
        <v>1073</v>
      </c>
      <c r="C17" s="432"/>
      <c r="D17" s="433"/>
      <c r="E17" s="1155">
        <f>+D15-D16</f>
        <v>-191006.25</v>
      </c>
      <c r="F17" s="375" t="s">
        <v>295</v>
      </c>
    </row>
    <row r="18" spans="1:6" ht="16.5" thickTop="1">
      <c r="A18" s="426"/>
      <c r="B18" s="316"/>
      <c r="C18" s="432"/>
      <c r="D18" s="433"/>
      <c r="E18" s="318"/>
      <c r="F18" s="395"/>
    </row>
    <row r="19" spans="1:6" ht="15.75">
      <c r="A19" s="426"/>
      <c r="B19" s="427"/>
      <c r="C19" s="432"/>
      <c r="D19" s="433"/>
      <c r="E19" s="318"/>
      <c r="F19" s="395"/>
    </row>
    <row r="20" spans="1:6" ht="15.75">
      <c r="A20" s="793"/>
      <c r="B20" s="315"/>
      <c r="C20" s="432"/>
      <c r="D20" s="318"/>
      <c r="E20" s="318"/>
      <c r="F20" s="395"/>
    </row>
    <row r="21" spans="1:6" ht="15.75">
      <c r="A21" s="793"/>
      <c r="B21" s="316"/>
      <c r="C21" s="432"/>
      <c r="D21" s="433"/>
      <c r="E21" s="318"/>
      <c r="F21" s="395"/>
    </row>
    <row r="22" spans="1:6" ht="18">
      <c r="A22" s="426"/>
      <c r="B22" s="316"/>
      <c r="C22" s="432"/>
      <c r="D22" s="433"/>
      <c r="E22" s="317"/>
      <c r="F22" s="395"/>
    </row>
    <row r="23" spans="1:6" ht="18">
      <c r="A23" s="793"/>
      <c r="B23" s="433"/>
      <c r="C23" s="434"/>
      <c r="D23" s="435"/>
      <c r="E23" s="317"/>
      <c r="F23" s="375"/>
    </row>
    <row r="24" spans="1:6" ht="11.25">
      <c r="A24" s="436"/>
      <c r="B24" s="437"/>
      <c r="C24" s="436"/>
      <c r="D24" s="437"/>
      <c r="E24" s="438"/>
      <c r="F24" s="395"/>
    </row>
    <row r="25" spans="1:6" ht="18.75">
      <c r="A25" s="300"/>
      <c r="B25" s="300"/>
      <c r="C25" s="300"/>
      <c r="D25" s="300"/>
      <c r="E25" s="300"/>
      <c r="F25" s="300"/>
    </row>
    <row r="26" spans="1:6" ht="18.75">
      <c r="A26" s="395"/>
      <c r="B26" s="301"/>
      <c r="C26" s="301"/>
      <c r="D26" s="301"/>
      <c r="E26" s="301"/>
      <c r="F26" s="301"/>
    </row>
    <row r="27" spans="1:6" ht="15.75">
      <c r="A27" s="302"/>
      <c r="B27" s="302"/>
      <c r="C27" s="302"/>
      <c r="D27" s="302"/>
      <c r="E27" s="302"/>
      <c r="F27" s="302"/>
    </row>
    <row r="28" spans="1:6" ht="15.75">
      <c r="A28" s="387" t="s">
        <v>1189</v>
      </c>
      <c r="B28" s="303"/>
      <c r="C28" s="303"/>
      <c r="D28" s="303"/>
      <c r="E28" s="303"/>
      <c r="F28" s="303"/>
    </row>
  </sheetData>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G27"/>
  <sheetViews>
    <sheetView workbookViewId="0" topLeftCell="A1">
      <selection activeCell="E1" sqref="E1"/>
    </sheetView>
  </sheetViews>
  <sheetFormatPr defaultColWidth="9.33203125" defaultRowHeight="11.25"/>
  <cols>
    <col min="1" max="1" width="6" style="0" customWidth="1"/>
    <col min="2" max="2" width="49.16015625" style="0" customWidth="1"/>
    <col min="3" max="3" width="5.5" style="0" customWidth="1"/>
    <col min="4" max="4" width="21" style="0" customWidth="1"/>
    <col min="5" max="5" width="20.66015625" style="0" customWidth="1"/>
    <col min="6" max="6" width="3.5" style="0" customWidth="1"/>
  </cols>
  <sheetData>
    <row r="1" spans="1:5" ht="15.75">
      <c r="A1" s="143"/>
      <c r="B1" s="143"/>
      <c r="C1" s="141"/>
      <c r="E1" s="367" t="s">
        <v>1522</v>
      </c>
    </row>
    <row r="2" spans="1:5" ht="15.75">
      <c r="A2" s="143"/>
      <c r="B2" s="143"/>
      <c r="C2" s="141"/>
      <c r="E2" s="141" t="s">
        <v>1177</v>
      </c>
    </row>
    <row r="3" spans="1:5" ht="15.75">
      <c r="A3" s="143"/>
      <c r="B3" s="143"/>
      <c r="C3" s="141"/>
      <c r="E3" s="367" t="s">
        <v>1195</v>
      </c>
    </row>
    <row r="4" spans="1:3" ht="15.75">
      <c r="A4" s="143"/>
      <c r="B4" s="143"/>
      <c r="C4" s="141"/>
    </row>
    <row r="5" spans="1:2" ht="11.25">
      <c r="A5" s="143"/>
      <c r="B5" s="143"/>
    </row>
    <row r="6" spans="1:2" ht="11.25">
      <c r="A6" s="143"/>
      <c r="B6" s="143"/>
    </row>
    <row r="7" spans="1:2" ht="11.25">
      <c r="A7" s="143"/>
      <c r="B7" s="143"/>
    </row>
    <row r="8" ht="11.25">
      <c r="A8" s="143"/>
    </row>
    <row r="9" spans="1:6" ht="15.75">
      <c r="A9" s="274"/>
      <c r="B9" s="141"/>
      <c r="C9" s="141"/>
      <c r="D9" s="141"/>
      <c r="E9" s="141"/>
      <c r="F9" s="141"/>
    </row>
    <row r="10" spans="1:6" ht="15.75">
      <c r="A10" s="274"/>
      <c r="B10" s="141"/>
      <c r="C10" s="141"/>
      <c r="D10" s="141"/>
      <c r="E10" s="141"/>
      <c r="F10" s="141"/>
    </row>
    <row r="11" spans="1:6" ht="3" customHeight="1">
      <c r="A11" s="141"/>
      <c r="B11" s="141"/>
      <c r="C11" s="141"/>
      <c r="D11" s="141"/>
      <c r="E11" s="141"/>
      <c r="F11" s="141"/>
    </row>
    <row r="12" spans="1:5" s="395" customFormat="1" ht="15.75">
      <c r="A12" s="396"/>
      <c r="B12" s="397" t="s">
        <v>658</v>
      </c>
      <c r="C12" s="398"/>
      <c r="D12" s="399"/>
      <c r="E12" s="400"/>
    </row>
    <row r="13" spans="1:7" s="395" customFormat="1" ht="15.75">
      <c r="A13" s="601" t="s">
        <v>1236</v>
      </c>
      <c r="B13" s="401"/>
      <c r="C13" s="402"/>
      <c r="D13" s="403"/>
      <c r="E13" s="404"/>
      <c r="G13" s="448"/>
    </row>
    <row r="14" spans="1:5" s="395" customFormat="1" ht="15.75">
      <c r="A14" s="405"/>
      <c r="B14" s="406" t="s">
        <v>659</v>
      </c>
      <c r="C14" s="407"/>
      <c r="D14" s="408"/>
      <c r="E14" s="409"/>
    </row>
    <row r="15" spans="1:5" s="395" customFormat="1" ht="15.75">
      <c r="A15" s="396"/>
      <c r="B15" s="397"/>
      <c r="C15" s="398"/>
      <c r="D15" s="399"/>
      <c r="E15" s="400"/>
    </row>
    <row r="16" spans="1:6" ht="15.75">
      <c r="A16" s="1121" t="s">
        <v>1000</v>
      </c>
      <c r="B16" s="603"/>
      <c r="C16" s="603"/>
      <c r="D16" s="603" t="s">
        <v>997</v>
      </c>
      <c r="E16" s="604" t="s">
        <v>382</v>
      </c>
      <c r="F16" s="141"/>
    </row>
    <row r="17" spans="1:6" ht="20.25" customHeight="1">
      <c r="A17" s="791" t="s">
        <v>1006</v>
      </c>
      <c r="B17" s="606" t="s">
        <v>1007</v>
      </c>
      <c r="C17" s="606"/>
      <c r="D17" s="606" t="s">
        <v>1084</v>
      </c>
      <c r="E17" s="607" t="s">
        <v>54</v>
      </c>
      <c r="F17" s="141"/>
    </row>
    <row r="18" spans="1:6" ht="15.75">
      <c r="A18" s="608"/>
      <c r="B18" s="652" t="s">
        <v>1338</v>
      </c>
      <c r="C18" s="652"/>
      <c r="D18" s="652" t="s">
        <v>1339</v>
      </c>
      <c r="E18" s="652" t="s">
        <v>1565</v>
      </c>
      <c r="F18" s="141"/>
    </row>
    <row r="19" spans="1:6" ht="25.5" customHeight="1">
      <c r="A19" s="610">
        <v>1</v>
      </c>
      <c r="B19" s="1122" t="s">
        <v>939</v>
      </c>
      <c r="C19" s="233"/>
      <c r="D19" s="554">
        <v>72000</v>
      </c>
      <c r="E19" s="233"/>
      <c r="F19" s="141"/>
    </row>
    <row r="20" spans="1:6" ht="25.5" customHeight="1">
      <c r="A20" s="610">
        <v>2</v>
      </c>
      <c r="B20" s="1123" t="s">
        <v>940</v>
      </c>
      <c r="C20" s="236"/>
      <c r="D20" s="281">
        <v>48000</v>
      </c>
      <c r="E20" s="236"/>
      <c r="F20" s="141"/>
    </row>
    <row r="21" spans="1:6" ht="24.75" customHeight="1">
      <c r="A21" s="610">
        <v>3</v>
      </c>
      <c r="B21" s="1122" t="s">
        <v>997</v>
      </c>
      <c r="C21" s="236"/>
      <c r="D21" s="277">
        <f>+D19+D20</f>
        <v>120000</v>
      </c>
      <c r="E21" s="546"/>
      <c r="F21" s="375"/>
    </row>
    <row r="22" spans="1:6" ht="24.75" customHeight="1">
      <c r="A22" s="610"/>
      <c r="B22" s="1122"/>
      <c r="C22" s="236"/>
      <c r="D22" s="236"/>
      <c r="E22" s="546"/>
      <c r="F22" s="375"/>
    </row>
    <row r="23" spans="1:6" ht="24.75" customHeight="1">
      <c r="A23" s="610">
        <v>4</v>
      </c>
      <c r="B23" s="1122" t="s">
        <v>941</v>
      </c>
      <c r="C23" s="236"/>
      <c r="E23" s="240">
        <v>0.7706</v>
      </c>
      <c r="F23" s="375"/>
    </row>
    <row r="24" spans="1:6" ht="24.75" customHeight="1" thickBot="1">
      <c r="A24" s="610"/>
      <c r="B24" s="1122"/>
      <c r="C24" s="236"/>
      <c r="D24" s="236"/>
      <c r="E24" s="614">
        <f>+D21*E23</f>
        <v>92472</v>
      </c>
      <c r="F24" s="375" t="s">
        <v>295</v>
      </c>
    </row>
    <row r="25" spans="1:6" ht="16.5" thickTop="1">
      <c r="A25" s="279"/>
      <c r="B25" s="235"/>
      <c r="C25" s="235"/>
      <c r="D25" s="235"/>
      <c r="E25" s="235"/>
      <c r="F25" s="141"/>
    </row>
    <row r="26" spans="1:6" ht="15.75">
      <c r="A26" s="141"/>
      <c r="B26" s="141"/>
      <c r="C26" s="141"/>
      <c r="D26" s="141"/>
      <c r="E26" s="141"/>
      <c r="F26" s="141"/>
    </row>
    <row r="27" spans="1:6" ht="15.75">
      <c r="A27" s="387" t="s">
        <v>1196</v>
      </c>
      <c r="B27" s="141"/>
      <c r="C27" s="141"/>
      <c r="D27" s="141"/>
      <c r="E27" s="141"/>
      <c r="F27" s="141"/>
    </row>
  </sheetData>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G25"/>
  <sheetViews>
    <sheetView workbookViewId="0" topLeftCell="A1">
      <selection activeCell="D1" sqref="D1"/>
    </sheetView>
  </sheetViews>
  <sheetFormatPr defaultColWidth="9.33203125" defaultRowHeight="11.25"/>
  <cols>
    <col min="1" max="1" width="6" style="0" customWidth="1"/>
    <col min="2" max="2" width="54.83203125" style="0" customWidth="1"/>
    <col min="4" max="4" width="15.5" style="0" customWidth="1"/>
    <col min="5" max="5" width="16.33203125" style="0" bestFit="1" customWidth="1"/>
    <col min="6" max="6" width="4.33203125" style="0" customWidth="1"/>
  </cols>
  <sheetData>
    <row r="1" spans="1:4" ht="15.75">
      <c r="A1" s="143"/>
      <c r="B1" s="143"/>
      <c r="C1" s="141"/>
      <c r="D1" s="367" t="s">
        <v>1522</v>
      </c>
    </row>
    <row r="2" spans="1:4" ht="15.75">
      <c r="A2" s="143"/>
      <c r="B2" s="143"/>
      <c r="C2" s="141"/>
      <c r="D2" s="141" t="s">
        <v>1177</v>
      </c>
    </row>
    <row r="3" spans="1:4" ht="15.75">
      <c r="A3" s="143"/>
      <c r="B3" s="143"/>
      <c r="C3" s="141"/>
      <c r="D3" s="367" t="s">
        <v>1198</v>
      </c>
    </row>
    <row r="4" spans="1:3" ht="15.75">
      <c r="A4" s="143"/>
      <c r="B4" s="143"/>
      <c r="C4" s="141"/>
    </row>
    <row r="5" spans="1:2" ht="11.25">
      <c r="A5" s="143"/>
      <c r="B5" s="143"/>
    </row>
    <row r="6" spans="1:2" ht="11.25">
      <c r="A6" s="143"/>
      <c r="B6" s="143"/>
    </row>
    <row r="7" spans="1:2" ht="11.25">
      <c r="A7" s="143"/>
      <c r="B7" s="143"/>
    </row>
    <row r="8" ht="11.25">
      <c r="A8" s="143"/>
    </row>
    <row r="9" spans="1:6" ht="15.75">
      <c r="A9" s="274"/>
      <c r="B9" s="141"/>
      <c r="C9" s="141"/>
      <c r="D9" s="141"/>
      <c r="E9" s="141"/>
      <c r="F9" s="141"/>
    </row>
    <row r="10" spans="1:6" ht="15.75">
      <c r="A10" s="274"/>
      <c r="B10" s="141"/>
      <c r="C10" s="141"/>
      <c r="D10" s="141"/>
      <c r="E10" s="141"/>
      <c r="F10" s="141"/>
    </row>
    <row r="11" spans="1:6" ht="3" customHeight="1">
      <c r="A11" s="141"/>
      <c r="B11" s="141"/>
      <c r="C11" s="141"/>
      <c r="D11" s="141"/>
      <c r="E11" s="141"/>
      <c r="F11" s="141"/>
    </row>
    <row r="12" spans="1:5" s="395" customFormat="1" ht="15.75">
      <c r="A12" s="396"/>
      <c r="B12" s="397" t="s">
        <v>658</v>
      </c>
      <c r="C12" s="398"/>
      <c r="D12" s="399"/>
      <c r="E12" s="400"/>
    </row>
    <row r="13" spans="1:7" s="395" customFormat="1" ht="15.75">
      <c r="A13" s="601" t="s">
        <v>942</v>
      </c>
      <c r="B13" s="401"/>
      <c r="C13" s="402"/>
      <c r="D13" s="403"/>
      <c r="E13" s="404"/>
      <c r="G13" s="448"/>
    </row>
    <row r="14" spans="1:5" s="395" customFormat="1" ht="15.75">
      <c r="A14" s="405"/>
      <c r="B14" s="406" t="s">
        <v>659</v>
      </c>
      <c r="C14" s="407"/>
      <c r="D14" s="408"/>
      <c r="E14" s="409"/>
    </row>
    <row r="15" spans="1:5" s="395" customFormat="1" ht="15.75">
      <c r="A15" s="396"/>
      <c r="B15" s="397"/>
      <c r="C15" s="398"/>
      <c r="D15" s="399"/>
      <c r="E15" s="400"/>
    </row>
    <row r="16" spans="1:6" ht="15.75">
      <c r="A16" s="410" t="s">
        <v>1000</v>
      </c>
      <c r="B16" s="603"/>
      <c r="C16" s="603"/>
      <c r="D16" s="603"/>
      <c r="E16" s="604"/>
      <c r="F16" s="141"/>
    </row>
    <row r="17" spans="1:6" ht="20.25" customHeight="1">
      <c r="A17" s="415" t="s">
        <v>1006</v>
      </c>
      <c r="B17" s="606" t="s">
        <v>1007</v>
      </c>
      <c r="C17" s="606"/>
      <c r="D17" s="606" t="s">
        <v>1084</v>
      </c>
      <c r="E17" s="607" t="s">
        <v>1084</v>
      </c>
      <c r="F17" s="141"/>
    </row>
    <row r="18" spans="1:6" ht="15.75">
      <c r="A18" s="608"/>
      <c r="B18" s="652" t="s">
        <v>1338</v>
      </c>
      <c r="C18" s="652"/>
      <c r="D18" s="652" t="s">
        <v>1339</v>
      </c>
      <c r="E18" s="652" t="s">
        <v>1565</v>
      </c>
      <c r="F18" s="141"/>
    </row>
    <row r="19" spans="1:6" ht="25.5" customHeight="1">
      <c r="A19" s="610">
        <v>1</v>
      </c>
      <c r="B19" s="1122" t="s">
        <v>943</v>
      </c>
      <c r="C19" s="1122"/>
      <c r="D19" s="1124">
        <v>776679</v>
      </c>
      <c r="E19" s="233"/>
      <c r="F19" s="375"/>
    </row>
    <row r="20" spans="1:6" ht="25.5" customHeight="1">
      <c r="A20" s="610">
        <v>2</v>
      </c>
      <c r="B20" s="1123" t="s">
        <v>398</v>
      </c>
      <c r="C20" s="1123"/>
      <c r="D20" s="1125">
        <v>55843</v>
      </c>
      <c r="E20" s="236"/>
      <c r="F20" s="375"/>
    </row>
    <row r="21" spans="1:6" ht="24.75" customHeight="1" thickBot="1">
      <c r="A21" s="610">
        <v>3</v>
      </c>
      <c r="B21" s="1122" t="s">
        <v>997</v>
      </c>
      <c r="C21" s="1122"/>
      <c r="D21" s="1122"/>
      <c r="E21" s="614">
        <f>+D19+D20</f>
        <v>832522</v>
      </c>
      <c r="F21" s="375" t="s">
        <v>295</v>
      </c>
    </row>
    <row r="22" spans="1:6" ht="16.5" thickTop="1">
      <c r="A22" s="279"/>
      <c r="B22" s="235"/>
      <c r="C22" s="235"/>
      <c r="D22" s="235"/>
      <c r="E22" s="235"/>
      <c r="F22" s="141"/>
    </row>
    <row r="23" spans="1:6" ht="15.75">
      <c r="A23" s="141"/>
      <c r="B23" s="141"/>
      <c r="C23" s="141"/>
      <c r="D23" s="141"/>
      <c r="E23" s="141"/>
      <c r="F23" s="141"/>
    </row>
    <row r="24" spans="1:6" ht="15.75">
      <c r="A24" s="387" t="s">
        <v>1197</v>
      </c>
      <c r="B24" s="141"/>
      <c r="C24" s="141"/>
      <c r="D24" s="141"/>
      <c r="E24" s="141"/>
      <c r="F24" s="141"/>
    </row>
    <row r="25" spans="1:6" ht="15.75">
      <c r="A25" s="387"/>
      <c r="B25" s="141"/>
      <c r="C25" s="141"/>
      <c r="D25" s="141"/>
      <c r="E25" s="141"/>
      <c r="F25" s="141"/>
    </row>
  </sheetData>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P79"/>
  <sheetViews>
    <sheetView workbookViewId="0" topLeftCell="D1">
      <selection activeCell="D2" sqref="D2"/>
    </sheetView>
  </sheetViews>
  <sheetFormatPr defaultColWidth="9.33203125" defaultRowHeight="11.25"/>
  <cols>
    <col min="1" max="1" width="12.5" style="0" customWidth="1"/>
    <col min="2" max="2" width="30.16015625" style="0" customWidth="1"/>
    <col min="3" max="3" width="25.83203125" style="0" customWidth="1"/>
    <col min="4" max="4" width="20.83203125" style="0" customWidth="1"/>
    <col min="5" max="5" width="13.66015625" style="0" bestFit="1" customWidth="1"/>
    <col min="6" max="6" width="21.5" style="0" customWidth="1"/>
    <col min="7" max="7" width="13.16015625" style="0" customWidth="1"/>
    <col min="8" max="8" width="17.33203125" style="0" customWidth="1"/>
    <col min="9" max="9" width="13.33203125" style="0" customWidth="1"/>
    <col min="10" max="10" width="18.66015625" style="0" bestFit="1" customWidth="1"/>
    <col min="11" max="11" width="15.33203125" style="0" customWidth="1"/>
    <col min="13" max="13" width="14.66015625" style="0" customWidth="1"/>
    <col min="16" max="16" width="15.16015625" style="0" customWidth="1"/>
    <col min="19" max="19" width="14.83203125" style="0" customWidth="1"/>
    <col min="20" max="20" width="21.5" style="0" bestFit="1" customWidth="1"/>
    <col min="21" max="21" width="18.5" style="0" bestFit="1" customWidth="1"/>
    <col min="22" max="22" width="21.5" style="0" bestFit="1" customWidth="1"/>
  </cols>
  <sheetData>
    <row r="1" spans="1:5" ht="15.75">
      <c r="A1" s="308"/>
      <c r="B1" s="308"/>
      <c r="C1" s="308"/>
      <c r="D1" s="308"/>
      <c r="E1" s="308"/>
    </row>
    <row r="2" spans="1:5" ht="15.75">
      <c r="A2" s="308"/>
      <c r="B2" s="308"/>
      <c r="C2" s="308"/>
      <c r="D2" s="37" t="s">
        <v>934</v>
      </c>
      <c r="E2" s="308"/>
    </row>
    <row r="3" spans="1:5" ht="15.75">
      <c r="A3" s="308"/>
      <c r="B3" s="308"/>
      <c r="C3" s="308"/>
      <c r="D3" s="308" t="s">
        <v>1170</v>
      </c>
      <c r="E3" s="308"/>
    </row>
    <row r="4" spans="1:5" ht="15.75">
      <c r="A4" s="308"/>
      <c r="B4" s="308"/>
      <c r="C4" s="308"/>
      <c r="D4" s="308" t="s">
        <v>1230</v>
      </c>
      <c r="E4" s="308"/>
    </row>
    <row r="5" spans="1:5" ht="15.75">
      <c r="A5" s="308"/>
      <c r="B5" s="308"/>
      <c r="C5" s="308"/>
      <c r="E5" s="308"/>
    </row>
    <row r="6" spans="1:5" ht="15.75">
      <c r="A6" s="308"/>
      <c r="B6" s="308"/>
      <c r="C6" s="308"/>
      <c r="D6" s="308"/>
      <c r="E6" s="308"/>
    </row>
    <row r="7" spans="1:5" ht="15.75">
      <c r="A7" s="308"/>
      <c r="B7" s="308"/>
      <c r="C7" s="308"/>
      <c r="D7" s="308"/>
      <c r="E7" s="308"/>
    </row>
    <row r="8" spans="1:5" ht="15.75">
      <c r="A8" s="1224" t="s">
        <v>658</v>
      </c>
      <c r="B8" s="1225"/>
      <c r="C8" s="1225"/>
      <c r="D8" s="1226"/>
      <c r="E8" s="618"/>
    </row>
    <row r="9" spans="1:5" ht="18.75">
      <c r="A9" s="1231" t="s">
        <v>966</v>
      </c>
      <c r="B9" s="1218"/>
      <c r="C9" s="1218"/>
      <c r="D9" s="1219"/>
      <c r="E9" s="619"/>
    </row>
    <row r="10" spans="1:5" ht="18.75">
      <c r="A10" s="1220" t="s">
        <v>659</v>
      </c>
      <c r="B10" s="1221"/>
      <c r="C10" s="1221"/>
      <c r="D10" s="1222"/>
      <c r="E10" s="619"/>
    </row>
    <row r="11" spans="1:5" ht="15.75">
      <c r="A11" s="653" t="s">
        <v>377</v>
      </c>
      <c r="B11" s="1227" t="s">
        <v>1007</v>
      </c>
      <c r="C11" s="1228"/>
      <c r="D11" s="376" t="s">
        <v>1084</v>
      </c>
      <c r="E11" s="616"/>
    </row>
    <row r="12" spans="1:5" ht="15.75">
      <c r="A12" s="530"/>
      <c r="B12" s="1229" t="s">
        <v>1012</v>
      </c>
      <c r="C12" s="1230"/>
      <c r="D12" s="531" t="s">
        <v>1013</v>
      </c>
      <c r="E12" s="533"/>
    </row>
    <row r="13" spans="1:5" ht="15.75">
      <c r="A13" s="374"/>
      <c r="B13" s="616"/>
      <c r="C13" s="616"/>
      <c r="D13" s="543"/>
      <c r="E13" s="276"/>
    </row>
    <row r="14" spans="1:5" ht="15.75">
      <c r="A14" s="374"/>
      <c r="B14" s="617" t="s">
        <v>967</v>
      </c>
      <c r="C14" s="616"/>
      <c r="D14" s="374"/>
      <c r="E14" s="276"/>
    </row>
    <row r="15" spans="1:5" ht="18">
      <c r="A15" s="545">
        <v>1</v>
      </c>
      <c r="B15" s="276" t="s">
        <v>970</v>
      </c>
      <c r="C15" s="654"/>
      <c r="D15" s="238"/>
      <c r="E15" s="278"/>
    </row>
    <row r="16" spans="1:16" ht="18">
      <c r="A16" s="545">
        <v>2</v>
      </c>
      <c r="B16" s="276" t="s">
        <v>968</v>
      </c>
      <c r="D16" s="192">
        <f>-G55</f>
        <v>-694414</v>
      </c>
      <c r="E16" s="278"/>
      <c r="O16">
        <v>0.004103</v>
      </c>
      <c r="P16">
        <f>+D16*O16</f>
        <v>-2849.180642</v>
      </c>
    </row>
    <row r="17" spans="1:16" ht="18">
      <c r="A17" s="545" t="s">
        <v>1025</v>
      </c>
      <c r="B17" s="276" t="s">
        <v>969</v>
      </c>
      <c r="C17" s="592"/>
      <c r="D17" s="655">
        <f>-H59</f>
        <v>-81295.91787743561</v>
      </c>
      <c r="E17" s="278"/>
      <c r="P17" s="220">
        <f>+P16*0.77776</f>
        <v>-2215.97873612192</v>
      </c>
    </row>
    <row r="18" spans="1:5" ht="18">
      <c r="A18" s="545"/>
      <c r="B18" s="276"/>
      <c r="C18" s="592"/>
      <c r="D18" s="238"/>
      <c r="E18" s="278"/>
    </row>
    <row r="19" spans="1:5" ht="18">
      <c r="A19" s="545"/>
      <c r="B19" s="769" t="s">
        <v>971</v>
      </c>
      <c r="C19" s="276"/>
      <c r="D19" s="238"/>
      <c r="E19" s="278"/>
    </row>
    <row r="20" spans="1:5" ht="18">
      <c r="A20" s="545" t="s">
        <v>1027</v>
      </c>
      <c r="B20" s="276" t="s">
        <v>972</v>
      </c>
      <c r="C20" s="592"/>
      <c r="D20" s="240"/>
      <c r="E20" s="278"/>
    </row>
    <row r="21" spans="1:5" ht="18">
      <c r="A21" s="545" t="s">
        <v>1030</v>
      </c>
      <c r="B21" s="276" t="s">
        <v>973</v>
      </c>
      <c r="C21" s="592"/>
      <c r="D21" s="655">
        <f>-H79</f>
        <v>-75335.76</v>
      </c>
      <c r="E21" s="278"/>
    </row>
    <row r="22" spans="1:5" ht="18">
      <c r="A22" s="545"/>
      <c r="B22" s="276"/>
      <c r="C22" s="276"/>
      <c r="D22" s="238"/>
      <c r="E22" s="278"/>
    </row>
    <row r="23" spans="1:5" ht="18">
      <c r="A23" s="545" t="s">
        <v>1032</v>
      </c>
      <c r="B23" s="276" t="s">
        <v>974</v>
      </c>
      <c r="C23" s="276"/>
      <c r="D23" s="655">
        <f>+D21+D17</f>
        <v>-156631.6778774356</v>
      </c>
      <c r="E23" s="276" t="s">
        <v>295</v>
      </c>
    </row>
    <row r="24" spans="1:5" ht="15.75">
      <c r="A24" s="545"/>
      <c r="B24" s="276"/>
      <c r="C24" s="276"/>
      <c r="D24" s="546"/>
      <c r="E24" s="276"/>
    </row>
    <row r="25" spans="1:5" ht="15.75">
      <c r="A25" s="545"/>
      <c r="B25" s="276"/>
      <c r="C25" s="276"/>
      <c r="D25" s="238"/>
      <c r="E25" s="276"/>
    </row>
    <row r="26" spans="1:5" ht="15.75">
      <c r="A26" s="378"/>
      <c r="B26" s="536"/>
      <c r="C26" s="536"/>
      <c r="D26" s="378"/>
      <c r="E26" s="276"/>
    </row>
    <row r="27" spans="1:5" ht="15.75">
      <c r="A27" s="308"/>
      <c r="B27" s="308"/>
      <c r="C27" s="308"/>
      <c r="D27" s="308"/>
      <c r="E27" s="308"/>
    </row>
    <row r="28" spans="1:5" ht="15.75">
      <c r="A28" s="620" t="s">
        <v>916</v>
      </c>
      <c r="B28" s="308" t="s">
        <v>1231</v>
      </c>
      <c r="C28" s="308"/>
      <c r="D28" s="308"/>
      <c r="E28" s="308"/>
    </row>
    <row r="29" spans="1:5" ht="15.75">
      <c r="A29" s="620"/>
      <c r="B29" s="308"/>
      <c r="C29" s="308"/>
      <c r="D29" s="308"/>
      <c r="E29" s="308"/>
    </row>
    <row r="30" spans="1:5" ht="15.75">
      <c r="A30" s="308"/>
      <c r="B30" s="308"/>
      <c r="C30" s="308"/>
      <c r="D30" s="308"/>
      <c r="E30" s="308"/>
    </row>
    <row r="31" spans="1:5" ht="15.75">
      <c r="A31" s="308"/>
      <c r="B31" s="308"/>
      <c r="C31" s="308"/>
      <c r="D31" s="308"/>
      <c r="E31" s="308"/>
    </row>
    <row r="49" spans="6:8" ht="11.25">
      <c r="F49">
        <v>500</v>
      </c>
      <c r="G49">
        <v>12</v>
      </c>
      <c r="H49" s="220">
        <f aca="true" t="shared" si="0" ref="H49:H54">+G49*F49</f>
        <v>6000</v>
      </c>
    </row>
    <row r="50" spans="5:8" ht="11.25">
      <c r="E50" t="s">
        <v>1494</v>
      </c>
      <c r="F50" s="596">
        <v>0.13313</v>
      </c>
      <c r="G50" s="483">
        <v>120000</v>
      </c>
      <c r="H50" s="220">
        <f t="shared" si="0"/>
        <v>15975.6</v>
      </c>
    </row>
    <row r="51" spans="5:8" ht="11.25">
      <c r="E51" t="s">
        <v>1494</v>
      </c>
      <c r="F51" s="596">
        <v>0.12003</v>
      </c>
      <c r="G51" s="483">
        <v>120000</v>
      </c>
      <c r="H51" s="220">
        <f t="shared" si="0"/>
        <v>14403.6</v>
      </c>
    </row>
    <row r="52" spans="5:8" ht="11.25">
      <c r="E52" t="s">
        <v>1495</v>
      </c>
      <c r="F52" s="596">
        <v>0.10038</v>
      </c>
      <c r="G52" s="483">
        <v>343670</v>
      </c>
      <c r="H52" s="220">
        <f t="shared" si="0"/>
        <v>34497.5946</v>
      </c>
    </row>
    <row r="53" spans="5:8" ht="11.25">
      <c r="E53" t="s">
        <v>1496</v>
      </c>
      <c r="F53" s="596">
        <v>0.06038</v>
      </c>
      <c r="G53" s="483">
        <v>110744</v>
      </c>
      <c r="H53" s="220">
        <f t="shared" si="0"/>
        <v>6686.722720000001</v>
      </c>
    </row>
    <row r="54" spans="5:8" ht="11.25">
      <c r="E54" t="s">
        <v>1497</v>
      </c>
      <c r="F54" s="596">
        <v>0.03025</v>
      </c>
      <c r="H54" s="220">
        <f t="shared" si="0"/>
        <v>0</v>
      </c>
    </row>
    <row r="55" spans="7:8" ht="11.25">
      <c r="G55" s="483">
        <f>SUM(G50:G54)</f>
        <v>694414</v>
      </c>
      <c r="H55" s="597">
        <f>SUM(H49:H54)</f>
        <v>77563.51732</v>
      </c>
    </row>
    <row r="56" spans="7:8" ht="11.25">
      <c r="G56" s="483" t="s">
        <v>1503</v>
      </c>
      <c r="H56" s="597">
        <f>+G55*0.0002</f>
        <v>138.8828</v>
      </c>
    </row>
    <row r="57" spans="7:8" ht="11.25">
      <c r="G57" s="483"/>
      <c r="H57" s="597">
        <f>+H55+H56</f>
        <v>77702.40012</v>
      </c>
    </row>
    <row r="58" spans="7:8" ht="11.25">
      <c r="G58" s="483" t="s">
        <v>1498</v>
      </c>
      <c r="H58" s="597">
        <f>+H55*0.04633</f>
        <v>3593.5177574356003</v>
      </c>
    </row>
    <row r="59" spans="7:8" ht="15.75">
      <c r="G59" s="483"/>
      <c r="H59" s="599">
        <f>+H58+H57</f>
        <v>81295.91787743561</v>
      </c>
    </row>
    <row r="60" spans="1:6" ht="11.25">
      <c r="A60" t="s">
        <v>1499</v>
      </c>
      <c r="D60" s="138" t="s">
        <v>1500</v>
      </c>
      <c r="E60" s="138" t="s">
        <v>1501</v>
      </c>
      <c r="F60" s="138" t="s">
        <v>1502</v>
      </c>
    </row>
    <row r="61" spans="2:5" ht="11.25">
      <c r="B61" s="598">
        <v>38291</v>
      </c>
      <c r="C61" s="140">
        <v>41699</v>
      </c>
      <c r="D61" s="140">
        <v>10000</v>
      </c>
      <c r="E61" s="483">
        <f>+C61-20000</f>
        <v>21699</v>
      </c>
    </row>
    <row r="62" spans="2:6" ht="11.25">
      <c r="B62" s="598">
        <v>38321</v>
      </c>
      <c r="C62" s="140">
        <v>61140</v>
      </c>
      <c r="D62" s="140">
        <v>10000</v>
      </c>
      <c r="E62" s="483">
        <v>30000</v>
      </c>
      <c r="F62" s="483">
        <f aca="true" t="shared" si="1" ref="F62:F69">+C62-50000</f>
        <v>11140</v>
      </c>
    </row>
    <row r="63" spans="2:6" ht="11.25">
      <c r="B63" s="598">
        <v>38352</v>
      </c>
      <c r="C63" s="140">
        <v>56114</v>
      </c>
      <c r="D63" s="140">
        <v>10000</v>
      </c>
      <c r="E63" s="483">
        <v>30000</v>
      </c>
      <c r="F63" s="483">
        <f t="shared" si="1"/>
        <v>6114</v>
      </c>
    </row>
    <row r="64" spans="2:6" ht="11.25">
      <c r="B64" s="598">
        <v>38383</v>
      </c>
      <c r="C64" s="140">
        <v>72287</v>
      </c>
      <c r="D64" s="140">
        <v>10000</v>
      </c>
      <c r="E64" s="483">
        <v>30000</v>
      </c>
      <c r="F64" s="483">
        <f t="shared" si="1"/>
        <v>22287</v>
      </c>
    </row>
    <row r="65" spans="2:6" ht="11.25">
      <c r="B65" s="598">
        <v>38411</v>
      </c>
      <c r="C65" s="140">
        <v>70178</v>
      </c>
      <c r="D65" s="140">
        <v>10000</v>
      </c>
      <c r="E65" s="483">
        <v>30000</v>
      </c>
      <c r="F65" s="483">
        <f t="shared" si="1"/>
        <v>20178</v>
      </c>
    </row>
    <row r="66" spans="2:6" ht="11.25">
      <c r="B66" s="598">
        <v>38442</v>
      </c>
      <c r="C66" s="140">
        <v>63894</v>
      </c>
      <c r="D66" s="140">
        <v>10000</v>
      </c>
      <c r="E66" s="483">
        <v>30000</v>
      </c>
      <c r="F66" s="483">
        <f t="shared" si="1"/>
        <v>13894</v>
      </c>
    </row>
    <row r="67" spans="2:6" ht="11.25">
      <c r="B67" s="598">
        <v>38472</v>
      </c>
      <c r="C67" s="140">
        <v>59658</v>
      </c>
      <c r="D67" s="140">
        <v>10000</v>
      </c>
      <c r="E67" s="483">
        <v>30000</v>
      </c>
      <c r="F67" s="483">
        <f t="shared" si="1"/>
        <v>9658</v>
      </c>
    </row>
    <row r="68" spans="2:6" ht="11.25">
      <c r="B68" s="598">
        <v>38503</v>
      </c>
      <c r="C68" s="140">
        <v>64238</v>
      </c>
      <c r="D68" s="140">
        <v>10000</v>
      </c>
      <c r="E68" s="483">
        <v>30000</v>
      </c>
      <c r="F68" s="483">
        <f t="shared" si="1"/>
        <v>14238</v>
      </c>
    </row>
    <row r="69" spans="2:6" ht="11.25">
      <c r="B69" s="598">
        <v>38533</v>
      </c>
      <c r="C69" s="140">
        <v>55606</v>
      </c>
      <c r="D69" s="140">
        <v>10000</v>
      </c>
      <c r="E69" s="483">
        <v>30000</v>
      </c>
      <c r="F69" s="483">
        <f t="shared" si="1"/>
        <v>5606</v>
      </c>
    </row>
    <row r="70" spans="2:6" ht="11.25">
      <c r="B70" s="598">
        <v>38564</v>
      </c>
      <c r="C70" s="140">
        <v>46233</v>
      </c>
      <c r="D70" s="140">
        <v>10000</v>
      </c>
      <c r="E70" s="483">
        <f>+C70-20000</f>
        <v>26233</v>
      </c>
      <c r="F70" s="483"/>
    </row>
    <row r="71" spans="2:6" ht="11.25">
      <c r="B71" s="598">
        <v>38595</v>
      </c>
      <c r="C71" s="140">
        <v>57629</v>
      </c>
      <c r="D71" s="140">
        <v>10000</v>
      </c>
      <c r="E71" s="483">
        <v>30000</v>
      </c>
      <c r="F71" s="483">
        <f>+C71-50000</f>
        <v>7629</v>
      </c>
    </row>
    <row r="72" spans="2:5" ht="11.25">
      <c r="B72" s="598">
        <v>38625</v>
      </c>
      <c r="C72" s="140">
        <v>45738</v>
      </c>
      <c r="D72" s="140">
        <v>10000</v>
      </c>
      <c r="E72" s="483">
        <f>+C72-20000</f>
        <v>25738</v>
      </c>
    </row>
    <row r="73" spans="2:5" ht="11.25">
      <c r="B73" s="598"/>
      <c r="C73" s="140"/>
      <c r="D73" s="140"/>
      <c r="E73" s="483"/>
    </row>
    <row r="74" spans="3:6" ht="11.25">
      <c r="C74" s="483">
        <f>SUM(C61:C73)</f>
        <v>694414</v>
      </c>
      <c r="D74" s="483">
        <f>SUM(D61:D73)</f>
        <v>120000</v>
      </c>
      <c r="E74" s="483">
        <f>SUM(E61:E73)</f>
        <v>343670</v>
      </c>
      <c r="F74" s="483">
        <f>SUM(F61:F73)</f>
        <v>110744</v>
      </c>
    </row>
    <row r="77" ht="11.25">
      <c r="H77">
        <v>72000</v>
      </c>
    </row>
    <row r="78" spans="7:8" ht="11.25">
      <c r="G78" s="483" t="s">
        <v>1498</v>
      </c>
      <c r="H78" s="597">
        <f>+H77*0.04633</f>
        <v>3335.76</v>
      </c>
    </row>
    <row r="79" spans="7:8" ht="15.75">
      <c r="G79" s="483"/>
      <c r="H79" s="599">
        <f>+H77+H78</f>
        <v>75335.76</v>
      </c>
    </row>
  </sheetData>
  <mergeCells count="5">
    <mergeCell ref="A8:D8"/>
    <mergeCell ref="B11:C11"/>
    <mergeCell ref="B12:C12"/>
    <mergeCell ref="A9:D9"/>
    <mergeCell ref="A10:D10"/>
  </mergeCells>
  <printOptions/>
  <pageMargins left="1.2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pageSetUpPr fitToPage="1"/>
  </sheetPr>
  <dimension ref="A1:H35"/>
  <sheetViews>
    <sheetView showGridLines="0" workbookViewId="0" topLeftCell="A1">
      <selection activeCell="F2" sqref="F2"/>
    </sheetView>
  </sheetViews>
  <sheetFormatPr defaultColWidth="9.33203125" defaultRowHeight="11.25"/>
  <cols>
    <col min="1" max="1" width="7.83203125" style="0" customWidth="1"/>
    <col min="2" max="2" width="28.83203125" style="0" customWidth="1"/>
    <col min="3" max="3" width="24.83203125" style="0" customWidth="1"/>
    <col min="4" max="4" width="4.83203125" style="0" customWidth="1"/>
    <col min="5" max="5" width="12.83203125" style="0" customWidth="1"/>
    <col min="6" max="6" width="4.83203125" style="0" customWidth="1"/>
    <col min="7" max="7" width="12.83203125" style="0" customWidth="1"/>
    <col min="8" max="8" width="10.16015625" style="0" customWidth="1"/>
  </cols>
  <sheetData>
    <row r="1" spans="1:7" ht="11.25">
      <c r="A1" s="1"/>
      <c r="B1" s="2"/>
      <c r="E1" s="3"/>
      <c r="G1" s="4"/>
    </row>
    <row r="2" ht="15.75">
      <c r="F2" s="37" t="s">
        <v>1522</v>
      </c>
    </row>
    <row r="3" spans="1:8" ht="15.75">
      <c r="A3" s="38"/>
      <c r="C3" s="38"/>
      <c r="D3" s="38"/>
      <c r="E3" s="38"/>
      <c r="F3" s="37" t="s">
        <v>1232</v>
      </c>
      <c r="H3" s="38"/>
    </row>
    <row r="4" spans="1:8" ht="15.75">
      <c r="A4" s="38"/>
      <c r="B4" s="38"/>
      <c r="C4" s="38"/>
      <c r="D4" s="38"/>
      <c r="E4" s="38"/>
      <c r="F4" s="37" t="s">
        <v>1233</v>
      </c>
      <c r="H4" s="38"/>
    </row>
    <row r="5" spans="1:8" ht="15.75">
      <c r="A5" s="38"/>
      <c r="B5" s="38"/>
      <c r="C5" s="38"/>
      <c r="D5" s="38"/>
      <c r="E5" s="38"/>
      <c r="H5" s="38"/>
    </row>
    <row r="6" spans="1:8" ht="15.75">
      <c r="A6" s="81" t="s">
        <v>1086</v>
      </c>
      <c r="B6" s="79"/>
      <c r="C6" s="122"/>
      <c r="D6" s="122"/>
      <c r="E6" s="122"/>
      <c r="F6" s="122"/>
      <c r="G6" s="123"/>
      <c r="H6" s="38"/>
    </row>
    <row r="7" spans="1:8" ht="18.75">
      <c r="A7" s="86" t="s">
        <v>535</v>
      </c>
      <c r="B7" s="74"/>
      <c r="C7" s="124"/>
      <c r="D7" s="124"/>
      <c r="E7" s="124"/>
      <c r="F7" s="124"/>
      <c r="G7" s="125"/>
      <c r="H7" s="38"/>
    </row>
    <row r="8" spans="1:8" ht="15.75">
      <c r="A8" s="126" t="s">
        <v>659</v>
      </c>
      <c r="B8" s="76"/>
      <c r="C8" s="127"/>
      <c r="D8" s="127"/>
      <c r="E8" s="127"/>
      <c r="F8" s="127"/>
      <c r="G8" s="128"/>
      <c r="H8" s="38"/>
    </row>
    <row r="9" spans="1:8" ht="15.75">
      <c r="A9" s="46" t="s">
        <v>1000</v>
      </c>
      <c r="B9" s="39"/>
      <c r="C9" s="40"/>
      <c r="D9" s="100"/>
      <c r="E9" s="101"/>
      <c r="F9" s="100"/>
      <c r="G9" s="101"/>
      <c r="H9" s="37"/>
    </row>
    <row r="10" spans="1:8" ht="15.75">
      <c r="A10" s="47" t="s">
        <v>1006</v>
      </c>
      <c r="B10" s="99" t="s">
        <v>1007</v>
      </c>
      <c r="C10" s="73"/>
      <c r="D10" s="102" t="s">
        <v>1084</v>
      </c>
      <c r="E10" s="77"/>
      <c r="F10" s="102" t="s">
        <v>1084</v>
      </c>
      <c r="G10" s="77"/>
      <c r="H10" s="37"/>
    </row>
    <row r="11" spans="1:8" ht="15.75">
      <c r="A11" s="48"/>
      <c r="B11" s="94" t="s">
        <v>1012</v>
      </c>
      <c r="C11" s="95"/>
      <c r="D11" s="103" t="s">
        <v>1087</v>
      </c>
      <c r="E11" s="104"/>
      <c r="F11" s="103" t="s">
        <v>1014</v>
      </c>
      <c r="G11" s="104"/>
      <c r="H11" s="38"/>
    </row>
    <row r="12" spans="1:8" ht="15.75">
      <c r="A12" s="49"/>
      <c r="B12" s="39"/>
      <c r="C12" s="41"/>
      <c r="D12" s="39"/>
      <c r="E12" s="41"/>
      <c r="F12" s="39"/>
      <c r="G12" s="41"/>
      <c r="H12" s="38"/>
    </row>
    <row r="13" spans="1:8" ht="15.75">
      <c r="A13" s="50"/>
      <c r="B13" s="51" t="s">
        <v>74</v>
      </c>
      <c r="C13" s="43"/>
      <c r="D13" s="42"/>
      <c r="E13" s="43"/>
      <c r="F13" s="42"/>
      <c r="G13" s="43"/>
      <c r="H13" s="38"/>
    </row>
    <row r="14" spans="1:8" ht="15.75">
      <c r="A14" s="50"/>
      <c r="B14" s="42"/>
      <c r="C14" s="43"/>
      <c r="D14" s="42"/>
      <c r="E14" s="43"/>
      <c r="F14" s="42"/>
      <c r="G14" s="43"/>
      <c r="H14" s="38"/>
    </row>
    <row r="15" spans="1:8" ht="15.75">
      <c r="A15" s="52" t="s">
        <v>1021</v>
      </c>
      <c r="B15" s="51" t="s">
        <v>1088</v>
      </c>
      <c r="C15" s="43"/>
      <c r="D15" s="53" t="s">
        <v>1089</v>
      </c>
      <c r="E15" s="54">
        <v>510000</v>
      </c>
      <c r="F15" s="42"/>
      <c r="G15" s="43"/>
      <c r="H15" s="38"/>
    </row>
    <row r="16" spans="1:8" ht="15.75">
      <c r="A16" s="52" t="s">
        <v>1023</v>
      </c>
      <c r="B16" s="51" t="s">
        <v>1090</v>
      </c>
      <c r="C16" s="43"/>
      <c r="D16" s="42"/>
      <c r="E16" s="55">
        <v>10000</v>
      </c>
      <c r="F16" s="42"/>
      <c r="G16" s="54"/>
      <c r="H16" s="38"/>
    </row>
    <row r="17" spans="1:8" ht="15.75">
      <c r="A17" s="50"/>
      <c r="B17" s="42"/>
      <c r="C17" s="43"/>
      <c r="D17" s="42"/>
      <c r="E17" s="54"/>
      <c r="F17" s="42"/>
      <c r="G17" s="54"/>
      <c r="H17" s="38"/>
    </row>
    <row r="18" spans="1:8" ht="15.75">
      <c r="A18" s="52" t="s">
        <v>1025</v>
      </c>
      <c r="B18" s="51" t="s">
        <v>1091</v>
      </c>
      <c r="C18" s="43"/>
      <c r="D18" s="42"/>
      <c r="E18" s="54"/>
      <c r="F18" s="51" t="s">
        <v>1092</v>
      </c>
      <c r="G18" s="54">
        <f>SUM(E15:E16)</f>
        <v>520000</v>
      </c>
      <c r="H18" s="38"/>
    </row>
    <row r="19" spans="1:8" ht="15.75">
      <c r="A19" s="50"/>
      <c r="B19" s="42"/>
      <c r="C19" s="43"/>
      <c r="D19" s="42"/>
      <c r="E19" s="54"/>
      <c r="F19" s="42"/>
      <c r="G19" s="54"/>
      <c r="H19" s="38"/>
    </row>
    <row r="20" spans="1:8" ht="15.75">
      <c r="A20" s="50"/>
      <c r="B20" s="42"/>
      <c r="C20" s="43"/>
      <c r="D20" s="42"/>
      <c r="E20" s="54"/>
      <c r="F20" s="42"/>
      <c r="G20" s="54"/>
      <c r="H20" s="38"/>
    </row>
    <row r="21" spans="1:8" ht="15.75">
      <c r="A21" s="50"/>
      <c r="B21" s="51" t="s">
        <v>1093</v>
      </c>
      <c r="C21" s="43"/>
      <c r="D21" s="42"/>
      <c r="E21" s="54"/>
      <c r="F21" s="42"/>
      <c r="G21" s="54"/>
      <c r="H21" s="38"/>
    </row>
    <row r="22" spans="1:8" ht="15.75">
      <c r="A22" s="52" t="s">
        <v>1027</v>
      </c>
      <c r="B22" s="51" t="s">
        <v>1094</v>
      </c>
      <c r="C22" s="43"/>
      <c r="D22" s="53" t="s">
        <v>1089</v>
      </c>
      <c r="E22" s="55">
        <v>0</v>
      </c>
      <c r="F22" s="42"/>
      <c r="G22" s="54"/>
      <c r="H22" s="38"/>
    </row>
    <row r="23" spans="1:8" ht="15.75">
      <c r="A23" s="50"/>
      <c r="B23" s="42"/>
      <c r="C23" s="43"/>
      <c r="D23" s="42"/>
      <c r="E23" s="54"/>
      <c r="F23" s="42"/>
      <c r="G23" s="54"/>
      <c r="H23" s="38"/>
    </row>
    <row r="24" spans="1:8" ht="15.75">
      <c r="A24" s="52" t="s">
        <v>1030</v>
      </c>
      <c r="B24" s="51" t="s">
        <v>1091</v>
      </c>
      <c r="C24" s="43"/>
      <c r="D24" s="42"/>
      <c r="E24" s="54"/>
      <c r="F24" s="51" t="s">
        <v>458</v>
      </c>
      <c r="G24" s="54">
        <f>SUM(E22)</f>
        <v>0</v>
      </c>
      <c r="H24" s="38"/>
    </row>
    <row r="25" spans="1:8" ht="15.75">
      <c r="A25" s="50"/>
      <c r="B25" s="42"/>
      <c r="C25" s="43"/>
      <c r="D25" s="42"/>
      <c r="E25" s="54"/>
      <c r="F25" s="42"/>
      <c r="G25" s="54"/>
      <c r="H25" s="38"/>
    </row>
    <row r="26" spans="1:7" ht="15.75">
      <c r="A26" s="52" t="s">
        <v>1032</v>
      </c>
      <c r="B26" s="51" t="s">
        <v>75</v>
      </c>
      <c r="C26" s="43"/>
      <c r="D26" s="42"/>
      <c r="E26" s="54"/>
      <c r="F26" s="51" t="s">
        <v>1092</v>
      </c>
      <c r="G26" s="782">
        <f>G18-G24</f>
        <v>520000</v>
      </c>
    </row>
    <row r="27" spans="1:8" ht="15.75">
      <c r="A27" s="52"/>
      <c r="B27" s="51"/>
      <c r="C27" s="43"/>
      <c r="D27" s="42"/>
      <c r="E27" s="54"/>
      <c r="F27" s="51"/>
      <c r="G27" s="56"/>
      <c r="H27" s="105"/>
    </row>
    <row r="28" spans="1:8" ht="15.75">
      <c r="A28" s="52">
        <v>7</v>
      </c>
      <c r="B28" s="51" t="s">
        <v>76</v>
      </c>
      <c r="C28" s="43"/>
      <c r="D28" s="42"/>
      <c r="E28" s="54" t="s">
        <v>77</v>
      </c>
      <c r="F28" s="51"/>
      <c r="G28" s="56"/>
      <c r="H28" s="105"/>
    </row>
    <row r="29" spans="1:8" ht="15.75">
      <c r="A29" s="52"/>
      <c r="B29" s="51"/>
      <c r="C29" s="43"/>
      <c r="D29" s="42"/>
      <c r="E29" s="54"/>
      <c r="F29" s="51"/>
      <c r="G29" s="56"/>
      <c r="H29" s="105"/>
    </row>
    <row r="30" spans="1:8" ht="15.75">
      <c r="A30" s="52">
        <v>8</v>
      </c>
      <c r="B30" s="51" t="s">
        <v>78</v>
      </c>
      <c r="C30" s="43"/>
      <c r="D30" s="42"/>
      <c r="E30" s="54"/>
      <c r="F30" s="51" t="s">
        <v>1092</v>
      </c>
      <c r="G30" s="56">
        <f>+G26/3</f>
        <v>173333.33333333334</v>
      </c>
      <c r="H30" s="105" t="s">
        <v>1095</v>
      </c>
    </row>
    <row r="31" spans="1:8" ht="15.75">
      <c r="A31" s="57"/>
      <c r="B31" s="44"/>
      <c r="C31" s="45"/>
      <c r="D31" s="44"/>
      <c r="E31" s="55"/>
      <c r="F31" s="44"/>
      <c r="G31" s="55"/>
      <c r="H31" s="38"/>
    </row>
    <row r="32" spans="1:8" ht="15.75">
      <c r="A32" s="38"/>
      <c r="B32" s="38"/>
      <c r="C32" s="38"/>
      <c r="D32" s="38"/>
      <c r="E32" s="58"/>
      <c r="F32" s="38"/>
      <c r="G32" s="58"/>
      <c r="H32" s="38"/>
    </row>
    <row r="33" spans="1:8" ht="15.75">
      <c r="A33" s="38"/>
      <c r="B33" s="38"/>
      <c r="C33" s="38"/>
      <c r="D33" s="38"/>
      <c r="E33" s="58"/>
      <c r="F33" s="38"/>
      <c r="G33" s="58"/>
      <c r="H33" s="38"/>
    </row>
    <row r="34" spans="1:8" ht="15.75">
      <c r="A34" s="38"/>
      <c r="B34" s="37" t="s">
        <v>1234</v>
      </c>
      <c r="C34" s="38"/>
      <c r="D34" s="38"/>
      <c r="E34" s="58"/>
      <c r="F34" s="38"/>
      <c r="G34" s="58"/>
      <c r="H34" s="38"/>
    </row>
    <row r="35" spans="1:8" ht="15.75">
      <c r="A35" s="38"/>
      <c r="B35" s="37" t="s">
        <v>1096</v>
      </c>
      <c r="C35" s="38"/>
      <c r="D35" s="38"/>
      <c r="E35" s="38"/>
      <c r="F35" s="38"/>
      <c r="G35" s="38"/>
      <c r="H35" s="38"/>
    </row>
  </sheetData>
  <printOptions/>
  <pageMargins left="1.27" right="0.75" top="0.41" bottom="1" header="0.25" footer="0.5"/>
  <pageSetup fitToHeight="1" fitToWidth="1" horizontalDpi="300" verticalDpi="300" orientation="portrait" scale="93" r:id="rId1"/>
</worksheet>
</file>

<file path=xl/worksheets/sheet17.xml><?xml version="1.0" encoding="utf-8"?>
<worksheet xmlns="http://schemas.openxmlformats.org/spreadsheetml/2006/main" xmlns:r="http://schemas.openxmlformats.org/officeDocument/2006/relationships">
  <dimension ref="A3:F26"/>
  <sheetViews>
    <sheetView workbookViewId="0" topLeftCell="A1">
      <selection activeCell="D3" sqref="D3"/>
    </sheetView>
  </sheetViews>
  <sheetFormatPr defaultColWidth="9.33203125" defaultRowHeight="11.25"/>
  <cols>
    <col min="1" max="1" width="8.33203125" style="308" customWidth="1"/>
    <col min="2" max="2" width="43.83203125" style="308" customWidth="1"/>
    <col min="3" max="4" width="15.16015625" style="308" customWidth="1"/>
    <col min="5" max="5" width="14" style="308" customWidth="1"/>
    <col min="6" max="6" width="17.33203125" style="308" customWidth="1"/>
    <col min="7" max="16384" width="9.33203125" style="308" customWidth="1"/>
  </cols>
  <sheetData>
    <row r="3" ht="15.75">
      <c r="D3" s="308" t="s">
        <v>1522</v>
      </c>
    </row>
    <row r="4" ht="15.75">
      <c r="D4" s="308" t="s">
        <v>1170</v>
      </c>
    </row>
    <row r="5" ht="15.75">
      <c r="D5" s="308" t="s">
        <v>1215</v>
      </c>
    </row>
    <row r="7" ht="20.25">
      <c r="A7" s="529"/>
    </row>
    <row r="9" spans="1:5" ht="15.75">
      <c r="A9" s="1223" t="s">
        <v>658</v>
      </c>
      <c r="B9" s="1223"/>
      <c r="C9" s="1223"/>
      <c r="D9" s="1223"/>
      <c r="E9" s="1223"/>
    </row>
    <row r="10" spans="1:5" ht="41.25" customHeight="1">
      <c r="A10" s="529"/>
      <c r="B10" s="1210" t="s">
        <v>315</v>
      </c>
      <c r="C10" s="1210"/>
      <c r="D10" s="1210"/>
      <c r="E10" s="1210"/>
    </row>
    <row r="14" spans="1:5" ht="47.25">
      <c r="A14" s="530" t="s">
        <v>316</v>
      </c>
      <c r="B14" s="530" t="s">
        <v>1007</v>
      </c>
      <c r="C14" s="531" t="s">
        <v>317</v>
      </c>
      <c r="D14" s="531" t="s">
        <v>318</v>
      </c>
      <c r="E14" s="531" t="s">
        <v>113</v>
      </c>
    </row>
    <row r="15" spans="1:5" ht="15.75">
      <c r="A15" s="530"/>
      <c r="B15" s="530" t="s">
        <v>1012</v>
      </c>
      <c r="C15" s="531" t="s">
        <v>1013</v>
      </c>
      <c r="D15" s="531" t="s">
        <v>1014</v>
      </c>
      <c r="E15" s="531" t="s">
        <v>1074</v>
      </c>
    </row>
    <row r="16" spans="1:5" ht="15.75">
      <c r="A16" s="532"/>
      <c r="B16" s="276"/>
      <c r="C16" s="533"/>
      <c r="D16" s="533"/>
      <c r="E16" s="534"/>
    </row>
    <row r="17" spans="1:5" ht="15.75">
      <c r="A17" s="535">
        <v>1</v>
      </c>
      <c r="B17" s="276" t="s">
        <v>319</v>
      </c>
      <c r="C17" s="286">
        <v>2687532</v>
      </c>
      <c r="D17" s="286">
        <v>2687532</v>
      </c>
      <c r="E17" s="277">
        <f>+D17-C17</f>
        <v>0</v>
      </c>
    </row>
    <row r="18" spans="1:5" ht="15.75">
      <c r="A18" s="535">
        <v>2</v>
      </c>
      <c r="B18" s="276" t="s">
        <v>320</v>
      </c>
      <c r="C18" s="536">
        <v>1725767</v>
      </c>
      <c r="D18" s="536">
        <v>971169</v>
      </c>
      <c r="E18" s="285">
        <f>+D18-C18</f>
        <v>-754598</v>
      </c>
    </row>
    <row r="19" spans="1:5" ht="15.75">
      <c r="A19" s="535">
        <v>3</v>
      </c>
      <c r="B19" s="276" t="s">
        <v>321</v>
      </c>
      <c r="C19" s="276">
        <f>+C17-C18</f>
        <v>961765</v>
      </c>
      <c r="D19" s="276">
        <f>+D17-D18</f>
        <v>1716363</v>
      </c>
      <c r="E19" s="283">
        <f>+D19-C19</f>
        <v>754598</v>
      </c>
    </row>
    <row r="20" spans="1:5" ht="15.75">
      <c r="A20" s="535">
        <v>4</v>
      </c>
      <c r="B20" s="276" t="s">
        <v>322</v>
      </c>
      <c r="C20" s="537">
        <v>0.34</v>
      </c>
      <c r="D20" s="537">
        <v>0.34</v>
      </c>
      <c r="E20" s="538"/>
    </row>
    <row r="21" spans="1:5" ht="15.75">
      <c r="A21" s="535">
        <v>5</v>
      </c>
      <c r="B21" s="276" t="s">
        <v>323</v>
      </c>
      <c r="C21" s="276">
        <f>+C19*C20</f>
        <v>327000.10000000003</v>
      </c>
      <c r="D21" s="276">
        <f>+D19*D20</f>
        <v>583563.42</v>
      </c>
      <c r="E21" s="283">
        <f>+D21-C21</f>
        <v>256563.32</v>
      </c>
    </row>
    <row r="22" spans="1:5" ht="15.75">
      <c r="A22" s="535"/>
      <c r="B22" s="276"/>
      <c r="C22" s="276"/>
      <c r="D22" s="276"/>
      <c r="E22" s="283"/>
    </row>
    <row r="23" spans="1:5" ht="15.75">
      <c r="A23" s="535">
        <v>6</v>
      </c>
      <c r="B23" s="276" t="s">
        <v>324</v>
      </c>
      <c r="C23" s="539">
        <v>0.6683</v>
      </c>
      <c r="D23" s="539">
        <v>0.6683</v>
      </c>
      <c r="E23" s="540">
        <v>0.6683</v>
      </c>
    </row>
    <row r="24" spans="1:6" ht="15.75">
      <c r="A24" s="541">
        <v>7</v>
      </c>
      <c r="B24" s="536" t="s">
        <v>325</v>
      </c>
      <c r="C24" s="542">
        <f>+C21*C23</f>
        <v>218534.16683000003</v>
      </c>
      <c r="D24" s="542">
        <f>+D21*D23</f>
        <v>389995.43358600006</v>
      </c>
      <c r="E24" s="542">
        <f>+E21*E23</f>
        <v>171461.266756</v>
      </c>
      <c r="F24" s="308" t="s">
        <v>295</v>
      </c>
    </row>
    <row r="26" ht="15.75">
      <c r="A26" s="308" t="s">
        <v>1214</v>
      </c>
    </row>
  </sheetData>
  <mergeCells count="2">
    <mergeCell ref="A9:E9"/>
    <mergeCell ref="B10:E10"/>
  </mergeCell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2:F29"/>
  <sheetViews>
    <sheetView workbookViewId="0" topLeftCell="A1">
      <selection activeCell="E2" sqref="E2"/>
    </sheetView>
  </sheetViews>
  <sheetFormatPr defaultColWidth="9.33203125" defaultRowHeight="11.25"/>
  <cols>
    <col min="1" max="1" width="9.33203125" style="308" customWidth="1"/>
    <col min="2" max="2" width="4.5" style="308" customWidth="1"/>
    <col min="3" max="3" width="37.16015625" style="308" customWidth="1"/>
    <col min="4" max="4" width="29.83203125" style="308" customWidth="1"/>
    <col min="5" max="5" width="23.66015625" style="308" customWidth="1"/>
    <col min="6" max="6" width="4.83203125" style="308" customWidth="1"/>
    <col min="7" max="16384" width="9.33203125" style="308" customWidth="1"/>
  </cols>
  <sheetData>
    <row r="2" ht="15.75">
      <c r="E2" s="308" t="s">
        <v>1522</v>
      </c>
    </row>
    <row r="3" ht="15.75">
      <c r="E3" s="308" t="s">
        <v>1170</v>
      </c>
    </row>
    <row r="4" ht="15.75">
      <c r="E4" s="308" t="s">
        <v>1216</v>
      </c>
    </row>
    <row r="8" spans="1:5" ht="15.75">
      <c r="A8" s="1224" t="s">
        <v>658</v>
      </c>
      <c r="B8" s="1225"/>
      <c r="C8" s="1225"/>
      <c r="D8" s="1225"/>
      <c r="E8" s="1226"/>
    </row>
    <row r="9" spans="1:5" ht="37.5" customHeight="1">
      <c r="A9" s="588"/>
      <c r="B9" s="1214" t="s">
        <v>1219</v>
      </c>
      <c r="C9" s="1214"/>
      <c r="D9" s="1214"/>
      <c r="E9" s="1215"/>
    </row>
    <row r="10" spans="1:5" ht="15.75">
      <c r="A10" s="543"/>
      <c r="B10" s="589"/>
      <c r="C10" s="590"/>
      <c r="D10" s="543"/>
      <c r="E10" s="543"/>
    </row>
    <row r="11" spans="1:5" s="556" customFormat="1" ht="15.75">
      <c r="A11" s="376" t="s">
        <v>377</v>
      </c>
      <c r="B11" s="1227" t="s">
        <v>1007</v>
      </c>
      <c r="C11" s="1228"/>
      <c r="D11" s="376" t="s">
        <v>1144</v>
      </c>
      <c r="E11" s="376" t="s">
        <v>1084</v>
      </c>
    </row>
    <row r="12" spans="1:5" s="556" customFormat="1" ht="15.75">
      <c r="A12" s="530"/>
      <c r="B12" s="1229" t="s">
        <v>1012</v>
      </c>
      <c r="C12" s="1230"/>
      <c r="D12" s="531" t="s">
        <v>1013</v>
      </c>
      <c r="E12" s="531" t="s">
        <v>1014</v>
      </c>
    </row>
    <row r="13" spans="1:5" ht="31.5">
      <c r="A13" s="1023" t="s">
        <v>1021</v>
      </c>
      <c r="B13" s="591" t="s">
        <v>1490</v>
      </c>
      <c r="D13" s="1024" t="s">
        <v>1217</v>
      </c>
      <c r="E13" s="546">
        <f>+'MPP-3 p1'!G37</f>
        <v>231460401</v>
      </c>
    </row>
    <row r="14" spans="1:5" ht="15.75">
      <c r="A14" s="1023"/>
      <c r="B14" s="276"/>
      <c r="C14" s="276"/>
      <c r="D14" s="238"/>
      <c r="E14" s="238"/>
    </row>
    <row r="15" spans="1:5" ht="31.5">
      <c r="A15" s="1023" t="s">
        <v>1023</v>
      </c>
      <c r="B15" s="1216" t="s">
        <v>507</v>
      </c>
      <c r="C15" s="1217"/>
      <c r="D15" s="1025" t="s">
        <v>1218</v>
      </c>
      <c r="E15" s="593">
        <v>0.0442</v>
      </c>
    </row>
    <row r="16" spans="1:5" ht="15.75">
      <c r="A16" s="1023"/>
      <c r="B16" s="276"/>
      <c r="C16" s="276"/>
      <c r="D16" s="276"/>
      <c r="E16" s="238"/>
    </row>
    <row r="17" spans="1:5" ht="15.75">
      <c r="A17" s="1023" t="s">
        <v>1025</v>
      </c>
      <c r="B17" s="1211" t="s">
        <v>1221</v>
      </c>
      <c r="C17" s="1212"/>
      <c r="D17" s="1213"/>
      <c r="E17" s="546">
        <f>E13*E15</f>
        <v>10230549.724200001</v>
      </c>
    </row>
    <row r="18" spans="1:5" ht="15.75">
      <c r="A18" s="1023"/>
      <c r="B18" s="276"/>
      <c r="C18" s="276"/>
      <c r="D18" s="276"/>
      <c r="E18" s="238"/>
    </row>
    <row r="19" spans="1:5" ht="15.75">
      <c r="A19" s="1023" t="s">
        <v>1027</v>
      </c>
      <c r="B19" s="276" t="s">
        <v>1491</v>
      </c>
      <c r="C19" s="276"/>
      <c r="D19" s="276"/>
      <c r="E19" s="238"/>
    </row>
    <row r="20" spans="1:5" ht="15.75">
      <c r="A20" s="1023"/>
      <c r="B20" s="276" t="s">
        <v>1492</v>
      </c>
      <c r="C20" s="276"/>
      <c r="D20" s="276"/>
      <c r="E20" s="378">
        <v>9792663</v>
      </c>
    </row>
    <row r="21" spans="1:5" ht="15.75">
      <c r="A21" s="1023"/>
      <c r="B21" s="276"/>
      <c r="C21" s="276"/>
      <c r="D21" s="276"/>
      <c r="E21" s="238"/>
    </row>
    <row r="22" spans="1:5" ht="15.75">
      <c r="A22" s="1023" t="s">
        <v>1030</v>
      </c>
      <c r="B22" s="276" t="s">
        <v>1222</v>
      </c>
      <c r="C22" s="276"/>
      <c r="D22" s="276"/>
      <c r="E22" s="238">
        <f>+E17-E20</f>
        <v>437886.724200001</v>
      </c>
    </row>
    <row r="23" spans="1:5" ht="15.75">
      <c r="A23" s="1023"/>
      <c r="B23" s="276"/>
      <c r="C23" s="276"/>
      <c r="D23" s="276"/>
      <c r="E23" s="238"/>
    </row>
    <row r="24" spans="1:5" ht="15.75">
      <c r="A24" s="1023" t="s">
        <v>1032</v>
      </c>
      <c r="B24" s="276" t="s">
        <v>1493</v>
      </c>
      <c r="C24" s="276"/>
      <c r="D24" s="276"/>
      <c r="E24" s="1026">
        <v>0.34</v>
      </c>
    </row>
    <row r="25" spans="1:5" ht="15.75">
      <c r="A25" s="1023"/>
      <c r="B25" s="276"/>
      <c r="C25" s="276"/>
      <c r="D25" s="276"/>
      <c r="E25" s="238"/>
    </row>
    <row r="26" spans="1:6" ht="16.5" thickBot="1">
      <c r="A26" s="1023" t="s">
        <v>1034</v>
      </c>
      <c r="B26" s="276" t="s">
        <v>1223</v>
      </c>
      <c r="C26" s="276"/>
      <c r="D26" s="276"/>
      <c r="E26" s="594">
        <f>-E22*E24</f>
        <v>-148881.48622800034</v>
      </c>
      <c r="F26" s="308" t="s">
        <v>295</v>
      </c>
    </row>
    <row r="27" spans="1:5" ht="15.75">
      <c r="A27" s="378"/>
      <c r="B27" s="536"/>
      <c r="C27" s="536"/>
      <c r="D27" s="536"/>
      <c r="E27" s="378"/>
    </row>
    <row r="29" ht="15.75">
      <c r="A29" s="308" t="s">
        <v>1220</v>
      </c>
    </row>
  </sheetData>
  <mergeCells count="6">
    <mergeCell ref="B12:C12"/>
    <mergeCell ref="B17:D17"/>
    <mergeCell ref="A8:E8"/>
    <mergeCell ref="B9:E9"/>
    <mergeCell ref="B11:C11"/>
    <mergeCell ref="B15:C15"/>
  </mergeCells>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G28"/>
  <sheetViews>
    <sheetView workbookViewId="0" topLeftCell="A1">
      <selection activeCell="D1" sqref="D1"/>
    </sheetView>
  </sheetViews>
  <sheetFormatPr defaultColWidth="9.33203125" defaultRowHeight="11.25"/>
  <cols>
    <col min="1" max="1" width="6" style="0" customWidth="1"/>
    <col min="2" max="2" width="58.83203125" style="0" customWidth="1"/>
    <col min="4" max="4" width="15.5" style="0" customWidth="1"/>
    <col min="5" max="5" width="16.33203125" style="0" bestFit="1" customWidth="1"/>
    <col min="6" max="6" width="3.66015625" style="0" customWidth="1"/>
  </cols>
  <sheetData>
    <row r="1" spans="1:4" ht="15.75">
      <c r="A1" s="143"/>
      <c r="B1" s="143"/>
      <c r="C1" s="141"/>
      <c r="D1" s="367" t="s">
        <v>1522</v>
      </c>
    </row>
    <row r="2" spans="1:4" ht="15.75">
      <c r="A2" s="143"/>
      <c r="B2" s="143"/>
      <c r="C2" s="141"/>
      <c r="D2" s="141" t="s">
        <v>1177</v>
      </c>
    </row>
    <row r="3" spans="1:4" ht="15.75">
      <c r="A3" s="143"/>
      <c r="B3" s="143"/>
      <c r="C3" s="141"/>
      <c r="D3" s="367" t="s">
        <v>1202</v>
      </c>
    </row>
    <row r="4" spans="1:3" ht="15.75">
      <c r="A4" s="143"/>
      <c r="B4" s="143"/>
      <c r="C4" s="141"/>
    </row>
    <row r="5" spans="1:2" ht="11.25">
      <c r="A5" s="143"/>
      <c r="B5" s="143"/>
    </row>
    <row r="6" spans="1:2" ht="11.25">
      <c r="A6" s="143"/>
      <c r="B6" s="143"/>
    </row>
    <row r="7" spans="1:2" ht="11.25">
      <c r="A7" s="143"/>
      <c r="B7" s="143"/>
    </row>
    <row r="8" ht="11.25">
      <c r="A8" s="143"/>
    </row>
    <row r="9" spans="1:6" ht="15.75">
      <c r="A9" s="274"/>
      <c r="B9" s="141"/>
      <c r="C9" s="141"/>
      <c r="D9" s="141"/>
      <c r="E9" s="141"/>
      <c r="F9" s="141"/>
    </row>
    <row r="10" spans="1:6" ht="15.75">
      <c r="A10" s="274"/>
      <c r="B10" s="141"/>
      <c r="C10" s="141"/>
      <c r="D10" s="141"/>
      <c r="E10" s="141"/>
      <c r="F10" s="141"/>
    </row>
    <row r="11" spans="1:6" ht="3" customHeight="1">
      <c r="A11" s="141"/>
      <c r="B11" s="141"/>
      <c r="C11" s="141"/>
      <c r="D11" s="141"/>
      <c r="E11" s="141"/>
      <c r="F11" s="141"/>
    </row>
    <row r="12" spans="1:5" s="395" customFormat="1" ht="15.75">
      <c r="A12" s="396"/>
      <c r="B12" s="397" t="s">
        <v>658</v>
      </c>
      <c r="C12" s="398"/>
      <c r="D12" s="399"/>
      <c r="E12" s="400"/>
    </row>
    <row r="13" spans="1:7" s="395" customFormat="1" ht="15.75">
      <c r="A13" s="601" t="s">
        <v>1235</v>
      </c>
      <c r="B13" s="401"/>
      <c r="C13" s="402"/>
      <c r="D13" s="403"/>
      <c r="E13" s="404"/>
      <c r="G13" s="448"/>
    </row>
    <row r="14" spans="1:5" s="395" customFormat="1" ht="15.75">
      <c r="A14" s="405"/>
      <c r="B14" s="406" t="s">
        <v>659</v>
      </c>
      <c r="C14" s="407"/>
      <c r="D14" s="408"/>
      <c r="E14" s="409"/>
    </row>
    <row r="15" spans="1:5" s="395" customFormat="1" ht="15.75">
      <c r="A15" s="396"/>
      <c r="B15" s="397"/>
      <c r="C15" s="398"/>
      <c r="D15" s="399"/>
      <c r="E15" s="400"/>
    </row>
    <row r="16" spans="1:6" ht="15.75">
      <c r="A16" s="410" t="s">
        <v>1000</v>
      </c>
      <c r="B16" s="602"/>
      <c r="C16" s="603"/>
      <c r="D16" s="603"/>
      <c r="E16" s="604"/>
      <c r="F16" s="141"/>
    </row>
    <row r="17" spans="1:6" ht="20.25" customHeight="1">
      <c r="A17" s="415" t="s">
        <v>1006</v>
      </c>
      <c r="B17" s="605" t="s">
        <v>1007</v>
      </c>
      <c r="C17" s="606"/>
      <c r="D17" s="606" t="s">
        <v>1084</v>
      </c>
      <c r="E17" s="607"/>
      <c r="F17" s="141"/>
    </row>
    <row r="18" spans="1:6" ht="15.75">
      <c r="A18" s="608"/>
      <c r="B18" s="609" t="s">
        <v>1338</v>
      </c>
      <c r="C18" s="603"/>
      <c r="D18" s="603" t="s">
        <v>1339</v>
      </c>
      <c r="E18" s="603"/>
      <c r="F18" s="141"/>
    </row>
    <row r="19" spans="1:6" ht="25.5" customHeight="1">
      <c r="A19" s="610">
        <v>1</v>
      </c>
      <c r="B19" s="611" t="s">
        <v>1340</v>
      </c>
      <c r="C19" s="236"/>
      <c r="D19" s="546">
        <v>1048141.2219444446</v>
      </c>
      <c r="E19" s="236"/>
      <c r="F19" s="141"/>
    </row>
    <row r="20" spans="1:6" ht="25.5" customHeight="1">
      <c r="A20" s="610">
        <v>2</v>
      </c>
      <c r="B20" s="612" t="s">
        <v>1341</v>
      </c>
      <c r="C20" s="236"/>
      <c r="D20" s="546">
        <v>1200539.5866666667</v>
      </c>
      <c r="E20" s="236"/>
      <c r="F20" s="141"/>
    </row>
    <row r="21" spans="1:6" ht="25.5" customHeight="1">
      <c r="A21" s="610">
        <v>3</v>
      </c>
      <c r="B21" s="611" t="s">
        <v>1073</v>
      </c>
      <c r="C21" s="273"/>
      <c r="D21" s="546"/>
      <c r="E21" s="613">
        <f>+D20-D19</f>
        <v>152398.3647222221</v>
      </c>
      <c r="F21" s="141"/>
    </row>
    <row r="22" spans="1:6" ht="25.5" customHeight="1">
      <c r="A22" s="610">
        <v>4</v>
      </c>
      <c r="B22" s="611" t="s">
        <v>1342</v>
      </c>
      <c r="C22" s="273"/>
      <c r="D22" s="240"/>
      <c r="E22" s="540">
        <v>0.7706</v>
      </c>
      <c r="F22" s="141"/>
    </row>
    <row r="23" spans="1:6" ht="24.75" customHeight="1" thickBot="1">
      <c r="A23" s="610">
        <v>5</v>
      </c>
      <c r="B23" s="611" t="s">
        <v>1343</v>
      </c>
      <c r="C23" s="235"/>
      <c r="D23" s="235"/>
      <c r="E23" s="614">
        <f>ROUND(E21*E22,0)</f>
        <v>117438</v>
      </c>
      <c r="F23" s="375" t="s">
        <v>295</v>
      </c>
    </row>
    <row r="24" spans="1:6" ht="16.5" thickTop="1">
      <c r="A24" s="279"/>
      <c r="B24" s="280"/>
      <c r="C24" s="235"/>
      <c r="D24" s="235"/>
      <c r="E24" s="235"/>
      <c r="F24" s="141"/>
    </row>
    <row r="25" spans="1:6" ht="15.75">
      <c r="A25" s="141"/>
      <c r="B25" s="141"/>
      <c r="C25" s="141"/>
      <c r="D25" s="141"/>
      <c r="E25" s="141"/>
      <c r="F25" s="141"/>
    </row>
    <row r="26" spans="1:6" ht="15.75">
      <c r="A26" s="141" t="s">
        <v>1344</v>
      </c>
      <c r="B26" s="141"/>
      <c r="C26" s="141"/>
      <c r="D26" s="141"/>
      <c r="E26" s="141"/>
      <c r="F26" s="141"/>
    </row>
    <row r="27" spans="1:6" ht="15.75">
      <c r="A27" s="141"/>
      <c r="B27" s="141"/>
      <c r="C27" s="141"/>
      <c r="D27" s="141"/>
      <c r="E27" s="141"/>
      <c r="F27" s="141"/>
    </row>
    <row r="28" spans="1:6" ht="15.75">
      <c r="A28" s="387" t="s">
        <v>1200</v>
      </c>
      <c r="B28" s="141"/>
      <c r="C28" s="141"/>
      <c r="D28" s="141"/>
      <c r="E28" s="141"/>
      <c r="F28" s="141"/>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L84"/>
  <sheetViews>
    <sheetView showGridLines="0" zoomScale="75" zoomScaleNormal="75" workbookViewId="0" topLeftCell="C25">
      <selection activeCell="H47" sqref="H47"/>
    </sheetView>
  </sheetViews>
  <sheetFormatPr defaultColWidth="9.33203125" defaultRowHeight="11.25"/>
  <cols>
    <col min="1" max="1" width="5.83203125" style="0" customWidth="1"/>
    <col min="2" max="2" width="37.33203125" style="0" customWidth="1"/>
    <col min="3" max="3" width="16" style="0" customWidth="1"/>
    <col min="4" max="4" width="17.5" style="0" customWidth="1"/>
    <col min="5" max="5" width="18.16015625" style="0" customWidth="1"/>
    <col min="6" max="7" width="16.33203125" style="0" customWidth="1"/>
    <col min="8" max="8" width="19" style="0" customWidth="1"/>
    <col min="9" max="9" width="22.33203125" style="0" customWidth="1"/>
    <col min="10" max="10" width="5.5" style="0" customWidth="1"/>
    <col min="12" max="12" width="13.33203125" style="0" customWidth="1"/>
  </cols>
  <sheetData>
    <row r="1" spans="1:5" ht="11.25">
      <c r="A1" s="1"/>
      <c r="B1" s="2"/>
      <c r="D1" s="3"/>
      <c r="E1" s="4"/>
    </row>
    <row r="2" spans="2:9" ht="18.75" customHeight="1">
      <c r="B2" s="143"/>
      <c r="C2" s="1243" t="s">
        <v>658</v>
      </c>
      <c r="D2" s="1244"/>
      <c r="E2" s="1244"/>
      <c r="F2" s="1244"/>
      <c r="G2" s="1244"/>
      <c r="H2" s="1245"/>
      <c r="I2" s="73"/>
    </row>
    <row r="3" spans="2:9" ht="20.25">
      <c r="B3" s="143"/>
      <c r="C3" s="1246" t="s">
        <v>1068</v>
      </c>
      <c r="D3" s="1247"/>
      <c r="E3" s="1247"/>
      <c r="F3" s="1247"/>
      <c r="G3" s="1247"/>
      <c r="H3" s="1248"/>
      <c r="I3" s="73"/>
    </row>
    <row r="4" spans="2:9" ht="15.75">
      <c r="B4" s="166"/>
      <c r="C4" s="1249" t="s">
        <v>659</v>
      </c>
      <c r="D4" s="1250"/>
      <c r="E4" s="1250"/>
      <c r="F4" s="1250"/>
      <c r="G4" s="1250"/>
      <c r="H4" s="1251"/>
      <c r="I4" s="73"/>
    </row>
    <row r="5" spans="1:9" ht="11.25">
      <c r="A5" s="18"/>
      <c r="B5" s="20"/>
      <c r="C5" s="15"/>
      <c r="D5" s="15"/>
      <c r="E5" s="15"/>
      <c r="F5" s="143"/>
      <c r="G5" s="132"/>
      <c r="I5" s="14"/>
    </row>
    <row r="6" spans="1:9" ht="11.25">
      <c r="A6" s="20"/>
      <c r="B6" s="20"/>
      <c r="C6" s="22" t="s">
        <v>996</v>
      </c>
      <c r="D6" s="22" t="s">
        <v>997</v>
      </c>
      <c r="E6" s="22" t="s">
        <v>997</v>
      </c>
      <c r="F6" s="347" t="s">
        <v>997</v>
      </c>
      <c r="G6" s="115" t="s">
        <v>997</v>
      </c>
      <c r="H6" s="22" t="s">
        <v>995</v>
      </c>
      <c r="I6" s="22" t="s">
        <v>999</v>
      </c>
    </row>
    <row r="7" spans="1:9" ht="11.25">
      <c r="A7" s="23" t="s">
        <v>1000</v>
      </c>
      <c r="B7" s="20"/>
      <c r="C7" s="22" t="s">
        <v>1001</v>
      </c>
      <c r="D7" s="22" t="s">
        <v>1002</v>
      </c>
      <c r="E7" s="22" t="s">
        <v>1003</v>
      </c>
      <c r="F7" s="347" t="s">
        <v>1166</v>
      </c>
      <c r="G7" s="115" t="s">
        <v>1166</v>
      </c>
      <c r="H7" s="22" t="s">
        <v>998</v>
      </c>
      <c r="I7" s="349" t="s">
        <v>1550</v>
      </c>
    </row>
    <row r="8" spans="1:9" ht="11.25">
      <c r="A8" s="24" t="s">
        <v>1006</v>
      </c>
      <c r="B8" s="24" t="s">
        <v>1007</v>
      </c>
      <c r="C8" s="25" t="s">
        <v>1008</v>
      </c>
      <c r="D8" s="25" t="s">
        <v>1009</v>
      </c>
      <c r="E8" s="25" t="s">
        <v>1010</v>
      </c>
      <c r="F8" s="348" t="s">
        <v>1009</v>
      </c>
      <c r="G8" s="116" t="s">
        <v>1010</v>
      </c>
      <c r="H8" s="25" t="s">
        <v>1011</v>
      </c>
      <c r="I8" s="25" t="s">
        <v>1166</v>
      </c>
    </row>
    <row r="9" spans="1:9" ht="11.25">
      <c r="A9" s="26"/>
      <c r="B9" s="27" t="s">
        <v>1012</v>
      </c>
      <c r="C9" s="28" t="s">
        <v>1013</v>
      </c>
      <c r="D9" s="28" t="s">
        <v>1014</v>
      </c>
      <c r="E9" s="28" t="s">
        <v>1015</v>
      </c>
      <c r="F9" s="28" t="s">
        <v>1016</v>
      </c>
      <c r="G9" s="25" t="s">
        <v>1017</v>
      </c>
      <c r="H9" s="28" t="s">
        <v>1018</v>
      </c>
      <c r="I9" s="28" t="s">
        <v>1019</v>
      </c>
    </row>
    <row r="10" spans="1:9" ht="11.25">
      <c r="A10" s="18"/>
      <c r="B10" s="29" t="s">
        <v>1020</v>
      </c>
      <c r="C10" s="14"/>
      <c r="D10" s="14"/>
      <c r="E10" s="14"/>
      <c r="F10" s="14"/>
      <c r="G10" s="14"/>
      <c r="H10" s="14"/>
      <c r="I10" s="14"/>
    </row>
    <row r="11" spans="1:10" ht="15.75" customHeight="1">
      <c r="A11" s="23" t="s">
        <v>1021</v>
      </c>
      <c r="B11" s="31" t="s">
        <v>1022</v>
      </c>
      <c r="C11" s="106">
        <f>+'KJB-2 p1'!F8</f>
        <v>232428111</v>
      </c>
      <c r="D11" s="106">
        <f>+'MPP-3 p2'!N9</f>
        <v>58440331.72442006</v>
      </c>
      <c r="E11" s="106">
        <f>C11+D11</f>
        <v>290868442.7244201</v>
      </c>
      <c r="F11" s="106">
        <f>+'MPP-3 p3&amp;4'!U9</f>
        <v>6116.002122564387</v>
      </c>
      <c r="G11" s="106">
        <f>E11+F11</f>
        <v>290874558.72654265</v>
      </c>
      <c r="H11" s="106">
        <f>+'MPP-2'!REVREQ</f>
        <v>1629422</v>
      </c>
      <c r="I11" s="106">
        <f>+H11+G11</f>
        <v>292503980.72654265</v>
      </c>
      <c r="J11" s="120"/>
    </row>
    <row r="12" spans="1:9" ht="12">
      <c r="A12" s="23" t="s">
        <v>1023</v>
      </c>
      <c r="B12" s="31" t="s">
        <v>1024</v>
      </c>
      <c r="C12" s="113">
        <f>+'KJB-2 p1'!F9</f>
        <v>18411461</v>
      </c>
      <c r="D12" s="113">
        <f>+'MPP-3 p2'!N10</f>
        <v>-18411461</v>
      </c>
      <c r="E12" s="186">
        <f>C12+D12</f>
        <v>0</v>
      </c>
      <c r="F12" s="113">
        <f>+'MPP-3 p3&amp;4'!U10</f>
        <v>0</v>
      </c>
      <c r="G12" s="186">
        <f>E12+F12</f>
        <v>0</v>
      </c>
      <c r="H12" s="113">
        <v>0</v>
      </c>
      <c r="I12" s="186">
        <f>G12+H12</f>
        <v>0</v>
      </c>
    </row>
    <row r="13" spans="1:9" ht="12">
      <c r="A13" s="23" t="s">
        <v>1025</v>
      </c>
      <c r="B13" s="31" t="s">
        <v>1026</v>
      </c>
      <c r="C13" s="108">
        <f>+'KJB-2 p1'!F10</f>
        <v>889298</v>
      </c>
      <c r="D13" s="108">
        <f>+'MPP-3 p2'!N11</f>
        <v>0</v>
      </c>
      <c r="E13" s="108">
        <f>C13+D13</f>
        <v>889298</v>
      </c>
      <c r="F13" s="108">
        <f>+'MPP-3 p3&amp;4'!U11</f>
        <v>0</v>
      </c>
      <c r="G13" s="108">
        <f>E13+F13</f>
        <v>889298</v>
      </c>
      <c r="H13" s="108">
        <v>0</v>
      </c>
      <c r="I13" s="108">
        <f>G13+H13</f>
        <v>889298</v>
      </c>
    </row>
    <row r="14" spans="1:9" ht="12.75" thickBot="1">
      <c r="A14" s="23" t="s">
        <v>1027</v>
      </c>
      <c r="B14" s="31" t="s">
        <v>1028</v>
      </c>
      <c r="C14" s="109">
        <f>C11+C12+C13</f>
        <v>251728870</v>
      </c>
      <c r="D14" s="109">
        <f>+'MPP-3 p2'!N12</f>
        <v>40028870.72442006</v>
      </c>
      <c r="E14" s="109">
        <f>C14+D14</f>
        <v>291757740.7244201</v>
      </c>
      <c r="F14" s="109">
        <f>+'MPP-3 p3&amp;4'!U12</f>
        <v>6116.002122564387</v>
      </c>
      <c r="G14" s="109">
        <f>E14+F14</f>
        <v>291763856.72654265</v>
      </c>
      <c r="H14" s="109">
        <f>+H11+H12+H13</f>
        <v>1629422</v>
      </c>
      <c r="I14" s="109">
        <f>G14+H14</f>
        <v>293393278.72654265</v>
      </c>
    </row>
    <row r="15" spans="1:9" ht="12.75" thickTop="1">
      <c r="A15" s="34"/>
      <c r="B15" s="34"/>
      <c r="C15" s="110"/>
      <c r="D15" s="110"/>
      <c r="E15" s="110"/>
      <c r="F15" s="110"/>
      <c r="G15" s="110"/>
      <c r="H15" s="110"/>
      <c r="I15" s="110"/>
    </row>
    <row r="16" spans="1:9" ht="12">
      <c r="A16" s="18"/>
      <c r="B16" s="29" t="s">
        <v>1029</v>
      </c>
      <c r="C16" s="111"/>
      <c r="D16" s="111"/>
      <c r="E16" s="111"/>
      <c r="F16" s="111"/>
      <c r="G16" s="111"/>
      <c r="H16" s="111"/>
      <c r="I16" s="111"/>
    </row>
    <row r="17" spans="1:9" ht="12">
      <c r="A17" s="23" t="s">
        <v>1030</v>
      </c>
      <c r="B17" s="31" t="s">
        <v>1031</v>
      </c>
      <c r="C17" s="112">
        <f>+'KJB-2 p1'!F14</f>
        <v>163837631</v>
      </c>
      <c r="D17" s="112">
        <f>+'MPP-3 p2'!N15</f>
        <v>35812290.814290494</v>
      </c>
      <c r="E17" s="112">
        <f aca="true" t="shared" si="0" ref="E17:E25">C17+D17</f>
        <v>199649921.8142905</v>
      </c>
      <c r="F17" s="112">
        <f>+'MPP-3 p3&amp;4'!U15</f>
        <v>0</v>
      </c>
      <c r="G17" s="112">
        <f aca="true" t="shared" si="1" ref="G17:G25">E17+F17</f>
        <v>199649921.8142905</v>
      </c>
      <c r="H17" s="112">
        <v>0</v>
      </c>
      <c r="I17" s="112">
        <f aca="true" t="shared" si="2" ref="I17:I25">G17+H17</f>
        <v>199649921.8142905</v>
      </c>
    </row>
    <row r="18" spans="1:9" ht="12">
      <c r="A18" s="23" t="s">
        <v>1032</v>
      </c>
      <c r="B18" s="31" t="s">
        <v>1035</v>
      </c>
      <c r="C18" s="113">
        <f>+'KJB-2 p1'!F16</f>
        <v>7682852</v>
      </c>
      <c r="D18" s="113">
        <f>+'MPP-3 p2'!N17</f>
        <v>0</v>
      </c>
      <c r="E18" s="113">
        <f t="shared" si="0"/>
        <v>7682852</v>
      </c>
      <c r="F18" s="113">
        <f>+'MPP-3 p3&amp;4'!U17</f>
        <v>0</v>
      </c>
      <c r="G18" s="113">
        <f t="shared" si="1"/>
        <v>7682852</v>
      </c>
      <c r="H18" s="113">
        <v>0</v>
      </c>
      <c r="I18" s="113">
        <f t="shared" si="2"/>
        <v>7682852</v>
      </c>
    </row>
    <row r="19" spans="1:9" ht="12">
      <c r="A19" s="23" t="s">
        <v>1034</v>
      </c>
      <c r="B19" s="31" t="s">
        <v>1037</v>
      </c>
      <c r="C19" s="113">
        <f>+'KJB-2 p1'!F17</f>
        <v>4158014</v>
      </c>
      <c r="D19" s="113">
        <f>+'MPP-3 p2'!N18</f>
        <v>-67744.25</v>
      </c>
      <c r="E19" s="113">
        <f t="shared" si="0"/>
        <v>4090269.75</v>
      </c>
      <c r="F19" s="113">
        <f>+'MPP-3 p3&amp;4'!U18</f>
        <v>19</v>
      </c>
      <c r="G19" s="113">
        <f t="shared" si="1"/>
        <v>4090288.75</v>
      </c>
      <c r="H19" s="113">
        <f>ROUND(H14*PFU,0)</f>
        <v>5018</v>
      </c>
      <c r="I19" s="113">
        <f t="shared" si="2"/>
        <v>4095306.75</v>
      </c>
    </row>
    <row r="20" spans="1:9" ht="12">
      <c r="A20" s="23" t="s">
        <v>1036</v>
      </c>
      <c r="B20" s="31" t="s">
        <v>1039</v>
      </c>
      <c r="C20" s="113">
        <f>+'KJB-2 p1'!F18</f>
        <v>344136</v>
      </c>
      <c r="D20" s="113">
        <f>+'MPP-3 p2'!N19</f>
        <v>0</v>
      </c>
      <c r="E20" s="113">
        <f t="shared" si="0"/>
        <v>344136</v>
      </c>
      <c r="F20" s="113">
        <f>+'MPP-3 p3&amp;4'!U19</f>
        <v>0</v>
      </c>
      <c r="G20" s="113">
        <f t="shared" si="1"/>
        <v>344136</v>
      </c>
      <c r="H20" s="113">
        <v>0</v>
      </c>
      <c r="I20" s="113">
        <f t="shared" si="2"/>
        <v>344136</v>
      </c>
    </row>
    <row r="21" spans="1:9" ht="12">
      <c r="A21" s="23" t="s">
        <v>1038</v>
      </c>
      <c r="B21" s="31" t="s">
        <v>1041</v>
      </c>
      <c r="C21" s="113">
        <f>+'KJB-2 p1'!F19</f>
        <v>625296</v>
      </c>
      <c r="D21" s="113">
        <f>+'MPP-3 p2'!N20</f>
        <v>-183585.35</v>
      </c>
      <c r="E21" s="113">
        <f t="shared" si="0"/>
        <v>441710.65</v>
      </c>
      <c r="F21" s="113">
        <f>+'MPP-3 p3&amp;4'!U20</f>
        <v>0</v>
      </c>
      <c r="G21" s="113">
        <f t="shared" si="1"/>
        <v>441710.65</v>
      </c>
      <c r="H21" s="113">
        <v>0</v>
      </c>
      <c r="I21" s="113">
        <f t="shared" si="2"/>
        <v>441710.65</v>
      </c>
    </row>
    <row r="22" spans="1:9" ht="12">
      <c r="A22" s="23" t="s">
        <v>1040</v>
      </c>
      <c r="B22" s="31" t="s">
        <v>1043</v>
      </c>
      <c r="C22" s="113">
        <f>+'KJB-2 p1'!F20</f>
        <v>18556164</v>
      </c>
      <c r="D22" s="113">
        <f>+'MPP-3 p2'!N21</f>
        <v>-2143626.6654959996</v>
      </c>
      <c r="E22" s="113">
        <f t="shared" si="0"/>
        <v>16412537.334504</v>
      </c>
      <c r="F22" s="113">
        <f>+'MPP-3 p3&amp;4'!U21</f>
        <v>532624.3833333334</v>
      </c>
      <c r="G22" s="113">
        <f t="shared" si="1"/>
        <v>16945161.717837334</v>
      </c>
      <c r="H22" s="113">
        <v>0</v>
      </c>
      <c r="I22" s="113">
        <f t="shared" si="2"/>
        <v>16945161.717837334</v>
      </c>
    </row>
    <row r="23" spans="1:9" ht="12">
      <c r="A23" s="23" t="s">
        <v>1042</v>
      </c>
      <c r="B23" s="31" t="s">
        <v>1045</v>
      </c>
      <c r="C23" s="113">
        <v>0</v>
      </c>
      <c r="D23" s="113">
        <f>+'MPP-3 p2'!N22</f>
        <v>188561</v>
      </c>
      <c r="E23" s="113">
        <f t="shared" si="0"/>
        <v>188561</v>
      </c>
      <c r="F23" s="113">
        <f>+'MPP-3 p3&amp;4'!U22</f>
        <v>832522</v>
      </c>
      <c r="G23" s="113">
        <f t="shared" si="1"/>
        <v>1021083</v>
      </c>
      <c r="H23" s="113">
        <v>0</v>
      </c>
      <c r="I23" s="113">
        <f t="shared" si="2"/>
        <v>1021083</v>
      </c>
    </row>
    <row r="24" spans="1:9" ht="12">
      <c r="A24" s="23" t="s">
        <v>1044</v>
      </c>
      <c r="B24" s="31" t="s">
        <v>1047</v>
      </c>
      <c r="C24" s="108">
        <f>+'KJB-2 p1'!F21</f>
        <v>13632109</v>
      </c>
      <c r="D24" s="108">
        <f>+'MPP-3 p2'!N23</f>
        <v>0</v>
      </c>
      <c r="E24" s="108">
        <f t="shared" si="0"/>
        <v>13632109</v>
      </c>
      <c r="F24" s="108">
        <f>+'MPP-3 p3&amp;4'!U23</f>
        <v>-35513.666666666664</v>
      </c>
      <c r="G24" s="108">
        <f t="shared" si="1"/>
        <v>13596595.333333334</v>
      </c>
      <c r="H24" s="108">
        <v>0</v>
      </c>
      <c r="I24" s="108">
        <f t="shared" si="2"/>
        <v>13596595.333333334</v>
      </c>
    </row>
    <row r="25" spans="1:9" ht="12.75" thickBot="1">
      <c r="A25" s="23" t="s">
        <v>1046</v>
      </c>
      <c r="B25" s="31" t="s">
        <v>1049</v>
      </c>
      <c r="C25" s="109">
        <f>SUM(C17:C24)</f>
        <v>208836202</v>
      </c>
      <c r="D25" s="109">
        <f>+'MPP-3 p2'!N24</f>
        <v>33605895.54879449</v>
      </c>
      <c r="E25" s="109">
        <f t="shared" si="0"/>
        <v>242442097.5487945</v>
      </c>
      <c r="F25" s="109">
        <f>+'MPP-3 p3&amp;4'!U24</f>
        <v>1329651.7166666666</v>
      </c>
      <c r="G25" s="109">
        <f t="shared" si="1"/>
        <v>243771749.26546118</v>
      </c>
      <c r="H25" s="109">
        <f>SUM(H17:H24)</f>
        <v>5018</v>
      </c>
      <c r="I25" s="109">
        <f t="shared" si="2"/>
        <v>243776767.26546118</v>
      </c>
    </row>
    <row r="26" spans="1:9" ht="12.75" thickTop="1">
      <c r="A26" s="23" t="s">
        <v>1048</v>
      </c>
      <c r="B26" s="34"/>
      <c r="C26" s="108"/>
      <c r="D26" s="108"/>
      <c r="E26" s="108"/>
      <c r="F26" s="108"/>
      <c r="G26" s="108"/>
      <c r="H26" s="108"/>
      <c r="I26" s="108"/>
    </row>
    <row r="27" spans="1:9" ht="12">
      <c r="A27" s="18"/>
      <c r="B27" s="30" t="s">
        <v>1050</v>
      </c>
      <c r="C27" s="113"/>
      <c r="D27" s="113"/>
      <c r="E27" s="113"/>
      <c r="F27" s="113"/>
      <c r="G27" s="113"/>
      <c r="H27" s="113"/>
      <c r="I27" s="113"/>
    </row>
    <row r="28" spans="1:9" ht="12">
      <c r="A28" s="23" t="s">
        <v>1051</v>
      </c>
      <c r="B28" s="31" t="s">
        <v>1052</v>
      </c>
      <c r="C28" s="112">
        <f>+'KJB-2 p1'!F25</f>
        <v>23837552</v>
      </c>
      <c r="D28" s="112">
        <f>+'MPP-3 p2'!N27</f>
        <v>1205191</v>
      </c>
      <c r="E28" s="112">
        <f>C28+D28</f>
        <v>25042743</v>
      </c>
      <c r="F28" s="112">
        <f>+'MPP-3 p3&amp;4'!U27</f>
        <v>89069</v>
      </c>
      <c r="G28" s="112">
        <f>E28+F28</f>
        <v>25131812</v>
      </c>
      <c r="H28" s="112">
        <f>ROUND(H14*OTI,0)</f>
        <v>65668</v>
      </c>
      <c r="I28" s="112">
        <f>G28+H28</f>
        <v>25197480</v>
      </c>
    </row>
    <row r="29" spans="1:9" ht="12">
      <c r="A29" s="23" t="s">
        <v>1053</v>
      </c>
      <c r="B29" s="31" t="s">
        <v>1054</v>
      </c>
      <c r="C29" s="112">
        <f>+'KJB-2 p1'!F26</f>
        <v>0</v>
      </c>
      <c r="D29" s="113">
        <f>+'MPP-3 p2'!N28</f>
        <v>0</v>
      </c>
      <c r="E29" s="113">
        <f>C29+D29</f>
        <v>0</v>
      </c>
      <c r="F29" s="113">
        <f>+'MPP-3 p3&amp;4'!U28</f>
        <v>0</v>
      </c>
      <c r="G29" s="113">
        <f>E29+F29</f>
        <v>0</v>
      </c>
      <c r="H29" s="113">
        <v>0</v>
      </c>
      <c r="I29" s="113">
        <f>G29+H29</f>
        <v>0</v>
      </c>
    </row>
    <row r="30" spans="1:9" ht="12">
      <c r="A30" s="23" t="s">
        <v>1055</v>
      </c>
      <c r="B30" s="31" t="s">
        <v>1056</v>
      </c>
      <c r="C30" s="112">
        <f>+'KJB-2 p1'!F27</f>
        <v>3293908</v>
      </c>
      <c r="D30" s="108">
        <f>+'MPP-3 p2'!N29</f>
        <v>1774047</v>
      </c>
      <c r="E30" s="108">
        <f>C30+D30</f>
        <v>5067955</v>
      </c>
      <c r="F30" s="108">
        <f>+'MPP-3 p3&amp;4'!U29</f>
        <v>-457705.2194720004</v>
      </c>
      <c r="G30" s="108">
        <f>E30+F30</f>
        <v>4610249.780528</v>
      </c>
      <c r="H30" s="108">
        <f>ROUND((H14-H19-H28)*FIT,0)</f>
        <v>529970</v>
      </c>
      <c r="I30" s="108">
        <f>G30+H30</f>
        <v>5140219.780528</v>
      </c>
    </row>
    <row r="31" spans="1:9" ht="12.75" thickBot="1">
      <c r="A31" s="23" t="s">
        <v>1057</v>
      </c>
      <c r="B31" s="31" t="s">
        <v>1058</v>
      </c>
      <c r="C31" s="109">
        <f>C28+C29+C30</f>
        <v>27131460</v>
      </c>
      <c r="D31" s="109">
        <f>+'MPP-3 p2'!N30</f>
        <v>2979238</v>
      </c>
      <c r="E31" s="109">
        <f>C31+D31</f>
        <v>30110698</v>
      </c>
      <c r="F31" s="109">
        <f>+'MPP-3 p3&amp;4'!U30</f>
        <v>-368636.2194720004</v>
      </c>
      <c r="G31" s="109">
        <f>E31+F31</f>
        <v>29742061.780528</v>
      </c>
      <c r="H31" s="109">
        <f>H28+H29+H30</f>
        <v>595638</v>
      </c>
      <c r="I31" s="109">
        <f>G31+H31</f>
        <v>30337699.780528</v>
      </c>
    </row>
    <row r="32" spans="1:9" ht="12.75" thickTop="1">
      <c r="A32" s="34"/>
      <c r="B32" s="34"/>
      <c r="C32" s="108"/>
      <c r="D32" s="108"/>
      <c r="E32" s="108"/>
      <c r="F32" s="108"/>
      <c r="G32" s="108"/>
      <c r="H32" s="108"/>
      <c r="I32" s="108"/>
    </row>
    <row r="33" spans="1:9" ht="12.75" thickBot="1">
      <c r="A33" s="23" t="s">
        <v>1059</v>
      </c>
      <c r="B33" s="33" t="s">
        <v>1060</v>
      </c>
      <c r="C33" s="109">
        <f>C25+C31</f>
        <v>235967662</v>
      </c>
      <c r="D33" s="109">
        <f>+'MPP-3 p2'!N32</f>
        <v>36585133.54879449</v>
      </c>
      <c r="E33" s="109">
        <f>C33+D33</f>
        <v>272552795.5487945</v>
      </c>
      <c r="F33" s="109">
        <f>+'MPP-3 p3&amp;4'!U32</f>
        <v>961015.4971946662</v>
      </c>
      <c r="G33" s="109">
        <f>E33+F33</f>
        <v>273513811.04598916</v>
      </c>
      <c r="H33" s="109">
        <f>H25+H31</f>
        <v>600656</v>
      </c>
      <c r="I33" s="109">
        <f>G33+H33</f>
        <v>274114467.04598916</v>
      </c>
    </row>
    <row r="34" spans="1:9" ht="12.75" thickTop="1">
      <c r="A34" s="34"/>
      <c r="B34" s="34"/>
      <c r="C34" s="108"/>
      <c r="D34" s="108"/>
      <c r="E34" s="108"/>
      <c r="F34" s="108"/>
      <c r="G34" s="108"/>
      <c r="H34" s="108"/>
      <c r="I34" s="108"/>
    </row>
    <row r="35" spans="1:9" ht="12.75" thickBot="1">
      <c r="A35" s="35" t="s">
        <v>1061</v>
      </c>
      <c r="B35" s="29" t="s">
        <v>1062</v>
      </c>
      <c r="C35" s="109">
        <f>C14-C33</f>
        <v>15761208</v>
      </c>
      <c r="D35" s="109">
        <f>+'MPP-3 p2'!N34</f>
        <v>3443737.17562557</v>
      </c>
      <c r="E35" s="109">
        <f>C35+D35</f>
        <v>19204945.17562557</v>
      </c>
      <c r="F35" s="109">
        <f>+'MPP-3 p3&amp;4'!U34</f>
        <v>-954899.4950721018</v>
      </c>
      <c r="G35" s="109">
        <f>E35+F35</f>
        <v>18250045.68055347</v>
      </c>
      <c r="H35" s="109">
        <f>H14-H33</f>
        <v>1028766</v>
      </c>
      <c r="I35" s="109">
        <f>+H35+G35</f>
        <v>19278811.68055347</v>
      </c>
    </row>
    <row r="36" spans="1:9" ht="12.75" thickTop="1">
      <c r="A36" s="34"/>
      <c r="B36" s="34"/>
      <c r="C36" s="108"/>
      <c r="D36" s="108"/>
      <c r="E36" s="108"/>
      <c r="F36" s="108"/>
      <c r="G36" s="108"/>
      <c r="H36" s="108"/>
      <c r="I36" s="108"/>
    </row>
    <row r="37" spans="1:9" ht="12.75" thickBot="1">
      <c r="A37" s="35" t="s">
        <v>1063</v>
      </c>
      <c r="B37" s="29" t="s">
        <v>1064</v>
      </c>
      <c r="C37" s="109">
        <f>+'KJB-2 p1'!F34</f>
        <v>231460401</v>
      </c>
      <c r="D37" s="109">
        <f>+'MPP-3 p2'!N36</f>
        <v>0</v>
      </c>
      <c r="E37" s="109">
        <f>C37+D37</f>
        <v>231460401</v>
      </c>
      <c r="F37" s="109">
        <f>+'MPP-3 p3&amp;4'!U36</f>
        <v>0</v>
      </c>
      <c r="G37" s="109">
        <f>E37+F37</f>
        <v>231460401</v>
      </c>
      <c r="H37" s="109">
        <v>0</v>
      </c>
      <c r="I37" s="109">
        <f>+H37+G37</f>
        <v>231460401</v>
      </c>
    </row>
    <row r="38" spans="1:9" ht="12.75" thickTop="1">
      <c r="A38" s="34"/>
      <c r="B38" s="34"/>
      <c r="C38" s="108"/>
      <c r="D38" s="108"/>
      <c r="E38" s="108"/>
      <c r="F38" s="108"/>
      <c r="G38" s="108"/>
      <c r="H38" s="108"/>
      <c r="I38" s="108"/>
    </row>
    <row r="39" spans="1:9" ht="12">
      <c r="A39" s="35" t="s">
        <v>1065</v>
      </c>
      <c r="B39" s="29" t="s">
        <v>1066</v>
      </c>
      <c r="C39" s="117">
        <f>ROUND(C35/C37,4)</f>
        <v>0.0681</v>
      </c>
      <c r="D39" s="106"/>
      <c r="E39" s="117">
        <f>ROUND(E35/E37,4)</f>
        <v>0.083</v>
      </c>
      <c r="F39" s="106"/>
      <c r="G39" s="117">
        <f>ROUND(G35/G37,4)</f>
        <v>0.0788</v>
      </c>
      <c r="H39" s="106"/>
      <c r="I39" s="117">
        <f>+I35/I37</f>
        <v>0.08329205167389937</v>
      </c>
    </row>
    <row r="40" spans="1:9" ht="12">
      <c r="A40" s="34"/>
      <c r="B40" s="34"/>
      <c r="C40" s="118"/>
      <c r="D40" s="107"/>
      <c r="E40" s="119"/>
      <c r="F40" s="107"/>
      <c r="G40" s="119"/>
      <c r="H40" s="107"/>
      <c r="I40" s="119"/>
    </row>
    <row r="43" spans="2:8" ht="11.25">
      <c r="B43" s="36"/>
      <c r="C43" s="8"/>
      <c r="D43" s="8"/>
      <c r="E43" s="8"/>
      <c r="F43" s="8"/>
      <c r="G43" s="8"/>
      <c r="H43" s="8"/>
    </row>
    <row r="44" spans="2:8" ht="11.25">
      <c r="B44" s="1"/>
      <c r="C44" s="6"/>
      <c r="H44" s="6"/>
    </row>
    <row r="45" spans="2:8" ht="11.25">
      <c r="B45" s="1"/>
      <c r="C45" s="6"/>
      <c r="H45" s="6"/>
    </row>
    <row r="46" spans="2:8" ht="11.25">
      <c r="B46" s="1"/>
      <c r="C46" s="6"/>
      <c r="D46" s="6"/>
      <c r="F46" s="6"/>
      <c r="H46" s="6"/>
    </row>
    <row r="47" spans="2:8" ht="11.25">
      <c r="B47" s="1"/>
      <c r="C47" s="6"/>
      <c r="H47" s="6"/>
    </row>
    <row r="48" spans="2:8" ht="11.25">
      <c r="B48" s="1"/>
      <c r="C48" s="815"/>
      <c r="H48" s="6"/>
    </row>
    <row r="52" spans="2:9" ht="12.75">
      <c r="B52" s="297"/>
      <c r="C52" s="298"/>
      <c r="E52" s="298"/>
      <c r="G52" s="298"/>
      <c r="I52" s="298"/>
    </row>
    <row r="53" spans="2:9" ht="12.75">
      <c r="B53" s="298"/>
      <c r="C53" s="298"/>
      <c r="E53" s="298"/>
      <c r="G53" s="298"/>
      <c r="I53" s="298"/>
    </row>
    <row r="54" spans="2:9" ht="12.75">
      <c r="B54" s="297"/>
      <c r="C54" s="298"/>
      <c r="E54" s="298"/>
      <c r="G54" s="298"/>
      <c r="I54" s="298"/>
    </row>
    <row r="55" spans="2:9" ht="12.75">
      <c r="B55" s="297"/>
      <c r="C55" s="299"/>
      <c r="E55" s="299"/>
      <c r="G55" s="299"/>
      <c r="I55" s="299"/>
    </row>
    <row r="56" spans="2:9" ht="18.75">
      <c r="B56" s="211"/>
      <c r="C56" s="346"/>
      <c r="E56" s="346"/>
      <c r="G56" s="1160">
        <f>+'MDM -1 Pro Forma ROR'!F30</f>
        <v>0.08329205</v>
      </c>
      <c r="I56" s="346"/>
    </row>
    <row r="57" spans="2:12" ht="18.75">
      <c r="B57" s="297"/>
      <c r="I57" s="346">
        <f>+G56</f>
        <v>0.08329205</v>
      </c>
      <c r="L57">
        <f>+G56</f>
        <v>0.08329205</v>
      </c>
    </row>
    <row r="59" spans="2:5" ht="12.75">
      <c r="B59" s="391" t="s">
        <v>308</v>
      </c>
      <c r="C59" s="391"/>
      <c r="D59" s="391" t="s">
        <v>50</v>
      </c>
      <c r="E59" s="391" t="s">
        <v>51</v>
      </c>
    </row>
    <row r="60" spans="2:5" ht="12.75">
      <c r="B60" s="391">
        <f>+'MDM 1LT Debt'!D32</f>
        <v>0</v>
      </c>
      <c r="C60" s="392">
        <f>B60/B$63</f>
        <v>0</v>
      </c>
      <c r="D60" s="392">
        <f>+'MDM 1LT Debt'!E32</f>
        <v>0</v>
      </c>
      <c r="E60" s="392">
        <f>D60*C60</f>
        <v>0</v>
      </c>
    </row>
    <row r="61" spans="2:5" ht="12.75">
      <c r="B61" s="391">
        <f>+'MDM 1ST Debt'!C16</f>
        <v>18900000</v>
      </c>
      <c r="C61" s="392">
        <f>B61/B$63</f>
        <v>0.12084056566405461</v>
      </c>
      <c r="D61" s="392">
        <f>+'MDM 1ST Debt'!D22</f>
        <v>1169309.81</v>
      </c>
      <c r="E61" s="392">
        <f>D61*C61</f>
        <v>141300.05887692823</v>
      </c>
    </row>
    <row r="62" spans="2:5" ht="12.75">
      <c r="B62" s="391">
        <f>+'MdM 1 Cap Structure'!C18</f>
        <v>137504431.70833334</v>
      </c>
      <c r="C62" s="392">
        <f>B62/B$63</f>
        <v>0.8791594343359453</v>
      </c>
      <c r="D62" s="392">
        <v>0.1125</v>
      </c>
      <c r="E62" s="392">
        <f>D62*C62</f>
        <v>0.09890543636279385</v>
      </c>
    </row>
    <row r="63" spans="2:8" ht="12.75">
      <c r="B63" s="393">
        <f>SUM(B60:B62)</f>
        <v>156404431.70833334</v>
      </c>
      <c r="C63" s="394">
        <f>SUM(C60:C62)</f>
        <v>1</v>
      </c>
      <c r="D63" s="393"/>
      <c r="E63" s="392">
        <f>SUM(E60:E62)</f>
        <v>141300.1577823646</v>
      </c>
      <c r="F63" s="526" t="s">
        <v>393</v>
      </c>
      <c r="H63" s="525">
        <f>+H11</f>
        <v>1629422</v>
      </c>
    </row>
    <row r="64" spans="2:8" ht="15.75">
      <c r="B64" s="527" t="s">
        <v>134</v>
      </c>
      <c r="C64" s="528"/>
      <c r="D64" s="527"/>
      <c r="E64" s="392"/>
      <c r="F64" s="526"/>
      <c r="H64" s="56">
        <v>11727515</v>
      </c>
    </row>
    <row r="65" spans="2:8" ht="12.75">
      <c r="B65" s="391">
        <f>+B68*C65</f>
        <v>78202215.85416667</v>
      </c>
      <c r="C65" s="392">
        <v>0.5</v>
      </c>
      <c r="D65" s="392">
        <v>0.0758</v>
      </c>
      <c r="E65" s="392">
        <f>D65*C65</f>
        <v>0.0379</v>
      </c>
      <c r="F65" s="526"/>
      <c r="H65" s="525">
        <f>+H64-H63</f>
        <v>10098093</v>
      </c>
    </row>
    <row r="66" spans="2:8" ht="12.75">
      <c r="B66" s="391">
        <f>+B68*C66</f>
        <v>0</v>
      </c>
      <c r="C66" s="392">
        <v>0</v>
      </c>
      <c r="D66" s="392">
        <f>+'MDM 1ST Debt'!F22</f>
        <v>0</v>
      </c>
      <c r="E66" s="392">
        <v>0</v>
      </c>
      <c r="F66" s="526"/>
      <c r="H66" s="525"/>
    </row>
    <row r="67" spans="2:8" ht="12.75">
      <c r="B67" s="391">
        <f>+B68*C67</f>
        <v>78202215.85416667</v>
      </c>
      <c r="C67" s="392">
        <v>0.5</v>
      </c>
      <c r="D67" s="392">
        <v>0.1115</v>
      </c>
      <c r="E67" s="392">
        <f>D67*C67</f>
        <v>0.05575</v>
      </c>
      <c r="F67" s="526"/>
      <c r="H67" s="525"/>
    </row>
    <row r="68" spans="2:8" ht="12.75">
      <c r="B68" s="393">
        <f>+B63</f>
        <v>156404431.70833334</v>
      </c>
      <c r="C68" s="394">
        <f>SUM(C65:C67)</f>
        <v>1</v>
      </c>
      <c r="D68" s="393"/>
      <c r="E68" s="1159">
        <f>SUM(E65:E67)</f>
        <v>0.09365000000000001</v>
      </c>
      <c r="F68" s="526"/>
      <c r="H68" s="525"/>
    </row>
    <row r="69" spans="2:8" ht="12.75">
      <c r="B69" s="527"/>
      <c r="C69" s="528"/>
      <c r="D69" s="527"/>
      <c r="E69" s="392"/>
      <c r="F69" s="526"/>
      <c r="H69" s="525"/>
    </row>
    <row r="70" spans="4:9" ht="11.25">
      <c r="D70">
        <v>0.1115</v>
      </c>
      <c r="I70" s="8"/>
    </row>
    <row r="71" spans="2:5" ht="11.25">
      <c r="B71" t="s">
        <v>347</v>
      </c>
      <c r="C71">
        <v>0.57</v>
      </c>
      <c r="D71">
        <v>0.0758</v>
      </c>
      <c r="E71">
        <f>+C71*D71</f>
        <v>0.043206</v>
      </c>
    </row>
    <row r="72" spans="2:6" ht="11.25">
      <c r="B72" t="s">
        <v>346</v>
      </c>
      <c r="C72">
        <v>0.041</v>
      </c>
      <c r="D72">
        <v>0.0659</v>
      </c>
      <c r="E72">
        <f>+C72*D72</f>
        <v>0.0027019</v>
      </c>
      <c r="F72">
        <f>+E72+E71</f>
        <v>0.0459079</v>
      </c>
    </row>
    <row r="73" spans="2:5" ht="11.25">
      <c r="B73" t="s">
        <v>159</v>
      </c>
      <c r="C73">
        <v>0.389</v>
      </c>
      <c r="D73">
        <v>0.1</v>
      </c>
      <c r="E73">
        <f>+C73*D73</f>
        <v>0.038900000000000004</v>
      </c>
    </row>
    <row r="74" spans="3:5" ht="11.25">
      <c r="C74">
        <f>SUM(C71:C73)</f>
        <v>1</v>
      </c>
      <c r="E74">
        <f>SUM(E71:E73)</f>
        <v>0.0848079</v>
      </c>
    </row>
    <row r="78" ht="11.25">
      <c r="E78" s="72"/>
    </row>
    <row r="79" ht="11.25">
      <c r="C79">
        <v>0.0034</v>
      </c>
    </row>
    <row r="80" ht="11.25">
      <c r="C80">
        <v>0.0398</v>
      </c>
    </row>
    <row r="81" ht="11.25">
      <c r="C81">
        <v>0.0038</v>
      </c>
    </row>
    <row r="82" spans="3:9" ht="11.25">
      <c r="C82">
        <f>SUM(C79:C81)</f>
        <v>0.047</v>
      </c>
      <c r="I82">
        <f>+C82</f>
        <v>0.047</v>
      </c>
    </row>
    <row r="83" spans="3:9" ht="11.25">
      <c r="C83">
        <f>+C39-C82</f>
        <v>0.021099999999999994</v>
      </c>
      <c r="I83">
        <f>+I39-I82</f>
        <v>0.03629205167389937</v>
      </c>
    </row>
    <row r="84" spans="3:9" ht="11.25">
      <c r="C84">
        <f>+C83/0.45</f>
        <v>0.046888888888888876</v>
      </c>
      <c r="I84">
        <f>+I83/0.45</f>
        <v>0.08064900371977639</v>
      </c>
    </row>
  </sheetData>
  <mergeCells count="3">
    <mergeCell ref="C2:H2"/>
    <mergeCell ref="C3:H3"/>
    <mergeCell ref="C4:H4"/>
  </mergeCells>
  <printOptions/>
  <pageMargins left="0.75" right="0.28" top="0.71" bottom="0.28" header="0.25" footer="0.28"/>
  <pageSetup fitToHeight="1" fitToWidth="1" horizontalDpi="300" verticalDpi="300" orientation="landscape" scale="85"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J102"/>
  <sheetViews>
    <sheetView workbookViewId="0" topLeftCell="A1">
      <selection activeCell="E1" sqref="E1"/>
    </sheetView>
  </sheetViews>
  <sheetFormatPr defaultColWidth="9.33203125" defaultRowHeight="11.25"/>
  <cols>
    <col min="1" max="1" width="5.16015625" style="141" customWidth="1"/>
    <col min="2" max="2" width="35.33203125" style="141" customWidth="1"/>
    <col min="3" max="3" width="15.5" style="141" customWidth="1"/>
    <col min="4" max="4" width="12" style="141" customWidth="1"/>
    <col min="5" max="5" width="25.33203125" style="141" customWidth="1"/>
    <col min="6" max="6" width="5.16015625" style="141" customWidth="1"/>
    <col min="7" max="7" width="13.33203125" style="141" customWidth="1"/>
    <col min="8" max="9" width="9.33203125" style="141" customWidth="1"/>
    <col min="10" max="10" width="15" style="141" customWidth="1"/>
    <col min="11" max="16384" width="9.33203125" style="141" customWidth="1"/>
  </cols>
  <sheetData>
    <row r="1" spans="1:7" ht="15.75">
      <c r="A1" s="274"/>
      <c r="B1" s="274"/>
      <c r="E1" s="367" t="s">
        <v>1522</v>
      </c>
      <c r="G1"/>
    </row>
    <row r="2" spans="1:7" ht="15.75">
      <c r="A2" s="274"/>
      <c r="B2" s="274"/>
      <c r="E2" s="141" t="s">
        <v>1177</v>
      </c>
      <c r="G2" s="368"/>
    </row>
    <row r="3" spans="1:7" ht="15.75">
      <c r="A3" s="274"/>
      <c r="B3" s="274"/>
      <c r="E3" s="367" t="s">
        <v>1199</v>
      </c>
      <c r="G3" s="368"/>
    </row>
    <row r="4" spans="1:7" ht="15.75">
      <c r="A4" s="274"/>
      <c r="B4" s="274"/>
      <c r="G4" s="368"/>
    </row>
    <row r="5" spans="1:2" ht="15.75">
      <c r="A5" s="274"/>
      <c r="B5" s="274"/>
    </row>
    <row r="6" spans="1:2" ht="15.75">
      <c r="A6" s="274"/>
      <c r="B6" s="274"/>
    </row>
    <row r="7" spans="1:7" ht="15.75">
      <c r="A7" s="271"/>
      <c r="B7" s="241" t="s">
        <v>300</v>
      </c>
      <c r="C7" s="241"/>
      <c r="D7" s="241"/>
      <c r="E7" s="1116"/>
      <c r="F7" s="369"/>
      <c r="G7" s="369"/>
    </row>
    <row r="8" spans="1:7" s="211" customFormat="1" ht="18.75">
      <c r="A8" s="1264" t="s">
        <v>1206</v>
      </c>
      <c r="B8" s="1265"/>
      <c r="C8" s="1265"/>
      <c r="D8" s="1265"/>
      <c r="E8" s="1266"/>
      <c r="F8" s="370"/>
      <c r="G8" s="370"/>
    </row>
    <row r="9" spans="1:5" ht="3.75" customHeight="1">
      <c r="A9" s="1117"/>
      <c r="B9" s="243"/>
      <c r="C9" s="243"/>
      <c r="D9" s="243"/>
      <c r="E9" s="244"/>
    </row>
    <row r="10" spans="1:8" ht="15.75">
      <c r="A10" s="1267" t="s">
        <v>659</v>
      </c>
      <c r="B10" s="1268"/>
      <c r="C10" s="1268"/>
      <c r="D10" s="1268"/>
      <c r="E10" s="1269"/>
      <c r="F10" s="275"/>
      <c r="G10" s="275"/>
      <c r="H10" s="274"/>
    </row>
    <row r="11" spans="1:8" ht="15.75">
      <c r="A11" s="236"/>
      <c r="B11" s="373"/>
      <c r="C11" s="237" t="s">
        <v>382</v>
      </c>
      <c r="D11" s="236"/>
      <c r="E11" s="236"/>
      <c r="F11" s="372"/>
      <c r="G11" s="372"/>
      <c r="H11" s="274"/>
    </row>
    <row r="12" spans="1:8" ht="15.75">
      <c r="A12" s="236" t="s">
        <v>1000</v>
      </c>
      <c r="B12" s="373"/>
      <c r="C12" s="374" t="s">
        <v>301</v>
      </c>
      <c r="D12" s="237" t="s">
        <v>350</v>
      </c>
      <c r="E12" s="237" t="s">
        <v>302</v>
      </c>
      <c r="F12" s="375"/>
      <c r="G12" s="274"/>
      <c r="H12" s="274"/>
    </row>
    <row r="13" spans="1:8" ht="15.75">
      <c r="A13" s="231" t="s">
        <v>1006</v>
      </c>
      <c r="B13" s="231" t="s">
        <v>1007</v>
      </c>
      <c r="C13" s="376" t="s">
        <v>303</v>
      </c>
      <c r="D13" s="377" t="s">
        <v>998</v>
      </c>
      <c r="E13" s="376" t="s">
        <v>1073</v>
      </c>
      <c r="F13" s="375"/>
      <c r="G13" s="274"/>
      <c r="H13" s="274"/>
    </row>
    <row r="14" spans="1:8" ht="15.75">
      <c r="A14" s="379"/>
      <c r="B14" s="380" t="s">
        <v>1012</v>
      </c>
      <c r="C14" s="381" t="s">
        <v>1013</v>
      </c>
      <c r="D14" s="380" t="s">
        <v>1014</v>
      </c>
      <c r="E14" s="380" t="s">
        <v>1074</v>
      </c>
      <c r="F14" s="375"/>
      <c r="G14" s="274"/>
      <c r="H14" s="274"/>
    </row>
    <row r="15" spans="1:8" ht="15.75">
      <c r="A15" s="234">
        <v>1</v>
      </c>
      <c r="B15" s="236" t="s">
        <v>351</v>
      </c>
      <c r="C15" s="546">
        <v>738120.14</v>
      </c>
      <c r="D15" s="1118">
        <v>0.054</v>
      </c>
      <c r="E15" s="546">
        <f>ROUND(C15*D15,0)</f>
        <v>39858</v>
      </c>
      <c r="F15" s="375"/>
      <c r="G15" s="274"/>
      <c r="H15" s="274"/>
    </row>
    <row r="16" spans="1:8" ht="15.75">
      <c r="A16" s="234">
        <v>2</v>
      </c>
      <c r="B16" s="236" t="s">
        <v>352</v>
      </c>
      <c r="C16" s="552">
        <v>67890.93</v>
      </c>
      <c r="D16" s="1118">
        <v>0.054</v>
      </c>
      <c r="E16" s="552">
        <f>ROUND(C16*D16,0)+1</f>
        <v>3667</v>
      </c>
      <c r="F16" s="375"/>
      <c r="G16" s="274"/>
      <c r="H16" s="274"/>
    </row>
    <row r="17" spans="1:10" ht="15.75">
      <c r="A17" s="236"/>
      <c r="B17" s="236"/>
      <c r="C17" s="238"/>
      <c r="D17" s="383"/>
      <c r="E17" s="546"/>
      <c r="F17" s="375"/>
      <c r="G17" s="274"/>
      <c r="H17" s="274"/>
      <c r="J17" s="384"/>
    </row>
    <row r="18" spans="1:8" ht="16.5" thickBot="1">
      <c r="A18" s="234">
        <v>3</v>
      </c>
      <c r="B18" s="236" t="s">
        <v>997</v>
      </c>
      <c r="C18" s="1119">
        <f>SUM(C15:C17)</f>
        <v>806011.0700000001</v>
      </c>
      <c r="D18" s="383"/>
      <c r="E18" s="1120">
        <f>SUM(E15:E17)</f>
        <v>43525</v>
      </c>
      <c r="F18" s="375" t="s">
        <v>295</v>
      </c>
      <c r="G18" s="274"/>
      <c r="H18" s="274"/>
    </row>
    <row r="19" spans="1:8" ht="6" customHeight="1" thickTop="1">
      <c r="A19" s="235"/>
      <c r="B19" s="235"/>
      <c r="C19" s="378"/>
      <c r="D19" s="377"/>
      <c r="E19" s="378"/>
      <c r="F19" s="375"/>
      <c r="G19" s="274"/>
      <c r="H19" s="274"/>
    </row>
    <row r="20" spans="2:8" ht="15.75">
      <c r="B20" s="274"/>
      <c r="C20" s="276"/>
      <c r="D20" s="385"/>
      <c r="E20" s="276"/>
      <c r="F20" s="274"/>
      <c r="G20" s="274"/>
      <c r="H20" s="274"/>
    </row>
    <row r="21" spans="3:8" ht="15.75">
      <c r="C21" s="276"/>
      <c r="D21" s="386"/>
      <c r="E21" s="276"/>
      <c r="F21" s="274"/>
      <c r="G21" s="274"/>
      <c r="H21" s="274"/>
    </row>
    <row r="22" spans="2:8" ht="15.75">
      <c r="B22" s="274"/>
      <c r="C22" s="276"/>
      <c r="D22" s="385"/>
      <c r="E22" s="276"/>
      <c r="F22" s="274"/>
      <c r="G22" s="274"/>
      <c r="H22" s="274"/>
    </row>
    <row r="23" spans="1:8" ht="15.75">
      <c r="A23" s="387" t="s">
        <v>1201</v>
      </c>
      <c r="B23" s="368"/>
      <c r="C23" s="276"/>
      <c r="D23" s="385"/>
      <c r="E23" s="276"/>
      <c r="F23" s="274"/>
      <c r="G23" s="274"/>
      <c r="H23" s="274"/>
    </row>
    <row r="24" spans="2:8" ht="15.75">
      <c r="B24" s="274"/>
      <c r="C24" s="276"/>
      <c r="D24" s="385"/>
      <c r="E24" s="276"/>
      <c r="F24" s="274"/>
      <c r="G24" s="274"/>
      <c r="H24" s="274"/>
    </row>
    <row r="25" spans="2:8" ht="15.75">
      <c r="B25" s="274"/>
      <c r="C25" s="276"/>
      <c r="D25" s="385"/>
      <c r="E25" s="276"/>
      <c r="F25" s="274"/>
      <c r="G25" s="274"/>
      <c r="H25" s="274"/>
    </row>
    <row r="26" spans="2:8" ht="15.75">
      <c r="B26" s="274"/>
      <c r="C26" s="276"/>
      <c r="D26" s="385"/>
      <c r="E26" s="388"/>
      <c r="F26" s="274"/>
      <c r="G26" s="274"/>
      <c r="H26" s="274"/>
    </row>
    <row r="27" spans="2:8" ht="15.75">
      <c r="B27" s="274"/>
      <c r="C27" s="276"/>
      <c r="D27" s="385"/>
      <c r="E27" s="276"/>
      <c r="F27" s="274"/>
      <c r="G27" s="274"/>
      <c r="H27" s="274"/>
    </row>
    <row r="28" spans="2:8" ht="15.75">
      <c r="B28" s="389"/>
      <c r="C28" s="276"/>
      <c r="D28" s="385"/>
      <c r="E28" s="276"/>
      <c r="F28" s="274"/>
      <c r="G28" s="274"/>
      <c r="H28" s="274"/>
    </row>
    <row r="29" spans="2:8" ht="15.75">
      <c r="B29" s="274"/>
      <c r="C29" s="276"/>
      <c r="D29" s="385"/>
      <c r="E29" s="276"/>
      <c r="F29" s="274"/>
      <c r="G29" s="274"/>
      <c r="H29" s="274"/>
    </row>
    <row r="30" spans="2:8" ht="15.75">
      <c r="B30" s="274"/>
      <c r="C30" s="276"/>
      <c r="D30" s="385"/>
      <c r="E30" s="276"/>
      <c r="F30" s="274"/>
      <c r="G30" s="274"/>
      <c r="H30" s="274"/>
    </row>
    <row r="31" spans="2:8" ht="15.75">
      <c r="B31" s="274"/>
      <c r="C31" s="276"/>
      <c r="D31" s="386"/>
      <c r="E31" s="276"/>
      <c r="F31" s="274"/>
      <c r="G31" s="274"/>
      <c r="H31" s="274"/>
    </row>
    <row r="32" spans="2:8" ht="15.75">
      <c r="B32" s="274"/>
      <c r="C32" s="276"/>
      <c r="D32" s="385"/>
      <c r="E32" s="276"/>
      <c r="F32" s="274"/>
      <c r="G32" s="274"/>
      <c r="H32" s="274"/>
    </row>
    <row r="33" spans="2:8" ht="15.75">
      <c r="B33" s="389"/>
      <c r="C33" s="276"/>
      <c r="D33" s="385"/>
      <c r="E33" s="276"/>
      <c r="F33" s="274"/>
      <c r="G33" s="274"/>
      <c r="H33" s="274"/>
    </row>
    <row r="34" spans="2:8" ht="15.75">
      <c r="B34" s="274"/>
      <c r="C34" s="276"/>
      <c r="D34" s="385"/>
      <c r="E34" s="276"/>
      <c r="F34" s="274"/>
      <c r="G34" s="274"/>
      <c r="H34" s="274"/>
    </row>
    <row r="35" spans="2:8" ht="15.75">
      <c r="B35" s="274"/>
      <c r="C35" s="276"/>
      <c r="D35" s="385"/>
      <c r="E35" s="276"/>
      <c r="F35" s="274"/>
      <c r="G35" s="274"/>
      <c r="H35" s="274"/>
    </row>
    <row r="36" spans="2:8" ht="15.75">
      <c r="B36" s="274"/>
      <c r="C36" s="276"/>
      <c r="D36" s="386"/>
      <c r="E36" s="276"/>
      <c r="F36" s="274"/>
      <c r="G36" s="274"/>
      <c r="H36" s="274"/>
    </row>
    <row r="37" spans="2:8" ht="15.75">
      <c r="B37" s="274"/>
      <c r="C37" s="274"/>
      <c r="D37" s="274"/>
      <c r="E37" s="274"/>
      <c r="F37" s="274"/>
      <c r="G37" s="274"/>
      <c r="H37" s="274"/>
    </row>
    <row r="38" spans="2:8" ht="15.75">
      <c r="B38" s="274"/>
      <c r="C38" s="388"/>
      <c r="D38" s="274"/>
      <c r="E38" s="388"/>
      <c r="F38" s="274"/>
      <c r="G38" s="274"/>
      <c r="H38" s="274"/>
    </row>
    <row r="39" spans="2:8" ht="15.75">
      <c r="B39" s="274"/>
      <c r="C39" s="274"/>
      <c r="D39" s="274"/>
      <c r="E39" s="274"/>
      <c r="F39" s="274"/>
      <c r="G39" s="274"/>
      <c r="H39" s="274"/>
    </row>
    <row r="40" spans="2:8" ht="15.75">
      <c r="B40" s="274"/>
      <c r="C40" s="274"/>
      <c r="D40" s="274"/>
      <c r="E40" s="274"/>
      <c r="F40" s="274"/>
      <c r="G40" s="274"/>
      <c r="H40" s="274"/>
    </row>
    <row r="41" spans="2:8" ht="15.75">
      <c r="B41" s="274"/>
      <c r="C41" s="274"/>
      <c r="D41" s="274"/>
      <c r="E41" s="274"/>
      <c r="F41" s="274"/>
      <c r="G41" s="274"/>
      <c r="H41" s="274"/>
    </row>
    <row r="42" spans="2:8" ht="15.75">
      <c r="B42" s="274"/>
      <c r="C42" s="274"/>
      <c r="D42" s="274"/>
      <c r="E42" s="274"/>
      <c r="F42" s="274"/>
      <c r="G42" s="274"/>
      <c r="H42" s="274"/>
    </row>
    <row r="43" spans="2:8" ht="15.75">
      <c r="B43" s="274"/>
      <c r="C43" s="274"/>
      <c r="D43" s="274"/>
      <c r="E43" s="274"/>
      <c r="F43" s="274"/>
      <c r="G43" s="274"/>
      <c r="H43" s="274"/>
    </row>
    <row r="44" spans="2:8" ht="15.75">
      <c r="B44" s="390"/>
      <c r="C44" s="243"/>
      <c r="D44" s="243"/>
      <c r="E44" s="243"/>
      <c r="F44" s="274"/>
      <c r="G44" s="274"/>
      <c r="H44" s="274"/>
    </row>
    <row r="45" spans="2:8" ht="15.75">
      <c r="B45" s="243"/>
      <c r="C45" s="243"/>
      <c r="D45" s="243"/>
      <c r="E45" s="243"/>
      <c r="F45" s="274"/>
      <c r="G45" s="274"/>
      <c r="H45" s="274"/>
    </row>
    <row r="46" spans="2:8" ht="15.75">
      <c r="B46" s="274"/>
      <c r="C46" s="274"/>
      <c r="D46" s="274"/>
      <c r="E46" s="274"/>
      <c r="F46" s="274"/>
      <c r="G46" s="274"/>
      <c r="H46" s="274"/>
    </row>
    <row r="47" spans="2:8" ht="15.75">
      <c r="B47" s="274"/>
      <c r="C47" s="274"/>
      <c r="D47" s="274"/>
      <c r="E47" s="274"/>
      <c r="F47" s="274"/>
      <c r="G47" s="274"/>
      <c r="H47" s="274"/>
    </row>
    <row r="48" spans="2:8" ht="15.75">
      <c r="B48" s="274"/>
      <c r="C48" s="274"/>
      <c r="D48" s="274"/>
      <c r="E48" s="274"/>
      <c r="F48" s="274"/>
      <c r="G48" s="274"/>
      <c r="H48" s="274"/>
    </row>
    <row r="49" spans="2:8" ht="15.75">
      <c r="B49" s="274"/>
      <c r="C49" s="274"/>
      <c r="D49" s="274"/>
      <c r="E49" s="274"/>
      <c r="F49" s="274"/>
      <c r="G49" s="274"/>
      <c r="H49" s="274"/>
    </row>
    <row r="50" spans="2:8" ht="15.75">
      <c r="B50" s="274"/>
      <c r="C50" s="274"/>
      <c r="D50" s="274"/>
      <c r="E50" s="274"/>
      <c r="F50" s="274"/>
      <c r="G50" s="274"/>
      <c r="H50" s="274"/>
    </row>
    <row r="51" spans="2:8" ht="15.75">
      <c r="B51" s="274"/>
      <c r="C51" s="274"/>
      <c r="D51" s="274"/>
      <c r="E51" s="274"/>
      <c r="F51" s="274"/>
      <c r="G51" s="274"/>
      <c r="H51" s="274"/>
    </row>
    <row r="52" spans="2:8" ht="15.75">
      <c r="B52" s="274"/>
      <c r="C52" s="274"/>
      <c r="D52" s="274"/>
      <c r="E52" s="274"/>
      <c r="F52" s="274"/>
      <c r="G52" s="274"/>
      <c r="H52" s="274"/>
    </row>
    <row r="53" spans="2:8" ht="15.75">
      <c r="B53" s="274"/>
      <c r="C53" s="274"/>
      <c r="D53" s="274"/>
      <c r="E53" s="274"/>
      <c r="F53" s="274"/>
      <c r="G53" s="274"/>
      <c r="H53" s="274"/>
    </row>
    <row r="54" spans="2:8" ht="15.75">
      <c r="B54" s="274"/>
      <c r="C54" s="274"/>
      <c r="D54" s="274"/>
      <c r="E54" s="274"/>
      <c r="F54" s="274"/>
      <c r="G54" s="274"/>
      <c r="H54" s="274"/>
    </row>
    <row r="55" spans="2:8" ht="15.75">
      <c r="B55" s="274"/>
      <c r="C55" s="274"/>
      <c r="D55" s="274"/>
      <c r="E55" s="274"/>
      <c r="F55" s="274"/>
      <c r="G55" s="274"/>
      <c r="H55" s="274"/>
    </row>
    <row r="56" spans="2:8" ht="15.75">
      <c r="B56" s="274"/>
      <c r="C56" s="274"/>
      <c r="D56" s="274"/>
      <c r="E56" s="274"/>
      <c r="F56" s="274"/>
      <c r="G56" s="274"/>
      <c r="H56" s="274"/>
    </row>
    <row r="57" spans="2:8" ht="15.75">
      <c r="B57" s="274"/>
      <c r="C57" s="274"/>
      <c r="D57" s="274"/>
      <c r="E57" s="274"/>
      <c r="F57" s="274"/>
      <c r="G57" s="274"/>
      <c r="H57" s="274"/>
    </row>
    <row r="58" spans="2:8" ht="15.75">
      <c r="B58" s="274"/>
      <c r="C58" s="274"/>
      <c r="D58" s="274"/>
      <c r="E58" s="274"/>
      <c r="F58" s="274"/>
      <c r="G58" s="274"/>
      <c r="H58" s="274"/>
    </row>
    <row r="59" spans="2:8" ht="15.75">
      <c r="B59" s="274"/>
      <c r="C59" s="274"/>
      <c r="D59" s="274"/>
      <c r="E59" s="274"/>
      <c r="F59" s="274"/>
      <c r="G59" s="274"/>
      <c r="H59" s="274"/>
    </row>
    <row r="60" spans="2:8" ht="15.75">
      <c r="B60" s="274"/>
      <c r="C60" s="274"/>
      <c r="D60" s="274"/>
      <c r="E60" s="274"/>
      <c r="F60" s="274"/>
      <c r="G60" s="274"/>
      <c r="H60" s="274"/>
    </row>
    <row r="61" spans="2:8" ht="15.75">
      <c r="B61" s="274"/>
      <c r="C61" s="274"/>
      <c r="D61" s="274"/>
      <c r="E61" s="274"/>
      <c r="F61" s="274"/>
      <c r="G61" s="274"/>
      <c r="H61" s="274"/>
    </row>
    <row r="62" spans="2:8" ht="15.75">
      <c r="B62" s="274"/>
      <c r="C62" s="274"/>
      <c r="D62" s="274"/>
      <c r="E62" s="274"/>
      <c r="F62" s="274"/>
      <c r="G62" s="274"/>
      <c r="H62" s="274"/>
    </row>
    <row r="63" spans="2:8" ht="15.75">
      <c r="B63" s="274"/>
      <c r="C63" s="274"/>
      <c r="D63" s="274"/>
      <c r="E63" s="274"/>
      <c r="F63" s="274"/>
      <c r="G63" s="274"/>
      <c r="H63" s="274"/>
    </row>
    <row r="64" spans="2:8" ht="15.75">
      <c r="B64" s="274"/>
      <c r="C64" s="274"/>
      <c r="D64" s="274"/>
      <c r="E64" s="274"/>
      <c r="F64" s="274"/>
      <c r="G64" s="274"/>
      <c r="H64" s="274"/>
    </row>
    <row r="65" spans="2:8" ht="15.75">
      <c r="B65" s="274"/>
      <c r="C65" s="274"/>
      <c r="D65" s="274"/>
      <c r="E65" s="274"/>
      <c r="F65" s="274"/>
      <c r="G65" s="274"/>
      <c r="H65" s="274"/>
    </row>
    <row r="66" spans="2:8" ht="15.75">
      <c r="B66" s="274"/>
      <c r="C66" s="274"/>
      <c r="D66" s="274"/>
      <c r="E66" s="274"/>
      <c r="F66" s="274"/>
      <c r="G66" s="274"/>
      <c r="H66" s="274"/>
    </row>
    <row r="67" spans="2:8" ht="15.75">
      <c r="B67" s="274"/>
      <c r="C67" s="274"/>
      <c r="D67" s="274"/>
      <c r="E67" s="274"/>
      <c r="F67" s="274"/>
      <c r="G67" s="274"/>
      <c r="H67" s="274"/>
    </row>
    <row r="68" spans="2:8" ht="15.75">
      <c r="B68" s="274"/>
      <c r="C68" s="274"/>
      <c r="D68" s="274"/>
      <c r="E68" s="274"/>
      <c r="F68" s="274"/>
      <c r="G68" s="274"/>
      <c r="H68" s="274"/>
    </row>
    <row r="69" spans="2:8" ht="15.75">
      <c r="B69" s="274"/>
      <c r="C69" s="274"/>
      <c r="D69" s="274"/>
      <c r="E69" s="274"/>
      <c r="F69" s="274"/>
      <c r="G69" s="274"/>
      <c r="H69" s="274"/>
    </row>
    <row r="70" spans="2:8" ht="15.75">
      <c r="B70" s="274"/>
      <c r="C70" s="274"/>
      <c r="D70" s="274"/>
      <c r="E70" s="274"/>
      <c r="F70" s="274"/>
      <c r="G70" s="274"/>
      <c r="H70" s="274"/>
    </row>
    <row r="71" spans="2:8" ht="15.75">
      <c r="B71" s="274"/>
      <c r="C71" s="274"/>
      <c r="D71" s="274"/>
      <c r="E71" s="274"/>
      <c r="F71" s="274"/>
      <c r="G71" s="274"/>
      <c r="H71" s="274"/>
    </row>
    <row r="72" spans="2:8" ht="15.75">
      <c r="B72" s="274"/>
      <c r="C72" s="274"/>
      <c r="D72" s="274"/>
      <c r="E72" s="274"/>
      <c r="F72" s="274"/>
      <c r="G72" s="274"/>
      <c r="H72" s="274"/>
    </row>
    <row r="73" spans="2:8" ht="15.75">
      <c r="B73" s="274"/>
      <c r="C73" s="274"/>
      <c r="D73" s="274"/>
      <c r="E73" s="274"/>
      <c r="F73" s="274"/>
      <c r="G73" s="274"/>
      <c r="H73" s="274"/>
    </row>
    <row r="74" spans="2:8" ht="15.75">
      <c r="B74" s="274"/>
      <c r="C74" s="274"/>
      <c r="D74" s="274"/>
      <c r="E74" s="274"/>
      <c r="F74" s="274"/>
      <c r="G74" s="274"/>
      <c r="H74" s="274"/>
    </row>
    <row r="75" spans="2:8" ht="15.75">
      <c r="B75" s="274"/>
      <c r="C75" s="274"/>
      <c r="D75" s="274"/>
      <c r="E75" s="274"/>
      <c r="F75" s="274"/>
      <c r="G75" s="274"/>
      <c r="H75" s="274"/>
    </row>
    <row r="76" spans="2:8" ht="15.75">
      <c r="B76" s="274"/>
      <c r="C76" s="274"/>
      <c r="D76" s="274"/>
      <c r="E76" s="274"/>
      <c r="F76" s="274"/>
      <c r="G76" s="274"/>
      <c r="H76" s="274"/>
    </row>
    <row r="77" spans="2:8" ht="15.75">
      <c r="B77" s="274"/>
      <c r="C77" s="274"/>
      <c r="D77" s="274"/>
      <c r="E77" s="274"/>
      <c r="F77" s="274"/>
      <c r="G77" s="274"/>
      <c r="H77" s="274"/>
    </row>
    <row r="78" spans="2:8" ht="15.75">
      <c r="B78" s="274"/>
      <c r="C78" s="274"/>
      <c r="D78" s="274"/>
      <c r="E78" s="274"/>
      <c r="F78" s="274"/>
      <c r="G78" s="274"/>
      <c r="H78" s="274"/>
    </row>
    <row r="79" spans="2:8" ht="15.75">
      <c r="B79" s="274"/>
      <c r="C79" s="274"/>
      <c r="D79" s="274"/>
      <c r="E79" s="274"/>
      <c r="F79" s="274"/>
      <c r="G79" s="274"/>
      <c r="H79" s="274"/>
    </row>
    <row r="80" spans="2:8" ht="15.75">
      <c r="B80" s="274"/>
      <c r="C80" s="274"/>
      <c r="D80" s="274"/>
      <c r="E80" s="274"/>
      <c r="F80" s="274"/>
      <c r="G80" s="274"/>
      <c r="H80" s="274"/>
    </row>
    <row r="81" spans="2:8" ht="15.75">
      <c r="B81" s="274"/>
      <c r="C81" s="274"/>
      <c r="D81" s="274"/>
      <c r="E81" s="274"/>
      <c r="F81" s="274"/>
      <c r="G81" s="274"/>
      <c r="H81" s="274"/>
    </row>
    <row r="82" spans="2:8" ht="15.75">
      <c r="B82" s="274"/>
      <c r="C82" s="274"/>
      <c r="D82" s="274"/>
      <c r="E82" s="274"/>
      <c r="F82" s="274"/>
      <c r="G82" s="274"/>
      <c r="H82" s="274"/>
    </row>
    <row r="83" spans="2:8" ht="15.75">
      <c r="B83" s="274"/>
      <c r="C83" s="274"/>
      <c r="D83" s="274"/>
      <c r="E83" s="274"/>
      <c r="F83" s="274"/>
      <c r="G83" s="274"/>
      <c r="H83" s="274"/>
    </row>
    <row r="84" spans="2:8" ht="15.75">
      <c r="B84" s="274"/>
      <c r="C84" s="274"/>
      <c r="D84" s="274"/>
      <c r="E84" s="274"/>
      <c r="F84" s="274"/>
      <c r="G84" s="274"/>
      <c r="H84" s="274"/>
    </row>
    <row r="85" spans="2:8" ht="15.75">
      <c r="B85" s="274"/>
      <c r="C85" s="274"/>
      <c r="D85" s="274"/>
      <c r="E85" s="274"/>
      <c r="F85" s="274"/>
      <c r="G85" s="274"/>
      <c r="H85" s="274"/>
    </row>
    <row r="86" spans="2:8" ht="15.75">
      <c r="B86" s="274"/>
      <c r="C86" s="274"/>
      <c r="D86" s="274"/>
      <c r="E86" s="274"/>
      <c r="F86" s="274"/>
      <c r="G86" s="274"/>
      <c r="H86" s="274"/>
    </row>
    <row r="87" spans="2:8" ht="15.75">
      <c r="B87" s="274"/>
      <c r="C87" s="274"/>
      <c r="D87" s="274"/>
      <c r="E87" s="274"/>
      <c r="F87" s="274"/>
      <c r="G87" s="274"/>
      <c r="H87" s="274"/>
    </row>
    <row r="88" spans="2:8" ht="15.75">
      <c r="B88" s="274"/>
      <c r="C88" s="274"/>
      <c r="D88" s="274"/>
      <c r="E88" s="274"/>
      <c r="F88" s="274"/>
      <c r="G88" s="274"/>
      <c r="H88" s="274"/>
    </row>
    <row r="89" spans="2:8" ht="15.75">
      <c r="B89" s="274"/>
      <c r="C89" s="274"/>
      <c r="D89" s="274"/>
      <c r="E89" s="274"/>
      <c r="F89" s="274"/>
      <c r="G89" s="274"/>
      <c r="H89" s="274"/>
    </row>
    <row r="90" spans="2:8" ht="15.75">
      <c r="B90" s="274"/>
      <c r="C90" s="274"/>
      <c r="D90" s="274"/>
      <c r="E90" s="274"/>
      <c r="F90" s="274"/>
      <c r="G90" s="274"/>
      <c r="H90" s="274"/>
    </row>
    <row r="91" spans="2:8" ht="15.75">
      <c r="B91" s="274"/>
      <c r="C91" s="274"/>
      <c r="D91" s="274"/>
      <c r="E91" s="274"/>
      <c r="F91" s="274"/>
      <c r="G91" s="274"/>
      <c r="H91" s="274"/>
    </row>
    <row r="92" spans="2:8" ht="15.75">
      <c r="B92" s="274"/>
      <c r="C92" s="274"/>
      <c r="D92" s="274"/>
      <c r="E92" s="274"/>
      <c r="F92" s="274"/>
      <c r="G92" s="274"/>
      <c r="H92" s="274"/>
    </row>
    <row r="93" spans="2:8" ht="15.75">
      <c r="B93" s="274"/>
      <c r="C93" s="274"/>
      <c r="D93" s="274"/>
      <c r="E93" s="274"/>
      <c r="F93" s="274"/>
      <c r="G93" s="274"/>
      <c r="H93" s="274"/>
    </row>
    <row r="94" spans="2:8" ht="15.75">
      <c r="B94" s="274"/>
      <c r="C94" s="274"/>
      <c r="D94" s="274"/>
      <c r="E94" s="274"/>
      <c r="F94" s="274"/>
      <c r="G94" s="274"/>
      <c r="H94" s="274"/>
    </row>
    <row r="95" spans="2:8" ht="15.75">
      <c r="B95" s="274"/>
      <c r="C95" s="274"/>
      <c r="D95" s="274"/>
      <c r="E95" s="274"/>
      <c r="F95" s="274"/>
      <c r="G95" s="274"/>
      <c r="H95" s="274"/>
    </row>
    <row r="96" spans="2:8" ht="15.75">
      <c r="B96" s="274"/>
      <c r="C96" s="274"/>
      <c r="D96" s="274"/>
      <c r="E96" s="274"/>
      <c r="F96" s="274"/>
      <c r="G96" s="274"/>
      <c r="H96" s="274"/>
    </row>
    <row r="97" spans="2:8" ht="15.75">
      <c r="B97" s="274"/>
      <c r="C97" s="274"/>
      <c r="D97" s="274"/>
      <c r="E97" s="274"/>
      <c r="F97" s="274"/>
      <c r="G97" s="274"/>
      <c r="H97" s="274"/>
    </row>
    <row r="98" spans="2:8" ht="15.75">
      <c r="B98" s="274"/>
      <c r="C98" s="274"/>
      <c r="D98" s="274"/>
      <c r="E98" s="274"/>
      <c r="F98" s="274"/>
      <c r="G98" s="274"/>
      <c r="H98" s="274"/>
    </row>
    <row r="99" spans="2:8" ht="15.75">
      <c r="B99" s="274"/>
      <c r="C99" s="274"/>
      <c r="D99" s="274"/>
      <c r="E99" s="274"/>
      <c r="F99" s="274"/>
      <c r="G99" s="274"/>
      <c r="H99" s="274"/>
    </row>
    <row r="100" spans="2:8" ht="15.75">
      <c r="B100" s="274"/>
      <c r="C100" s="274"/>
      <c r="D100" s="274"/>
      <c r="E100" s="274"/>
      <c r="F100" s="274"/>
      <c r="G100" s="274"/>
      <c r="H100" s="274"/>
    </row>
    <row r="101" spans="2:8" ht="15.75">
      <c r="B101" s="274"/>
      <c r="C101" s="274"/>
      <c r="D101" s="274"/>
      <c r="E101" s="274"/>
      <c r="F101" s="274"/>
      <c r="G101" s="274"/>
      <c r="H101" s="274"/>
    </row>
    <row r="102" spans="2:8" ht="15.75">
      <c r="B102" s="274"/>
      <c r="C102" s="274"/>
      <c r="D102" s="274"/>
      <c r="E102" s="274"/>
      <c r="F102" s="274"/>
      <c r="G102" s="274"/>
      <c r="H102" s="274"/>
    </row>
  </sheetData>
  <mergeCells count="2">
    <mergeCell ref="A8:E8"/>
    <mergeCell ref="A10:E10"/>
  </mergeCells>
  <printOptions/>
  <pageMargins left="0.75" right="0.75" top="1" bottom="1" header="0.5" footer="0.5"/>
  <pageSetup fitToHeight="1" fitToWidth="1" horizontalDpi="600" verticalDpi="600" orientation="portrait" scale="79" r:id="rId1"/>
</worksheet>
</file>

<file path=xl/worksheets/sheet21.xml><?xml version="1.0" encoding="utf-8"?>
<worksheet xmlns="http://schemas.openxmlformats.org/spreadsheetml/2006/main" xmlns:r="http://schemas.openxmlformats.org/officeDocument/2006/relationships">
  <sheetPr>
    <pageSetUpPr fitToPage="1"/>
  </sheetPr>
  <dimension ref="A1:H32"/>
  <sheetViews>
    <sheetView workbookViewId="0" topLeftCell="A1">
      <selection activeCell="E1" sqref="E1"/>
    </sheetView>
  </sheetViews>
  <sheetFormatPr defaultColWidth="9.33203125" defaultRowHeight="11.25"/>
  <cols>
    <col min="1" max="1" width="5.16015625" style="395" customWidth="1"/>
    <col min="2" max="2" width="51.16015625" style="395" customWidth="1"/>
    <col min="3" max="3" width="9.33203125" style="395" customWidth="1"/>
    <col min="4" max="4" width="16.16015625" style="395" customWidth="1"/>
    <col min="5" max="5" width="22.16015625" style="395" customWidth="1"/>
    <col min="6" max="6" width="4.16015625" style="395" customWidth="1"/>
    <col min="7" max="7" width="13.83203125" style="395" customWidth="1"/>
    <col min="8" max="16384" width="9.33203125" style="395" customWidth="1"/>
  </cols>
  <sheetData>
    <row r="1" spans="1:5" ht="15.75">
      <c r="A1" s="785"/>
      <c r="B1" s="785"/>
      <c r="E1" s="367" t="s">
        <v>1522</v>
      </c>
    </row>
    <row r="2" spans="1:5" ht="15.75">
      <c r="A2" s="785"/>
      <c r="B2" s="785"/>
      <c r="E2" s="141" t="s">
        <v>1177</v>
      </c>
    </row>
    <row r="3" spans="1:5" ht="15.75">
      <c r="A3" s="785"/>
      <c r="B3" s="785"/>
      <c r="E3" s="367" t="s">
        <v>1207</v>
      </c>
    </row>
    <row r="4" spans="1:2" ht="11.25">
      <c r="A4" s="785"/>
      <c r="B4" s="785"/>
    </row>
    <row r="5" spans="1:2" ht="11.25">
      <c r="A5" s="785"/>
      <c r="B5" s="785"/>
    </row>
    <row r="6" spans="1:2" ht="11.25">
      <c r="A6" s="785"/>
      <c r="B6" s="785"/>
    </row>
    <row r="7" spans="1:2" ht="11.25">
      <c r="A7" s="785"/>
      <c r="B7" s="785"/>
    </row>
    <row r="8" spans="1:5" ht="15.75">
      <c r="A8" s="396" t="s">
        <v>658</v>
      </c>
      <c r="B8" s="397"/>
      <c r="C8" s="398"/>
      <c r="D8" s="399"/>
      <c r="E8" s="400"/>
    </row>
    <row r="9" spans="1:5" ht="15.75">
      <c r="A9" s="601" t="s">
        <v>1208</v>
      </c>
      <c r="B9" s="401"/>
      <c r="C9" s="402"/>
      <c r="D9" s="403"/>
      <c r="E9" s="404"/>
    </row>
    <row r="10" spans="1:5" ht="15.75">
      <c r="A10" s="405" t="s">
        <v>659</v>
      </c>
      <c r="B10" s="406"/>
      <c r="C10" s="407"/>
      <c r="D10" s="408"/>
      <c r="E10" s="409"/>
    </row>
    <row r="11" spans="1:5" ht="15.75">
      <c r="A11" s="786" t="s">
        <v>1000</v>
      </c>
      <c r="B11" s="787"/>
      <c r="C11" s="788"/>
      <c r="D11" s="789"/>
      <c r="E11" s="790"/>
    </row>
    <row r="12" spans="1:5" ht="15.75">
      <c r="A12" s="791" t="s">
        <v>1006</v>
      </c>
      <c r="B12" s="416" t="s">
        <v>1007</v>
      </c>
      <c r="D12" s="417" t="s">
        <v>373</v>
      </c>
      <c r="E12" s="418" t="s">
        <v>1084</v>
      </c>
    </row>
    <row r="13" spans="1:5" ht="15.75">
      <c r="A13" s="792"/>
      <c r="B13" s="420" t="s">
        <v>1012</v>
      </c>
      <c r="D13" s="421" t="s">
        <v>1013</v>
      </c>
      <c r="E13" s="422" t="s">
        <v>1016</v>
      </c>
    </row>
    <row r="14" spans="1:5" ht="11.25">
      <c r="A14" s="423"/>
      <c r="B14" s="424"/>
      <c r="C14" s="423"/>
      <c r="D14" s="424"/>
      <c r="E14" s="425"/>
    </row>
    <row r="15" spans="1:5" ht="15.75">
      <c r="A15" s="793"/>
      <c r="B15" s="427" t="s">
        <v>1209</v>
      </c>
      <c r="C15" s="426"/>
      <c r="D15" s="428"/>
      <c r="E15" s="429"/>
    </row>
    <row r="16" spans="1:5" ht="15.75">
      <c r="A16" s="793">
        <v>1</v>
      </c>
      <c r="B16" s="315" t="s">
        <v>1481</v>
      </c>
      <c r="C16" s="430"/>
      <c r="D16" s="318">
        <v>2788927</v>
      </c>
      <c r="E16" s="431"/>
    </row>
    <row r="17" spans="1:5" ht="15.75">
      <c r="A17" s="793">
        <v>2</v>
      </c>
      <c r="B17" s="316" t="s">
        <v>1482</v>
      </c>
      <c r="C17" s="432"/>
      <c r="D17" s="240">
        <v>0.0342</v>
      </c>
      <c r="E17" s="318"/>
    </row>
    <row r="18" spans="1:6" ht="18">
      <c r="A18" s="793">
        <v>3</v>
      </c>
      <c r="B18" s="316" t="s">
        <v>1483</v>
      </c>
      <c r="C18" s="434"/>
      <c r="D18" s="435"/>
      <c r="E18" s="317">
        <f>ROUND(+D16*D17,0)</f>
        <v>95381</v>
      </c>
      <c r="F18" s="375" t="s">
        <v>295</v>
      </c>
    </row>
    <row r="19" spans="1:5" ht="11.25">
      <c r="A19" s="436"/>
      <c r="B19" s="437"/>
      <c r="C19" s="436"/>
      <c r="D19" s="437"/>
      <c r="E19" s="438"/>
    </row>
    <row r="20" spans="1:8" ht="18.75">
      <c r="A20" s="300"/>
      <c r="B20" s="300"/>
      <c r="C20" s="300"/>
      <c r="D20" s="300"/>
      <c r="E20" s="300"/>
      <c r="F20" s="300"/>
      <c r="G20" s="300"/>
      <c r="H20" s="300"/>
    </row>
    <row r="21" spans="2:8" ht="18.75">
      <c r="B21" s="301"/>
      <c r="C21" s="301"/>
      <c r="D21" s="301"/>
      <c r="E21" s="301"/>
      <c r="F21" s="301"/>
      <c r="G21" s="301"/>
      <c r="H21" s="301"/>
    </row>
    <row r="22" spans="1:8" ht="15.75">
      <c r="A22" s="387" t="s">
        <v>1210</v>
      </c>
      <c r="B22" s="302"/>
      <c r="C22" s="302"/>
      <c r="D22" s="302"/>
      <c r="E22" s="302"/>
      <c r="F22" s="302"/>
      <c r="G22" s="302"/>
      <c r="H22" s="302"/>
    </row>
    <row r="23" spans="1:8" ht="15.75">
      <c r="A23" s="387"/>
      <c r="B23" s="303"/>
      <c r="C23" s="303"/>
      <c r="D23" s="303"/>
      <c r="E23" s="303"/>
      <c r="F23" s="303"/>
      <c r="G23" s="303"/>
      <c r="H23" s="303"/>
    </row>
    <row r="24" spans="1:8" ht="12.75">
      <c r="A24" s="304" t="s">
        <v>458</v>
      </c>
      <c r="B24" s="304"/>
      <c r="C24" s="304"/>
      <c r="D24" s="304"/>
      <c r="E24" s="304"/>
      <c r="F24" s="304"/>
      <c r="G24" s="304"/>
      <c r="H24" s="304"/>
    </row>
    <row r="25" spans="1:8" ht="12.75">
      <c r="A25" s="304"/>
      <c r="B25" s="303"/>
      <c r="C25" s="304"/>
      <c r="D25" s="304"/>
      <c r="E25" s="304"/>
      <c r="F25" s="304"/>
      <c r="G25" s="304"/>
      <c r="H25" s="304"/>
    </row>
    <row r="26" spans="1:8" ht="12.75">
      <c r="A26" s="305"/>
      <c r="B26" s="304"/>
      <c r="C26" s="306"/>
      <c r="D26" s="304"/>
      <c r="E26" s="304"/>
      <c r="F26" s="304"/>
      <c r="G26" s="307"/>
      <c r="H26" s="304"/>
    </row>
    <row r="27" spans="1:8" ht="12.75">
      <c r="A27" s="305"/>
      <c r="B27" s="304"/>
      <c r="C27" s="306"/>
      <c r="D27" s="304"/>
      <c r="E27" s="304"/>
      <c r="F27" s="304"/>
      <c r="G27" s="307"/>
      <c r="H27" s="304"/>
    </row>
    <row r="28" spans="1:8" ht="15.75">
      <c r="A28" s="303"/>
      <c r="B28" s="303"/>
      <c r="D28" s="309"/>
      <c r="E28" s="309"/>
      <c r="F28" s="309"/>
      <c r="H28" s="304"/>
    </row>
    <row r="29" spans="1:8" ht="15.75">
      <c r="A29" s="303"/>
      <c r="B29" s="303"/>
      <c r="C29" s="309"/>
      <c r="D29" s="309"/>
      <c r="E29" s="309"/>
      <c r="F29" s="311"/>
      <c r="G29" s="312"/>
      <c r="H29" s="304"/>
    </row>
    <row r="30" spans="1:8" ht="15.75">
      <c r="A30" s="303"/>
      <c r="B30" s="305"/>
      <c r="C30" s="308"/>
      <c r="D30" s="309"/>
      <c r="E30" s="309"/>
      <c r="F30" s="309"/>
      <c r="G30" s="312"/>
      <c r="H30" s="304"/>
    </row>
    <row r="31" spans="1:8" ht="18">
      <c r="A31" s="303"/>
      <c r="B31" s="303"/>
      <c r="D31" s="309"/>
      <c r="E31" s="309"/>
      <c r="F31" s="309"/>
      <c r="G31" s="313"/>
      <c r="H31" s="304"/>
    </row>
    <row r="32" spans="1:8" ht="12.75">
      <c r="A32" s="305"/>
      <c r="B32" s="306"/>
      <c r="C32" s="306"/>
      <c r="D32" s="304"/>
      <c r="E32" s="304"/>
      <c r="F32" s="304"/>
      <c r="G32" s="304"/>
      <c r="H32" s="304"/>
    </row>
  </sheetData>
  <printOptions/>
  <pageMargins left="0.75" right="0.75" top="1" bottom="1" header="0.5" footer="0.5"/>
  <pageSetup fitToHeight="1" fitToWidth="1" horizontalDpi="600" verticalDpi="600" orientation="portrait" scale="88" r:id="rId1"/>
</worksheet>
</file>

<file path=xl/worksheets/sheet22.xml><?xml version="1.0" encoding="utf-8"?>
<worksheet xmlns="http://schemas.openxmlformats.org/spreadsheetml/2006/main" xmlns:r="http://schemas.openxmlformats.org/officeDocument/2006/relationships">
  <dimension ref="A1:H40"/>
  <sheetViews>
    <sheetView workbookViewId="0" topLeftCell="A1">
      <selection activeCell="F1" sqref="F1"/>
    </sheetView>
  </sheetViews>
  <sheetFormatPr defaultColWidth="9.33203125" defaultRowHeight="11.25"/>
  <cols>
    <col min="1" max="1" width="7.16015625" style="395" customWidth="1"/>
    <col min="2" max="2" width="36.83203125" style="395" customWidth="1"/>
    <col min="3" max="3" width="14.83203125" style="395" customWidth="1"/>
    <col min="4" max="4" width="9.33203125" style="395" customWidth="1"/>
    <col min="5" max="5" width="12.83203125" style="395" bestFit="1" customWidth="1"/>
    <col min="6" max="6" width="13.83203125" style="395" bestFit="1" customWidth="1"/>
    <col min="7" max="16384" width="9.33203125" style="395" customWidth="1"/>
  </cols>
  <sheetData>
    <row r="1" ht="15.75">
      <c r="F1" s="367" t="s">
        <v>1522</v>
      </c>
    </row>
    <row r="2" ht="15.75">
      <c r="F2" s="141" t="s">
        <v>1177</v>
      </c>
    </row>
    <row r="3" ht="15.75">
      <c r="F3" s="367" t="s">
        <v>1204</v>
      </c>
    </row>
    <row r="6" spans="1:6" ht="15.75">
      <c r="A6" s="396" t="s">
        <v>658</v>
      </c>
      <c r="B6" s="397"/>
      <c r="C6" s="399"/>
      <c r="D6" s="399"/>
      <c r="E6" s="399"/>
      <c r="F6" s="400"/>
    </row>
    <row r="7" spans="1:6" ht="15.75">
      <c r="A7" s="314" t="s">
        <v>1203</v>
      </c>
      <c r="B7" s="401"/>
      <c r="C7" s="403"/>
      <c r="D7" s="403"/>
      <c r="E7" s="403"/>
      <c r="F7" s="404"/>
    </row>
    <row r="8" spans="1:6" ht="15.75">
      <c r="A8" s="405" t="s">
        <v>659</v>
      </c>
      <c r="B8" s="406"/>
      <c r="C8" s="403"/>
      <c r="D8" s="408"/>
      <c r="E8" s="408"/>
      <c r="F8" s="409"/>
    </row>
    <row r="9" spans="1:6" ht="15.75">
      <c r="A9" s="410" t="s">
        <v>1000</v>
      </c>
      <c r="B9" s="439"/>
      <c r="C9" s="440"/>
      <c r="D9" s="441" t="s">
        <v>54</v>
      </c>
      <c r="E9" s="413"/>
      <c r="F9" s="414"/>
    </row>
    <row r="10" spans="1:6" ht="15.75">
      <c r="A10" s="415" t="s">
        <v>1006</v>
      </c>
      <c r="B10" s="416" t="s">
        <v>1007</v>
      </c>
      <c r="C10" s="442" t="s">
        <v>997</v>
      </c>
      <c r="D10" s="442" t="s">
        <v>327</v>
      </c>
      <c r="E10" s="417" t="s">
        <v>382</v>
      </c>
      <c r="F10" s="418" t="s">
        <v>1073</v>
      </c>
    </row>
    <row r="11" spans="1:6" ht="15.75">
      <c r="A11" s="419"/>
      <c r="B11" s="420" t="s">
        <v>1012</v>
      </c>
      <c r="C11" s="421" t="s">
        <v>1013</v>
      </c>
      <c r="D11" s="422" t="s">
        <v>1014</v>
      </c>
      <c r="E11" s="422" t="s">
        <v>1074</v>
      </c>
      <c r="F11" s="422" t="s">
        <v>1016</v>
      </c>
    </row>
    <row r="12" spans="1:6" ht="11.25">
      <c r="A12" s="423"/>
      <c r="B12" s="424"/>
      <c r="C12" s="443"/>
      <c r="D12" s="424"/>
      <c r="E12" s="424"/>
      <c r="F12" s="425"/>
    </row>
    <row r="13" spans="1:6" ht="12.75">
      <c r="A13" s="426"/>
      <c r="B13" s="427"/>
      <c r="C13" s="444"/>
      <c r="D13" s="428"/>
      <c r="E13" s="428"/>
      <c r="F13" s="429"/>
    </row>
    <row r="14" spans="1:6" ht="15.75">
      <c r="A14" s="445"/>
      <c r="B14" s="315"/>
      <c r="C14" s="446"/>
      <c r="D14" s="447"/>
      <c r="E14" s="447"/>
      <c r="F14" s="431"/>
    </row>
    <row r="15" spans="1:6" ht="15.75">
      <c r="A15" s="234">
        <v>1</v>
      </c>
      <c r="B15" s="315" t="s">
        <v>328</v>
      </c>
      <c r="C15" s="446">
        <v>17500</v>
      </c>
      <c r="D15" s="449">
        <v>0.7706</v>
      </c>
      <c r="E15" s="447">
        <f>ROUND(+C15*D15,0)</f>
        <v>13486</v>
      </c>
      <c r="F15" s="431">
        <f>-E15</f>
        <v>-13486</v>
      </c>
    </row>
    <row r="16" spans="1:6" ht="15.75">
      <c r="A16" s="234">
        <v>2</v>
      </c>
      <c r="B16" s="315" t="s">
        <v>329</v>
      </c>
      <c r="C16" s="446">
        <v>154869</v>
      </c>
      <c r="D16" s="449">
        <v>0.7706</v>
      </c>
      <c r="E16" s="447">
        <f>ROUND(+C16*D16,2)</f>
        <v>119342.05</v>
      </c>
      <c r="F16" s="431">
        <f>E16</f>
        <v>119342.05</v>
      </c>
    </row>
    <row r="17" spans="1:6" ht="15.75">
      <c r="A17" s="234"/>
      <c r="B17" s="315"/>
      <c r="C17" s="446"/>
      <c r="D17" s="447"/>
      <c r="E17" s="447"/>
      <c r="F17" s="431"/>
    </row>
    <row r="18" spans="1:6" ht="15.75" hidden="1">
      <c r="A18" s="234">
        <v>3</v>
      </c>
      <c r="B18" s="315"/>
      <c r="C18" s="446"/>
      <c r="D18" s="449"/>
      <c r="E18" s="447"/>
      <c r="F18" s="431"/>
    </row>
    <row r="19" spans="1:6" ht="15.75" hidden="1">
      <c r="A19" s="234"/>
      <c r="B19" s="315"/>
      <c r="C19" s="446"/>
      <c r="D19" s="447"/>
      <c r="E19" s="447"/>
      <c r="F19" s="431"/>
    </row>
    <row r="20" spans="1:6" ht="15.75" hidden="1">
      <c r="A20" s="234"/>
      <c r="B20" s="315"/>
      <c r="C20" s="446"/>
      <c r="D20" s="447"/>
      <c r="E20" s="447"/>
      <c r="F20" s="431"/>
    </row>
    <row r="21" spans="1:6" ht="15.75" hidden="1">
      <c r="A21" s="234">
        <v>4</v>
      </c>
      <c r="B21" s="315"/>
      <c r="C21" s="451"/>
      <c r="D21" s="449">
        <v>0.7706</v>
      </c>
      <c r="E21" s="447">
        <f>ROUND(+C21*D21,2)</f>
        <v>0</v>
      </c>
      <c r="F21" s="431">
        <f>-E21</f>
        <v>0</v>
      </c>
    </row>
    <row r="22" spans="1:6" ht="15.75" hidden="1">
      <c r="A22" s="450"/>
      <c r="B22" s="315"/>
      <c r="C22" s="451"/>
      <c r="D22" s="449"/>
      <c r="E22" s="433"/>
      <c r="F22" s="431"/>
    </row>
    <row r="23" spans="1:6" ht="15.75" hidden="1">
      <c r="A23" s="445"/>
      <c r="B23" s="315"/>
      <c r="C23" s="451"/>
      <c r="D23" s="433"/>
      <c r="E23" s="433"/>
      <c r="F23" s="431"/>
    </row>
    <row r="24" spans="1:6" ht="15.75" hidden="1">
      <c r="A24" s="234">
        <v>5</v>
      </c>
      <c r="B24" s="315"/>
      <c r="C24" s="451"/>
      <c r="D24" s="433"/>
      <c r="E24" s="447">
        <f>+C24</f>
        <v>0</v>
      </c>
      <c r="F24" s="431">
        <f>-E24</f>
        <v>0</v>
      </c>
    </row>
    <row r="25" spans="1:6" ht="15.75" hidden="1">
      <c r="A25" s="234">
        <v>6</v>
      </c>
      <c r="B25" s="315"/>
      <c r="C25" s="451"/>
      <c r="D25" s="449">
        <v>0.7706</v>
      </c>
      <c r="E25" s="447">
        <f>ROUND(+C25*D25,2)</f>
        <v>0</v>
      </c>
      <c r="F25" s="431">
        <f>-E25</f>
        <v>0</v>
      </c>
    </row>
    <row r="26" spans="1:6" ht="15.75" hidden="1">
      <c r="A26" s="234"/>
      <c r="B26" s="315"/>
      <c r="C26" s="451"/>
      <c r="D26" s="433"/>
      <c r="E26" s="433"/>
      <c r="F26" s="431"/>
    </row>
    <row r="27" spans="1:7" ht="18">
      <c r="A27" s="234">
        <v>3</v>
      </c>
      <c r="B27" s="316" t="s">
        <v>62</v>
      </c>
      <c r="C27" s="451"/>
      <c r="D27" s="433"/>
      <c r="E27" s="433"/>
      <c r="F27" s="317">
        <f>SUM(F15:F26)</f>
        <v>105856.05</v>
      </c>
      <c r="G27" s="1115" t="s">
        <v>295</v>
      </c>
    </row>
    <row r="28" spans="1:6" ht="18">
      <c r="A28" s="234"/>
      <c r="B28" s="428"/>
      <c r="C28" s="452"/>
      <c r="D28" s="435"/>
      <c r="E28" s="435"/>
      <c r="F28" s="431"/>
    </row>
    <row r="29" spans="1:6" ht="11.25">
      <c r="A29" s="436"/>
      <c r="B29" s="437"/>
      <c r="C29" s="453"/>
      <c r="D29" s="437"/>
      <c r="E29" s="437"/>
      <c r="F29" s="438"/>
    </row>
    <row r="31" ht="15.75">
      <c r="A31" s="1115" t="s">
        <v>1205</v>
      </c>
    </row>
    <row r="33" ht="12.75">
      <c r="A33" s="363" t="s">
        <v>63</v>
      </c>
    </row>
    <row r="36" spans="2:7" ht="12.75">
      <c r="B36" s="304"/>
      <c r="C36" s="306"/>
      <c r="D36" s="306"/>
      <c r="E36" s="304"/>
      <c r="F36" s="304"/>
      <c r="G36" s="307"/>
    </row>
    <row r="37" spans="1:8" ht="15.75">
      <c r="A37" s="305"/>
      <c r="B37" s="303"/>
      <c r="C37" s="308"/>
      <c r="D37" s="308"/>
      <c r="E37" s="309"/>
      <c r="F37" s="309"/>
      <c r="G37" s="309"/>
      <c r="H37" s="310"/>
    </row>
    <row r="38" spans="1:8" ht="15.75">
      <c r="A38" s="303"/>
      <c r="B38" s="305"/>
      <c r="C38" s="308"/>
      <c r="D38" s="308"/>
      <c r="E38" s="309"/>
      <c r="F38" s="309"/>
      <c r="G38" s="311"/>
      <c r="H38" s="312"/>
    </row>
    <row r="39" spans="1:8" ht="15.75">
      <c r="A39" s="303"/>
      <c r="B39" s="305"/>
      <c r="C39" s="308"/>
      <c r="D39" s="308"/>
      <c r="E39" s="309"/>
      <c r="F39" s="309"/>
      <c r="G39" s="309"/>
      <c r="H39" s="312"/>
    </row>
    <row r="40" spans="1:8" ht="18">
      <c r="A40" s="303"/>
      <c r="B40" s="303"/>
      <c r="C40" s="308"/>
      <c r="D40" s="308"/>
      <c r="E40" s="309"/>
      <c r="F40" s="309"/>
      <c r="G40" s="309"/>
      <c r="H40" s="313"/>
    </row>
  </sheetData>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H35"/>
  <sheetViews>
    <sheetView workbookViewId="0" topLeftCell="A1">
      <selection activeCell="E1" sqref="E1"/>
    </sheetView>
  </sheetViews>
  <sheetFormatPr defaultColWidth="9.33203125" defaultRowHeight="11.25"/>
  <cols>
    <col min="1" max="1" width="5.16015625" style="395" customWidth="1"/>
    <col min="2" max="2" width="47" style="395" customWidth="1"/>
    <col min="3" max="3" width="9.33203125" style="395" customWidth="1"/>
    <col min="4" max="4" width="15" style="395" customWidth="1"/>
    <col min="5" max="5" width="16.33203125" style="395" bestFit="1" customWidth="1"/>
    <col min="6" max="6" width="9.33203125" style="395" customWidth="1"/>
    <col min="7" max="7" width="13.5" style="395" customWidth="1"/>
    <col min="8" max="16384" width="9.33203125" style="395" customWidth="1"/>
  </cols>
  <sheetData>
    <row r="1" ht="15.75">
      <c r="E1" s="519" t="s">
        <v>1522</v>
      </c>
    </row>
    <row r="2" ht="15.75">
      <c r="E2" s="520" t="s">
        <v>1177</v>
      </c>
    </row>
    <row r="3" ht="15.75">
      <c r="E3" s="519" t="s">
        <v>1212</v>
      </c>
    </row>
    <row r="8" spans="1:5" ht="15.75">
      <c r="A8" s="396" t="s">
        <v>658</v>
      </c>
      <c r="B8" s="397"/>
      <c r="C8" s="398"/>
      <c r="D8" s="399"/>
      <c r="E8" s="400"/>
    </row>
    <row r="9" spans="1:7" ht="15.75">
      <c r="A9" s="314" t="s">
        <v>1211</v>
      </c>
      <c r="B9" s="401"/>
      <c r="C9" s="402"/>
      <c r="D9" s="403"/>
      <c r="E9" s="404"/>
      <c r="G9" s="448"/>
    </row>
    <row r="10" spans="1:5" ht="15.75">
      <c r="A10" s="405" t="s">
        <v>659</v>
      </c>
      <c r="B10" s="406"/>
      <c r="C10" s="407"/>
      <c r="D10" s="408"/>
      <c r="E10" s="409"/>
    </row>
    <row r="11" spans="1:5" ht="15.75">
      <c r="A11" s="410" t="s">
        <v>1000</v>
      </c>
      <c r="B11" s="411"/>
      <c r="C11" s="412"/>
      <c r="D11" s="413"/>
      <c r="E11" s="414"/>
    </row>
    <row r="12" spans="1:5" ht="15.75">
      <c r="A12" s="415" t="s">
        <v>1006</v>
      </c>
      <c r="B12" s="416" t="s">
        <v>1007</v>
      </c>
      <c r="D12" s="417" t="s">
        <v>373</v>
      </c>
      <c r="E12" s="418" t="s">
        <v>1084</v>
      </c>
    </row>
    <row r="13" spans="1:5" ht="15.75">
      <c r="A13" s="419"/>
      <c r="B13" s="420" t="s">
        <v>1012</v>
      </c>
      <c r="D13" s="421" t="s">
        <v>1013</v>
      </c>
      <c r="E13" s="422" t="s">
        <v>1016</v>
      </c>
    </row>
    <row r="14" spans="1:5" ht="11.25">
      <c r="A14" s="423"/>
      <c r="B14" s="424"/>
      <c r="C14" s="423"/>
      <c r="D14" s="424"/>
      <c r="E14" s="425"/>
    </row>
    <row r="15" spans="1:5" ht="12.75">
      <c r="A15" s="426"/>
      <c r="B15" s="427"/>
      <c r="C15" s="426"/>
      <c r="D15" s="428"/>
      <c r="E15" s="429"/>
    </row>
    <row r="16" spans="1:5" ht="15.75">
      <c r="A16" s="521">
        <v>1</v>
      </c>
      <c r="B16" s="315" t="s">
        <v>990</v>
      </c>
      <c r="C16" s="430"/>
      <c r="D16" s="318">
        <v>-101285</v>
      </c>
      <c r="E16" s="431"/>
    </row>
    <row r="17" spans="1:5" ht="15.75">
      <c r="A17" s="521">
        <v>2</v>
      </c>
      <c r="B17" s="316" t="s">
        <v>991</v>
      </c>
      <c r="C17" s="432"/>
      <c r="D17" s="522">
        <v>-5256</v>
      </c>
      <c r="E17" s="523"/>
    </row>
    <row r="18" spans="1:5" ht="15.75">
      <c r="A18" s="521">
        <v>3</v>
      </c>
      <c r="B18" s="316" t="s">
        <v>992</v>
      </c>
      <c r="C18" s="432"/>
      <c r="D18" s="433"/>
      <c r="E18" s="318">
        <f>+D16+D17</f>
        <v>-106541</v>
      </c>
    </row>
    <row r="19" spans="1:5" ht="15.75">
      <c r="A19" s="426"/>
      <c r="B19" s="427"/>
      <c r="C19" s="432"/>
      <c r="D19" s="433"/>
      <c r="E19" s="318"/>
    </row>
    <row r="20" spans="1:5" ht="12" customHeight="1">
      <c r="A20" s="426"/>
      <c r="B20" s="316"/>
      <c r="C20" s="432"/>
      <c r="D20" s="433"/>
      <c r="E20" s="317"/>
    </row>
    <row r="21" spans="1:6" ht="18">
      <c r="A21" s="521">
        <v>4</v>
      </c>
      <c r="B21" s="433" t="s">
        <v>993</v>
      </c>
      <c r="C21" s="434"/>
      <c r="D21" s="435"/>
      <c r="E21" s="317">
        <f>+E18/3</f>
        <v>-35513.666666666664</v>
      </c>
      <c r="F21" s="1115" t="s">
        <v>295</v>
      </c>
    </row>
    <row r="22" spans="1:5" ht="11.25">
      <c r="A22" s="436"/>
      <c r="B22" s="437"/>
      <c r="C22" s="436"/>
      <c r="D22" s="437"/>
      <c r="E22" s="438"/>
    </row>
    <row r="23" spans="1:8" ht="18.75">
      <c r="A23" s="300"/>
      <c r="B23" s="300"/>
      <c r="C23" s="300"/>
      <c r="D23" s="300"/>
      <c r="E23" s="300"/>
      <c r="F23" s="300"/>
      <c r="G23" s="300"/>
      <c r="H23" s="300"/>
    </row>
    <row r="24" spans="1:8" ht="18.75">
      <c r="A24" s="1115" t="s">
        <v>1213</v>
      </c>
      <c r="B24" s="301"/>
      <c r="C24" s="301"/>
      <c r="D24" s="301"/>
      <c r="E24" s="301"/>
      <c r="F24" s="301"/>
      <c r="G24" s="301"/>
      <c r="H24" s="301"/>
    </row>
    <row r="25" spans="1:8" ht="15.75">
      <c r="A25" s="302"/>
      <c r="B25" s="302"/>
      <c r="C25" s="302"/>
      <c r="D25" s="302"/>
      <c r="E25" s="302"/>
      <c r="F25" s="302"/>
      <c r="G25" s="302"/>
      <c r="H25" s="302"/>
    </row>
    <row r="26" spans="1:8" ht="12.75">
      <c r="A26" s="303"/>
      <c r="B26" s="303"/>
      <c r="C26" s="303"/>
      <c r="D26" s="303"/>
      <c r="E26" s="303"/>
      <c r="F26" s="303"/>
      <c r="G26" s="303"/>
      <c r="H26" s="303"/>
    </row>
    <row r="27" spans="1:8" ht="12.75">
      <c r="A27" s="304" t="s">
        <v>458</v>
      </c>
      <c r="B27" s="304"/>
      <c r="C27" s="304"/>
      <c r="D27" s="304"/>
      <c r="E27" s="304"/>
      <c r="F27" s="304"/>
      <c r="G27" s="304"/>
      <c r="H27" s="304"/>
    </row>
    <row r="28" spans="1:8" ht="12.75">
      <c r="A28" s="304"/>
      <c r="B28" s="303"/>
      <c r="C28" s="304"/>
      <c r="D28" s="304"/>
      <c r="E28" s="304"/>
      <c r="F28" s="304"/>
      <c r="G28" s="304"/>
      <c r="H28" s="304"/>
    </row>
    <row r="29" spans="1:8" ht="12.75">
      <c r="A29" s="305"/>
      <c r="B29" s="304"/>
      <c r="C29" s="306"/>
      <c r="D29" s="304"/>
      <c r="E29" s="304"/>
      <c r="F29" s="304"/>
      <c r="G29" s="307"/>
      <c r="H29" s="304"/>
    </row>
    <row r="30" spans="1:8" ht="12.75">
      <c r="A30" s="305"/>
      <c r="B30" s="304"/>
      <c r="C30" s="306"/>
      <c r="D30" s="304"/>
      <c r="E30" s="304"/>
      <c r="F30" s="304"/>
      <c r="G30" s="307"/>
      <c r="H30" s="304"/>
    </row>
    <row r="31" spans="1:8" ht="15.75">
      <c r="A31" s="303"/>
      <c r="B31" s="303"/>
      <c r="D31" s="309"/>
      <c r="E31" s="309"/>
      <c r="F31" s="309"/>
      <c r="H31" s="304"/>
    </row>
    <row r="32" spans="1:8" ht="15.75">
      <c r="A32" s="303"/>
      <c r="B32" s="303"/>
      <c r="C32" s="309"/>
      <c r="D32" s="309"/>
      <c r="E32" s="309"/>
      <c r="F32" s="311"/>
      <c r="G32" s="312"/>
      <c r="H32" s="304"/>
    </row>
    <row r="33" spans="1:8" ht="15.75">
      <c r="A33" s="303"/>
      <c r="B33" s="305"/>
      <c r="C33" s="308"/>
      <c r="D33" s="309"/>
      <c r="E33" s="309"/>
      <c r="F33" s="309"/>
      <c r="G33" s="312"/>
      <c r="H33" s="304"/>
    </row>
    <row r="34" spans="1:8" ht="18">
      <c r="A34" s="303"/>
      <c r="B34" s="303"/>
      <c r="D34" s="309"/>
      <c r="E34" s="309"/>
      <c r="F34" s="309"/>
      <c r="G34" s="313"/>
      <c r="H34" s="304"/>
    </row>
    <row r="35" spans="1:8" ht="12.75">
      <c r="A35" s="305"/>
      <c r="B35" s="306"/>
      <c r="C35" s="306"/>
      <c r="D35" s="304"/>
      <c r="E35" s="304"/>
      <c r="F35" s="304"/>
      <c r="G35" s="304"/>
      <c r="H35" s="304"/>
    </row>
  </sheetData>
  <printOptions/>
  <pageMargins left="0.75" right="0.75" top="1" bottom="1" header="0.5" footer="0.5"/>
  <pageSetup fitToHeight="1" fitToWidth="1" horizontalDpi="600" verticalDpi="600" orientation="portrait" scale="93" r:id="rId1"/>
</worksheet>
</file>

<file path=xl/worksheets/sheet24.xml><?xml version="1.0" encoding="utf-8"?>
<worksheet xmlns="http://schemas.openxmlformats.org/spreadsheetml/2006/main" xmlns:r="http://schemas.openxmlformats.org/officeDocument/2006/relationships">
  <sheetPr>
    <pageSetUpPr fitToPage="1"/>
  </sheetPr>
  <dimension ref="A1:E30"/>
  <sheetViews>
    <sheetView workbookViewId="0" topLeftCell="A1">
      <selection activeCell="B18" sqref="B18"/>
    </sheetView>
  </sheetViews>
  <sheetFormatPr defaultColWidth="9.33203125" defaultRowHeight="11.25"/>
  <cols>
    <col min="1" max="1" width="9.5" style="0" customWidth="1"/>
    <col min="2" max="2" width="86.83203125" style="0" bestFit="1" customWidth="1"/>
    <col min="3" max="3" width="5.5" style="0" customWidth="1"/>
    <col min="4" max="4" width="25.33203125" style="0" customWidth="1"/>
  </cols>
  <sheetData>
    <row r="1" spans="1:4" ht="15.75">
      <c r="A1" s="308"/>
      <c r="B1" s="308"/>
      <c r="C1" s="308"/>
      <c r="D1" s="308"/>
    </row>
    <row r="2" spans="1:4" ht="15.75">
      <c r="A2" s="308"/>
      <c r="B2" s="308"/>
      <c r="C2" s="308"/>
      <c r="D2" s="308" t="s">
        <v>1522</v>
      </c>
    </row>
    <row r="3" spans="1:4" ht="15.75">
      <c r="A3" s="308"/>
      <c r="B3" s="308"/>
      <c r="C3" s="308"/>
      <c r="D3" s="308" t="s">
        <v>1170</v>
      </c>
    </row>
    <row r="4" spans="1:4" ht="15.75">
      <c r="A4" s="308"/>
      <c r="B4" s="308"/>
      <c r="C4" s="308"/>
      <c r="D4" s="308" t="s">
        <v>1229</v>
      </c>
    </row>
    <row r="5" spans="1:4" ht="15.75">
      <c r="A5" s="308"/>
      <c r="B5" s="308"/>
      <c r="C5" s="308"/>
      <c r="D5" s="308"/>
    </row>
    <row r="6" spans="1:4" ht="15.75">
      <c r="A6" s="308"/>
      <c r="B6" s="308"/>
      <c r="C6" s="308"/>
      <c r="D6" s="308"/>
    </row>
    <row r="7" spans="1:4" ht="15.75">
      <c r="A7" s="308"/>
      <c r="B7" s="308"/>
      <c r="C7" s="308"/>
      <c r="D7" s="308"/>
    </row>
    <row r="8" spans="1:4" ht="15.75">
      <c r="A8" s="1224" t="s">
        <v>658</v>
      </c>
      <c r="B8" s="1225"/>
      <c r="C8" s="1225"/>
      <c r="D8" s="1226"/>
    </row>
    <row r="9" spans="1:4" ht="20.25">
      <c r="A9" s="588"/>
      <c r="B9" s="1214" t="s">
        <v>1224</v>
      </c>
      <c r="C9" s="1214"/>
      <c r="D9" s="1215"/>
    </row>
    <row r="10" spans="1:4" ht="15.75">
      <c r="A10" s="543"/>
      <c r="B10" s="589"/>
      <c r="C10" s="590"/>
      <c r="D10" s="543"/>
    </row>
    <row r="11" spans="1:4" ht="15.75">
      <c r="A11" s="376" t="s">
        <v>377</v>
      </c>
      <c r="B11" s="1227" t="s">
        <v>1007</v>
      </c>
      <c r="C11" s="1228"/>
      <c r="D11" s="376" t="s">
        <v>1084</v>
      </c>
    </row>
    <row r="12" spans="1:4" ht="15.75">
      <c r="A12" s="530"/>
      <c r="B12" s="1229" t="s">
        <v>1012</v>
      </c>
      <c r="C12" s="1230"/>
      <c r="D12" s="531" t="s">
        <v>1014</v>
      </c>
    </row>
    <row r="13" spans="1:4" ht="15.75">
      <c r="A13" s="1023" t="s">
        <v>1021</v>
      </c>
      <c r="B13" s="591" t="s">
        <v>1226</v>
      </c>
      <c r="C13" s="308"/>
      <c r="D13" s="546">
        <v>81373.84</v>
      </c>
    </row>
    <row r="14" spans="1:4" ht="15.75" customHeight="1">
      <c r="A14" s="1023"/>
      <c r="B14" s="276"/>
      <c r="C14" s="276"/>
      <c r="D14" s="238"/>
    </row>
    <row r="15" spans="1:4" ht="15.75">
      <c r="A15" s="1023" t="s">
        <v>1023</v>
      </c>
      <c r="B15" s="1216" t="s">
        <v>1227</v>
      </c>
      <c r="C15" s="1217"/>
      <c r="D15" s="1203">
        <f>+D13</f>
        <v>81373.84</v>
      </c>
    </row>
    <row r="16" spans="1:4" ht="15.75">
      <c r="A16" s="1023"/>
      <c r="B16" s="276"/>
      <c r="C16" s="276"/>
      <c r="D16" s="238"/>
    </row>
    <row r="17" spans="1:5" ht="16.5" thickBot="1">
      <c r="A17" s="1023" t="s">
        <v>1025</v>
      </c>
      <c r="B17" s="1211" t="s">
        <v>1228</v>
      </c>
      <c r="C17" s="1212"/>
      <c r="D17" s="1140">
        <f>+D13+D15</f>
        <v>162747.68</v>
      </c>
      <c r="E17" s="308" t="s">
        <v>295</v>
      </c>
    </row>
    <row r="18" spans="1:4" ht="16.5" thickTop="1">
      <c r="A18" s="1206"/>
      <c r="B18" s="276"/>
      <c r="C18" s="276"/>
      <c r="D18" s="238"/>
    </row>
    <row r="19" spans="1:4" ht="15.75">
      <c r="A19" s="1207"/>
      <c r="B19" s="1205"/>
      <c r="C19" s="1205"/>
      <c r="D19" s="1205"/>
    </row>
    <row r="20" spans="1:4" ht="15.75">
      <c r="A20" s="1208"/>
      <c r="B20" s="276"/>
      <c r="C20" s="276"/>
      <c r="D20" s="276"/>
    </row>
    <row r="21" spans="1:4" ht="15.75">
      <c r="A21" s="1208"/>
      <c r="B21" s="276"/>
      <c r="C21" s="276"/>
      <c r="D21" s="276"/>
    </row>
    <row r="22" spans="1:4" ht="15.75">
      <c r="A22" s="1208"/>
      <c r="B22" s="276"/>
      <c r="C22" s="276"/>
      <c r="D22" s="276"/>
    </row>
    <row r="23" spans="1:4" ht="15.75">
      <c r="A23" s="1208"/>
      <c r="B23" s="276"/>
      <c r="C23" s="276"/>
      <c r="D23" s="276"/>
    </row>
    <row r="24" spans="1:4" ht="15.75">
      <c r="A24" s="1208"/>
      <c r="B24" s="276"/>
      <c r="C24" s="276"/>
      <c r="D24" s="1204"/>
    </row>
    <row r="25" spans="1:4" ht="15.75">
      <c r="A25" s="1208"/>
      <c r="B25" s="276"/>
      <c r="C25" s="276"/>
      <c r="D25" s="276"/>
    </row>
    <row r="26" spans="1:4" ht="15.75">
      <c r="A26" s="1208"/>
      <c r="B26" s="276"/>
      <c r="C26" s="276"/>
      <c r="D26" s="286"/>
    </row>
    <row r="27" spans="1:4" ht="15.75">
      <c r="A27" s="276"/>
      <c r="B27" s="276"/>
      <c r="C27" s="276"/>
      <c r="D27" s="276"/>
    </row>
    <row r="28" spans="1:4" ht="15.75">
      <c r="A28" s="308"/>
      <c r="B28" s="308"/>
      <c r="C28" s="308"/>
      <c r="D28" s="308"/>
    </row>
    <row r="29" spans="1:4" ht="15.75">
      <c r="A29" s="308" t="s">
        <v>1225</v>
      </c>
      <c r="B29" s="308"/>
      <c r="C29" s="308"/>
      <c r="D29" s="308"/>
    </row>
    <row r="30" spans="1:4" ht="15.75">
      <c r="A30" s="308"/>
      <c r="B30" s="308"/>
      <c r="C30" s="308"/>
      <c r="D30" s="308"/>
    </row>
  </sheetData>
  <mergeCells count="6">
    <mergeCell ref="B15:C15"/>
    <mergeCell ref="B17:C17"/>
    <mergeCell ref="A8:D8"/>
    <mergeCell ref="B9:D9"/>
    <mergeCell ref="B11:C11"/>
    <mergeCell ref="B12:C12"/>
  </mergeCells>
  <printOptions/>
  <pageMargins left="0.75" right="0.75" top="1" bottom="1" header="0.5" footer="0.5"/>
  <pageSetup fitToHeight="1" fitToWidth="1" horizontalDpi="600" verticalDpi="600" orientation="portrait" scale="85" r:id="rId1"/>
</worksheet>
</file>

<file path=xl/worksheets/sheet25.xml><?xml version="1.0" encoding="utf-8"?>
<worksheet xmlns="http://schemas.openxmlformats.org/spreadsheetml/2006/main" xmlns:r="http://schemas.openxmlformats.org/officeDocument/2006/relationships">
  <sheetPr>
    <pageSetUpPr fitToPage="1"/>
  </sheetPr>
  <dimension ref="A1:I27"/>
  <sheetViews>
    <sheetView workbookViewId="0" topLeftCell="A1">
      <selection activeCell="D2" sqref="D2"/>
    </sheetView>
  </sheetViews>
  <sheetFormatPr defaultColWidth="9.33203125" defaultRowHeight="11.25"/>
  <cols>
    <col min="2" max="2" width="7.5" style="0" customWidth="1"/>
    <col min="3" max="3" width="43.16015625" style="0" customWidth="1"/>
    <col min="4" max="4" width="12.33203125" style="0" customWidth="1"/>
    <col min="5" max="5" width="14.5" style="0" customWidth="1"/>
    <col min="6" max="6" width="17.5" style="0" bestFit="1" customWidth="1"/>
  </cols>
  <sheetData>
    <row r="1" ht="15.75">
      <c r="D1" s="37" t="s">
        <v>1522</v>
      </c>
    </row>
    <row r="2" ht="15.75">
      <c r="D2" s="141" t="s">
        <v>1177</v>
      </c>
    </row>
    <row r="3" ht="15.75">
      <c r="D3" s="141" t="s">
        <v>1178</v>
      </c>
    </row>
    <row r="6" spans="1:5" ht="15.75">
      <c r="A6" s="1275" t="s">
        <v>658</v>
      </c>
      <c r="B6" s="1276"/>
      <c r="C6" s="1276"/>
      <c r="D6" s="1276"/>
      <c r="E6" s="1277"/>
    </row>
    <row r="7" spans="1:5" ht="15.75">
      <c r="A7" s="1272" t="s">
        <v>1176</v>
      </c>
      <c r="B7" s="1273"/>
      <c r="C7" s="1273"/>
      <c r="D7" s="1273"/>
      <c r="E7" s="1274"/>
    </row>
    <row r="8" spans="1:5" ht="15.75">
      <c r="A8" s="1278" t="s">
        <v>659</v>
      </c>
      <c r="B8" s="1279"/>
      <c r="C8" s="1279"/>
      <c r="D8" s="1279"/>
      <c r="E8" s="1280"/>
    </row>
    <row r="9" spans="1:5" ht="15.75">
      <c r="A9" s="187"/>
      <c r="B9" s="100"/>
      <c r="C9" s="101"/>
      <c r="D9" s="100"/>
      <c r="E9" s="101"/>
    </row>
    <row r="10" spans="1:5" ht="15.75">
      <c r="A10" s="330" t="s">
        <v>1000</v>
      </c>
      <c r="B10" s="329"/>
      <c r="C10" s="190"/>
      <c r="D10" s="189"/>
      <c r="E10" s="190"/>
    </row>
    <row r="11" spans="1:5" ht="15.75">
      <c r="A11" s="331" t="s">
        <v>1006</v>
      </c>
      <c r="B11" s="327"/>
      <c r="C11" s="328" t="s">
        <v>1007</v>
      </c>
      <c r="D11" s="1278" t="s">
        <v>386</v>
      </c>
      <c r="E11" s="1280"/>
    </row>
    <row r="12" spans="1:5" ht="15.75">
      <c r="A12" s="332"/>
      <c r="B12" s="319"/>
      <c r="C12" s="333" t="s">
        <v>1012</v>
      </c>
      <c r="D12" s="1270" t="s">
        <v>1013</v>
      </c>
      <c r="E12" s="1271"/>
    </row>
    <row r="13" spans="1:6" ht="15.75">
      <c r="A13" s="330">
        <v>1</v>
      </c>
      <c r="B13" s="189" t="s">
        <v>387</v>
      </c>
      <c r="C13" s="190"/>
      <c r="D13" s="189"/>
      <c r="E13" s="334">
        <v>1</v>
      </c>
      <c r="F13" s="364"/>
    </row>
    <row r="14" spans="1:5" ht="15.75">
      <c r="A14" s="330">
        <v>2</v>
      </c>
      <c r="B14" s="189" t="s">
        <v>388</v>
      </c>
      <c r="C14" s="190"/>
      <c r="D14" s="189"/>
      <c r="E14" s="365">
        <v>0.003079319973151928</v>
      </c>
    </row>
    <row r="15" spans="1:5" ht="15.75">
      <c r="A15" s="330">
        <v>3</v>
      </c>
      <c r="B15" s="189" t="s">
        <v>389</v>
      </c>
      <c r="C15" s="190"/>
      <c r="D15" s="189"/>
      <c r="E15" s="334">
        <f>+E13-E14</f>
        <v>0.9969206800268481</v>
      </c>
    </row>
    <row r="16" spans="1:9" ht="15.75">
      <c r="A16" s="330"/>
      <c r="B16" s="189"/>
      <c r="C16" s="190"/>
      <c r="D16" s="335"/>
      <c r="E16" s="190"/>
      <c r="I16">
        <f>+PFU</f>
        <v>0.003079319973151928</v>
      </c>
    </row>
    <row r="17" spans="1:9" ht="15.75">
      <c r="A17" s="330"/>
      <c r="B17" s="189" t="s">
        <v>390</v>
      </c>
      <c r="C17" s="190"/>
      <c r="D17" s="335"/>
      <c r="E17" s="190"/>
      <c r="I17">
        <f>+OTI</f>
        <v>0.040301384594634185</v>
      </c>
    </row>
    <row r="18" spans="1:9" ht="15.75">
      <c r="A18" s="330">
        <v>4</v>
      </c>
      <c r="B18" s="189"/>
      <c r="C18" s="190" t="s">
        <v>391</v>
      </c>
      <c r="D18" s="336">
        <v>0.0019</v>
      </c>
      <c r="E18" s="190"/>
      <c r="I18">
        <f>+E14+E20</f>
        <v>0.043380704567786116</v>
      </c>
    </row>
    <row r="19" spans="1:9" ht="15.75">
      <c r="A19" s="330">
        <v>5</v>
      </c>
      <c r="B19" s="189"/>
      <c r="C19" s="190" t="s">
        <v>392</v>
      </c>
      <c r="D19" s="337">
        <v>0</v>
      </c>
      <c r="E19" s="190"/>
      <c r="I19">
        <f>1/(1-I18)</f>
        <v>1.0453479297092645</v>
      </c>
    </row>
    <row r="20" spans="1:5" ht="15.75">
      <c r="A20" s="330">
        <v>6</v>
      </c>
      <c r="B20" s="189"/>
      <c r="C20" s="190" t="s">
        <v>394</v>
      </c>
      <c r="D20" s="338">
        <f>+E15*0.03852</f>
        <v>0.038401384594634186</v>
      </c>
      <c r="E20" s="339">
        <f>SUM(D18:D20)</f>
        <v>0.040301384594634185</v>
      </c>
    </row>
    <row r="21" spans="1:7" ht="15.75">
      <c r="A21" s="330"/>
      <c r="B21" s="189"/>
      <c r="C21" s="190"/>
      <c r="D21" s="335"/>
      <c r="E21" s="101"/>
      <c r="F21" s="366"/>
      <c r="G21" s="143"/>
    </row>
    <row r="22" spans="1:5" ht="15.75">
      <c r="A22" s="330">
        <v>7</v>
      </c>
      <c r="B22" s="189" t="s">
        <v>395</v>
      </c>
      <c r="C22" s="190"/>
      <c r="D22" s="335"/>
      <c r="E22" s="340">
        <f>+E15-E20</f>
        <v>0.9566192954322139</v>
      </c>
    </row>
    <row r="23" spans="1:5" ht="15.75">
      <c r="A23" s="330">
        <v>8</v>
      </c>
      <c r="B23" s="189" t="s">
        <v>1175</v>
      </c>
      <c r="C23" s="190"/>
      <c r="D23" s="189"/>
      <c r="E23" s="341">
        <f>+E22*0.34</f>
        <v>0.3252505604469528</v>
      </c>
    </row>
    <row r="24" spans="1:5" ht="15.75">
      <c r="A24" s="330"/>
      <c r="B24" s="189"/>
      <c r="C24" s="190"/>
      <c r="D24" s="335"/>
      <c r="E24" s="190"/>
    </row>
    <row r="25" spans="1:5" ht="16.5" thickBot="1">
      <c r="A25" s="330">
        <v>9</v>
      </c>
      <c r="B25" s="189" t="s">
        <v>396</v>
      </c>
      <c r="C25" s="190"/>
      <c r="D25" s="335"/>
      <c r="E25" s="342">
        <f>+E22-E23</f>
        <v>0.6313687349852611</v>
      </c>
    </row>
    <row r="26" spans="1:5" ht="12" thickTop="1">
      <c r="A26" s="134"/>
      <c r="B26" s="154"/>
      <c r="C26" s="155"/>
      <c r="D26" s="343"/>
      <c r="E26" s="155"/>
    </row>
    <row r="27" spans="1:5" ht="11.25">
      <c r="A27" s="118"/>
      <c r="B27" s="156"/>
      <c r="C27" s="157"/>
      <c r="D27" s="156"/>
      <c r="E27" s="157"/>
    </row>
  </sheetData>
  <mergeCells count="5">
    <mergeCell ref="D12:E12"/>
    <mergeCell ref="A7:E7"/>
    <mergeCell ref="A6:E6"/>
    <mergeCell ref="A8:E8"/>
    <mergeCell ref="D11:E11"/>
  </mergeCells>
  <printOptions/>
  <pageMargins left="0.75" right="0.75" top="1" bottom="1" header="0.5" footer="0.5"/>
  <pageSetup fitToHeight="1" fitToWidth="1" horizontalDpi="600" verticalDpi="600" orientation="portrait" r:id="rId1"/>
</worksheet>
</file>

<file path=xl/worksheets/sheet26.xml><?xml version="1.0" encoding="utf-8"?>
<worksheet xmlns="http://schemas.openxmlformats.org/spreadsheetml/2006/main" xmlns:r="http://schemas.openxmlformats.org/officeDocument/2006/relationships">
  <sheetPr>
    <pageSetUpPr fitToPage="1"/>
  </sheetPr>
  <dimension ref="A1:F45"/>
  <sheetViews>
    <sheetView showGridLines="0" tabSelected="1" workbookViewId="0" topLeftCell="A13">
      <selection activeCell="C19" sqref="C19"/>
    </sheetView>
  </sheetViews>
  <sheetFormatPr defaultColWidth="9.33203125" defaultRowHeight="11.25"/>
  <cols>
    <col min="1" max="1" width="10.66015625" style="1161" customWidth="1"/>
    <col min="2" max="2" width="2.5" style="1161" customWidth="1"/>
    <col min="3" max="3" width="70.5" style="1161" bestFit="1" customWidth="1"/>
    <col min="4" max="4" width="15.5" style="1161" customWidth="1"/>
    <col min="5" max="16384" width="10.66015625" style="1161" customWidth="1"/>
  </cols>
  <sheetData>
    <row r="1" ht="12.75">
      <c r="D1" s="1161" t="s">
        <v>1522</v>
      </c>
    </row>
    <row r="2" ht="12.75">
      <c r="D2" s="1161" t="s">
        <v>1523</v>
      </c>
    </row>
    <row r="3" ht="12.75">
      <c r="D3" s="1161" t="s">
        <v>314</v>
      </c>
    </row>
    <row r="5" spans="1:4" ht="15.75">
      <c r="A5" s="1162" t="s">
        <v>658</v>
      </c>
      <c r="B5" s="1163"/>
      <c r="C5" s="1164"/>
      <c r="D5" s="1165"/>
    </row>
    <row r="6" spans="1:4" ht="20.25">
      <c r="A6" s="1166" t="s">
        <v>1524</v>
      </c>
      <c r="B6" s="1167"/>
      <c r="C6" s="1168"/>
      <c r="D6" s="1169"/>
    </row>
    <row r="7" spans="1:4" ht="15.75">
      <c r="A7" s="1170" t="s">
        <v>659</v>
      </c>
      <c r="B7" s="1171"/>
      <c r="C7" s="1172"/>
      <c r="D7" s="1173"/>
    </row>
    <row r="8" spans="1:4" ht="12.75">
      <c r="A8" s="1174"/>
      <c r="B8" s="1175"/>
      <c r="C8" s="1176"/>
      <c r="D8" s="1176"/>
    </row>
    <row r="9" spans="1:4" ht="12.75">
      <c r="A9" s="1177" t="s">
        <v>1000</v>
      </c>
      <c r="B9" s="1178"/>
      <c r="C9" s="1179"/>
      <c r="D9" s="1179" t="s">
        <v>997</v>
      </c>
    </row>
    <row r="10" spans="1:4" ht="12.75">
      <c r="A10" s="1180" t="s">
        <v>1006</v>
      </c>
      <c r="B10" s="1181"/>
      <c r="C10" s="1182" t="s">
        <v>1007</v>
      </c>
      <c r="D10" s="1182" t="s">
        <v>1525</v>
      </c>
    </row>
    <row r="11" spans="1:4" ht="12.75">
      <c r="A11" s="1183"/>
      <c r="B11" s="1184"/>
      <c r="C11" s="1185" t="s">
        <v>1012</v>
      </c>
      <c r="D11" s="1185" t="s">
        <v>1013</v>
      </c>
    </row>
    <row r="12" spans="1:4" ht="12.75">
      <c r="A12" s="1186"/>
      <c r="B12" s="1178"/>
      <c r="C12" s="1179"/>
      <c r="D12" s="1179"/>
    </row>
    <row r="13" spans="1:4" ht="12.75">
      <c r="A13" s="1177">
        <v>1</v>
      </c>
      <c r="B13" s="1178"/>
      <c r="C13" s="1187" t="s">
        <v>1526</v>
      </c>
      <c r="D13" s="359">
        <v>316028180</v>
      </c>
    </row>
    <row r="14" spans="1:4" ht="12.75">
      <c r="A14" s="1186"/>
      <c r="B14" s="1178"/>
      <c r="C14" s="1187"/>
      <c r="D14" s="356"/>
    </row>
    <row r="15" spans="1:4" ht="12.75">
      <c r="A15" s="1177">
        <v>2</v>
      </c>
      <c r="B15" s="1178"/>
      <c r="C15" s="1187" t="s">
        <v>1527</v>
      </c>
      <c r="D15" s="356">
        <v>280809475</v>
      </c>
    </row>
    <row r="16" spans="1:4" ht="12.75">
      <c r="A16" s="1177">
        <v>3</v>
      </c>
      <c r="B16" s="1178"/>
      <c r="C16" s="1187" t="s">
        <v>1528</v>
      </c>
      <c r="D16" s="1188">
        <f>11821323</f>
        <v>11821323</v>
      </c>
    </row>
    <row r="17" spans="1:4" ht="12.75">
      <c r="A17" s="1177">
        <v>4</v>
      </c>
      <c r="B17" s="1178"/>
      <c r="C17" s="1187" t="s">
        <v>625</v>
      </c>
      <c r="D17" s="1188">
        <f>30263.28</f>
        <v>30263.28</v>
      </c>
    </row>
    <row r="18" spans="1:4" ht="12.75">
      <c r="A18" s="1177">
        <v>5</v>
      </c>
      <c r="B18" s="1178"/>
      <c r="C18" s="1187" t="s">
        <v>627</v>
      </c>
      <c r="D18" s="1188">
        <f>5777812.61</f>
        <v>5777812.61</v>
      </c>
    </row>
    <row r="19" spans="1:4" ht="12.75">
      <c r="A19" s="1177">
        <v>6</v>
      </c>
      <c r="B19" s="1178"/>
      <c r="C19" s="1187" t="s">
        <v>626</v>
      </c>
      <c r="D19" s="1188">
        <f>3585894.76</f>
        <v>3585894.76</v>
      </c>
    </row>
    <row r="20" spans="1:4" ht="12.75">
      <c r="A20" s="1177">
        <v>7</v>
      </c>
      <c r="B20" s="1178"/>
      <c r="C20" s="1187" t="s">
        <v>1529</v>
      </c>
      <c r="D20" s="358">
        <f>SUM(D16:D19)</f>
        <v>21215293.65</v>
      </c>
    </row>
    <row r="21" spans="1:4" ht="12.75">
      <c r="A21" s="1177">
        <v>8</v>
      </c>
      <c r="B21" s="1178"/>
      <c r="C21" s="1187" t="s">
        <v>1530</v>
      </c>
      <c r="D21" s="359">
        <f>+D20+D15</f>
        <v>302024768.65</v>
      </c>
    </row>
    <row r="22" spans="1:4" ht="12.75">
      <c r="A22" s="1177"/>
      <c r="B22" s="1178"/>
      <c r="C22" s="1187"/>
      <c r="D22" s="356"/>
    </row>
    <row r="23" spans="1:4" ht="12.75">
      <c r="A23" s="1177"/>
      <c r="B23" s="1178"/>
      <c r="C23" s="1187"/>
      <c r="D23" s="356"/>
    </row>
    <row r="24" spans="1:4" ht="13.5" thickBot="1">
      <c r="A24" s="1177">
        <v>9</v>
      </c>
      <c r="B24" s="1178"/>
      <c r="C24" s="1187" t="s">
        <v>1531</v>
      </c>
      <c r="D24" s="1189">
        <f>+D13-D21</f>
        <v>14003411.350000024</v>
      </c>
    </row>
    <row r="25" spans="1:4" ht="13.5" thickTop="1">
      <c r="A25" s="1177"/>
      <c r="B25" s="1178"/>
      <c r="C25" s="1187"/>
      <c r="D25" s="1187"/>
    </row>
    <row r="26" spans="1:4" ht="13.5" thickBot="1">
      <c r="A26" s="1177">
        <v>10</v>
      </c>
      <c r="B26" s="1178"/>
      <c r="C26" s="1187" t="s">
        <v>1532</v>
      </c>
      <c r="D26" s="1190">
        <f>ROUND(D24/D21,4)</f>
        <v>0.0464</v>
      </c>
    </row>
    <row r="27" spans="1:4" ht="13.5" thickTop="1">
      <c r="A27" s="1191"/>
      <c r="B27" s="1181"/>
      <c r="C27" s="1192"/>
      <c r="D27" s="1192"/>
    </row>
    <row r="28" spans="1:6" ht="15.75">
      <c r="A28" s="1162" t="s">
        <v>658</v>
      </c>
      <c r="B28" s="1163"/>
      <c r="C28" s="1164"/>
      <c r="D28" s="1165"/>
      <c r="E28" s="1193"/>
      <c r="F28" s="1193"/>
    </row>
    <row r="29" spans="1:6" ht="20.25">
      <c r="A29" s="1166" t="s">
        <v>1524</v>
      </c>
      <c r="B29" s="1167"/>
      <c r="C29" s="1168"/>
      <c r="D29" s="1169"/>
      <c r="E29" s="1193"/>
      <c r="F29" s="1193"/>
    </row>
    <row r="30" spans="1:6" ht="15.75">
      <c r="A30" s="1170" t="s">
        <v>659</v>
      </c>
      <c r="B30" s="1171"/>
      <c r="C30" s="1172"/>
      <c r="D30" s="1173"/>
      <c r="E30" s="1193"/>
      <c r="F30" s="1193"/>
    </row>
    <row r="31" spans="1:4" ht="12.75">
      <c r="A31" s="1194" t="s">
        <v>1000</v>
      </c>
      <c r="B31" s="1175"/>
      <c r="C31" s="1195"/>
      <c r="D31" s="1196"/>
    </row>
    <row r="32" spans="1:4" ht="12.75">
      <c r="A32" s="1180" t="s">
        <v>1006</v>
      </c>
      <c r="B32" s="1181"/>
      <c r="C32" s="1182" t="s">
        <v>1007</v>
      </c>
      <c r="D32" s="1182" t="s">
        <v>382</v>
      </c>
    </row>
    <row r="33" spans="1:4" ht="12.75">
      <c r="A33" s="1183"/>
      <c r="B33" s="1184"/>
      <c r="C33" s="1185" t="s">
        <v>1012</v>
      </c>
      <c r="D33" s="1185" t="s">
        <v>1013</v>
      </c>
    </row>
    <row r="34" spans="1:4" ht="12.75">
      <c r="A34" s="1174"/>
      <c r="B34" s="1175"/>
      <c r="C34" s="1176"/>
      <c r="D34" s="1176"/>
    </row>
    <row r="35" spans="1:4" ht="12.75">
      <c r="A35" s="1177">
        <v>1</v>
      </c>
      <c r="B35" s="1178"/>
      <c r="C35" s="1187" t="s">
        <v>1533</v>
      </c>
      <c r="D35" s="357">
        <f>+'[3]Sched 3'!G17</f>
        <v>462674857</v>
      </c>
    </row>
    <row r="36" spans="1:4" ht="12.75">
      <c r="A36" s="1177">
        <v>2</v>
      </c>
      <c r="B36" s="1178"/>
      <c r="C36" s="1187" t="s">
        <v>1534</v>
      </c>
      <c r="D36" s="356">
        <f>+'[3]Sched 3'!G28</f>
        <v>-199419250</v>
      </c>
    </row>
    <row r="37" spans="1:4" ht="12.75">
      <c r="A37" s="1177">
        <v>3</v>
      </c>
      <c r="B37" s="1178"/>
      <c r="C37" s="1187" t="s">
        <v>1535</v>
      </c>
      <c r="D37" s="356">
        <f>+'[3]Sched 3'!G32</f>
        <v>-4356248</v>
      </c>
    </row>
    <row r="38" spans="1:4" s="1201" customFormat="1" ht="12.75">
      <c r="A38" s="1197">
        <v>4</v>
      </c>
      <c r="B38" s="1198"/>
      <c r="C38" s="1199" t="s">
        <v>1536</v>
      </c>
      <c r="D38" s="1200">
        <f>ROUND((-47291745-598948)*'[3]Sched 5'!C18,0)</f>
        <v>-37922174</v>
      </c>
    </row>
    <row r="39" spans="1:4" ht="12.75">
      <c r="A39" s="1177"/>
      <c r="B39" s="1178"/>
      <c r="C39" s="1187"/>
      <c r="D39" s="356"/>
    </row>
    <row r="40" spans="1:4" ht="12.75">
      <c r="A40" s="1177">
        <v>5</v>
      </c>
      <c r="B40" s="1178"/>
      <c r="C40" s="1187" t="s">
        <v>1537</v>
      </c>
      <c r="D40" s="357">
        <f>SUM(D35:D39)</f>
        <v>220977185</v>
      </c>
    </row>
    <row r="41" spans="1:4" ht="12.75">
      <c r="A41" s="1177"/>
      <c r="B41" s="1178"/>
      <c r="C41" s="1187"/>
      <c r="D41" s="1187"/>
    </row>
    <row r="42" spans="1:4" ht="12.75">
      <c r="A42" s="1177">
        <v>6</v>
      </c>
      <c r="B42" s="1178"/>
      <c r="C42" s="1187" t="s">
        <v>344</v>
      </c>
      <c r="D42" s="1202">
        <f>+D26</f>
        <v>0.0464</v>
      </c>
    </row>
    <row r="43" spans="1:4" ht="12.75">
      <c r="A43" s="1177"/>
      <c r="B43" s="1178"/>
      <c r="C43" s="1187"/>
      <c r="D43" s="1187"/>
    </row>
    <row r="44" spans="1:4" ht="13.5" thickBot="1">
      <c r="A44" s="1177">
        <v>7</v>
      </c>
      <c r="B44" s="1178"/>
      <c r="C44" s="1187" t="s">
        <v>1538</v>
      </c>
      <c r="D44" s="360">
        <f>ROUND(D40*D42,0)</f>
        <v>10253341</v>
      </c>
    </row>
    <row r="45" spans="1:4" ht="13.5" thickTop="1">
      <c r="A45" s="1191"/>
      <c r="B45" s="1181"/>
      <c r="C45" s="1192"/>
      <c r="D45" s="1192"/>
    </row>
  </sheetData>
  <printOptions horizontalCentered="1"/>
  <pageMargins left="1.04" right="0.9" top="0.9" bottom="1" header="0.5" footer="0.5"/>
  <pageSetup fitToHeight="1" fitToWidth="1" horizontalDpi="300" verticalDpi="300" orientation="portrait" r:id="rId1"/>
  <rowBreaks count="1" manualBreakCount="1">
    <brk id="19" max="65535" man="1"/>
  </rowBreaks>
</worksheet>
</file>

<file path=xl/worksheets/sheet27.xml><?xml version="1.0" encoding="utf-8"?>
<worksheet xmlns="http://schemas.openxmlformats.org/spreadsheetml/2006/main" xmlns:r="http://schemas.openxmlformats.org/officeDocument/2006/relationships">
  <sheetPr>
    <pageSetUpPr fitToPage="1"/>
  </sheetPr>
  <dimension ref="A1:K40"/>
  <sheetViews>
    <sheetView workbookViewId="0" topLeftCell="A1">
      <selection activeCell="G2" sqref="G2"/>
    </sheetView>
  </sheetViews>
  <sheetFormatPr defaultColWidth="9.33203125" defaultRowHeight="11.25"/>
  <cols>
    <col min="1" max="1" width="6" style="297" customWidth="1"/>
    <col min="2" max="2" width="28.33203125" style="297" customWidth="1"/>
    <col min="3" max="3" width="9.33203125" style="297" customWidth="1"/>
    <col min="4" max="4" width="4.16015625" style="297" customWidth="1"/>
    <col min="5" max="5" width="15.5" style="297" customWidth="1"/>
    <col min="6" max="8" width="17" style="297" customWidth="1"/>
    <col min="9" max="9" width="0.4921875" style="297" customWidth="1"/>
    <col min="10" max="10" width="9.33203125" style="297" customWidth="1"/>
    <col min="11" max="11" width="12.5" style="297" bestFit="1" customWidth="1"/>
    <col min="12" max="16384" width="9.33203125" style="297" customWidth="1"/>
  </cols>
  <sheetData>
    <row r="1" spans="2:7" ht="15.75">
      <c r="B1" s="1028"/>
      <c r="F1" s="297"/>
      <c r="G1" s="37" t="s">
        <v>1522</v>
      </c>
    </row>
    <row r="2" spans="2:7" ht="15.75">
      <c r="B2" s="1028"/>
      <c r="F2" s="297"/>
      <c r="G2" s="141" t="s">
        <v>1539</v>
      </c>
    </row>
    <row r="3" spans="2:7" ht="15.75">
      <c r="B3" s="1028"/>
      <c r="F3" s="297"/>
      <c r="G3" s="141" t="s">
        <v>314</v>
      </c>
    </row>
    <row r="4" ht="15.75">
      <c r="G4" s="611"/>
    </row>
    <row r="5" ht="1.5" customHeight="1"/>
    <row r="6" ht="1.5" customHeight="1"/>
    <row r="7" spans="1:8" ht="11.25">
      <c r="A7" s="143"/>
      <c r="B7" s="143"/>
      <c r="C7" s="143"/>
      <c r="D7" s="143"/>
      <c r="E7" s="143"/>
      <c r="F7" s="143"/>
      <c r="G7" s="143"/>
      <c r="H7" s="143"/>
    </row>
    <row r="8" spans="1:9" ht="15.75">
      <c r="A8" s="1238" t="s">
        <v>658</v>
      </c>
      <c r="B8" s="1239"/>
      <c r="C8" s="1239"/>
      <c r="D8" s="1239"/>
      <c r="E8" s="1239"/>
      <c r="F8" s="1239"/>
      <c r="G8" s="1239"/>
      <c r="H8" s="1239"/>
      <c r="I8" s="1240"/>
    </row>
    <row r="9" spans="1:9" ht="15.75">
      <c r="A9" s="1235" t="s">
        <v>147</v>
      </c>
      <c r="B9" s="1236"/>
      <c r="C9" s="1236"/>
      <c r="D9" s="1236"/>
      <c r="E9" s="1236"/>
      <c r="F9" s="1236"/>
      <c r="G9" s="1236"/>
      <c r="H9" s="1236"/>
      <c r="I9" s="1237"/>
    </row>
    <row r="10" spans="1:9" ht="15.75">
      <c r="A10" s="1267" t="s">
        <v>659</v>
      </c>
      <c r="B10" s="1268"/>
      <c r="C10" s="1268"/>
      <c r="D10" s="1268"/>
      <c r="E10" s="1268"/>
      <c r="F10" s="1268"/>
      <c r="G10" s="1268"/>
      <c r="H10" s="1268"/>
      <c r="I10" s="1269"/>
    </row>
    <row r="11" spans="1:9" ht="12.75">
      <c r="A11" s="288"/>
      <c r="B11" s="822"/>
      <c r="C11" s="823"/>
      <c r="D11" s="824"/>
      <c r="E11" s="1287" t="s">
        <v>1072</v>
      </c>
      <c r="F11" s="1288"/>
      <c r="G11" s="1287" t="s">
        <v>1582</v>
      </c>
      <c r="H11" s="1289"/>
      <c r="I11" s="825"/>
    </row>
    <row r="12" spans="1:9" ht="12.75">
      <c r="A12" s="290" t="s">
        <v>1000</v>
      </c>
      <c r="B12" s="1284" t="s">
        <v>1007</v>
      </c>
      <c r="C12" s="1285"/>
      <c r="D12" s="1286"/>
      <c r="E12" s="290" t="s">
        <v>148</v>
      </c>
      <c r="F12" s="290" t="s">
        <v>67</v>
      </c>
      <c r="G12" s="717" t="s">
        <v>1583</v>
      </c>
      <c r="H12" s="717" t="s">
        <v>1584</v>
      </c>
      <c r="I12" s="826"/>
    </row>
    <row r="13" spans="1:9" ht="12.75">
      <c r="A13" s="1076" t="s">
        <v>1006</v>
      </c>
      <c r="B13" s="1281" t="s">
        <v>1012</v>
      </c>
      <c r="C13" s="1282"/>
      <c r="D13" s="1283"/>
      <c r="E13" s="1092" t="s">
        <v>1013</v>
      </c>
      <c r="F13" s="1092" t="s">
        <v>88</v>
      </c>
      <c r="G13" s="1083" t="s">
        <v>1074</v>
      </c>
      <c r="H13" s="1092" t="s">
        <v>1016</v>
      </c>
      <c r="I13" s="727"/>
    </row>
    <row r="14" spans="1:9" ht="12.75">
      <c r="A14" s="290"/>
      <c r="B14" s="834"/>
      <c r="C14" s="831"/>
      <c r="D14" s="832"/>
      <c r="E14" s="289"/>
      <c r="F14" s="289"/>
      <c r="G14" s="833"/>
      <c r="H14" s="833"/>
      <c r="I14" s="826"/>
    </row>
    <row r="15" spans="1:9" ht="12.75">
      <c r="A15" s="289"/>
      <c r="B15" s="830" t="s">
        <v>149</v>
      </c>
      <c r="C15" s="831"/>
      <c r="D15" s="832"/>
      <c r="E15" s="289"/>
      <c r="F15" s="289"/>
      <c r="G15" s="833"/>
      <c r="H15" s="833"/>
      <c r="I15" s="826"/>
    </row>
    <row r="16" spans="1:11" ht="12.75">
      <c r="A16" s="290">
        <v>1</v>
      </c>
      <c r="B16" s="834" t="s">
        <v>150</v>
      </c>
      <c r="C16" s="835"/>
      <c r="D16" s="831"/>
      <c r="E16" s="1029">
        <v>11413</v>
      </c>
      <c r="F16" s="1030">
        <f>+E16*8</f>
        <v>91304</v>
      </c>
      <c r="G16" s="1029">
        <v>3891.58</v>
      </c>
      <c r="H16" s="836">
        <f>+E16*15</f>
        <v>171195</v>
      </c>
      <c r="I16" s="826"/>
      <c r="K16" s="307"/>
    </row>
    <row r="17" spans="1:9" ht="12.75">
      <c r="A17" s="290">
        <v>2</v>
      </c>
      <c r="B17" s="834" t="s">
        <v>151</v>
      </c>
      <c r="C17" s="835"/>
      <c r="D17" s="835"/>
      <c r="E17" s="1029">
        <v>10100</v>
      </c>
      <c r="F17" s="1030">
        <f>16*E17</f>
        <v>161600</v>
      </c>
      <c r="G17" s="1029">
        <v>5050</v>
      </c>
      <c r="H17" s="836">
        <f>+G17*'[1]JTS-8 sched 2,page2-3'!G21*2</f>
        <v>323200</v>
      </c>
      <c r="I17" s="826"/>
    </row>
    <row r="18" spans="1:9" ht="12.75">
      <c r="A18" s="290">
        <v>3</v>
      </c>
      <c r="B18" s="834" t="s">
        <v>152</v>
      </c>
      <c r="C18" s="835"/>
      <c r="D18" s="835"/>
      <c r="E18" s="1029">
        <v>968</v>
      </c>
      <c r="F18" s="1030">
        <f>+E18*16</f>
        <v>15488</v>
      </c>
      <c r="G18" s="1029">
        <v>484</v>
      </c>
      <c r="H18" s="836">
        <f>+G18*'[1]JTS-8 sched 2,page2-3'!G21*2</f>
        <v>30976</v>
      </c>
      <c r="I18" s="826"/>
    </row>
    <row r="19" spans="1:9" ht="12.75">
      <c r="A19" s="290">
        <v>4</v>
      </c>
      <c r="B19" s="834" t="s">
        <v>153</v>
      </c>
      <c r="C19" s="831"/>
      <c r="D19" s="831"/>
      <c r="E19" s="1029">
        <v>4459</v>
      </c>
      <c r="F19" s="1030">
        <f>4459*10</f>
        <v>44590</v>
      </c>
      <c r="G19" s="1029">
        <v>2229.5</v>
      </c>
      <c r="H19" s="718">
        <f>+E19*18</f>
        <v>80262</v>
      </c>
      <c r="I19" s="826"/>
    </row>
    <row r="20" spans="1:9" ht="12.75">
      <c r="A20" s="290">
        <v>5</v>
      </c>
      <c r="B20" s="834" t="s">
        <v>154</v>
      </c>
      <c r="C20" s="831"/>
      <c r="D20" s="832"/>
      <c r="E20" s="289"/>
      <c r="F20" s="837">
        <f>SUM(F16:F19)</f>
        <v>312982</v>
      </c>
      <c r="G20" s="289"/>
      <c r="H20" s="838">
        <f>SUM(H16:H19)</f>
        <v>605633</v>
      </c>
      <c r="I20" s="826"/>
    </row>
    <row r="21" spans="1:9" ht="12.75">
      <c r="A21" s="290"/>
      <c r="B21" s="834"/>
      <c r="C21" s="831"/>
      <c r="D21" s="832"/>
      <c r="E21" s="289"/>
      <c r="F21" s="289"/>
      <c r="G21" s="289"/>
      <c r="H21" s="833"/>
      <c r="I21" s="826"/>
    </row>
    <row r="22" spans="1:9" ht="12.75">
      <c r="A22" s="290"/>
      <c r="B22" s="834"/>
      <c r="C22" s="831"/>
      <c r="D22" s="832"/>
      <c r="E22" s="289"/>
      <c r="F22" s="289"/>
      <c r="G22" s="289"/>
      <c r="H22" s="718"/>
      <c r="I22" s="826"/>
    </row>
    <row r="23" spans="1:9" ht="12.75">
      <c r="A23" s="290"/>
      <c r="B23" s="830" t="s">
        <v>155</v>
      </c>
      <c r="C23" s="831"/>
      <c r="D23" s="832"/>
      <c r="E23" s="1029"/>
      <c r="F23" s="289"/>
      <c r="G23" s="1029"/>
      <c r="H23" s="718"/>
      <c r="I23" s="826"/>
    </row>
    <row r="24" spans="1:9" ht="12.75">
      <c r="A24" s="290">
        <v>6</v>
      </c>
      <c r="B24" s="834" t="s">
        <v>1585</v>
      </c>
      <c r="C24" s="831"/>
      <c r="D24" s="832"/>
      <c r="E24" s="294">
        <v>43517</v>
      </c>
      <c r="F24" s="718">
        <v>0</v>
      </c>
      <c r="G24" s="294">
        <v>25696.5</v>
      </c>
      <c r="H24" s="1031">
        <f>+E24*32</f>
        <v>1392544</v>
      </c>
      <c r="I24" s="826"/>
    </row>
    <row r="25" spans="1:9" ht="12.75">
      <c r="A25" s="290">
        <v>7</v>
      </c>
      <c r="B25" s="834" t="s">
        <v>156</v>
      </c>
      <c r="C25" s="831"/>
      <c r="D25" s="832"/>
      <c r="E25" s="1029">
        <v>3</v>
      </c>
      <c r="F25" s="718">
        <v>0</v>
      </c>
      <c r="G25" s="1029">
        <v>3</v>
      </c>
      <c r="H25" s="1031">
        <f>+E25*175</f>
        <v>525</v>
      </c>
      <c r="I25" s="826"/>
    </row>
    <row r="26" spans="1:9" ht="12.75">
      <c r="A26" s="290">
        <v>8</v>
      </c>
      <c r="B26" s="834" t="s">
        <v>859</v>
      </c>
      <c r="C26" s="831"/>
      <c r="D26" s="832"/>
      <c r="E26" s="294">
        <v>9571</v>
      </c>
      <c r="F26" s="718">
        <v>0</v>
      </c>
      <c r="G26" s="294">
        <v>1914.2</v>
      </c>
      <c r="H26" s="1031">
        <v>0</v>
      </c>
      <c r="I26" s="826"/>
    </row>
    <row r="27" spans="1:9" ht="12.75">
      <c r="A27" s="290">
        <v>9</v>
      </c>
      <c r="B27" s="834" t="s">
        <v>157</v>
      </c>
      <c r="C27" s="831"/>
      <c r="D27" s="832"/>
      <c r="E27" s="1029">
        <v>0</v>
      </c>
      <c r="F27" s="718">
        <v>0</v>
      </c>
      <c r="G27" s="1029">
        <v>0</v>
      </c>
      <c r="H27" s="1031">
        <v>0</v>
      </c>
      <c r="I27" s="826"/>
    </row>
    <row r="28" spans="1:9" ht="12.75">
      <c r="A28" s="290">
        <v>10</v>
      </c>
      <c r="B28" s="834" t="s">
        <v>158</v>
      </c>
      <c r="C28" s="831"/>
      <c r="D28" s="832"/>
      <c r="E28" s="294">
        <v>0</v>
      </c>
      <c r="F28" s="718">
        <v>0</v>
      </c>
      <c r="G28" s="294">
        <v>0</v>
      </c>
      <c r="H28" s="1031">
        <v>200000</v>
      </c>
      <c r="I28" s="826"/>
    </row>
    <row r="29" spans="1:9" ht="12.75">
      <c r="A29" s="290">
        <v>11</v>
      </c>
      <c r="B29" s="834" t="s">
        <v>161</v>
      </c>
      <c r="C29" s="831"/>
      <c r="D29" s="832"/>
      <c r="E29" s="289"/>
      <c r="F29" s="839">
        <f>SUM(F24:F28)</f>
        <v>0</v>
      </c>
      <c r="G29" s="289"/>
      <c r="H29" s="838">
        <f>SUM(H24:H28)</f>
        <v>1593069</v>
      </c>
      <c r="I29" s="826"/>
    </row>
    <row r="30" spans="1:9" ht="12.75">
      <c r="A30" s="290"/>
      <c r="B30" s="834"/>
      <c r="C30" s="831"/>
      <c r="D30" s="832"/>
      <c r="E30" s="289"/>
      <c r="F30" s="289"/>
      <c r="G30" s="289"/>
      <c r="H30" s="833"/>
      <c r="I30" s="826"/>
    </row>
    <row r="31" spans="1:9" ht="13.5" thickBot="1">
      <c r="A31" s="290">
        <v>12</v>
      </c>
      <c r="B31" s="834" t="s">
        <v>162</v>
      </c>
      <c r="C31" s="831"/>
      <c r="D31" s="832"/>
      <c r="E31" s="289"/>
      <c r="F31" s="840">
        <f>+F20+SUM(F24:F26)</f>
        <v>312982</v>
      </c>
      <c r="G31" s="289"/>
      <c r="H31" s="841">
        <f>+H29+H20</f>
        <v>2198702</v>
      </c>
      <c r="I31" s="826"/>
    </row>
    <row r="32" spans="1:9" ht="13.5" thickTop="1">
      <c r="A32" s="290"/>
      <c r="B32" s="834"/>
      <c r="C32" s="831"/>
      <c r="D32" s="832"/>
      <c r="E32" s="289"/>
      <c r="F32" s="1090"/>
      <c r="G32" s="289"/>
      <c r="H32" s="836"/>
      <c r="I32" s="826"/>
    </row>
    <row r="33" spans="1:9" ht="15">
      <c r="A33" s="290">
        <v>13</v>
      </c>
      <c r="B33" s="834" t="s">
        <v>87</v>
      </c>
      <c r="C33" s="831"/>
      <c r="D33" s="832"/>
      <c r="E33" s="289"/>
      <c r="F33" s="1090"/>
      <c r="G33" s="289"/>
      <c r="H33" s="1091">
        <f>+H31-F31</f>
        <v>1885720</v>
      </c>
      <c r="I33" s="826"/>
    </row>
    <row r="34" spans="1:9" ht="12.75">
      <c r="A34" s="291"/>
      <c r="B34" s="827"/>
      <c r="C34" s="828"/>
      <c r="D34" s="829"/>
      <c r="E34" s="291"/>
      <c r="F34" s="291"/>
      <c r="G34" s="291"/>
      <c r="H34" s="842"/>
      <c r="I34" s="727"/>
    </row>
    <row r="36" spans="6:8" ht="12.75">
      <c r="F36" s="1032"/>
      <c r="G36" s="1032"/>
      <c r="H36" s="1028"/>
    </row>
    <row r="39" ht="12.75">
      <c r="B39" s="1028"/>
    </row>
    <row r="40" ht="12.75">
      <c r="B40" s="1028"/>
    </row>
  </sheetData>
  <mergeCells count="7">
    <mergeCell ref="B13:D13"/>
    <mergeCell ref="A8:I8"/>
    <mergeCell ref="A9:I9"/>
    <mergeCell ref="A10:I10"/>
    <mergeCell ref="B12:D12"/>
    <mergeCell ref="E11:F11"/>
    <mergeCell ref="G11:H11"/>
  </mergeCells>
  <printOptions/>
  <pageMargins left="0.99" right="0.43" top="0.41" bottom="1" header="0.5" footer="0.5"/>
  <pageSetup fitToHeight="1" fitToWidth="1" horizontalDpi="600" verticalDpi="600" orientation="portrait" r:id="rId3"/>
  <legacyDrawing r:id="rId2"/>
</worksheet>
</file>

<file path=xl/worksheets/sheet28.xml><?xml version="1.0" encoding="utf-8"?>
<worksheet xmlns="http://schemas.openxmlformats.org/spreadsheetml/2006/main" xmlns:r="http://schemas.openxmlformats.org/officeDocument/2006/relationships">
  <dimension ref="A1:F24"/>
  <sheetViews>
    <sheetView workbookViewId="0" topLeftCell="A13">
      <selection activeCell="D18" sqref="D18"/>
    </sheetView>
  </sheetViews>
  <sheetFormatPr defaultColWidth="9.33203125" defaultRowHeight="11.25"/>
  <cols>
    <col min="1" max="1" width="9.33203125" style="308" customWidth="1"/>
    <col min="2" max="2" width="4.5" style="308" customWidth="1"/>
    <col min="3" max="3" width="35.16015625" style="308" customWidth="1"/>
    <col min="4" max="4" width="31.83203125" style="308" customWidth="1"/>
    <col min="5" max="5" width="23" style="308" customWidth="1"/>
    <col min="6" max="6" width="5.33203125" style="308" customWidth="1"/>
    <col min="7" max="7" width="9.83203125" style="308" customWidth="1"/>
    <col min="8" max="8" width="9.33203125" style="308" customWidth="1"/>
    <col min="9" max="9" width="15.83203125" style="308" bestFit="1" customWidth="1"/>
    <col min="10" max="16384" width="9.33203125" style="308" customWidth="1"/>
  </cols>
  <sheetData>
    <row r="1" ht="15.75">
      <c r="E1" s="37" t="s">
        <v>385</v>
      </c>
    </row>
    <row r="2" ht="15.75">
      <c r="E2" s="308" t="s">
        <v>1170</v>
      </c>
    </row>
    <row r="3" ht="15.75">
      <c r="E3" s="308" t="s">
        <v>1171</v>
      </c>
    </row>
    <row r="7" spans="1:6" ht="15.75">
      <c r="A7" s="1224" t="s">
        <v>658</v>
      </c>
      <c r="B7" s="1225"/>
      <c r="C7" s="1225"/>
      <c r="D7" s="1225"/>
      <c r="E7" s="1226"/>
      <c r="F7" s="618"/>
    </row>
    <row r="8" spans="1:6" ht="20.25">
      <c r="A8" s="1290" t="s">
        <v>7</v>
      </c>
      <c r="B8" s="1291"/>
      <c r="C8" s="1291"/>
      <c r="D8" s="1291"/>
      <c r="E8" s="1292"/>
      <c r="F8" s="619"/>
    </row>
    <row r="9" spans="1:6" ht="20.25" customHeight="1">
      <c r="A9" s="1227" t="s">
        <v>659</v>
      </c>
      <c r="B9" s="1293"/>
      <c r="C9" s="1293"/>
      <c r="D9" s="1293"/>
      <c r="E9" s="1228"/>
      <c r="F9" s="619"/>
    </row>
    <row r="10" spans="1:6" ht="15.75">
      <c r="A10" s="238"/>
      <c r="B10" s="532"/>
      <c r="C10" s="283"/>
      <c r="D10" s="238"/>
      <c r="E10" s="238"/>
      <c r="F10" s="276"/>
    </row>
    <row r="11" spans="1:6" s="556" customFormat="1" ht="15.75">
      <c r="A11" s="376" t="s">
        <v>377</v>
      </c>
      <c r="B11" s="1227" t="s">
        <v>1007</v>
      </c>
      <c r="C11" s="1228"/>
      <c r="D11" s="376" t="s">
        <v>1144</v>
      </c>
      <c r="E11" s="376" t="s">
        <v>1084</v>
      </c>
      <c r="F11" s="616"/>
    </row>
    <row r="12" spans="1:6" s="556" customFormat="1" ht="15.75">
      <c r="A12" s="530"/>
      <c r="B12" s="1229" t="s">
        <v>1012</v>
      </c>
      <c r="C12" s="1230"/>
      <c r="D12" s="531" t="s">
        <v>1013</v>
      </c>
      <c r="E12" s="531" t="s">
        <v>1014</v>
      </c>
      <c r="F12" s="533"/>
    </row>
    <row r="13" spans="1:6" s="556" customFormat="1" ht="15.75">
      <c r="A13" s="374"/>
      <c r="B13" s="616"/>
      <c r="C13" s="616"/>
      <c r="D13" s="533"/>
      <c r="E13" s="238"/>
      <c r="F13" s="276"/>
    </row>
    <row r="14" spans="1:6" s="556" customFormat="1" ht="15.75">
      <c r="A14" s="374"/>
      <c r="B14" s="617" t="s">
        <v>40</v>
      </c>
      <c r="C14" s="616"/>
      <c r="D14" s="533"/>
      <c r="E14" s="238"/>
      <c r="F14" s="276"/>
    </row>
    <row r="15" spans="1:6" ht="18">
      <c r="A15" s="545">
        <v>1</v>
      </c>
      <c r="B15" s="276"/>
      <c r="C15" s="276" t="s">
        <v>911</v>
      </c>
      <c r="D15" s="592"/>
      <c r="E15" s="546">
        <v>0</v>
      </c>
      <c r="F15" s="278" t="s">
        <v>295</v>
      </c>
    </row>
    <row r="16" spans="1:6" ht="18">
      <c r="A16" s="545">
        <v>2</v>
      </c>
      <c r="B16" s="276"/>
      <c r="C16" s="276" t="s">
        <v>914</v>
      </c>
      <c r="D16" s="592"/>
      <c r="E16" s="546">
        <v>0</v>
      </c>
      <c r="F16" s="278" t="s">
        <v>915</v>
      </c>
    </row>
    <row r="17" spans="1:6" ht="18">
      <c r="A17" s="545"/>
      <c r="B17" s="276"/>
      <c r="C17" s="276"/>
      <c r="D17" s="592"/>
      <c r="E17" s="546"/>
      <c r="F17" s="278"/>
    </row>
    <row r="18" spans="1:6" ht="18">
      <c r="A18" s="545" t="s">
        <v>1025</v>
      </c>
      <c r="B18" s="276"/>
      <c r="C18" s="276" t="s">
        <v>4</v>
      </c>
      <c r="D18" s="592"/>
      <c r="E18" s="546">
        <f>-' WP GM Expenses'!G31</f>
        <v>0</v>
      </c>
      <c r="F18" s="278" t="s">
        <v>1572</v>
      </c>
    </row>
    <row r="19" spans="1:6" ht="15.75">
      <c r="A19" s="545"/>
      <c r="B19" s="276"/>
      <c r="C19" s="276"/>
      <c r="D19" s="276"/>
      <c r="E19" s="238"/>
      <c r="F19" s="276"/>
    </row>
    <row r="20" spans="1:6" ht="15.75">
      <c r="A20" s="378"/>
      <c r="B20" s="536"/>
      <c r="C20" s="536"/>
      <c r="D20" s="536"/>
      <c r="E20" s="378"/>
      <c r="F20" s="276"/>
    </row>
    <row r="22" spans="1:2" ht="15.75">
      <c r="A22" s="620" t="s">
        <v>916</v>
      </c>
      <c r="B22" s="308" t="s">
        <v>1172</v>
      </c>
    </row>
    <row r="23" spans="1:2" ht="15.75">
      <c r="A23" s="620" t="s">
        <v>917</v>
      </c>
      <c r="B23" s="308" t="s">
        <v>1173</v>
      </c>
    </row>
    <row r="24" spans="1:2" ht="15.75">
      <c r="A24" s="620" t="s">
        <v>5</v>
      </c>
      <c r="B24" s="308" t="s">
        <v>1174</v>
      </c>
    </row>
  </sheetData>
  <mergeCells count="5">
    <mergeCell ref="A7:E7"/>
    <mergeCell ref="B11:C11"/>
    <mergeCell ref="B12:C12"/>
    <mergeCell ref="A8:E8"/>
    <mergeCell ref="A9:E9"/>
  </mergeCells>
  <printOptions/>
  <pageMargins left="1.07" right="0.75" top="0.3" bottom="1" header="0.18" footer="0.5"/>
  <pageSetup horizontalDpi="300" verticalDpi="300" orientation="portrait" r:id="rId1"/>
</worksheet>
</file>

<file path=xl/worksheets/sheet29.xml><?xml version="1.0" encoding="utf-8"?>
<worksheet xmlns="http://schemas.openxmlformats.org/spreadsheetml/2006/main" xmlns:r="http://schemas.openxmlformats.org/officeDocument/2006/relationships">
  <dimension ref="A1:I176"/>
  <sheetViews>
    <sheetView workbookViewId="0" topLeftCell="B16">
      <selection activeCell="G32" sqref="G32"/>
    </sheetView>
  </sheetViews>
  <sheetFormatPr defaultColWidth="9.33203125" defaultRowHeight="11.25"/>
  <cols>
    <col min="1" max="1" width="37.5" style="496" customWidth="1"/>
    <col min="2" max="2" width="18.83203125" style="496" customWidth="1"/>
    <col min="3" max="3" width="31.5" style="496" customWidth="1"/>
    <col min="4" max="4" width="20.33203125" style="496" hidden="1" customWidth="1"/>
    <col min="5" max="5" width="21" style="496" hidden="1" customWidth="1"/>
    <col min="6" max="6" width="15.66015625" style="496" hidden="1" customWidth="1"/>
    <col min="7" max="7" width="18.33203125" style="496" customWidth="1"/>
    <col min="8" max="8" width="19" style="496" hidden="1" customWidth="1"/>
    <col min="9" max="9" width="20.83203125" style="496" hidden="1" customWidth="1"/>
    <col min="10" max="16384" width="9.33203125" style="496" customWidth="1"/>
  </cols>
  <sheetData>
    <row r="1" spans="1:2" ht="12.75">
      <c r="A1" s="517" t="s">
        <v>997</v>
      </c>
      <c r="B1" s="495" t="s">
        <v>660</v>
      </c>
    </row>
    <row r="2" spans="1:2" ht="12.75">
      <c r="A2" s="517" t="s">
        <v>661</v>
      </c>
      <c r="B2" s="495" t="s">
        <v>660</v>
      </c>
    </row>
    <row r="3" spans="1:2" ht="12.75">
      <c r="A3" s="517" t="s">
        <v>662</v>
      </c>
      <c r="B3" s="495" t="s">
        <v>660</v>
      </c>
    </row>
    <row r="4" spans="1:2" ht="12.75">
      <c r="A4" s="517" t="s">
        <v>663</v>
      </c>
      <c r="B4" s="495" t="s">
        <v>660</v>
      </c>
    </row>
    <row r="5" spans="1:2" ht="12.75">
      <c r="A5" s="517" t="s">
        <v>664</v>
      </c>
      <c r="B5" s="495" t="s">
        <v>660</v>
      </c>
    </row>
    <row r="6" spans="1:2" ht="12.75">
      <c r="A6" s="517" t="s">
        <v>665</v>
      </c>
      <c r="B6" s="495" t="s">
        <v>660</v>
      </c>
    </row>
    <row r="7" spans="1:2" ht="12.75">
      <c r="A7" s="517" t="s">
        <v>666</v>
      </c>
      <c r="B7" s="495" t="s">
        <v>667</v>
      </c>
    </row>
    <row r="9" spans="1:9" ht="12.75">
      <c r="A9" s="497"/>
      <c r="B9" s="498"/>
      <c r="C9" s="498"/>
      <c r="D9" s="518" t="s">
        <v>668</v>
      </c>
      <c r="E9" s="498"/>
      <c r="F9" s="498"/>
      <c r="G9" s="498"/>
      <c r="H9" s="498"/>
      <c r="I9" s="499"/>
    </row>
    <row r="10" spans="1:9" ht="12.75">
      <c r="A10" s="518" t="s">
        <v>669</v>
      </c>
      <c r="B10" s="518" t="s">
        <v>670</v>
      </c>
      <c r="C10" s="518" t="s">
        <v>671</v>
      </c>
      <c r="D10" s="497" t="s">
        <v>672</v>
      </c>
      <c r="E10" s="500" t="s">
        <v>673</v>
      </c>
      <c r="F10" s="501" t="s">
        <v>674</v>
      </c>
      <c r="G10" s="500" t="s">
        <v>675</v>
      </c>
      <c r="H10" s="500" t="s">
        <v>900</v>
      </c>
      <c r="I10" s="502" t="s">
        <v>901</v>
      </c>
    </row>
    <row r="11" spans="1:9" ht="12.75">
      <c r="A11" s="497" t="s">
        <v>902</v>
      </c>
      <c r="B11" s="498"/>
      <c r="C11" s="498"/>
      <c r="D11" s="503">
        <v>15564.19</v>
      </c>
      <c r="E11" s="504">
        <v>32382.74</v>
      </c>
      <c r="F11" s="505">
        <v>16818.55</v>
      </c>
      <c r="G11" s="504">
        <v>299754.54</v>
      </c>
      <c r="H11" s="504">
        <v>378956.4</v>
      </c>
      <c r="I11" s="506">
        <v>79201.86</v>
      </c>
    </row>
    <row r="12" spans="1:9" ht="12.75">
      <c r="A12" s="497" t="s">
        <v>903</v>
      </c>
      <c r="B12" s="498"/>
      <c r="C12" s="498"/>
      <c r="D12" s="503">
        <v>4225.46</v>
      </c>
      <c r="E12" s="504">
        <v>10998.99</v>
      </c>
      <c r="F12" s="505">
        <v>6773.53</v>
      </c>
      <c r="G12" s="504">
        <v>87337.06</v>
      </c>
      <c r="H12" s="504">
        <v>128581.26</v>
      </c>
      <c r="I12" s="506">
        <v>41244.2</v>
      </c>
    </row>
    <row r="13" spans="1:9" ht="12.75">
      <c r="A13" s="497" t="s">
        <v>904</v>
      </c>
      <c r="B13" s="498"/>
      <c r="C13" s="498"/>
      <c r="D13" s="503">
        <v>1929.9</v>
      </c>
      <c r="E13" s="504">
        <v>3605</v>
      </c>
      <c r="F13" s="505">
        <v>1675.1</v>
      </c>
      <c r="G13" s="504">
        <v>17484.59</v>
      </c>
      <c r="H13" s="504">
        <v>44325</v>
      </c>
      <c r="I13" s="506">
        <v>26840.41</v>
      </c>
    </row>
    <row r="14" spans="1:9" ht="12.75">
      <c r="A14" s="497" t="s">
        <v>905</v>
      </c>
      <c r="B14" s="498"/>
      <c r="C14" s="498"/>
      <c r="D14" s="503">
        <v>254.33</v>
      </c>
      <c r="E14" s="504">
        <v>2842</v>
      </c>
      <c r="F14" s="505">
        <v>2587.67</v>
      </c>
      <c r="G14" s="504">
        <v>15604.66</v>
      </c>
      <c r="H14" s="504">
        <v>49994</v>
      </c>
      <c r="I14" s="506">
        <v>34389.34</v>
      </c>
    </row>
    <row r="15" spans="1:9" ht="12.75">
      <c r="A15" s="497" t="s">
        <v>906</v>
      </c>
      <c r="B15" s="498"/>
      <c r="C15" s="498"/>
      <c r="D15" s="503">
        <v>242.43</v>
      </c>
      <c r="E15" s="504">
        <v>300</v>
      </c>
      <c r="F15" s="505">
        <v>57.57</v>
      </c>
      <c r="G15" s="504">
        <v>2284.81</v>
      </c>
      <c r="H15" s="504">
        <v>3600</v>
      </c>
      <c r="I15" s="506">
        <v>1315.19</v>
      </c>
    </row>
    <row r="16" spans="1:9" ht="12.75">
      <c r="A16" s="497" t="s">
        <v>907</v>
      </c>
      <c r="B16" s="498"/>
      <c r="C16" s="498"/>
      <c r="D16" s="503">
        <v>0</v>
      </c>
      <c r="E16" s="504"/>
      <c r="F16" s="505">
        <v>0</v>
      </c>
      <c r="G16" s="504">
        <v>50.46</v>
      </c>
      <c r="H16" s="504"/>
      <c r="I16" s="506">
        <v>-50.46</v>
      </c>
    </row>
    <row r="17" spans="1:9" ht="12.75">
      <c r="A17" s="497" t="s">
        <v>908</v>
      </c>
      <c r="B17" s="498"/>
      <c r="C17" s="498"/>
      <c r="D17" s="503">
        <v>2446.94</v>
      </c>
      <c r="E17" s="504">
        <v>0</v>
      </c>
      <c r="F17" s="505">
        <v>-2446.94</v>
      </c>
      <c r="G17" s="504">
        <v>3953.28</v>
      </c>
      <c r="H17" s="504">
        <v>9000</v>
      </c>
      <c r="I17" s="506">
        <v>5046.72</v>
      </c>
    </row>
    <row r="18" spans="1:9" ht="12.75">
      <c r="A18" s="497" t="s">
        <v>975</v>
      </c>
      <c r="B18" s="497" t="s">
        <v>976</v>
      </c>
      <c r="C18" s="497" t="s">
        <v>977</v>
      </c>
      <c r="D18" s="503">
        <v>500</v>
      </c>
      <c r="E18" s="504">
        <v>0</v>
      </c>
      <c r="F18" s="505">
        <v>-500</v>
      </c>
      <c r="G18" s="504">
        <v>2500</v>
      </c>
      <c r="H18" s="504">
        <v>1000</v>
      </c>
      <c r="I18" s="506">
        <v>-1500</v>
      </c>
    </row>
    <row r="19" spans="1:9" ht="12.75">
      <c r="A19" s="507"/>
      <c r="B19" s="497" t="s">
        <v>978</v>
      </c>
      <c r="C19" s="498"/>
      <c r="D19" s="503">
        <v>500</v>
      </c>
      <c r="E19" s="504">
        <v>0</v>
      </c>
      <c r="F19" s="505">
        <v>-500</v>
      </c>
      <c r="G19" s="504">
        <v>2500</v>
      </c>
      <c r="H19" s="504">
        <v>1000</v>
      </c>
      <c r="I19" s="506">
        <v>-1500</v>
      </c>
    </row>
    <row r="20" spans="1:9" ht="12" customHeight="1">
      <c r="A20" s="507"/>
      <c r="B20" s="497" t="s">
        <v>979</v>
      </c>
      <c r="C20" s="497" t="s">
        <v>980</v>
      </c>
      <c r="D20" s="503">
        <v>200</v>
      </c>
      <c r="E20" s="504">
        <v>0</v>
      </c>
      <c r="F20" s="505">
        <v>-200</v>
      </c>
      <c r="G20" s="504">
        <v>3033.27</v>
      </c>
      <c r="H20" s="504">
        <v>2000</v>
      </c>
      <c r="I20" s="506">
        <v>-1033.27</v>
      </c>
    </row>
    <row r="21" spans="1:9" ht="12.75">
      <c r="A21" s="507"/>
      <c r="B21" s="497" t="s">
        <v>981</v>
      </c>
      <c r="C21" s="498"/>
      <c r="D21" s="503">
        <v>200</v>
      </c>
      <c r="E21" s="504">
        <v>0</v>
      </c>
      <c r="F21" s="505">
        <v>-200</v>
      </c>
      <c r="G21" s="504">
        <v>3033.27</v>
      </c>
      <c r="H21" s="504">
        <v>2000</v>
      </c>
      <c r="I21" s="506">
        <v>-1033.27</v>
      </c>
    </row>
    <row r="22" spans="1:9" ht="12.75">
      <c r="A22" s="497" t="s">
        <v>982</v>
      </c>
      <c r="B22" s="498"/>
      <c r="C22" s="498"/>
      <c r="D22" s="503">
        <v>700</v>
      </c>
      <c r="E22" s="504">
        <v>0</v>
      </c>
      <c r="F22" s="505">
        <v>-700</v>
      </c>
      <c r="G22" s="504">
        <v>5533.27</v>
      </c>
      <c r="H22" s="504">
        <v>3000</v>
      </c>
      <c r="I22" s="506">
        <v>-2533.27</v>
      </c>
    </row>
    <row r="23" spans="1:9" ht="12.75">
      <c r="A23" s="497" t="s">
        <v>983</v>
      </c>
      <c r="B23" s="498"/>
      <c r="C23" s="498"/>
      <c r="D23" s="503">
        <v>0</v>
      </c>
      <c r="E23" s="504">
        <v>0</v>
      </c>
      <c r="F23" s="505">
        <v>0</v>
      </c>
      <c r="G23" s="504">
        <v>395</v>
      </c>
      <c r="H23" s="504">
        <v>395</v>
      </c>
      <c r="I23" s="506">
        <v>0</v>
      </c>
    </row>
    <row r="24" spans="1:9" ht="12.75">
      <c r="A24" s="508" t="s">
        <v>984</v>
      </c>
      <c r="B24" s="509"/>
      <c r="C24" s="509"/>
      <c r="D24" s="510">
        <v>25363.25</v>
      </c>
      <c r="E24" s="511">
        <v>50128.73</v>
      </c>
      <c r="F24" s="512">
        <v>24765.48</v>
      </c>
      <c r="G24" s="511">
        <v>432397.67</v>
      </c>
      <c r="H24" s="511">
        <v>617851.66</v>
      </c>
      <c r="I24" s="513">
        <v>185453.99</v>
      </c>
    </row>
    <row r="25" spans="1:9" ht="12.75">
      <c r="A25"/>
      <c r="B25" t="s">
        <v>985</v>
      </c>
      <c r="C25"/>
      <c r="D25"/>
      <c r="E25"/>
      <c r="F25"/>
      <c r="G25" s="139">
        <v>-3299.68</v>
      </c>
      <c r="H25"/>
      <c r="I25"/>
    </row>
    <row r="26" spans="1:9" ht="12.75">
      <c r="A26"/>
      <c r="B26" s="496" t="s">
        <v>986</v>
      </c>
      <c r="G26" s="514">
        <v>429097.99</v>
      </c>
      <c r="H26"/>
      <c r="I26"/>
    </row>
    <row r="27" spans="1:9" ht="12.75">
      <c r="A27"/>
      <c r="G27" s="515"/>
      <c r="H27"/>
      <c r="I27"/>
    </row>
    <row r="28" spans="1:9" ht="12.75">
      <c r="A28"/>
      <c r="B28"/>
      <c r="C28" s="184" t="s">
        <v>987</v>
      </c>
      <c r="D28"/>
      <c r="E28"/>
      <c r="F28"/>
      <c r="G28" s="139">
        <v>330663</v>
      </c>
      <c r="H28"/>
      <c r="I28"/>
    </row>
    <row r="29" spans="1:9" ht="12.75">
      <c r="A29"/>
      <c r="G29" s="515"/>
      <c r="H29"/>
      <c r="I29"/>
    </row>
    <row r="30" spans="1:9" ht="12.75">
      <c r="A30"/>
      <c r="H30"/>
      <c r="I30"/>
    </row>
    <row r="31" spans="1:9" ht="13.5" thickBot="1">
      <c r="A31"/>
      <c r="B31"/>
      <c r="C31" s="184" t="s">
        <v>988</v>
      </c>
      <c r="D31"/>
      <c r="E31"/>
      <c r="F31"/>
      <c r="G31" s="516">
        <v>0</v>
      </c>
      <c r="H31"/>
      <c r="I31"/>
    </row>
    <row r="32" spans="1:9" ht="13.5" thickTop="1">
      <c r="A32"/>
      <c r="B32"/>
      <c r="C32"/>
      <c r="D32"/>
      <c r="E32"/>
      <c r="F32"/>
      <c r="G32"/>
      <c r="H32"/>
      <c r="I32"/>
    </row>
    <row r="33" spans="1:9" ht="12.75">
      <c r="A33"/>
      <c r="B33"/>
      <c r="C33"/>
      <c r="D33"/>
      <c r="E33"/>
      <c r="F33"/>
      <c r="G33"/>
      <c r="H33"/>
      <c r="I33"/>
    </row>
    <row r="34" spans="1:9" ht="12.75">
      <c r="A34"/>
      <c r="B34"/>
      <c r="C34"/>
      <c r="D34"/>
      <c r="E34"/>
      <c r="F34"/>
      <c r="G34"/>
      <c r="H34"/>
      <c r="I34"/>
    </row>
    <row r="35" spans="1:9" ht="12.75">
      <c r="A35"/>
      <c r="B35"/>
      <c r="C35"/>
      <c r="D35"/>
      <c r="E35"/>
      <c r="F35"/>
      <c r="G35"/>
      <c r="H35"/>
      <c r="I35"/>
    </row>
    <row r="36" spans="1:9" ht="12.75">
      <c r="A36"/>
      <c r="B36"/>
      <c r="C36"/>
      <c r="D36"/>
      <c r="E36"/>
      <c r="F36"/>
      <c r="G36"/>
      <c r="H36"/>
      <c r="I36"/>
    </row>
    <row r="37" spans="1:9" ht="12.75">
      <c r="A37"/>
      <c r="B37"/>
      <c r="C37"/>
      <c r="D37"/>
      <c r="E37"/>
      <c r="F37"/>
      <c r="G37"/>
      <c r="H37"/>
      <c r="I37"/>
    </row>
    <row r="38" spans="1:9" ht="12.75">
      <c r="A38"/>
      <c r="B38"/>
      <c r="C38"/>
      <c r="D38"/>
      <c r="E38"/>
      <c r="F38"/>
      <c r="G38"/>
      <c r="H38"/>
      <c r="I38"/>
    </row>
    <row r="39" spans="1:9" ht="12.75">
      <c r="A39"/>
      <c r="B39"/>
      <c r="C39"/>
      <c r="D39"/>
      <c r="E39"/>
      <c r="F39"/>
      <c r="G39"/>
      <c r="H39"/>
      <c r="I39"/>
    </row>
    <row r="40" spans="1:9" ht="12.75">
      <c r="A40"/>
      <c r="B40"/>
      <c r="C40"/>
      <c r="D40"/>
      <c r="E40"/>
      <c r="F40"/>
      <c r="G40"/>
      <c r="H40"/>
      <c r="I40"/>
    </row>
    <row r="41" spans="1:9" ht="12.75">
      <c r="A41"/>
      <c r="B41"/>
      <c r="C41"/>
      <c r="D41"/>
      <c r="E41"/>
      <c r="F41"/>
      <c r="G41"/>
      <c r="H41"/>
      <c r="I41"/>
    </row>
    <row r="42" spans="1:9" ht="12.75">
      <c r="A42"/>
      <c r="B42"/>
      <c r="C42"/>
      <c r="D42"/>
      <c r="E42"/>
      <c r="F42"/>
      <c r="G42"/>
      <c r="H42"/>
      <c r="I42"/>
    </row>
    <row r="43" spans="1:9" ht="12.75">
      <c r="A43"/>
      <c r="B43"/>
      <c r="C43"/>
      <c r="D43"/>
      <c r="E43"/>
      <c r="F43"/>
      <c r="G43"/>
      <c r="H43"/>
      <c r="I43"/>
    </row>
    <row r="44" spans="1:9" ht="12.75">
      <c r="A44"/>
      <c r="B44"/>
      <c r="C44"/>
      <c r="D44"/>
      <c r="E44"/>
      <c r="F44"/>
      <c r="G44"/>
      <c r="H44"/>
      <c r="I44"/>
    </row>
    <row r="45" spans="1:9" ht="12.75">
      <c r="A45"/>
      <c r="B45"/>
      <c r="C45"/>
      <c r="D45"/>
      <c r="E45"/>
      <c r="F45"/>
      <c r="G45"/>
      <c r="H45"/>
      <c r="I45"/>
    </row>
    <row r="46" spans="1:9" ht="12.75">
      <c r="A46"/>
      <c r="B46"/>
      <c r="C46"/>
      <c r="D46"/>
      <c r="E46"/>
      <c r="F46"/>
      <c r="G46"/>
      <c r="H46"/>
      <c r="I46"/>
    </row>
    <row r="47" spans="1:9" ht="12.75">
      <c r="A47"/>
      <c r="B47"/>
      <c r="C47"/>
      <c r="D47"/>
      <c r="E47"/>
      <c r="F47"/>
      <c r="G47"/>
      <c r="H47"/>
      <c r="I47"/>
    </row>
    <row r="48" spans="1:9" ht="12.75">
      <c r="A48"/>
      <c r="B48"/>
      <c r="C48"/>
      <c r="D48"/>
      <c r="E48"/>
      <c r="F48"/>
      <c r="G48"/>
      <c r="H48"/>
      <c r="I48"/>
    </row>
    <row r="49" spans="1:9" ht="12.75">
      <c r="A49"/>
      <c r="B49"/>
      <c r="C49"/>
      <c r="D49"/>
      <c r="E49"/>
      <c r="F49"/>
      <c r="G49"/>
      <c r="H49"/>
      <c r="I49"/>
    </row>
    <row r="50" spans="1:9" ht="12.75">
      <c r="A50"/>
      <c r="B50"/>
      <c r="C50"/>
      <c r="D50"/>
      <c r="E50"/>
      <c r="F50"/>
      <c r="G50"/>
      <c r="H50"/>
      <c r="I50"/>
    </row>
    <row r="51" spans="1:9" ht="12.75">
      <c r="A51"/>
      <c r="B51"/>
      <c r="C51"/>
      <c r="D51"/>
      <c r="E51"/>
      <c r="F51"/>
      <c r="G51"/>
      <c r="H51"/>
      <c r="I51"/>
    </row>
    <row r="52" spans="1:9" ht="12.75">
      <c r="A52"/>
      <c r="B52"/>
      <c r="C52"/>
      <c r="D52"/>
      <c r="E52"/>
      <c r="F52"/>
      <c r="G52"/>
      <c r="H52"/>
      <c r="I52"/>
    </row>
    <row r="53" spans="1:9" ht="12.75">
      <c r="A53"/>
      <c r="B53"/>
      <c r="C53"/>
      <c r="D53"/>
      <c r="E53"/>
      <c r="F53"/>
      <c r="G53"/>
      <c r="H53"/>
      <c r="I53"/>
    </row>
    <row r="54" spans="1:9" ht="12.75">
      <c r="A54"/>
      <c r="B54"/>
      <c r="C54"/>
      <c r="D54"/>
      <c r="E54"/>
      <c r="F54"/>
      <c r="G54"/>
      <c r="H54"/>
      <c r="I54"/>
    </row>
    <row r="55" spans="1:9" ht="12.75">
      <c r="A55"/>
      <c r="B55"/>
      <c r="C55"/>
      <c r="D55"/>
      <c r="E55"/>
      <c r="F55"/>
      <c r="G55"/>
      <c r="H55"/>
      <c r="I55"/>
    </row>
    <row r="56" spans="1:9" ht="12.75">
      <c r="A56"/>
      <c r="B56"/>
      <c r="C56"/>
      <c r="D56"/>
      <c r="E56"/>
      <c r="F56"/>
      <c r="G56"/>
      <c r="H56"/>
      <c r="I56"/>
    </row>
    <row r="57" spans="1:9" ht="12.75">
      <c r="A57"/>
      <c r="B57"/>
      <c r="C57"/>
      <c r="D57"/>
      <c r="E57"/>
      <c r="F57"/>
      <c r="G57"/>
      <c r="H57"/>
      <c r="I57"/>
    </row>
    <row r="58" spans="1:9" ht="12.75">
      <c r="A58"/>
      <c r="B58"/>
      <c r="C58"/>
      <c r="D58"/>
      <c r="E58"/>
      <c r="F58"/>
      <c r="G58"/>
      <c r="H58"/>
      <c r="I58"/>
    </row>
    <row r="59" spans="1:9" ht="12.75">
      <c r="A59"/>
      <c r="B59"/>
      <c r="C59"/>
      <c r="D59"/>
      <c r="E59"/>
      <c r="F59"/>
      <c r="G59"/>
      <c r="H59"/>
      <c r="I59"/>
    </row>
    <row r="60" spans="1:9" ht="12.75">
      <c r="A60"/>
      <c r="B60"/>
      <c r="C60"/>
      <c r="D60"/>
      <c r="E60"/>
      <c r="F60"/>
      <c r="G60"/>
      <c r="H60"/>
      <c r="I60"/>
    </row>
    <row r="61" spans="1:9" ht="12.75">
      <c r="A61"/>
      <c r="B61"/>
      <c r="C61"/>
      <c r="D61"/>
      <c r="E61"/>
      <c r="F61"/>
      <c r="G61"/>
      <c r="H61"/>
      <c r="I61"/>
    </row>
    <row r="62" spans="1:9" ht="12.75">
      <c r="A62"/>
      <c r="B62"/>
      <c r="C62"/>
      <c r="D62"/>
      <c r="E62"/>
      <c r="F62"/>
      <c r="G62"/>
      <c r="H62"/>
      <c r="I62"/>
    </row>
    <row r="63" spans="1:9" ht="12.75">
      <c r="A63"/>
      <c r="B63"/>
      <c r="C63"/>
      <c r="D63"/>
      <c r="E63"/>
      <c r="F63"/>
      <c r="G63"/>
      <c r="H63"/>
      <c r="I63"/>
    </row>
    <row r="64" spans="1:9" ht="12.75">
      <c r="A64"/>
      <c r="B64"/>
      <c r="C64"/>
      <c r="D64"/>
      <c r="E64"/>
      <c r="F64"/>
      <c r="G64"/>
      <c r="H64"/>
      <c r="I64"/>
    </row>
    <row r="65" spans="1:9" ht="12.75">
      <c r="A65"/>
      <c r="B65"/>
      <c r="C65"/>
      <c r="D65"/>
      <c r="E65"/>
      <c r="F65"/>
      <c r="G65"/>
      <c r="H65"/>
      <c r="I65"/>
    </row>
    <row r="66" spans="1:9" ht="12.75">
      <c r="A66"/>
      <c r="B66"/>
      <c r="C66"/>
      <c r="D66"/>
      <c r="E66"/>
      <c r="F66"/>
      <c r="G66"/>
      <c r="H66"/>
      <c r="I66"/>
    </row>
    <row r="67" spans="1:9" ht="12.75">
      <c r="A67"/>
      <c r="B67"/>
      <c r="C67"/>
      <c r="D67"/>
      <c r="E67"/>
      <c r="F67"/>
      <c r="G67"/>
      <c r="H67"/>
      <c r="I67"/>
    </row>
    <row r="68" spans="1:9" ht="12.75">
      <c r="A68"/>
      <c r="B68"/>
      <c r="C68"/>
      <c r="D68"/>
      <c r="E68"/>
      <c r="F68"/>
      <c r="G68"/>
      <c r="H68"/>
      <c r="I68"/>
    </row>
    <row r="69" spans="1:9" ht="12.75">
      <c r="A69"/>
      <c r="B69"/>
      <c r="C69"/>
      <c r="D69"/>
      <c r="E69"/>
      <c r="F69"/>
      <c r="G69"/>
      <c r="H69"/>
      <c r="I69"/>
    </row>
    <row r="70" spans="1:9" ht="12.75">
      <c r="A70"/>
      <c r="B70"/>
      <c r="C70"/>
      <c r="D70"/>
      <c r="E70"/>
      <c r="F70"/>
      <c r="G70"/>
      <c r="H70"/>
      <c r="I70"/>
    </row>
    <row r="71" spans="1:9" ht="12.75">
      <c r="A71"/>
      <c r="B71"/>
      <c r="C71"/>
      <c r="D71"/>
      <c r="E71"/>
      <c r="F71"/>
      <c r="G71"/>
      <c r="H71"/>
      <c r="I71"/>
    </row>
    <row r="72" spans="1:9" ht="12.75">
      <c r="A72"/>
      <c r="B72"/>
      <c r="C72"/>
      <c r="D72"/>
      <c r="E72"/>
      <c r="F72"/>
      <c r="G72"/>
      <c r="H72"/>
      <c r="I72"/>
    </row>
    <row r="73" spans="1:9" ht="12.75">
      <c r="A73"/>
      <c r="B73"/>
      <c r="C73"/>
      <c r="D73"/>
      <c r="E73"/>
      <c r="F73"/>
      <c r="G73"/>
      <c r="H73"/>
      <c r="I73"/>
    </row>
    <row r="74" spans="1:9" ht="12.75">
      <c r="A74"/>
      <c r="B74"/>
      <c r="C74"/>
      <c r="D74"/>
      <c r="E74"/>
      <c r="F74"/>
      <c r="G74"/>
      <c r="H74"/>
      <c r="I74"/>
    </row>
    <row r="75" spans="1:9" ht="12.75">
      <c r="A75"/>
      <c r="B75"/>
      <c r="C75"/>
      <c r="D75"/>
      <c r="E75"/>
      <c r="F75"/>
      <c r="G75"/>
      <c r="H75"/>
      <c r="I75"/>
    </row>
    <row r="76" spans="1:9" ht="12.75">
      <c r="A76"/>
      <c r="B76"/>
      <c r="C76"/>
      <c r="D76"/>
      <c r="E76"/>
      <c r="F76"/>
      <c r="G76"/>
      <c r="H76"/>
      <c r="I76"/>
    </row>
    <row r="77" spans="1:9" ht="12.75">
      <c r="A77"/>
      <c r="B77"/>
      <c r="C77"/>
      <c r="D77"/>
      <c r="E77"/>
      <c r="F77"/>
      <c r="G77"/>
      <c r="H77"/>
      <c r="I77"/>
    </row>
    <row r="78" spans="1:9" ht="12.75">
      <c r="A78"/>
      <c r="B78"/>
      <c r="C78"/>
      <c r="D78"/>
      <c r="E78"/>
      <c r="F78"/>
      <c r="G78"/>
      <c r="H78"/>
      <c r="I78"/>
    </row>
    <row r="79" spans="1:9" ht="12.75">
      <c r="A79"/>
      <c r="B79"/>
      <c r="C79"/>
      <c r="D79"/>
      <c r="E79"/>
      <c r="F79"/>
      <c r="G79"/>
      <c r="H79"/>
      <c r="I79"/>
    </row>
    <row r="80" spans="1:9" ht="12.75">
      <c r="A80"/>
      <c r="B80"/>
      <c r="C80"/>
      <c r="D80"/>
      <c r="E80"/>
      <c r="F80"/>
      <c r="G80"/>
      <c r="H80"/>
      <c r="I80"/>
    </row>
    <row r="81" spans="1:9" ht="12.75">
      <c r="A81"/>
      <c r="B81"/>
      <c r="C81"/>
      <c r="D81"/>
      <c r="E81"/>
      <c r="F81"/>
      <c r="G81"/>
      <c r="H81"/>
      <c r="I81"/>
    </row>
    <row r="82" spans="1:9" ht="12.75">
      <c r="A82"/>
      <c r="B82"/>
      <c r="C82"/>
      <c r="D82"/>
      <c r="E82"/>
      <c r="F82"/>
      <c r="G82"/>
      <c r="H82"/>
      <c r="I82"/>
    </row>
    <row r="83" spans="1:9" ht="12.75">
      <c r="A83"/>
      <c r="B83"/>
      <c r="C83"/>
      <c r="D83"/>
      <c r="E83"/>
      <c r="F83"/>
      <c r="G83"/>
      <c r="H83"/>
      <c r="I83"/>
    </row>
    <row r="84" spans="1:9" ht="12.75">
      <c r="A84"/>
      <c r="B84"/>
      <c r="C84"/>
      <c r="D84"/>
      <c r="E84"/>
      <c r="F84"/>
      <c r="G84"/>
      <c r="H84"/>
      <c r="I84"/>
    </row>
    <row r="85" spans="1:9" ht="12.75">
      <c r="A85"/>
      <c r="B85"/>
      <c r="C85"/>
      <c r="D85"/>
      <c r="E85"/>
      <c r="F85"/>
      <c r="G85"/>
      <c r="H85"/>
      <c r="I85"/>
    </row>
    <row r="86" spans="1:9" ht="12.75">
      <c r="A86"/>
      <c r="B86"/>
      <c r="C86"/>
      <c r="D86"/>
      <c r="E86"/>
      <c r="F86"/>
      <c r="G86"/>
      <c r="H86"/>
      <c r="I86"/>
    </row>
    <row r="87" spans="1:9" ht="12.75">
      <c r="A87"/>
      <c r="B87"/>
      <c r="C87"/>
      <c r="D87"/>
      <c r="E87"/>
      <c r="F87"/>
      <c r="G87"/>
      <c r="H87"/>
      <c r="I87"/>
    </row>
    <row r="88" spans="1:9" ht="12.75">
      <c r="A88"/>
      <c r="B88"/>
      <c r="C88"/>
      <c r="D88"/>
      <c r="E88"/>
      <c r="F88"/>
      <c r="G88"/>
      <c r="H88"/>
      <c r="I88"/>
    </row>
    <row r="89" spans="1:9" ht="12.75">
      <c r="A89"/>
      <c r="B89"/>
      <c r="C89"/>
      <c r="D89"/>
      <c r="E89"/>
      <c r="F89"/>
      <c r="G89"/>
      <c r="H89"/>
      <c r="I89"/>
    </row>
    <row r="90" spans="1:9" ht="12.75">
      <c r="A90"/>
      <c r="B90"/>
      <c r="C90"/>
      <c r="D90"/>
      <c r="E90"/>
      <c r="F90"/>
      <c r="G90"/>
      <c r="H90"/>
      <c r="I90"/>
    </row>
    <row r="91" spans="1:9" ht="12.75">
      <c r="A91"/>
      <c r="B91"/>
      <c r="C91"/>
      <c r="D91"/>
      <c r="E91"/>
      <c r="F91"/>
      <c r="G91"/>
      <c r="H91"/>
      <c r="I91"/>
    </row>
    <row r="92" spans="1:9" ht="12.75">
      <c r="A92"/>
      <c r="B92"/>
      <c r="C92"/>
      <c r="D92"/>
      <c r="E92"/>
      <c r="F92"/>
      <c r="G92"/>
      <c r="H92"/>
      <c r="I92"/>
    </row>
    <row r="93" spans="1:9" ht="12.75">
      <c r="A93"/>
      <c r="B93"/>
      <c r="C93"/>
      <c r="D93"/>
      <c r="E93"/>
      <c r="F93"/>
      <c r="G93"/>
      <c r="H93"/>
      <c r="I93"/>
    </row>
    <row r="94" spans="1:9" ht="12.75">
      <c r="A94"/>
      <c r="B94"/>
      <c r="C94"/>
      <c r="D94"/>
      <c r="E94"/>
      <c r="F94"/>
      <c r="G94"/>
      <c r="H94"/>
      <c r="I94"/>
    </row>
    <row r="95" spans="1:9" ht="12.75">
      <c r="A95"/>
      <c r="B95"/>
      <c r="C95"/>
      <c r="D95"/>
      <c r="E95"/>
      <c r="F95"/>
      <c r="G95"/>
      <c r="H95"/>
      <c r="I95"/>
    </row>
    <row r="96" spans="1:9" ht="12.75">
      <c r="A96"/>
      <c r="B96"/>
      <c r="C96"/>
      <c r="D96"/>
      <c r="E96"/>
      <c r="F96"/>
      <c r="G96"/>
      <c r="H96"/>
      <c r="I96"/>
    </row>
    <row r="97" spans="1:9" ht="12.75">
      <c r="A97"/>
      <c r="B97"/>
      <c r="C97"/>
      <c r="D97"/>
      <c r="E97"/>
      <c r="F97"/>
      <c r="G97"/>
      <c r="H97"/>
      <c r="I97"/>
    </row>
    <row r="98" spans="1:9" ht="12.75">
      <c r="A98"/>
      <c r="B98"/>
      <c r="C98"/>
      <c r="D98"/>
      <c r="E98"/>
      <c r="F98"/>
      <c r="G98"/>
      <c r="H98"/>
      <c r="I98"/>
    </row>
    <row r="99" spans="1:9" ht="12.75">
      <c r="A99"/>
      <c r="B99"/>
      <c r="C99"/>
      <c r="D99"/>
      <c r="E99"/>
      <c r="F99"/>
      <c r="G99"/>
      <c r="H99"/>
      <c r="I99"/>
    </row>
    <row r="100" spans="1:9" ht="12.75">
      <c r="A100"/>
      <c r="B100"/>
      <c r="C100"/>
      <c r="D100"/>
      <c r="E100"/>
      <c r="F100"/>
      <c r="G100"/>
      <c r="H100"/>
      <c r="I100"/>
    </row>
    <row r="101" spans="1:9" ht="12.75">
      <c r="A101"/>
      <c r="B101"/>
      <c r="C101"/>
      <c r="D101"/>
      <c r="E101"/>
      <c r="F101"/>
      <c r="G101"/>
      <c r="H101"/>
      <c r="I101"/>
    </row>
    <row r="102" spans="1:9" ht="12.75">
      <c r="A102"/>
      <c r="B102"/>
      <c r="C102"/>
      <c r="D102"/>
      <c r="E102"/>
      <c r="F102"/>
      <c r="G102"/>
      <c r="H102"/>
      <c r="I102"/>
    </row>
    <row r="103" spans="1:9" ht="12.75">
      <c r="A103"/>
      <c r="B103"/>
      <c r="C103"/>
      <c r="D103"/>
      <c r="E103"/>
      <c r="F103"/>
      <c r="G103"/>
      <c r="H103"/>
      <c r="I103"/>
    </row>
    <row r="104" spans="1:9" ht="12.75">
      <c r="A104"/>
      <c r="B104"/>
      <c r="C104"/>
      <c r="D104"/>
      <c r="E104"/>
      <c r="F104"/>
      <c r="G104"/>
      <c r="H104"/>
      <c r="I104"/>
    </row>
    <row r="105" spans="1:9" ht="12.75">
      <c r="A105"/>
      <c r="B105"/>
      <c r="C105"/>
      <c r="D105"/>
      <c r="E105"/>
      <c r="F105"/>
      <c r="G105"/>
      <c r="H105"/>
      <c r="I105"/>
    </row>
    <row r="106" spans="1:9" ht="12.75">
      <c r="A106"/>
      <c r="B106"/>
      <c r="C106"/>
      <c r="D106"/>
      <c r="E106"/>
      <c r="F106"/>
      <c r="G106"/>
      <c r="H106"/>
      <c r="I106"/>
    </row>
    <row r="107" spans="1:9" ht="12.75">
      <c r="A107"/>
      <c r="B107"/>
      <c r="C107"/>
      <c r="D107"/>
      <c r="E107"/>
      <c r="F107"/>
      <c r="G107"/>
      <c r="H107"/>
      <c r="I107"/>
    </row>
    <row r="108" spans="1:9" ht="12.75">
      <c r="A108"/>
      <c r="B108"/>
      <c r="C108"/>
      <c r="D108"/>
      <c r="E108"/>
      <c r="F108"/>
      <c r="G108"/>
      <c r="H108"/>
      <c r="I108"/>
    </row>
    <row r="109" spans="1:9" ht="12.75">
      <c r="A109"/>
      <c r="B109"/>
      <c r="C109"/>
      <c r="D109"/>
      <c r="E109"/>
      <c r="F109"/>
      <c r="G109"/>
      <c r="H109"/>
      <c r="I109"/>
    </row>
    <row r="110" spans="1:9" ht="12.75">
      <c r="A110"/>
      <c r="B110"/>
      <c r="C110"/>
      <c r="D110"/>
      <c r="E110"/>
      <c r="F110"/>
      <c r="G110"/>
      <c r="H110"/>
      <c r="I110"/>
    </row>
    <row r="111" spans="1:9" ht="12.75">
      <c r="A111"/>
      <c r="B111"/>
      <c r="C111"/>
      <c r="D111"/>
      <c r="E111"/>
      <c r="F111"/>
      <c r="G111"/>
      <c r="H111"/>
      <c r="I111"/>
    </row>
    <row r="112" spans="1:9" ht="12.75">
      <c r="A112"/>
      <c r="B112"/>
      <c r="C112"/>
      <c r="D112"/>
      <c r="E112"/>
      <c r="F112"/>
      <c r="G112"/>
      <c r="H112"/>
      <c r="I112"/>
    </row>
    <row r="113" spans="1:9" ht="12.75">
      <c r="A113"/>
      <c r="B113"/>
      <c r="C113"/>
      <c r="D113"/>
      <c r="E113"/>
      <c r="F113"/>
      <c r="G113"/>
      <c r="H113"/>
      <c r="I113"/>
    </row>
    <row r="114" spans="1:9" ht="12.75">
      <c r="A114"/>
      <c r="B114"/>
      <c r="C114"/>
      <c r="D114"/>
      <c r="E114"/>
      <c r="F114"/>
      <c r="G114"/>
      <c r="H114"/>
      <c r="I114"/>
    </row>
    <row r="115" spans="1:9" ht="12.75">
      <c r="A115"/>
      <c r="B115"/>
      <c r="C115"/>
      <c r="D115"/>
      <c r="E115"/>
      <c r="F115"/>
      <c r="G115"/>
      <c r="H115"/>
      <c r="I115"/>
    </row>
    <row r="116" spans="1:9" ht="12.75">
      <c r="A116"/>
      <c r="B116"/>
      <c r="C116"/>
      <c r="D116"/>
      <c r="E116"/>
      <c r="F116"/>
      <c r="G116"/>
      <c r="H116"/>
      <c r="I116"/>
    </row>
    <row r="117" spans="1:9" ht="12.75">
      <c r="A117"/>
      <c r="B117"/>
      <c r="C117"/>
      <c r="D117"/>
      <c r="E117"/>
      <c r="F117"/>
      <c r="G117"/>
      <c r="H117"/>
      <c r="I117"/>
    </row>
    <row r="118" spans="1:9" ht="12.75">
      <c r="A118"/>
      <c r="B118"/>
      <c r="C118"/>
      <c r="D118"/>
      <c r="E118"/>
      <c r="F118"/>
      <c r="G118"/>
      <c r="H118"/>
      <c r="I118"/>
    </row>
    <row r="119" spans="1:9" ht="12.75">
      <c r="A119"/>
      <c r="B119"/>
      <c r="C119"/>
      <c r="D119"/>
      <c r="E119"/>
      <c r="F119"/>
      <c r="G119"/>
      <c r="H119"/>
      <c r="I119"/>
    </row>
    <row r="120" spans="1:9" ht="12.75">
      <c r="A120"/>
      <c r="B120"/>
      <c r="C120"/>
      <c r="D120"/>
      <c r="E120"/>
      <c r="F120"/>
      <c r="G120"/>
      <c r="H120"/>
      <c r="I120"/>
    </row>
    <row r="121" spans="1:9" ht="12.75">
      <c r="A121"/>
      <c r="B121"/>
      <c r="C121"/>
      <c r="D121"/>
      <c r="E121"/>
      <c r="F121"/>
      <c r="G121"/>
      <c r="H121"/>
      <c r="I121"/>
    </row>
    <row r="122" spans="1:9" ht="12.75">
      <c r="A122"/>
      <c r="B122"/>
      <c r="C122"/>
      <c r="D122"/>
      <c r="E122"/>
      <c r="F122"/>
      <c r="G122"/>
      <c r="H122"/>
      <c r="I122"/>
    </row>
    <row r="123" spans="1:9" ht="12.75">
      <c r="A123"/>
      <c r="B123"/>
      <c r="C123"/>
      <c r="D123"/>
      <c r="E123"/>
      <c r="F123"/>
      <c r="G123"/>
      <c r="H123"/>
      <c r="I123"/>
    </row>
    <row r="124" spans="1:9" ht="12.75">
      <c r="A124"/>
      <c r="B124"/>
      <c r="C124"/>
      <c r="D124"/>
      <c r="E124"/>
      <c r="F124"/>
      <c r="G124"/>
      <c r="H124"/>
      <c r="I124"/>
    </row>
    <row r="125" spans="1:9" ht="12.75">
      <c r="A125"/>
      <c r="B125"/>
      <c r="C125"/>
      <c r="D125"/>
      <c r="E125"/>
      <c r="F125"/>
      <c r="G125"/>
      <c r="H125"/>
      <c r="I125"/>
    </row>
    <row r="126" spans="1:9" ht="12.75">
      <c r="A126"/>
      <c r="B126"/>
      <c r="C126"/>
      <c r="D126"/>
      <c r="E126"/>
      <c r="F126"/>
      <c r="G126"/>
      <c r="H126"/>
      <c r="I126"/>
    </row>
    <row r="127" spans="1:9" ht="12.75">
      <c r="A127"/>
      <c r="B127"/>
      <c r="C127"/>
      <c r="D127"/>
      <c r="E127"/>
      <c r="F127"/>
      <c r="G127"/>
      <c r="H127"/>
      <c r="I127"/>
    </row>
    <row r="128" spans="1:9" ht="12.75">
      <c r="A128"/>
      <c r="B128"/>
      <c r="C128"/>
      <c r="D128"/>
      <c r="E128"/>
      <c r="F128"/>
      <c r="G128"/>
      <c r="H128"/>
      <c r="I128"/>
    </row>
    <row r="129" spans="1:9" ht="12.75">
      <c r="A129"/>
      <c r="B129"/>
      <c r="C129"/>
      <c r="D129"/>
      <c r="E129"/>
      <c r="F129"/>
      <c r="G129"/>
      <c r="H129"/>
      <c r="I129"/>
    </row>
    <row r="130" spans="1:9" ht="12.75">
      <c r="A130"/>
      <c r="B130"/>
      <c r="C130"/>
      <c r="D130"/>
      <c r="E130"/>
      <c r="F130"/>
      <c r="G130"/>
      <c r="H130"/>
      <c r="I130"/>
    </row>
    <row r="131" spans="1:9" ht="12.75">
      <c r="A131"/>
      <c r="B131"/>
      <c r="C131"/>
      <c r="D131"/>
      <c r="E131"/>
      <c r="F131"/>
      <c r="G131"/>
      <c r="H131"/>
      <c r="I131"/>
    </row>
    <row r="132" spans="1:9" ht="12.75">
      <c r="A132"/>
      <c r="B132"/>
      <c r="C132"/>
      <c r="D132"/>
      <c r="E132"/>
      <c r="F132"/>
      <c r="G132"/>
      <c r="H132"/>
      <c r="I132"/>
    </row>
    <row r="133" spans="1:9" ht="12.75">
      <c r="A133"/>
      <c r="B133"/>
      <c r="C133"/>
      <c r="D133"/>
      <c r="E133"/>
      <c r="F133"/>
      <c r="G133"/>
      <c r="H133"/>
      <c r="I133"/>
    </row>
    <row r="134" spans="1:9" ht="12.75">
      <c r="A134"/>
      <c r="B134"/>
      <c r="C134"/>
      <c r="D134"/>
      <c r="E134"/>
      <c r="F134"/>
      <c r="G134"/>
      <c r="H134"/>
      <c r="I134"/>
    </row>
    <row r="135" spans="1:9" ht="12.75">
      <c r="A135"/>
      <c r="B135"/>
      <c r="C135"/>
      <c r="D135"/>
      <c r="E135"/>
      <c r="F135"/>
      <c r="G135"/>
      <c r="H135"/>
      <c r="I135"/>
    </row>
    <row r="136" spans="1:9" ht="12.75">
      <c r="A136"/>
      <c r="B136"/>
      <c r="C136"/>
      <c r="D136"/>
      <c r="E136"/>
      <c r="F136"/>
      <c r="G136"/>
      <c r="H136"/>
      <c r="I136"/>
    </row>
    <row r="137" spans="1:9" ht="12.75">
      <c r="A137"/>
      <c r="B137"/>
      <c r="C137"/>
      <c r="D137"/>
      <c r="E137"/>
      <c r="F137"/>
      <c r="G137"/>
      <c r="H137"/>
      <c r="I137"/>
    </row>
    <row r="138" spans="1:9" ht="12.75">
      <c r="A138"/>
      <c r="B138"/>
      <c r="C138"/>
      <c r="D138"/>
      <c r="E138"/>
      <c r="F138"/>
      <c r="G138"/>
      <c r="H138"/>
      <c r="I138"/>
    </row>
    <row r="139" spans="1:9" ht="12.75">
      <c r="A139"/>
      <c r="B139"/>
      <c r="C139"/>
      <c r="D139"/>
      <c r="E139"/>
      <c r="F139"/>
      <c r="G139"/>
      <c r="H139"/>
      <c r="I139"/>
    </row>
    <row r="140" spans="1:9" ht="12.75">
      <c r="A140"/>
      <c r="B140"/>
      <c r="C140"/>
      <c r="D140"/>
      <c r="E140"/>
      <c r="F140"/>
      <c r="G140"/>
      <c r="H140"/>
      <c r="I140"/>
    </row>
    <row r="141" spans="1:9" ht="12.75">
      <c r="A141"/>
      <c r="B141"/>
      <c r="C141"/>
      <c r="D141"/>
      <c r="E141"/>
      <c r="F141"/>
      <c r="G141"/>
      <c r="H141"/>
      <c r="I141"/>
    </row>
    <row r="142" spans="1:9" ht="12.75">
      <c r="A142"/>
      <c r="B142"/>
      <c r="C142"/>
      <c r="D142"/>
      <c r="E142"/>
      <c r="F142"/>
      <c r="G142"/>
      <c r="H142"/>
      <c r="I142"/>
    </row>
    <row r="143" spans="1:9" ht="12.75">
      <c r="A143"/>
      <c r="B143"/>
      <c r="C143"/>
      <c r="D143"/>
      <c r="E143"/>
      <c r="F143"/>
      <c r="G143"/>
      <c r="H143"/>
      <c r="I143"/>
    </row>
    <row r="144" spans="1:9" ht="12.75">
      <c r="A144"/>
      <c r="B144"/>
      <c r="C144"/>
      <c r="D144"/>
      <c r="E144"/>
      <c r="F144"/>
      <c r="G144"/>
      <c r="H144"/>
      <c r="I144"/>
    </row>
    <row r="145" spans="1:9" ht="12.75">
      <c r="A145"/>
      <c r="B145"/>
      <c r="C145"/>
      <c r="D145"/>
      <c r="E145"/>
      <c r="F145"/>
      <c r="G145"/>
      <c r="H145"/>
      <c r="I145"/>
    </row>
    <row r="146" spans="1:9" ht="12.75">
      <c r="A146"/>
      <c r="B146"/>
      <c r="C146"/>
      <c r="D146"/>
      <c r="E146"/>
      <c r="F146"/>
      <c r="G146"/>
      <c r="H146"/>
      <c r="I146"/>
    </row>
    <row r="147" spans="1:9" ht="12.75">
      <c r="A147"/>
      <c r="B147"/>
      <c r="C147"/>
      <c r="D147"/>
      <c r="E147"/>
      <c r="F147"/>
      <c r="G147"/>
      <c r="H147"/>
      <c r="I147"/>
    </row>
    <row r="148" spans="1:9" ht="12.75">
      <c r="A148"/>
      <c r="B148"/>
      <c r="C148"/>
      <c r="D148"/>
      <c r="E148"/>
      <c r="F148"/>
      <c r="G148"/>
      <c r="H148"/>
      <c r="I148"/>
    </row>
    <row r="149" spans="1:9" ht="12.75">
      <c r="A149"/>
      <c r="B149"/>
      <c r="C149"/>
      <c r="D149"/>
      <c r="E149"/>
      <c r="F149"/>
      <c r="G149"/>
      <c r="H149"/>
      <c r="I149"/>
    </row>
    <row r="150" spans="1:9" ht="12.75">
      <c r="A150"/>
      <c r="B150"/>
      <c r="C150"/>
      <c r="D150"/>
      <c r="E150"/>
      <c r="F150"/>
      <c r="G150"/>
      <c r="H150"/>
      <c r="I150"/>
    </row>
    <row r="151" spans="1:9" ht="12.75">
      <c r="A151"/>
      <c r="B151"/>
      <c r="C151"/>
      <c r="D151"/>
      <c r="E151"/>
      <c r="F151"/>
      <c r="G151"/>
      <c r="H151"/>
      <c r="I151"/>
    </row>
    <row r="152" spans="1:9" ht="12.75">
      <c r="A152"/>
      <c r="B152"/>
      <c r="C152"/>
      <c r="D152"/>
      <c r="E152"/>
      <c r="F152"/>
      <c r="G152"/>
      <c r="H152"/>
      <c r="I152"/>
    </row>
    <row r="153" spans="1:9" ht="12.75">
      <c r="A153"/>
      <c r="B153"/>
      <c r="C153"/>
      <c r="D153"/>
      <c r="E153"/>
      <c r="F153"/>
      <c r="G153"/>
      <c r="H153"/>
      <c r="I153"/>
    </row>
    <row r="154" spans="1:9" ht="12.75">
      <c r="A154"/>
      <c r="B154"/>
      <c r="C154"/>
      <c r="D154"/>
      <c r="E154"/>
      <c r="F154"/>
      <c r="G154"/>
      <c r="H154"/>
      <c r="I154"/>
    </row>
    <row r="155" spans="1:9" ht="12.75">
      <c r="A155"/>
      <c r="B155"/>
      <c r="C155"/>
      <c r="D155"/>
      <c r="E155"/>
      <c r="F155"/>
      <c r="G155"/>
      <c r="H155"/>
      <c r="I155"/>
    </row>
    <row r="156" spans="1:9" ht="12.75">
      <c r="A156"/>
      <c r="B156"/>
      <c r="C156"/>
      <c r="D156"/>
      <c r="E156"/>
      <c r="F156"/>
      <c r="G156"/>
      <c r="H156"/>
      <c r="I156"/>
    </row>
    <row r="157" spans="1:9" ht="12.75">
      <c r="A157"/>
      <c r="B157"/>
      <c r="C157"/>
      <c r="D157"/>
      <c r="E157"/>
      <c r="F157"/>
      <c r="G157"/>
      <c r="H157"/>
      <c r="I157"/>
    </row>
    <row r="158" spans="1:9" ht="12.75">
      <c r="A158"/>
      <c r="B158"/>
      <c r="C158"/>
      <c r="D158"/>
      <c r="E158"/>
      <c r="F158"/>
      <c r="G158"/>
      <c r="H158"/>
      <c r="I158"/>
    </row>
    <row r="159" spans="1:9" ht="12.75">
      <c r="A159"/>
      <c r="B159"/>
      <c r="C159"/>
      <c r="D159"/>
      <c r="E159"/>
      <c r="F159"/>
      <c r="G159"/>
      <c r="H159"/>
      <c r="I159"/>
    </row>
    <row r="160" spans="1:9" ht="12.75">
      <c r="A160"/>
      <c r="B160"/>
      <c r="C160"/>
      <c r="D160"/>
      <c r="E160"/>
      <c r="F160"/>
      <c r="G160"/>
      <c r="H160"/>
      <c r="I160"/>
    </row>
    <row r="161" spans="1:9" ht="12.75">
      <c r="A161"/>
      <c r="B161"/>
      <c r="C161"/>
      <c r="D161"/>
      <c r="E161"/>
      <c r="F161"/>
      <c r="G161"/>
      <c r="H161"/>
      <c r="I161"/>
    </row>
    <row r="162" spans="1:9" ht="12.75">
      <c r="A162"/>
      <c r="B162"/>
      <c r="C162"/>
      <c r="D162"/>
      <c r="E162"/>
      <c r="F162"/>
      <c r="G162"/>
      <c r="H162"/>
      <c r="I162"/>
    </row>
    <row r="163" spans="1:9" ht="12.75">
      <c r="A163"/>
      <c r="B163"/>
      <c r="C163"/>
      <c r="D163"/>
      <c r="E163"/>
      <c r="F163"/>
      <c r="G163"/>
      <c r="H163"/>
      <c r="I163"/>
    </row>
    <row r="164" spans="1:9" ht="12.75">
      <c r="A164"/>
      <c r="B164"/>
      <c r="C164"/>
      <c r="D164"/>
      <c r="E164"/>
      <c r="F164"/>
      <c r="G164"/>
      <c r="H164"/>
      <c r="I164"/>
    </row>
    <row r="165" spans="1:9" ht="12.75">
      <c r="A165"/>
      <c r="B165"/>
      <c r="C165"/>
      <c r="D165"/>
      <c r="E165"/>
      <c r="F165"/>
      <c r="G165"/>
      <c r="H165"/>
      <c r="I165"/>
    </row>
    <row r="166" spans="1:9" ht="12.75">
      <c r="A166"/>
      <c r="B166"/>
      <c r="C166"/>
      <c r="D166"/>
      <c r="E166"/>
      <c r="F166"/>
      <c r="G166"/>
      <c r="H166"/>
      <c r="I166"/>
    </row>
    <row r="167" spans="1:9" ht="12.75">
      <c r="A167"/>
      <c r="B167"/>
      <c r="C167"/>
      <c r="D167"/>
      <c r="E167"/>
      <c r="F167"/>
      <c r="G167"/>
      <c r="H167"/>
      <c r="I167"/>
    </row>
    <row r="168" spans="1:9" ht="12.75">
      <c r="A168"/>
      <c r="B168"/>
      <c r="C168"/>
      <c r="D168"/>
      <c r="E168"/>
      <c r="F168"/>
      <c r="G168"/>
      <c r="H168"/>
      <c r="I168"/>
    </row>
    <row r="169" spans="1:9" ht="12.75">
      <c r="A169"/>
      <c r="B169"/>
      <c r="C169"/>
      <c r="D169"/>
      <c r="E169"/>
      <c r="F169"/>
      <c r="G169"/>
      <c r="H169"/>
      <c r="I169"/>
    </row>
    <row r="170" spans="1:9" ht="12.75">
      <c r="A170"/>
      <c r="B170"/>
      <c r="C170"/>
      <c r="D170"/>
      <c r="E170"/>
      <c r="F170"/>
      <c r="G170"/>
      <c r="H170"/>
      <c r="I170"/>
    </row>
    <row r="171" spans="1:9" ht="12.75">
      <c r="A171"/>
      <c r="B171"/>
      <c r="C171"/>
      <c r="D171"/>
      <c r="E171"/>
      <c r="F171"/>
      <c r="G171"/>
      <c r="H171"/>
      <c r="I171"/>
    </row>
    <row r="172" spans="1:9" ht="12.75">
      <c r="A172"/>
      <c r="B172"/>
      <c r="C172"/>
      <c r="D172"/>
      <c r="E172"/>
      <c r="F172"/>
      <c r="G172"/>
      <c r="H172"/>
      <c r="I172"/>
    </row>
    <row r="173" spans="1:9" ht="12.75">
      <c r="A173"/>
      <c r="B173"/>
      <c r="C173"/>
      <c r="D173"/>
      <c r="E173"/>
      <c r="F173"/>
      <c r="G173"/>
      <c r="H173"/>
      <c r="I173"/>
    </row>
    <row r="174" spans="2:7" ht="12.75">
      <c r="B174"/>
      <c r="C174"/>
      <c r="D174"/>
      <c r="E174"/>
      <c r="F174"/>
      <c r="G174"/>
    </row>
    <row r="175" spans="2:7" ht="12.75">
      <c r="B175"/>
      <c r="C175"/>
      <c r="D175"/>
      <c r="E175"/>
      <c r="F175"/>
      <c r="G175"/>
    </row>
    <row r="176" spans="2:7" ht="12.75">
      <c r="B176"/>
      <c r="C176"/>
      <c r="D176"/>
      <c r="E176"/>
      <c r="F176"/>
      <c r="G176"/>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V57"/>
  <sheetViews>
    <sheetView showGridLines="0" zoomScale="80" zoomScaleNormal="80" workbookViewId="0" topLeftCell="E22">
      <selection activeCell="N35" sqref="N35"/>
    </sheetView>
  </sheetViews>
  <sheetFormatPr defaultColWidth="9.33203125" defaultRowHeight="11.25"/>
  <cols>
    <col min="1" max="1" width="5.83203125" style="0" customWidth="1"/>
    <col min="2" max="2" width="30.83203125" style="0" customWidth="1"/>
    <col min="3" max="5" width="15.83203125" style="0" customWidth="1"/>
    <col min="6" max="6" width="13.66015625" style="0" bestFit="1" customWidth="1"/>
    <col min="7" max="8" width="12.83203125" style="0" customWidth="1"/>
    <col min="9" max="9" width="12.5" style="0" customWidth="1"/>
    <col min="10" max="10" width="12.66015625" style="0" customWidth="1"/>
    <col min="11" max="11" width="12.16015625" style="0" customWidth="1"/>
    <col min="12" max="12" width="17.16015625" style="0" customWidth="1"/>
    <col min="13" max="13" width="13.16015625" style="0" customWidth="1"/>
    <col min="14" max="14" width="15" style="0" bestFit="1" customWidth="1"/>
    <col min="15" max="15" width="6.16015625" style="0" customWidth="1"/>
    <col min="16" max="16" width="13" style="0" customWidth="1"/>
    <col min="20" max="20" width="14.5" style="0" customWidth="1"/>
    <col min="21" max="21" width="13.5" style="0" customWidth="1"/>
    <col min="22" max="22" width="15.66015625" style="0" customWidth="1"/>
    <col min="23" max="23" width="20.33203125" style="0" customWidth="1"/>
    <col min="24" max="25" width="22.83203125" style="0" customWidth="1"/>
  </cols>
  <sheetData>
    <row r="1" spans="1:10" ht="11.25">
      <c r="A1" s="1"/>
      <c r="B1" s="2"/>
      <c r="G1" s="138"/>
      <c r="H1" s="138"/>
      <c r="I1" s="138"/>
      <c r="J1" s="138"/>
    </row>
    <row r="2" spans="2:5" ht="11.25">
      <c r="B2" s="3"/>
      <c r="C2" s="4"/>
      <c r="D2" s="4"/>
      <c r="E2" s="4"/>
    </row>
    <row r="3" spans="4:14" ht="18.75">
      <c r="D3" s="1243" t="s">
        <v>658</v>
      </c>
      <c r="E3" s="1244"/>
      <c r="F3" s="1244"/>
      <c r="G3" s="1244"/>
      <c r="H3" s="1244"/>
      <c r="I3" s="1244"/>
      <c r="J3" s="1244"/>
      <c r="K3" s="1245"/>
      <c r="L3" s="90"/>
      <c r="M3" s="73"/>
      <c r="N3" s="73"/>
    </row>
    <row r="4" spans="3:14" ht="20.25">
      <c r="C4" s="345"/>
      <c r="D4" s="1252" t="s">
        <v>1071</v>
      </c>
      <c r="E4" s="1253"/>
      <c r="F4" s="1253"/>
      <c r="G4" s="1253"/>
      <c r="H4" s="1253"/>
      <c r="I4" s="1253"/>
      <c r="J4" s="1253"/>
      <c r="K4" s="1254"/>
      <c r="L4" s="90"/>
      <c r="M4" s="73"/>
      <c r="N4" s="73"/>
    </row>
    <row r="5" spans="4:14" ht="15.75">
      <c r="D5" s="1255" t="s">
        <v>659</v>
      </c>
      <c r="E5" s="1256"/>
      <c r="F5" s="1256"/>
      <c r="G5" s="1256"/>
      <c r="H5" s="1256"/>
      <c r="I5" s="1256"/>
      <c r="J5" s="1256"/>
      <c r="K5" s="1257"/>
      <c r="L5" s="91"/>
      <c r="M5" s="73"/>
      <c r="N5" s="73"/>
    </row>
    <row r="6" spans="1:22" ht="56.25">
      <c r="A6" s="321" t="s">
        <v>377</v>
      </c>
      <c r="B6" s="322" t="s">
        <v>1007</v>
      </c>
      <c r="C6" s="323" t="s">
        <v>47</v>
      </c>
      <c r="D6" s="524" t="s">
        <v>1355</v>
      </c>
      <c r="E6" s="323" t="s">
        <v>918</v>
      </c>
      <c r="F6" s="524" t="s">
        <v>1485</v>
      </c>
      <c r="G6" s="524" t="s">
        <v>48</v>
      </c>
      <c r="H6" s="524" t="s">
        <v>378</v>
      </c>
      <c r="I6" s="524" t="s">
        <v>989</v>
      </c>
      <c r="J6" s="524" t="s">
        <v>379</v>
      </c>
      <c r="K6" s="524" t="s">
        <v>380</v>
      </c>
      <c r="L6" s="323" t="s">
        <v>64</v>
      </c>
      <c r="M6" s="323" t="s">
        <v>705</v>
      </c>
      <c r="N6" s="324" t="s">
        <v>381</v>
      </c>
      <c r="T6" s="323" t="s">
        <v>1486</v>
      </c>
      <c r="U6" s="323" t="s">
        <v>1487</v>
      </c>
      <c r="V6" s="323" t="s">
        <v>64</v>
      </c>
    </row>
    <row r="7" spans="1:22" ht="11.25">
      <c r="A7" s="34"/>
      <c r="B7" s="24" t="s">
        <v>1012</v>
      </c>
      <c r="C7" s="780" t="s">
        <v>1013</v>
      </c>
      <c r="D7" s="781" t="s">
        <v>1014</v>
      </c>
      <c r="E7" s="780" t="s">
        <v>1074</v>
      </c>
      <c r="F7" s="781" t="s">
        <v>1016</v>
      </c>
      <c r="G7" s="781" t="s">
        <v>1075</v>
      </c>
      <c r="H7" s="781" t="s">
        <v>1018</v>
      </c>
      <c r="I7" s="781" t="s">
        <v>1076</v>
      </c>
      <c r="J7" s="781" t="s">
        <v>1077</v>
      </c>
      <c r="K7" s="25" t="s">
        <v>1078</v>
      </c>
      <c r="L7" s="25" t="s">
        <v>1079</v>
      </c>
      <c r="M7" s="25" t="s">
        <v>1080</v>
      </c>
      <c r="N7" s="25" t="s">
        <v>706</v>
      </c>
      <c r="T7" s="25" t="s">
        <v>1079</v>
      </c>
      <c r="U7" s="25" t="s">
        <v>1079</v>
      </c>
      <c r="V7" s="25" t="s">
        <v>1079</v>
      </c>
    </row>
    <row r="8" spans="1:22" ht="11.25">
      <c r="A8" s="18"/>
      <c r="B8" s="484" t="s">
        <v>1020</v>
      </c>
      <c r="C8" s="129"/>
      <c r="D8" s="143"/>
      <c r="E8" s="129"/>
      <c r="F8" s="129"/>
      <c r="G8" s="14"/>
      <c r="H8" s="14"/>
      <c r="I8" s="14"/>
      <c r="J8" s="14"/>
      <c r="K8" s="14"/>
      <c r="L8" s="14"/>
      <c r="M8" s="14"/>
      <c r="N8" s="14"/>
      <c r="T8" s="14"/>
      <c r="U8" s="14"/>
      <c r="V8" s="14"/>
    </row>
    <row r="9" spans="1:22" ht="11.25">
      <c r="A9" s="23" t="s">
        <v>1021</v>
      </c>
      <c r="B9" s="485" t="s">
        <v>1022</v>
      </c>
      <c r="C9" s="488">
        <f>+'MPP-3 p5'!I65</f>
        <v>37836113.620000064</v>
      </c>
      <c r="D9" s="490">
        <f>+'JTS-4 S1'!E15</f>
        <v>0</v>
      </c>
      <c r="E9" s="488">
        <v>0</v>
      </c>
      <c r="F9" s="488">
        <v>18411461</v>
      </c>
      <c r="G9" s="82">
        <v>0</v>
      </c>
      <c r="H9" s="82">
        <v>0</v>
      </c>
      <c r="I9" s="82">
        <v>0</v>
      </c>
      <c r="J9" s="82">
        <v>0</v>
      </c>
      <c r="K9" s="82">
        <v>0</v>
      </c>
      <c r="L9" s="779">
        <f>+'MPP-3 p11'!F29</f>
        <v>2192757.104419999</v>
      </c>
      <c r="M9" s="82">
        <v>0</v>
      </c>
      <c r="N9" s="82">
        <f>SUM(C9:M9)</f>
        <v>58440331.72442006</v>
      </c>
      <c r="T9" s="779">
        <v>3907505.7258848613</v>
      </c>
      <c r="U9" s="779">
        <v>730779.1060096663</v>
      </c>
      <c r="V9" s="779">
        <v>3907505.7258848613</v>
      </c>
    </row>
    <row r="10" spans="1:22" ht="12">
      <c r="A10" s="23" t="s">
        <v>1023</v>
      </c>
      <c r="B10" s="485" t="s">
        <v>1024</v>
      </c>
      <c r="C10" s="489">
        <v>0</v>
      </c>
      <c r="D10" s="491">
        <v>0</v>
      </c>
      <c r="E10" s="489">
        <v>0</v>
      </c>
      <c r="F10" s="113">
        <v>-18411461</v>
      </c>
      <c r="G10" s="61">
        <v>0</v>
      </c>
      <c r="H10" s="61">
        <v>0</v>
      </c>
      <c r="I10" s="61">
        <v>0</v>
      </c>
      <c r="J10" s="61">
        <v>0</v>
      </c>
      <c r="K10" s="61">
        <v>0</v>
      </c>
      <c r="L10" s="61">
        <v>0</v>
      </c>
      <c r="M10" s="61">
        <v>0</v>
      </c>
      <c r="N10" s="113">
        <f>SUM(C10:J10)</f>
        <v>-18411461</v>
      </c>
      <c r="T10" s="61">
        <v>0</v>
      </c>
      <c r="U10" s="61">
        <v>0</v>
      </c>
      <c r="V10" s="61">
        <v>0</v>
      </c>
    </row>
    <row r="11" spans="1:22" ht="11.25">
      <c r="A11" s="23" t="s">
        <v>1025</v>
      </c>
      <c r="B11" s="485" t="s">
        <v>1026</v>
      </c>
      <c r="C11" s="85">
        <v>0</v>
      </c>
      <c r="D11" s="492">
        <v>0</v>
      </c>
      <c r="E11" s="85">
        <v>0</v>
      </c>
      <c r="F11" s="494">
        <v>0</v>
      </c>
      <c r="G11" s="62">
        <v>0</v>
      </c>
      <c r="H11" s="62">
        <v>0</v>
      </c>
      <c r="I11" s="62">
        <v>0</v>
      </c>
      <c r="J11" s="62">
        <v>0</v>
      </c>
      <c r="K11" s="62">
        <v>0</v>
      </c>
      <c r="L11" s="62">
        <v>0</v>
      </c>
      <c r="M11" s="62">
        <v>0</v>
      </c>
      <c r="N11" s="62">
        <f>SUM(C11:M11)</f>
        <v>0</v>
      </c>
      <c r="T11" s="62">
        <v>0</v>
      </c>
      <c r="U11" s="62">
        <v>0</v>
      </c>
      <c r="V11" s="62">
        <v>0</v>
      </c>
    </row>
    <row r="12" spans="1:22" ht="12" thickBot="1">
      <c r="A12" s="23" t="s">
        <v>1027</v>
      </c>
      <c r="B12" s="485" t="s">
        <v>1081</v>
      </c>
      <c r="C12" s="88">
        <f aca="true" t="shared" si="0" ref="C12:J12">C9+C10+C11</f>
        <v>37836113.620000064</v>
      </c>
      <c r="D12" s="493">
        <f t="shared" si="0"/>
        <v>0</v>
      </c>
      <c r="E12" s="88">
        <f t="shared" si="0"/>
        <v>0</v>
      </c>
      <c r="F12" s="88">
        <f t="shared" si="0"/>
        <v>0</v>
      </c>
      <c r="G12" s="487">
        <f t="shared" si="0"/>
        <v>0</v>
      </c>
      <c r="H12" s="88">
        <f t="shared" si="0"/>
        <v>0</v>
      </c>
      <c r="I12" s="88">
        <f t="shared" si="0"/>
        <v>0</v>
      </c>
      <c r="J12" s="88">
        <f t="shared" si="0"/>
        <v>0</v>
      </c>
      <c r="K12" s="88">
        <f>K9+K10+K11</f>
        <v>0</v>
      </c>
      <c r="L12" s="88">
        <f>SUM(L9:L11)</f>
        <v>2192757.104419999</v>
      </c>
      <c r="M12" s="88">
        <f>M9+M10+M11</f>
        <v>0</v>
      </c>
      <c r="N12" s="88">
        <f>N9+N10+N11</f>
        <v>40028870.72442006</v>
      </c>
      <c r="T12" s="88">
        <v>3907505.7258848613</v>
      </c>
      <c r="U12" s="88">
        <v>730779.1060096663</v>
      </c>
      <c r="V12" s="88">
        <v>3907505.7258848613</v>
      </c>
    </row>
    <row r="13" spans="1:22" ht="12" thickTop="1">
      <c r="A13" s="34"/>
      <c r="B13" s="16"/>
      <c r="C13" s="85"/>
      <c r="D13" s="492"/>
      <c r="E13" s="85"/>
      <c r="F13" s="85"/>
      <c r="G13" s="486"/>
      <c r="H13" s="85"/>
      <c r="I13" s="85"/>
      <c r="J13" s="85"/>
      <c r="K13" s="85"/>
      <c r="L13" s="85"/>
      <c r="M13" s="85"/>
      <c r="N13" s="85"/>
      <c r="T13" s="85"/>
      <c r="U13" s="85"/>
      <c r="V13" s="85"/>
    </row>
    <row r="14" spans="1:22" ht="11.25">
      <c r="A14" s="18"/>
      <c r="B14" s="29" t="s">
        <v>1029</v>
      </c>
      <c r="C14" s="60"/>
      <c r="D14" s="63"/>
      <c r="E14" s="60"/>
      <c r="F14" s="60"/>
      <c r="G14" s="63"/>
      <c r="H14" s="63"/>
      <c r="I14" s="63"/>
      <c r="J14" s="63"/>
      <c r="K14" s="63"/>
      <c r="L14" s="63"/>
      <c r="M14" s="63"/>
      <c r="N14" s="63"/>
      <c r="T14" s="63"/>
      <c r="U14" s="63"/>
      <c r="V14" s="63"/>
    </row>
    <row r="15" spans="1:22" ht="11.25">
      <c r="A15" s="23" t="s">
        <v>1030</v>
      </c>
      <c r="B15" s="31" t="s">
        <v>1031</v>
      </c>
      <c r="C15" s="82">
        <f>+'MPP-3 p5'!L65</f>
        <v>35812290.814290494</v>
      </c>
      <c r="D15" s="82">
        <f>+'JTS-4 S1'!E16</f>
        <v>0</v>
      </c>
      <c r="E15" s="82">
        <f>+'JTS-5 S1'!E28</f>
        <v>0</v>
      </c>
      <c r="F15" s="83">
        <v>0</v>
      </c>
      <c r="G15" s="83">
        <v>0</v>
      </c>
      <c r="H15" s="83">
        <v>0</v>
      </c>
      <c r="I15" s="83">
        <v>0</v>
      </c>
      <c r="J15" s="83">
        <v>0</v>
      </c>
      <c r="K15" s="83">
        <v>0</v>
      </c>
      <c r="L15" s="778">
        <v>0</v>
      </c>
      <c r="M15" s="83">
        <v>0</v>
      </c>
      <c r="N15" s="83">
        <f aca="true" t="shared" si="1" ref="N15:N23">SUM(C15:M15)</f>
        <v>35812290.814290494</v>
      </c>
      <c r="T15" s="778">
        <v>3337542.3437802196</v>
      </c>
      <c r="U15" s="778">
        <v>0</v>
      </c>
      <c r="V15" s="778">
        <v>3189760.7291965433</v>
      </c>
    </row>
    <row r="16" spans="1:22" ht="11.25">
      <c r="A16" s="23" t="s">
        <v>1032</v>
      </c>
      <c r="B16" s="31" t="s">
        <v>1033</v>
      </c>
      <c r="C16" s="60">
        <v>0</v>
      </c>
      <c r="D16" s="60">
        <v>0</v>
      </c>
      <c r="E16" s="60">
        <v>0</v>
      </c>
      <c r="F16" s="60">
        <v>0</v>
      </c>
      <c r="G16" s="60">
        <v>0</v>
      </c>
      <c r="H16" s="60">
        <v>0</v>
      </c>
      <c r="I16" s="60">
        <v>0</v>
      </c>
      <c r="J16" s="60">
        <v>0</v>
      </c>
      <c r="K16" s="60">
        <v>0</v>
      </c>
      <c r="L16" s="60">
        <v>0</v>
      </c>
      <c r="M16" s="60">
        <v>0</v>
      </c>
      <c r="N16" s="60">
        <f t="shared" si="1"/>
        <v>0</v>
      </c>
      <c r="T16" s="60">
        <v>0</v>
      </c>
      <c r="U16" s="60">
        <v>0</v>
      </c>
      <c r="V16" s="60">
        <v>0</v>
      </c>
    </row>
    <row r="17" spans="1:22" ht="11.25">
      <c r="A17" s="23" t="s">
        <v>1034</v>
      </c>
      <c r="B17" s="31" t="s">
        <v>1035</v>
      </c>
      <c r="C17" s="60">
        <v>0</v>
      </c>
      <c r="D17" s="60">
        <v>0</v>
      </c>
      <c r="E17" s="60">
        <v>0</v>
      </c>
      <c r="F17" s="60">
        <v>0</v>
      </c>
      <c r="G17" s="60">
        <v>0</v>
      </c>
      <c r="H17" s="60">
        <v>0</v>
      </c>
      <c r="I17" s="60">
        <v>0</v>
      </c>
      <c r="J17" s="60">
        <v>0</v>
      </c>
      <c r="K17" s="60">
        <v>0</v>
      </c>
      <c r="L17" s="60">
        <v>0</v>
      </c>
      <c r="M17" s="60">
        <v>0</v>
      </c>
      <c r="N17" s="60">
        <f t="shared" si="1"/>
        <v>0</v>
      </c>
      <c r="T17" s="60">
        <v>0</v>
      </c>
      <c r="U17" s="60">
        <v>0</v>
      </c>
      <c r="V17" s="60">
        <v>0</v>
      </c>
    </row>
    <row r="18" spans="1:22" ht="11.25">
      <c r="A18" s="23" t="s">
        <v>1036</v>
      </c>
      <c r="B18" s="31" t="s">
        <v>1037</v>
      </c>
      <c r="C18" s="60">
        <f aca="true" t="shared" si="2" ref="C18:J18">ROUND(C12*PFU,0)</f>
        <v>116510</v>
      </c>
      <c r="D18" s="60">
        <f>ROUND(D12*PFU,0)</f>
        <v>0</v>
      </c>
      <c r="E18" s="60">
        <f>ROUND(E12*PFU,0)</f>
        <v>0</v>
      </c>
      <c r="F18" s="60">
        <f t="shared" si="2"/>
        <v>0</v>
      </c>
      <c r="G18" s="60">
        <f t="shared" si="2"/>
        <v>0</v>
      </c>
      <c r="H18" s="60">
        <f t="shared" si="2"/>
        <v>0</v>
      </c>
      <c r="I18" s="60">
        <f t="shared" si="2"/>
        <v>0</v>
      </c>
      <c r="J18" s="60">
        <f t="shared" si="2"/>
        <v>0</v>
      </c>
      <c r="K18" s="60">
        <f>ROUND(K12*PFU,0)</f>
        <v>0</v>
      </c>
      <c r="L18" s="60">
        <f>ROUND(L12*PFU,0)</f>
        <v>6752</v>
      </c>
      <c r="M18" s="60">
        <f>+'MPP-3 p12'!E17</f>
        <v>-191006.25</v>
      </c>
      <c r="N18" s="60">
        <f t="shared" si="1"/>
        <v>-67744.25</v>
      </c>
      <c r="T18" s="60">
        <v>12032</v>
      </c>
      <c r="U18" s="60">
        <v>2250</v>
      </c>
      <c r="V18" s="60">
        <v>12032</v>
      </c>
    </row>
    <row r="19" spans="1:22" ht="11.25">
      <c r="A19" s="23" t="s">
        <v>1038</v>
      </c>
      <c r="B19" s="31" t="s">
        <v>1039</v>
      </c>
      <c r="C19" s="60">
        <v>0</v>
      </c>
      <c r="D19" s="60">
        <v>0</v>
      </c>
      <c r="E19" s="60">
        <v>0</v>
      </c>
      <c r="F19" s="60">
        <v>0</v>
      </c>
      <c r="G19" s="60">
        <v>0</v>
      </c>
      <c r="H19" s="60">
        <v>0</v>
      </c>
      <c r="I19" s="60">
        <v>0</v>
      </c>
      <c r="J19" s="60">
        <v>0</v>
      </c>
      <c r="K19" s="60">
        <v>0</v>
      </c>
      <c r="L19" s="60">
        <v>0</v>
      </c>
      <c r="M19" s="60">
        <v>0</v>
      </c>
      <c r="N19" s="60">
        <f t="shared" si="1"/>
        <v>0</v>
      </c>
      <c r="T19" s="60">
        <v>0</v>
      </c>
      <c r="U19" s="60">
        <v>0</v>
      </c>
      <c r="V19" s="60">
        <v>0</v>
      </c>
    </row>
    <row r="20" spans="1:22" ht="11.25">
      <c r="A20" s="23" t="s">
        <v>1040</v>
      </c>
      <c r="B20" s="31" t="s">
        <v>1041</v>
      </c>
      <c r="C20" s="60">
        <v>0</v>
      </c>
      <c r="D20" s="60">
        <v>0</v>
      </c>
      <c r="E20" s="60">
        <v>0</v>
      </c>
      <c r="F20" s="60">
        <v>0</v>
      </c>
      <c r="G20" s="60">
        <v>0</v>
      </c>
      <c r="H20" s="60">
        <v>0</v>
      </c>
      <c r="I20" s="60">
        <v>0</v>
      </c>
      <c r="J20" s="60">
        <v>0</v>
      </c>
      <c r="K20" s="60">
        <f>+'MPP-3 p10'!E23</f>
        <v>-183585.35</v>
      </c>
      <c r="L20" s="60">
        <v>0</v>
      </c>
      <c r="M20" s="60">
        <f>+'MPP-3 p10'!G23</f>
        <v>0</v>
      </c>
      <c r="N20" s="60">
        <f t="shared" si="1"/>
        <v>-183585.35</v>
      </c>
      <c r="S20">
        <f>150100-66360</f>
        <v>83740</v>
      </c>
      <c r="T20" s="60">
        <v>0</v>
      </c>
      <c r="U20" s="60">
        <v>0</v>
      </c>
      <c r="V20" s="60">
        <v>0</v>
      </c>
    </row>
    <row r="21" spans="1:22" ht="11.25">
      <c r="A21" s="23" t="s">
        <v>1042</v>
      </c>
      <c r="B21" s="31" t="s">
        <v>1043</v>
      </c>
      <c r="C21" s="60">
        <v>0</v>
      </c>
      <c r="D21" s="60">
        <f>-' WP GM Expenses'!G31</f>
        <v>0</v>
      </c>
      <c r="E21" s="60">
        <v>0</v>
      </c>
      <c r="F21" s="60">
        <v>0</v>
      </c>
      <c r="G21" s="60">
        <f>+'MPP-3 p6'!F31</f>
        <v>-2143626.6654959996</v>
      </c>
      <c r="H21" s="60">
        <v>0</v>
      </c>
      <c r="I21" s="60">
        <v>0</v>
      </c>
      <c r="J21" s="60">
        <v>0</v>
      </c>
      <c r="K21" s="60">
        <v>0</v>
      </c>
      <c r="L21" s="60">
        <v>0</v>
      </c>
      <c r="M21" s="60">
        <v>0</v>
      </c>
      <c r="N21" s="60">
        <f t="shared" si="1"/>
        <v>-2143626.6654959996</v>
      </c>
      <c r="S21">
        <v>40000</v>
      </c>
      <c r="T21" s="60">
        <v>0</v>
      </c>
      <c r="U21" s="60">
        <v>0</v>
      </c>
      <c r="V21" s="60">
        <v>0</v>
      </c>
    </row>
    <row r="22" spans="1:22" ht="11.25">
      <c r="A22" s="23" t="s">
        <v>1044</v>
      </c>
      <c r="B22" s="31" t="s">
        <v>1045</v>
      </c>
      <c r="C22" s="60">
        <v>0</v>
      </c>
      <c r="D22" s="60">
        <v>0</v>
      </c>
      <c r="E22" s="60">
        <v>0</v>
      </c>
      <c r="F22" s="60">
        <v>0</v>
      </c>
      <c r="G22" s="60">
        <v>0</v>
      </c>
      <c r="H22" s="60">
        <f>+'MPP-3 p7'!E21</f>
        <v>188561</v>
      </c>
      <c r="I22" s="60">
        <v>0</v>
      </c>
      <c r="J22" s="60">
        <v>0</v>
      </c>
      <c r="K22" s="60">
        <v>0</v>
      </c>
      <c r="L22" s="60">
        <v>0</v>
      </c>
      <c r="M22" s="60">
        <v>0</v>
      </c>
      <c r="N22" s="60">
        <f t="shared" si="1"/>
        <v>188561</v>
      </c>
      <c r="S22">
        <f>+S20-S21</f>
        <v>43740</v>
      </c>
      <c r="T22" s="60">
        <v>0</v>
      </c>
      <c r="U22" s="60">
        <v>0</v>
      </c>
      <c r="V22" s="60">
        <v>0</v>
      </c>
    </row>
    <row r="23" spans="1:22" ht="11.25">
      <c r="A23" s="23" t="s">
        <v>1046</v>
      </c>
      <c r="B23" s="31" t="s">
        <v>1047</v>
      </c>
      <c r="C23" s="62">
        <v>0</v>
      </c>
      <c r="D23" s="62">
        <v>0</v>
      </c>
      <c r="E23" s="62">
        <v>0</v>
      </c>
      <c r="F23" s="62">
        <v>0</v>
      </c>
      <c r="G23" s="62">
        <v>0</v>
      </c>
      <c r="H23" s="62">
        <v>0</v>
      </c>
      <c r="I23" s="62">
        <v>0</v>
      </c>
      <c r="J23" s="62">
        <v>0</v>
      </c>
      <c r="K23" s="62">
        <v>0</v>
      </c>
      <c r="L23" s="62">
        <v>0</v>
      </c>
      <c r="M23" s="62">
        <v>0</v>
      </c>
      <c r="N23" s="62">
        <f t="shared" si="1"/>
        <v>0</v>
      </c>
      <c r="S23">
        <v>29362</v>
      </c>
      <c r="T23" s="62">
        <v>0</v>
      </c>
      <c r="U23" s="62">
        <v>0</v>
      </c>
      <c r="V23" s="62">
        <v>0</v>
      </c>
    </row>
    <row r="24" spans="1:22" ht="12" thickBot="1">
      <c r="A24" s="23" t="s">
        <v>1048</v>
      </c>
      <c r="B24" s="31" t="s">
        <v>1049</v>
      </c>
      <c r="C24" s="88">
        <f aca="true" t="shared" si="3" ref="C24:J24">SUM(C15:C23)</f>
        <v>35928800.814290494</v>
      </c>
      <c r="D24" s="88">
        <f t="shared" si="3"/>
        <v>0</v>
      </c>
      <c r="E24" s="88">
        <f t="shared" si="3"/>
        <v>0</v>
      </c>
      <c r="F24" s="88">
        <f t="shared" si="3"/>
        <v>0</v>
      </c>
      <c r="G24" s="88">
        <f t="shared" si="3"/>
        <v>-2143626.6654959996</v>
      </c>
      <c r="H24" s="88">
        <f t="shared" si="3"/>
        <v>188561</v>
      </c>
      <c r="I24" s="88">
        <f t="shared" si="3"/>
        <v>0</v>
      </c>
      <c r="J24" s="88">
        <f t="shared" si="3"/>
        <v>0</v>
      </c>
      <c r="K24" s="88">
        <f>SUM(K15:K23)</f>
        <v>-183585.35</v>
      </c>
      <c r="L24" s="88">
        <f>SUM(L15:L23)</f>
        <v>6752</v>
      </c>
      <c r="M24" s="88">
        <f>SUM(M15:M23)</f>
        <v>-191006.25</v>
      </c>
      <c r="N24" s="88">
        <f>SUM(N15:N23)</f>
        <v>33605895.54879449</v>
      </c>
      <c r="S24">
        <f>+S23+S22</f>
        <v>73102</v>
      </c>
      <c r="T24" s="88">
        <v>3349574.3437802196</v>
      </c>
      <c r="U24" s="88">
        <v>2250</v>
      </c>
      <c r="V24" s="88">
        <v>3201792.7291965433</v>
      </c>
    </row>
    <row r="25" spans="1:22" ht="12" thickTop="1">
      <c r="A25" s="34"/>
      <c r="B25" s="34"/>
      <c r="C25" s="62"/>
      <c r="D25" s="62"/>
      <c r="E25" s="62"/>
      <c r="F25" s="62"/>
      <c r="G25" s="62"/>
      <c r="H25" s="62"/>
      <c r="I25" s="62"/>
      <c r="J25" s="62"/>
      <c r="K25" s="62"/>
      <c r="L25" s="62"/>
      <c r="M25" s="62"/>
      <c r="N25" s="62"/>
      <c r="T25" s="62"/>
      <c r="U25" s="62"/>
      <c r="V25" s="62"/>
    </row>
    <row r="26" spans="1:22" ht="11.25">
      <c r="A26" s="18"/>
      <c r="B26" s="30" t="s">
        <v>1050</v>
      </c>
      <c r="C26" s="60"/>
      <c r="D26" s="60"/>
      <c r="E26" s="60"/>
      <c r="F26" s="60"/>
      <c r="G26" s="60"/>
      <c r="H26" s="60"/>
      <c r="I26" s="60"/>
      <c r="J26" s="60"/>
      <c r="K26" s="60"/>
      <c r="L26" s="60"/>
      <c r="M26" s="60"/>
      <c r="N26" s="60"/>
      <c r="T26" s="60"/>
      <c r="U26" s="60"/>
      <c r="V26" s="60"/>
    </row>
    <row r="27" spans="1:22" ht="11.25">
      <c r="A27" s="23" t="s">
        <v>1051</v>
      </c>
      <c r="B27" s="31" t="s">
        <v>1052</v>
      </c>
      <c r="C27" s="83">
        <f aca="true" t="shared" si="4" ref="C27:H27">ROUND(C12*OTI,0)</f>
        <v>1524848</v>
      </c>
      <c r="D27" s="83">
        <f t="shared" si="4"/>
        <v>0</v>
      </c>
      <c r="E27" s="83">
        <f t="shared" si="4"/>
        <v>0</v>
      </c>
      <c r="F27" s="83">
        <f t="shared" si="4"/>
        <v>0</v>
      </c>
      <c r="G27" s="83">
        <f t="shared" si="4"/>
        <v>0</v>
      </c>
      <c r="H27" s="83">
        <f t="shared" si="4"/>
        <v>0</v>
      </c>
      <c r="I27" s="83">
        <f>+'MPP-3 p8'!E17</f>
        <v>86974</v>
      </c>
      <c r="J27" s="83">
        <f>+'MPP-3 p9'!E19</f>
        <v>-495002</v>
      </c>
      <c r="K27" s="83">
        <f>ROUND(K12*OTI,0)</f>
        <v>0</v>
      </c>
      <c r="L27" s="83">
        <f>ROUND(L12*OTI,0)</f>
        <v>88371</v>
      </c>
      <c r="M27" s="83">
        <f>ROUND(M12*OTI,0)</f>
        <v>0</v>
      </c>
      <c r="N27" s="83">
        <f>SUM(C27:M27)</f>
        <v>1205191</v>
      </c>
      <c r="T27" s="83">
        <v>157478</v>
      </c>
      <c r="U27" s="83">
        <v>29451</v>
      </c>
      <c r="V27" s="83">
        <v>157478</v>
      </c>
    </row>
    <row r="28" spans="1:22" ht="11.25">
      <c r="A28" s="23" t="s">
        <v>1053</v>
      </c>
      <c r="B28" s="31" t="s">
        <v>1054</v>
      </c>
      <c r="C28" s="60">
        <v>0</v>
      </c>
      <c r="D28" s="60">
        <v>0</v>
      </c>
      <c r="E28" s="60">
        <v>0</v>
      </c>
      <c r="F28" s="60">
        <v>0</v>
      </c>
      <c r="G28" s="60">
        <v>0</v>
      </c>
      <c r="H28" s="60">
        <v>0</v>
      </c>
      <c r="I28" s="60">
        <v>0</v>
      </c>
      <c r="J28" s="60">
        <v>0</v>
      </c>
      <c r="K28" s="60">
        <v>0</v>
      </c>
      <c r="L28" s="60">
        <v>0</v>
      </c>
      <c r="M28" s="60">
        <v>0</v>
      </c>
      <c r="N28" s="60">
        <f>SUM(C28:M28)</f>
        <v>0</v>
      </c>
      <c r="T28" s="60">
        <v>0</v>
      </c>
      <c r="U28" s="60">
        <v>0</v>
      </c>
      <c r="V28" s="60">
        <v>0</v>
      </c>
    </row>
    <row r="29" spans="1:22" ht="11.25">
      <c r="A29" s="23" t="s">
        <v>1055</v>
      </c>
      <c r="B29" s="31" t="s">
        <v>1056</v>
      </c>
      <c r="C29" s="62">
        <f aca="true" t="shared" si="5" ref="C29:J29">ROUND((C12-C24-C27-C28)*FIT,0)</f>
        <v>130038</v>
      </c>
      <c r="D29" s="62">
        <f t="shared" si="5"/>
        <v>0</v>
      </c>
      <c r="E29" s="62">
        <f t="shared" si="5"/>
        <v>0</v>
      </c>
      <c r="F29" s="62">
        <f t="shared" si="5"/>
        <v>0</v>
      </c>
      <c r="G29" s="62">
        <f t="shared" si="5"/>
        <v>728833</v>
      </c>
      <c r="H29" s="62">
        <f t="shared" si="5"/>
        <v>-64111</v>
      </c>
      <c r="I29" s="62">
        <f t="shared" si="5"/>
        <v>-29571</v>
      </c>
      <c r="J29" s="62">
        <f t="shared" si="5"/>
        <v>168301</v>
      </c>
      <c r="K29" s="62">
        <f>ROUND((K12-K24-K27-K28)*FIT,0)</f>
        <v>62419</v>
      </c>
      <c r="L29" s="62">
        <f>ROUND((L12-L24-L27-L28)*FIT,0)</f>
        <v>713196</v>
      </c>
      <c r="M29" s="62">
        <f>ROUND((M12-M24-M27-M28)*FIT,0)</f>
        <v>64942</v>
      </c>
      <c r="N29" s="62">
        <f>SUM(C29:M29)</f>
        <v>1774047</v>
      </c>
      <c r="T29" s="62">
        <v>140159</v>
      </c>
      <c r="U29" s="62">
        <v>244677</v>
      </c>
      <c r="V29" s="62">
        <v>191882</v>
      </c>
    </row>
    <row r="30" spans="1:22" ht="12" thickBot="1">
      <c r="A30" s="23" t="s">
        <v>1057</v>
      </c>
      <c r="B30" s="31" t="s">
        <v>1058</v>
      </c>
      <c r="C30" s="88">
        <f aca="true" t="shared" si="6" ref="C30:J30">C27+C28+C29</f>
        <v>1654886</v>
      </c>
      <c r="D30" s="88">
        <f t="shared" si="6"/>
        <v>0</v>
      </c>
      <c r="E30" s="88">
        <f t="shared" si="6"/>
        <v>0</v>
      </c>
      <c r="F30" s="88">
        <f t="shared" si="6"/>
        <v>0</v>
      </c>
      <c r="G30" s="88">
        <f t="shared" si="6"/>
        <v>728833</v>
      </c>
      <c r="H30" s="88">
        <f t="shared" si="6"/>
        <v>-64111</v>
      </c>
      <c r="I30" s="88">
        <f t="shared" si="6"/>
        <v>57403</v>
      </c>
      <c r="J30" s="88">
        <f t="shared" si="6"/>
        <v>-326701</v>
      </c>
      <c r="K30" s="88">
        <f>K27+K28+K29</f>
        <v>62419</v>
      </c>
      <c r="L30" s="88">
        <f>L27+L28+L29</f>
        <v>801567</v>
      </c>
      <c r="M30" s="88">
        <f>M27+M28+M29</f>
        <v>64942</v>
      </c>
      <c r="N30" s="88">
        <f>N27+N28+N29</f>
        <v>2979238</v>
      </c>
      <c r="T30" s="88">
        <v>297637</v>
      </c>
      <c r="U30" s="88">
        <v>274128</v>
      </c>
      <c r="V30" s="88">
        <v>349360</v>
      </c>
    </row>
    <row r="31" spans="1:22" ht="12" thickTop="1">
      <c r="A31" s="34"/>
      <c r="B31" s="34"/>
      <c r="C31" s="62"/>
      <c r="D31" s="62"/>
      <c r="E31" s="62"/>
      <c r="F31" s="62"/>
      <c r="G31" s="62"/>
      <c r="H31" s="62"/>
      <c r="I31" s="62"/>
      <c r="J31" s="62"/>
      <c r="K31" s="62"/>
      <c r="L31" s="62"/>
      <c r="M31" s="62"/>
      <c r="N31" s="62"/>
      <c r="T31" s="62"/>
      <c r="U31" s="62"/>
      <c r="V31" s="62"/>
    </row>
    <row r="32" spans="1:22" ht="12" thickBot="1">
      <c r="A32" s="23" t="s">
        <v>1059</v>
      </c>
      <c r="B32" s="33" t="s">
        <v>1060</v>
      </c>
      <c r="C32" s="88">
        <f aca="true" t="shared" si="7" ref="C32:J32">C24+C30</f>
        <v>37583686.814290494</v>
      </c>
      <c r="D32" s="88">
        <f>D24+D30</f>
        <v>0</v>
      </c>
      <c r="E32" s="88">
        <f>E24+E30</f>
        <v>0</v>
      </c>
      <c r="F32" s="88">
        <f t="shared" si="7"/>
        <v>0</v>
      </c>
      <c r="G32" s="88">
        <f t="shared" si="7"/>
        <v>-1414793.6654959996</v>
      </c>
      <c r="H32" s="88">
        <f t="shared" si="7"/>
        <v>124450</v>
      </c>
      <c r="I32" s="88">
        <f t="shared" si="7"/>
        <v>57403</v>
      </c>
      <c r="J32" s="88">
        <f t="shared" si="7"/>
        <v>-326701</v>
      </c>
      <c r="K32" s="88">
        <f>K24+K30</f>
        <v>-121166.35</v>
      </c>
      <c r="L32" s="88">
        <f>L24+L30</f>
        <v>808319</v>
      </c>
      <c r="M32" s="88">
        <f>M24+M30</f>
        <v>-126064.25</v>
      </c>
      <c r="N32" s="88">
        <f>N24+N30</f>
        <v>36585133.54879449</v>
      </c>
      <c r="T32" s="88">
        <v>3647211.3437802196</v>
      </c>
      <c r="U32" s="88">
        <v>276378</v>
      </c>
      <c r="V32" s="88">
        <v>3551152.7291965433</v>
      </c>
    </row>
    <row r="33" spans="1:22" ht="12" thickTop="1">
      <c r="A33" s="34"/>
      <c r="B33" s="34"/>
      <c r="C33" s="62"/>
      <c r="D33" s="62"/>
      <c r="E33" s="62"/>
      <c r="F33" s="62"/>
      <c r="G33" s="62"/>
      <c r="H33" s="62"/>
      <c r="I33" s="62"/>
      <c r="J33" s="62"/>
      <c r="K33" s="62"/>
      <c r="L33" s="62"/>
      <c r="M33" s="62"/>
      <c r="N33" s="62"/>
      <c r="T33" s="62"/>
      <c r="U33" s="62"/>
      <c r="V33" s="62"/>
    </row>
    <row r="34" spans="1:22" ht="12" thickBot="1">
      <c r="A34" s="35" t="s">
        <v>1061</v>
      </c>
      <c r="B34" s="29" t="s">
        <v>1062</v>
      </c>
      <c r="C34" s="88">
        <f aca="true" t="shared" si="8" ref="C34:J34">C12-C32</f>
        <v>252426.80570957065</v>
      </c>
      <c r="D34" s="88">
        <f>D12-D32</f>
        <v>0</v>
      </c>
      <c r="E34" s="88">
        <f>E12-E32</f>
        <v>0</v>
      </c>
      <c r="F34" s="88">
        <f t="shared" si="8"/>
        <v>0</v>
      </c>
      <c r="G34" s="88">
        <f t="shared" si="8"/>
        <v>1414793.6654959996</v>
      </c>
      <c r="H34" s="88">
        <f t="shared" si="8"/>
        <v>-124450</v>
      </c>
      <c r="I34" s="88">
        <f t="shared" si="8"/>
        <v>-57403</v>
      </c>
      <c r="J34" s="88">
        <f t="shared" si="8"/>
        <v>326701</v>
      </c>
      <c r="K34" s="88">
        <f>K12-K32</f>
        <v>121166.35</v>
      </c>
      <c r="L34" s="88">
        <f>L12-L32</f>
        <v>1384438.1044199988</v>
      </c>
      <c r="M34" s="88">
        <f>M12-M32</f>
        <v>126064.25</v>
      </c>
      <c r="N34" s="88">
        <f>N12-N32</f>
        <v>3443737.17562557</v>
      </c>
      <c r="T34" s="88">
        <v>260294.38210464176</v>
      </c>
      <c r="U34" s="88">
        <v>454401.10600966634</v>
      </c>
      <c r="V34" s="88">
        <v>356352.996688318</v>
      </c>
    </row>
    <row r="35" spans="1:22" ht="12" thickTop="1">
      <c r="A35" s="34"/>
      <c r="B35" s="34"/>
      <c r="C35" s="62"/>
      <c r="D35" s="62"/>
      <c r="E35" s="62"/>
      <c r="F35" s="62"/>
      <c r="G35" s="62"/>
      <c r="H35" s="62"/>
      <c r="I35" s="62"/>
      <c r="J35" s="62"/>
      <c r="K35" s="62"/>
      <c r="L35" s="62"/>
      <c r="M35" s="62"/>
      <c r="N35" s="62"/>
      <c r="T35" s="62"/>
      <c r="U35" s="62"/>
      <c r="V35" s="62"/>
    </row>
    <row r="36" spans="1:22" ht="12" thickBot="1">
      <c r="A36" s="35" t="s">
        <v>1063</v>
      </c>
      <c r="B36" s="29" t="s">
        <v>1064</v>
      </c>
      <c r="C36" s="88">
        <v>0</v>
      </c>
      <c r="D36" s="88">
        <v>0</v>
      </c>
      <c r="E36" s="88">
        <v>0</v>
      </c>
      <c r="F36" s="88">
        <v>0</v>
      </c>
      <c r="G36" s="88">
        <v>0</v>
      </c>
      <c r="H36" s="88">
        <v>0</v>
      </c>
      <c r="I36" s="88">
        <v>0</v>
      </c>
      <c r="J36" s="88">
        <v>0</v>
      </c>
      <c r="K36" s="88">
        <v>0</v>
      </c>
      <c r="L36" s="88">
        <v>0</v>
      </c>
      <c r="M36" s="88">
        <v>0</v>
      </c>
      <c r="N36" s="88">
        <f>SUM(C36:M36)</f>
        <v>0</v>
      </c>
      <c r="T36" s="88">
        <v>0</v>
      </c>
      <c r="U36" s="88">
        <v>0</v>
      </c>
      <c r="V36" s="88">
        <v>0</v>
      </c>
    </row>
    <row r="37" spans="1:22" ht="12" thickTop="1">
      <c r="A37" s="34"/>
      <c r="B37" s="34"/>
      <c r="C37" s="64"/>
      <c r="D37" s="64"/>
      <c r="E37" s="64"/>
      <c r="F37" s="64"/>
      <c r="G37" s="64"/>
      <c r="H37" s="64"/>
      <c r="I37" s="64"/>
      <c r="J37" s="64"/>
      <c r="K37" s="64"/>
      <c r="L37" s="64"/>
      <c r="M37" s="64"/>
      <c r="N37" s="64"/>
      <c r="T37" s="64"/>
      <c r="U37" s="64"/>
      <c r="V37" s="64"/>
    </row>
    <row r="38" spans="2:14" ht="11.25">
      <c r="B38" t="s">
        <v>1147</v>
      </c>
      <c r="C38" s="8"/>
      <c r="D38" s="8"/>
      <c r="E38" s="8"/>
      <c r="F38" s="8"/>
      <c r="G38" s="8"/>
      <c r="H38" s="8"/>
      <c r="I38" s="8"/>
      <c r="N38" s="8"/>
    </row>
    <row r="39" spans="2:14" ht="11.25">
      <c r="B39" t="s">
        <v>1239</v>
      </c>
      <c r="N39" s="8"/>
    </row>
    <row r="40" spans="2:14" ht="11.25">
      <c r="B40" t="s">
        <v>1240</v>
      </c>
      <c r="C40" s="138" t="s">
        <v>1241</v>
      </c>
      <c r="D40" s="138"/>
      <c r="E40" s="138"/>
      <c r="F40" s="138"/>
      <c r="G40" s="138" t="s">
        <v>1242</v>
      </c>
      <c r="H40" s="138" t="s">
        <v>1243</v>
      </c>
      <c r="I40" s="138" t="s">
        <v>1244</v>
      </c>
      <c r="J40" s="138" t="s">
        <v>1245</v>
      </c>
      <c r="K40" s="138" t="s">
        <v>1246</v>
      </c>
      <c r="L40" s="138" t="s">
        <v>1247</v>
      </c>
      <c r="M40" s="138" t="s">
        <v>1248</v>
      </c>
      <c r="N40" s="138"/>
    </row>
    <row r="42" spans="2:9" ht="11.25">
      <c r="B42" s="36"/>
      <c r="C42" s="8"/>
      <c r="D42" s="8"/>
      <c r="E42" s="8"/>
      <c r="F42" s="8"/>
      <c r="G42" s="8"/>
      <c r="H42" s="8"/>
      <c r="I42" s="8"/>
    </row>
    <row r="43" spans="2:12" ht="11.25">
      <c r="B43" s="1"/>
      <c r="C43" s="6"/>
      <c r="D43" s="6"/>
      <c r="E43" s="6"/>
      <c r="F43" s="6"/>
      <c r="G43" s="6"/>
      <c r="H43" s="6"/>
      <c r="I43" s="6"/>
      <c r="J43" s="6"/>
      <c r="K43" s="6"/>
      <c r="L43" s="6"/>
    </row>
    <row r="44" spans="2:12" ht="11.25">
      <c r="B44" s="1"/>
      <c r="C44" s="6"/>
      <c r="D44" s="6"/>
      <c r="E44" s="6"/>
      <c r="F44" s="6"/>
      <c r="G44" s="6"/>
      <c r="H44" s="6"/>
      <c r="I44" s="6"/>
      <c r="J44" s="6"/>
      <c r="K44" s="6"/>
      <c r="L44" s="138"/>
    </row>
    <row r="45" spans="2:12" ht="11.25">
      <c r="B45" s="1"/>
      <c r="C45" s="6"/>
      <c r="D45" s="6"/>
      <c r="E45" s="6"/>
      <c r="F45" s="6"/>
      <c r="G45" s="6"/>
      <c r="H45" s="6"/>
      <c r="I45" s="6"/>
      <c r="J45" s="6"/>
      <c r="K45" s="6"/>
      <c r="L45" s="6"/>
    </row>
    <row r="46" spans="2:12" ht="11.25">
      <c r="B46" s="1"/>
      <c r="C46" s="6"/>
      <c r="D46" s="6"/>
      <c r="E46" s="6"/>
      <c r="F46" s="6"/>
      <c r="G46" s="6"/>
      <c r="H46" s="6"/>
      <c r="I46" s="6"/>
      <c r="J46" s="6"/>
      <c r="K46" s="6"/>
      <c r="L46" s="6"/>
    </row>
    <row r="47" spans="2:12" ht="11.25">
      <c r="B47" s="1"/>
      <c r="C47" s="6"/>
      <c r="D47" s="6"/>
      <c r="E47" s="6"/>
      <c r="F47" s="6"/>
      <c r="G47" s="6"/>
      <c r="H47" s="6"/>
      <c r="I47" s="6"/>
      <c r="J47" s="6"/>
      <c r="K47" s="6"/>
      <c r="L47" s="6"/>
    </row>
    <row r="51" ht="11.25">
      <c r="M51" s="120"/>
    </row>
    <row r="52" ht="11.25">
      <c r="M52" s="120"/>
    </row>
    <row r="53" ht="11.25">
      <c r="M53" s="120"/>
    </row>
    <row r="56" ht="11.25">
      <c r="K56" s="144"/>
    </row>
    <row r="57" ht="11.25">
      <c r="K57" s="185"/>
    </row>
  </sheetData>
  <mergeCells count="3">
    <mergeCell ref="D3:K3"/>
    <mergeCell ref="D4:K4"/>
    <mergeCell ref="D5:K5"/>
  </mergeCells>
  <printOptions/>
  <pageMargins left="0.27" right="0.25" top="0.81" bottom="0.35" header="0.34" footer="0.36"/>
  <pageSetup fitToHeight="1" fitToWidth="1" horizontalDpi="300" verticalDpi="300" orientation="landscape" scale="83" r:id="rId2"/>
  <drawing r:id="rId1"/>
</worksheet>
</file>

<file path=xl/worksheets/sheet30.xml><?xml version="1.0" encoding="utf-8"?>
<worksheet xmlns="http://schemas.openxmlformats.org/spreadsheetml/2006/main" xmlns:r="http://schemas.openxmlformats.org/officeDocument/2006/relationships">
  <sheetPr>
    <pageSetUpPr fitToPage="1"/>
  </sheetPr>
  <dimension ref="A1:P33"/>
  <sheetViews>
    <sheetView workbookViewId="0" topLeftCell="A4">
      <selection activeCell="G32" sqref="G32"/>
    </sheetView>
  </sheetViews>
  <sheetFormatPr defaultColWidth="9.33203125" defaultRowHeight="11.25"/>
  <cols>
    <col min="1" max="1" width="9.33203125" style="308" customWidth="1"/>
    <col min="2" max="2" width="4.5" style="308" customWidth="1"/>
    <col min="3" max="3" width="44.66015625" style="308" customWidth="1"/>
    <col min="4" max="4" width="31.83203125" style="308" customWidth="1"/>
    <col min="5" max="5" width="23" style="308" customWidth="1"/>
    <col min="6" max="6" width="6.66015625" style="308" customWidth="1"/>
    <col min="7" max="7" width="10.66015625" style="308" bestFit="1" customWidth="1"/>
    <col min="8" max="16384" width="9.33203125" style="308" customWidth="1"/>
  </cols>
  <sheetData>
    <row r="1" ht="15.75">
      <c r="E1" s="37" t="s">
        <v>385</v>
      </c>
    </row>
    <row r="2" ht="15.75">
      <c r="E2" s="308" t="s">
        <v>965</v>
      </c>
    </row>
    <row r="3" ht="15.75">
      <c r="E3" s="308" t="s">
        <v>1</v>
      </c>
    </row>
    <row r="4" ht="15.75">
      <c r="E4" s="308" t="s">
        <v>314</v>
      </c>
    </row>
    <row r="7" spans="1:6" ht="15.75">
      <c r="A7" s="1224" t="s">
        <v>658</v>
      </c>
      <c r="B7" s="1225"/>
      <c r="C7" s="1225"/>
      <c r="D7" s="1225"/>
      <c r="E7" s="1226"/>
      <c r="F7" s="618"/>
    </row>
    <row r="8" spans="1:6" ht="20.25">
      <c r="A8" s="1290" t="s">
        <v>918</v>
      </c>
      <c r="B8" s="1291"/>
      <c r="C8" s="1291"/>
      <c r="D8" s="1291"/>
      <c r="E8" s="1292"/>
      <c r="F8" s="619"/>
    </row>
    <row r="9" spans="1:6" ht="20.25" customHeight="1">
      <c r="A9" s="1227" t="s">
        <v>6</v>
      </c>
      <c r="B9" s="1293"/>
      <c r="C9" s="1293"/>
      <c r="D9" s="1293"/>
      <c r="E9" s="1228"/>
      <c r="F9" s="619"/>
    </row>
    <row r="10" spans="1:6" ht="15.75">
      <c r="A10" s="238"/>
      <c r="B10" s="532"/>
      <c r="C10" s="283"/>
      <c r="D10" s="238"/>
      <c r="E10" s="238"/>
      <c r="F10" s="276"/>
    </row>
    <row r="11" spans="1:6" s="556" customFormat="1" ht="15.75">
      <c r="A11" s="376" t="s">
        <v>377</v>
      </c>
      <c r="B11" s="1227" t="s">
        <v>1007</v>
      </c>
      <c r="C11" s="1228"/>
      <c r="D11" s="376" t="s">
        <v>1144</v>
      </c>
      <c r="E11" s="376" t="s">
        <v>1084</v>
      </c>
      <c r="F11" s="616"/>
    </row>
    <row r="12" spans="1:6" s="556" customFormat="1" ht="15.75">
      <c r="A12" s="530"/>
      <c r="B12" s="1229" t="s">
        <v>1012</v>
      </c>
      <c r="C12" s="1230"/>
      <c r="D12" s="531" t="s">
        <v>1013</v>
      </c>
      <c r="E12" s="531" t="s">
        <v>1014</v>
      </c>
      <c r="F12" s="533"/>
    </row>
    <row r="13" spans="1:6" s="556" customFormat="1" ht="15.75">
      <c r="A13" s="374"/>
      <c r="B13" s="616"/>
      <c r="C13" s="616"/>
      <c r="D13" s="544"/>
      <c r="E13" s="543"/>
      <c r="F13" s="276"/>
    </row>
    <row r="14" spans="1:6" s="556" customFormat="1" ht="15.75">
      <c r="A14" s="374"/>
      <c r="B14" s="617"/>
      <c r="C14" s="616"/>
      <c r="D14" s="758"/>
      <c r="E14" s="374"/>
      <c r="F14" s="276"/>
    </row>
    <row r="15" spans="1:6" ht="33.75">
      <c r="A15" s="545">
        <v>1</v>
      </c>
      <c r="B15" s="276"/>
      <c r="C15" s="276" t="s">
        <v>884</v>
      </c>
      <c r="D15" s="759" t="s">
        <v>8</v>
      </c>
      <c r="E15" s="238">
        <f>+'MPP-3 p5'!E43</f>
        <v>197786463</v>
      </c>
      <c r="F15" s="278"/>
    </row>
    <row r="16" spans="1:6" ht="33.75">
      <c r="A16" s="545">
        <v>2</v>
      </c>
      <c r="B16" s="276"/>
      <c r="C16" s="276" t="s">
        <v>885</v>
      </c>
      <c r="D16" s="759" t="s">
        <v>9</v>
      </c>
      <c r="E16" s="192">
        <f>+'MPP-3 p5'!E42</f>
        <v>195657525</v>
      </c>
      <c r="F16" s="278"/>
    </row>
    <row r="17" spans="1:6" ht="18">
      <c r="A17" s="545" t="s">
        <v>1025</v>
      </c>
      <c r="B17" s="276"/>
      <c r="C17" s="592" t="s">
        <v>919</v>
      </c>
      <c r="D17" s="759"/>
      <c r="E17" s="238">
        <f>+E15-E16</f>
        <v>2128938</v>
      </c>
      <c r="F17" s="278"/>
    </row>
    <row r="18" spans="1:6" ht="18">
      <c r="A18" s="545"/>
      <c r="B18" s="276"/>
      <c r="C18" s="592"/>
      <c r="D18" s="759"/>
      <c r="E18" s="238"/>
      <c r="F18" s="278"/>
    </row>
    <row r="19" spans="1:6" ht="33.75">
      <c r="A19" s="545" t="s">
        <v>1027</v>
      </c>
      <c r="B19" s="276"/>
      <c r="C19" s="276" t="s">
        <v>921</v>
      </c>
      <c r="D19" s="759" t="s">
        <v>10</v>
      </c>
      <c r="E19" s="238">
        <f>+'MPP-3 p5'!E57</f>
        <v>698745854</v>
      </c>
      <c r="F19" s="278"/>
    </row>
    <row r="20" spans="1:6" ht="33.75">
      <c r="A20" s="545"/>
      <c r="B20" s="276"/>
      <c r="C20" s="592" t="s">
        <v>886</v>
      </c>
      <c r="D20" s="759" t="s">
        <v>10</v>
      </c>
      <c r="E20" s="238">
        <f>-'MPP-3 p5'!E50</f>
        <v>-257718509</v>
      </c>
      <c r="F20" s="278"/>
    </row>
    <row r="21" spans="1:6" ht="33.75">
      <c r="A21" s="545"/>
      <c r="B21" s="276"/>
      <c r="C21" s="592" t="s">
        <v>888</v>
      </c>
      <c r="D21" s="759" t="s">
        <v>889</v>
      </c>
      <c r="E21" s="238">
        <f>+'MPP-3 p11'!E29</f>
        <v>10302508</v>
      </c>
      <c r="F21" s="278"/>
    </row>
    <row r="22" spans="1:6" ht="33.75">
      <c r="A22" s="545"/>
      <c r="B22" s="276"/>
      <c r="C22" s="592" t="s">
        <v>890</v>
      </c>
      <c r="D22" s="759" t="s">
        <v>891</v>
      </c>
      <c r="E22" s="238">
        <f>+'MPP-3 p15'!D16</f>
        <v>-694414</v>
      </c>
      <c r="F22" s="278"/>
    </row>
    <row r="23" spans="1:16" ht="33.75">
      <c r="A23" s="545" t="s">
        <v>1027</v>
      </c>
      <c r="B23" s="276"/>
      <c r="C23" s="276" t="s">
        <v>887</v>
      </c>
      <c r="D23" s="759" t="s">
        <v>10</v>
      </c>
      <c r="E23" s="238">
        <f>SUM(E19:E22)</f>
        <v>450635439</v>
      </c>
      <c r="F23" s="278"/>
      <c r="P23" s="774">
        <f>+E17/E23</f>
        <v>0.004724302209174454</v>
      </c>
    </row>
    <row r="24" spans="1:6" ht="33.75">
      <c r="A24" s="545" t="s">
        <v>1030</v>
      </c>
      <c r="B24" s="276"/>
      <c r="C24" s="592" t="s">
        <v>920</v>
      </c>
      <c r="D24" s="759"/>
      <c r="E24" s="748">
        <f>+'JTS-5 S2'!L108</f>
        <v>0.004103485688579085</v>
      </c>
      <c r="F24" s="278"/>
    </row>
    <row r="25" spans="1:6" ht="18">
      <c r="A25" s="545" t="s">
        <v>1032</v>
      </c>
      <c r="B25" s="276"/>
      <c r="C25" s="592" t="s">
        <v>922</v>
      </c>
      <c r="D25" s="759"/>
      <c r="E25" s="238">
        <f>+E23*E24</f>
        <v>1849176.074703053</v>
      </c>
      <c r="F25" s="278"/>
    </row>
    <row r="26" spans="1:6" ht="18">
      <c r="A26" s="545" t="s">
        <v>1034</v>
      </c>
      <c r="B26" s="276"/>
      <c r="C26" s="276" t="s">
        <v>923</v>
      </c>
      <c r="D26" s="759"/>
      <c r="E26" s="238">
        <f>+E25-E17</f>
        <v>-279761.9252969469</v>
      </c>
      <c r="F26" s="278"/>
    </row>
    <row r="27" spans="1:6" ht="18">
      <c r="A27" s="545" t="s">
        <v>1036</v>
      </c>
      <c r="B27" s="276"/>
      <c r="C27" s="276" t="s">
        <v>1489</v>
      </c>
      <c r="D27" s="759"/>
      <c r="E27" s="621">
        <v>0.77776</v>
      </c>
      <c r="F27" s="278"/>
    </row>
    <row r="28" spans="1:6" ht="18">
      <c r="A28" s="545" t="s">
        <v>1038</v>
      </c>
      <c r="B28" s="276"/>
      <c r="C28" s="276" t="s">
        <v>924</v>
      </c>
      <c r="D28" s="759"/>
      <c r="E28" s="655">
        <v>0</v>
      </c>
      <c r="F28" s="278" t="s">
        <v>295</v>
      </c>
    </row>
    <row r="29" spans="1:6" ht="15.75">
      <c r="A29" s="545"/>
      <c r="B29" s="276"/>
      <c r="C29" s="276"/>
      <c r="D29" s="238"/>
      <c r="E29" s="238"/>
      <c r="F29" s="276"/>
    </row>
    <row r="30" spans="1:6" ht="15.75">
      <c r="A30" s="378"/>
      <c r="B30" s="536"/>
      <c r="C30" s="536"/>
      <c r="D30" s="378"/>
      <c r="E30" s="378"/>
      <c r="F30" s="276"/>
    </row>
    <row r="32" spans="1:2" ht="15.75">
      <c r="A32" s="620" t="s">
        <v>916</v>
      </c>
      <c r="B32" s="308" t="s">
        <v>925</v>
      </c>
    </row>
    <row r="33" ht="15.75">
      <c r="A33" s="620"/>
    </row>
  </sheetData>
  <mergeCells count="5">
    <mergeCell ref="A7:E7"/>
    <mergeCell ref="B11:C11"/>
    <mergeCell ref="B12:C12"/>
    <mergeCell ref="A8:E8"/>
    <mergeCell ref="A9:E9"/>
  </mergeCells>
  <printOptions/>
  <pageMargins left="1.11" right="0.42" top="0.35" bottom="1" header="0.21" footer="0.5"/>
  <pageSetup fitToHeight="1" fitToWidth="1" horizontalDpi="300" verticalDpi="300" orientation="portrait" scale="96" r:id="rId1"/>
</worksheet>
</file>

<file path=xl/worksheets/sheet31.xml><?xml version="1.0" encoding="utf-8"?>
<worksheet xmlns="http://schemas.openxmlformats.org/spreadsheetml/2006/main" xmlns:r="http://schemas.openxmlformats.org/officeDocument/2006/relationships">
  <dimension ref="A1:M112"/>
  <sheetViews>
    <sheetView zoomScale="75" zoomScaleNormal="75" workbookViewId="0" topLeftCell="A13">
      <selection activeCell="G32" sqref="G32"/>
    </sheetView>
  </sheetViews>
  <sheetFormatPr defaultColWidth="9.33203125" defaultRowHeight="11.25"/>
  <cols>
    <col min="1" max="1" width="7.5" style="0" customWidth="1"/>
    <col min="2" max="2" width="11.16015625" style="138" customWidth="1"/>
    <col min="3" max="3" width="13.5" style="0" customWidth="1"/>
    <col min="4" max="4" width="13.33203125" style="0" customWidth="1"/>
    <col min="5" max="8" width="19" style="0" hidden="1" customWidth="1"/>
    <col min="9" max="9" width="15" style="0" customWidth="1"/>
    <col min="10" max="10" width="15.16015625" style="0" customWidth="1"/>
    <col min="11" max="11" width="14.16015625" style="0" customWidth="1"/>
    <col min="12" max="12" width="14.5" style="0" customWidth="1"/>
    <col min="13" max="13" width="6.5" style="0" customWidth="1"/>
  </cols>
  <sheetData>
    <row r="1" ht="15.75">
      <c r="K1" s="37" t="s">
        <v>385</v>
      </c>
    </row>
    <row r="2" ht="15.75">
      <c r="K2" s="141" t="s">
        <v>1431</v>
      </c>
    </row>
    <row r="3" ht="15.75">
      <c r="K3" s="141" t="s">
        <v>1601</v>
      </c>
    </row>
    <row r="4" ht="15.75">
      <c r="K4" s="367" t="s">
        <v>2</v>
      </c>
    </row>
    <row r="6" spans="1:12" ht="15.75">
      <c r="A6" s="1294" t="s">
        <v>658</v>
      </c>
      <c r="B6" s="1295"/>
      <c r="C6" s="1295"/>
      <c r="D6" s="1295"/>
      <c r="E6" s="1295"/>
      <c r="F6" s="1295"/>
      <c r="G6" s="1295"/>
      <c r="H6" s="1295"/>
      <c r="I6" s="1295"/>
      <c r="J6" s="1295"/>
      <c r="K6" s="1295"/>
      <c r="L6" s="1296"/>
    </row>
    <row r="7" spans="1:12" ht="14.25">
      <c r="A7" s="1297" t="s">
        <v>1602</v>
      </c>
      <c r="B7" s="1298"/>
      <c r="C7" s="1298"/>
      <c r="D7" s="1298"/>
      <c r="E7" s="1298"/>
      <c r="F7" s="1298"/>
      <c r="G7" s="1298"/>
      <c r="H7" s="1298"/>
      <c r="I7" s="1298"/>
      <c r="J7" s="1298"/>
      <c r="K7" s="1298"/>
      <c r="L7" s="1299"/>
    </row>
    <row r="8" spans="1:12" ht="15.75">
      <c r="A8" s="1300" t="s">
        <v>659</v>
      </c>
      <c r="B8" s="1301"/>
      <c r="C8" s="1301"/>
      <c r="D8" s="1301"/>
      <c r="E8" s="1301"/>
      <c r="F8" s="1301"/>
      <c r="G8" s="1301"/>
      <c r="H8" s="1301"/>
      <c r="I8" s="1301"/>
      <c r="J8" s="1301"/>
      <c r="K8" s="1301"/>
      <c r="L8" s="1302"/>
    </row>
    <row r="9" spans="1:12" ht="12">
      <c r="A9" s="731" t="s">
        <v>1000</v>
      </c>
      <c r="B9" s="731"/>
      <c r="C9" s="1303" t="s">
        <v>1426</v>
      </c>
      <c r="D9" s="1303"/>
      <c r="E9" s="732"/>
      <c r="F9" s="732"/>
      <c r="G9" s="732"/>
      <c r="H9" s="732"/>
      <c r="I9" s="1304" t="s">
        <v>1603</v>
      </c>
      <c r="J9" s="1305"/>
      <c r="K9" s="734"/>
      <c r="L9" s="734"/>
    </row>
    <row r="10" spans="1:12" ht="12">
      <c r="A10" s="735" t="s">
        <v>1006</v>
      </c>
      <c r="B10" s="735" t="s">
        <v>1604</v>
      </c>
      <c r="C10" s="736" t="s">
        <v>359</v>
      </c>
      <c r="D10" s="736" t="s">
        <v>120</v>
      </c>
      <c r="E10" s="737"/>
      <c r="F10" s="737"/>
      <c r="G10" s="737"/>
      <c r="H10" s="737"/>
      <c r="I10" s="736" t="s">
        <v>359</v>
      </c>
      <c r="J10" s="733" t="s">
        <v>120</v>
      </c>
      <c r="K10" s="735" t="s">
        <v>113</v>
      </c>
      <c r="L10" s="735" t="s">
        <v>1278</v>
      </c>
    </row>
    <row r="11" spans="1:12" ht="12">
      <c r="A11" s="738"/>
      <c r="B11" s="736" t="s">
        <v>1012</v>
      </c>
      <c r="C11" s="736" t="s">
        <v>1013</v>
      </c>
      <c r="D11" s="736" t="s">
        <v>1098</v>
      </c>
      <c r="E11" s="739"/>
      <c r="F11" s="739"/>
      <c r="G11" s="739"/>
      <c r="H11" s="739"/>
      <c r="I11" s="736" t="s">
        <v>1074</v>
      </c>
      <c r="J11" s="733" t="s">
        <v>1016</v>
      </c>
      <c r="K11" s="736" t="s">
        <v>1075</v>
      </c>
      <c r="L11" s="736" t="s">
        <v>1018</v>
      </c>
    </row>
    <row r="12" spans="1:12" ht="11.25">
      <c r="A12" s="129"/>
      <c r="B12" s="217"/>
      <c r="C12" s="133"/>
      <c r="D12" s="295"/>
      <c r="E12" s="217"/>
      <c r="F12" s="217"/>
      <c r="G12" s="217"/>
      <c r="H12" s="217"/>
      <c r="I12" s="133"/>
      <c r="J12" s="217"/>
      <c r="K12" s="133"/>
      <c r="L12" s="133"/>
    </row>
    <row r="13" spans="1:12" ht="12">
      <c r="A13" s="134">
        <v>1</v>
      </c>
      <c r="B13" s="752" t="s">
        <v>1605</v>
      </c>
      <c r="C13" s="741">
        <v>109368210</v>
      </c>
      <c r="D13" s="754">
        <v>104694264</v>
      </c>
      <c r="E13" s="753"/>
      <c r="F13" s="753"/>
      <c r="G13" s="753"/>
      <c r="H13" s="753"/>
      <c r="I13" s="741"/>
      <c r="J13" s="753"/>
      <c r="K13" s="741"/>
      <c r="L13" s="741"/>
    </row>
    <row r="14" spans="1:12" ht="12">
      <c r="A14" s="134">
        <f>+A13+1</f>
        <v>2</v>
      </c>
      <c r="B14" s="752" t="s">
        <v>1606</v>
      </c>
      <c r="C14" s="741">
        <v>102712510</v>
      </c>
      <c r="D14" s="754">
        <v>98720467</v>
      </c>
      <c r="E14" s="753"/>
      <c r="F14" s="753"/>
      <c r="G14" s="753"/>
      <c r="H14" s="753"/>
      <c r="I14" s="741"/>
      <c r="J14" s="753"/>
      <c r="K14" s="741"/>
      <c r="L14" s="741"/>
    </row>
    <row r="15" spans="1:12" ht="12">
      <c r="A15" s="134">
        <f aca="true" t="shared" si="0" ref="A15:A90">+A14+1</f>
        <v>3</v>
      </c>
      <c r="B15" s="752" t="s">
        <v>1607</v>
      </c>
      <c r="C15" s="741">
        <v>107178600</v>
      </c>
      <c r="D15" s="754">
        <v>100559223</v>
      </c>
      <c r="E15" s="753"/>
      <c r="F15" s="753"/>
      <c r="G15" s="753"/>
      <c r="H15" s="753"/>
      <c r="I15" s="741"/>
      <c r="J15" s="753"/>
      <c r="K15" s="741"/>
      <c r="L15" s="741"/>
    </row>
    <row r="16" spans="1:12" ht="12">
      <c r="A16" s="134">
        <f t="shared" si="0"/>
        <v>4</v>
      </c>
      <c r="B16" s="752" t="s">
        <v>1608</v>
      </c>
      <c r="C16" s="741">
        <v>98007310</v>
      </c>
      <c r="D16" s="754">
        <v>101054806</v>
      </c>
      <c r="E16" s="753"/>
      <c r="F16" s="753"/>
      <c r="G16" s="753"/>
      <c r="H16" s="753"/>
      <c r="I16" s="741"/>
      <c r="J16" s="753"/>
      <c r="K16" s="741"/>
      <c r="L16" s="741"/>
    </row>
    <row r="17" spans="1:12" ht="12">
      <c r="A17" s="134">
        <f t="shared" si="0"/>
        <v>5</v>
      </c>
      <c r="B17" s="752" t="s">
        <v>1609</v>
      </c>
      <c r="C17" s="741">
        <v>82464390</v>
      </c>
      <c r="D17" s="754">
        <v>82717926</v>
      </c>
      <c r="E17" s="753"/>
      <c r="F17" s="753"/>
      <c r="G17" s="753"/>
      <c r="H17" s="753"/>
      <c r="I17" s="741"/>
      <c r="J17" s="753"/>
      <c r="K17" s="741"/>
      <c r="L17" s="741"/>
    </row>
    <row r="18" spans="1:12" ht="12">
      <c r="A18" s="134">
        <f t="shared" si="0"/>
        <v>6</v>
      </c>
      <c r="B18" s="752" t="s">
        <v>1610</v>
      </c>
      <c r="C18" s="741">
        <v>82714520</v>
      </c>
      <c r="D18" s="754">
        <v>84109502</v>
      </c>
      <c r="E18" s="753"/>
      <c r="F18" s="753"/>
      <c r="G18" s="753"/>
      <c r="H18" s="753"/>
      <c r="I18" s="741"/>
      <c r="J18" s="753"/>
      <c r="K18" s="741"/>
      <c r="L18" s="741"/>
    </row>
    <row r="19" spans="1:12" ht="12">
      <c r="A19" s="134">
        <f t="shared" si="0"/>
        <v>7</v>
      </c>
      <c r="B19" s="752" t="s">
        <v>1611</v>
      </c>
      <c r="C19" s="741">
        <v>78539410</v>
      </c>
      <c r="D19" s="754">
        <v>83109117</v>
      </c>
      <c r="E19" s="753"/>
      <c r="F19" s="753"/>
      <c r="G19" s="753"/>
      <c r="H19" s="753"/>
      <c r="I19" s="741"/>
      <c r="J19" s="753"/>
      <c r="K19" s="741"/>
      <c r="L19" s="741"/>
    </row>
    <row r="20" spans="1:12" ht="12">
      <c r="A20" s="134">
        <f t="shared" si="0"/>
        <v>8</v>
      </c>
      <c r="B20" s="752" t="s">
        <v>1612</v>
      </c>
      <c r="C20" s="741">
        <v>65951220</v>
      </c>
      <c r="D20" s="754">
        <v>67336374</v>
      </c>
      <c r="E20" s="753"/>
      <c r="F20" s="753"/>
      <c r="G20" s="753"/>
      <c r="H20" s="753"/>
      <c r="I20" s="741"/>
      <c r="J20" s="753"/>
      <c r="K20" s="741"/>
      <c r="L20" s="741"/>
    </row>
    <row r="21" spans="1:12" ht="12">
      <c r="A21" s="134">
        <f t="shared" si="0"/>
        <v>9</v>
      </c>
      <c r="B21" s="752" t="s">
        <v>1613</v>
      </c>
      <c r="C21" s="741">
        <v>53558220</v>
      </c>
      <c r="D21" s="754">
        <v>54956311</v>
      </c>
      <c r="E21" s="753"/>
      <c r="F21" s="753"/>
      <c r="G21" s="753"/>
      <c r="H21" s="753"/>
      <c r="I21" s="741"/>
      <c r="J21" s="753"/>
      <c r="K21" s="741"/>
      <c r="L21" s="741"/>
    </row>
    <row r="22" spans="1:12" ht="12">
      <c r="A22" s="134">
        <f t="shared" si="0"/>
        <v>10</v>
      </c>
      <c r="B22" s="752" t="s">
        <v>1614</v>
      </c>
      <c r="C22" s="741">
        <v>64337130</v>
      </c>
      <c r="D22" s="754">
        <v>65007064</v>
      </c>
      <c r="E22" s="753"/>
      <c r="F22" s="753"/>
      <c r="G22" s="753"/>
      <c r="H22" s="753"/>
      <c r="I22" s="741"/>
      <c r="J22" s="753"/>
      <c r="K22" s="741"/>
      <c r="L22" s="741"/>
    </row>
    <row r="23" spans="1:12" ht="12">
      <c r="A23" s="134">
        <f t="shared" si="0"/>
        <v>11</v>
      </c>
      <c r="B23" s="752" t="s">
        <v>1615</v>
      </c>
      <c r="C23" s="741">
        <v>73494720</v>
      </c>
      <c r="D23" s="754">
        <v>73501847</v>
      </c>
      <c r="E23" s="753"/>
      <c r="F23" s="753"/>
      <c r="G23" s="753"/>
      <c r="H23" s="753"/>
      <c r="I23" s="741"/>
      <c r="J23" s="753"/>
      <c r="K23" s="741"/>
      <c r="L23" s="741"/>
    </row>
    <row r="24" spans="1:12" ht="12">
      <c r="A24" s="134">
        <f t="shared" si="0"/>
        <v>12</v>
      </c>
      <c r="B24" s="752" t="s">
        <v>1616</v>
      </c>
      <c r="C24" s="741">
        <v>80899260</v>
      </c>
      <c r="D24" s="754">
        <v>80073370</v>
      </c>
      <c r="E24" s="753">
        <f>SUM(C13:C24)</f>
        <v>999225500</v>
      </c>
      <c r="F24" s="753">
        <f>SUM(D13:D24)</f>
        <v>995840271</v>
      </c>
      <c r="G24" s="753">
        <f>+E24-F24</f>
        <v>3385229</v>
      </c>
      <c r="H24" s="753">
        <f>+G24/F24</f>
        <v>0.003399369455706617</v>
      </c>
      <c r="I24" s="741"/>
      <c r="J24" s="753"/>
      <c r="K24" s="741"/>
      <c r="L24" s="741"/>
    </row>
    <row r="25" spans="1:12" ht="12">
      <c r="A25" s="134">
        <f t="shared" si="0"/>
        <v>13</v>
      </c>
      <c r="B25" s="752" t="s">
        <v>1617</v>
      </c>
      <c r="C25" s="741">
        <v>117612870</v>
      </c>
      <c r="D25" s="754">
        <v>112695985</v>
      </c>
      <c r="E25" s="753">
        <f aca="true" t="shared" si="1" ref="E25:F40">SUM(C14:C25)</f>
        <v>1007470160</v>
      </c>
      <c r="F25" s="753">
        <f t="shared" si="1"/>
        <v>1003841992</v>
      </c>
      <c r="G25" s="753">
        <f aca="true" t="shared" si="2" ref="G25:G88">+E25-F25</f>
        <v>3628168</v>
      </c>
      <c r="H25" s="753">
        <f aca="true" t="shared" si="3" ref="H25:H88">+G25/F25</f>
        <v>0.0036142819576330297</v>
      </c>
      <c r="I25" s="741"/>
      <c r="J25" s="753"/>
      <c r="K25" s="741"/>
      <c r="L25" s="741"/>
    </row>
    <row r="26" spans="1:12" ht="12">
      <c r="A26" s="134">
        <f t="shared" si="0"/>
        <v>14</v>
      </c>
      <c r="B26" s="752" t="s">
        <v>1618</v>
      </c>
      <c r="C26" s="741">
        <v>101095750</v>
      </c>
      <c r="D26" s="754">
        <v>98051811</v>
      </c>
      <c r="E26" s="753">
        <f t="shared" si="1"/>
        <v>1005853400</v>
      </c>
      <c r="F26" s="753">
        <f t="shared" si="1"/>
        <v>1003173336</v>
      </c>
      <c r="G26" s="753">
        <f t="shared" si="2"/>
        <v>2680064</v>
      </c>
      <c r="H26" s="753">
        <f t="shared" si="3"/>
        <v>0.002671586159463074</v>
      </c>
      <c r="I26" s="741"/>
      <c r="J26" s="753"/>
      <c r="K26" s="741"/>
      <c r="L26" s="741"/>
    </row>
    <row r="27" spans="1:12" ht="12">
      <c r="A27" s="134">
        <f t="shared" si="0"/>
        <v>15</v>
      </c>
      <c r="B27" s="752" t="s">
        <v>1619</v>
      </c>
      <c r="C27" s="741">
        <v>108145680</v>
      </c>
      <c r="D27" s="754">
        <v>103112946</v>
      </c>
      <c r="E27" s="753">
        <f t="shared" si="1"/>
        <v>1006820480</v>
      </c>
      <c r="F27" s="753">
        <f t="shared" si="1"/>
        <v>1005727059</v>
      </c>
      <c r="G27" s="753">
        <f t="shared" si="2"/>
        <v>1093421</v>
      </c>
      <c r="H27" s="753">
        <f t="shared" si="3"/>
        <v>0.0010871945725385917</v>
      </c>
      <c r="I27" s="741"/>
      <c r="J27" s="753"/>
      <c r="K27" s="741"/>
      <c r="L27" s="741"/>
    </row>
    <row r="28" spans="1:12" ht="12">
      <c r="A28" s="134">
        <f t="shared" si="0"/>
        <v>16</v>
      </c>
      <c r="B28" s="752" t="s">
        <v>1620</v>
      </c>
      <c r="C28" s="741">
        <v>117180510</v>
      </c>
      <c r="D28" s="754">
        <v>116091695</v>
      </c>
      <c r="E28" s="753">
        <f t="shared" si="1"/>
        <v>1025993680</v>
      </c>
      <c r="F28" s="753">
        <f t="shared" si="1"/>
        <v>1020763948</v>
      </c>
      <c r="G28" s="753">
        <f t="shared" si="2"/>
        <v>5229732</v>
      </c>
      <c r="H28" s="753">
        <f t="shared" si="3"/>
        <v>0.005123351006123112</v>
      </c>
      <c r="I28" s="741"/>
      <c r="J28" s="753"/>
      <c r="K28" s="741"/>
      <c r="L28" s="741"/>
    </row>
    <row r="29" spans="1:12" ht="12">
      <c r="A29" s="134">
        <f t="shared" si="0"/>
        <v>17</v>
      </c>
      <c r="B29" s="752" t="s">
        <v>1621</v>
      </c>
      <c r="C29" s="741">
        <v>98539720</v>
      </c>
      <c r="D29" s="754">
        <v>100939689</v>
      </c>
      <c r="E29" s="753">
        <f t="shared" si="1"/>
        <v>1042069010</v>
      </c>
      <c r="F29" s="753">
        <f t="shared" si="1"/>
        <v>1038985711</v>
      </c>
      <c r="G29" s="753">
        <f t="shared" si="2"/>
        <v>3083299</v>
      </c>
      <c r="H29" s="753">
        <f t="shared" si="3"/>
        <v>0.002967604816270664</v>
      </c>
      <c r="I29" s="741"/>
      <c r="J29" s="753"/>
      <c r="K29" s="741"/>
      <c r="L29" s="741"/>
    </row>
    <row r="30" spans="1:12" ht="12">
      <c r="A30" s="134">
        <f t="shared" si="0"/>
        <v>18</v>
      </c>
      <c r="B30" s="752" t="s">
        <v>1622</v>
      </c>
      <c r="C30" s="741">
        <v>94688890</v>
      </c>
      <c r="D30" s="754">
        <v>96638177</v>
      </c>
      <c r="E30" s="753">
        <f t="shared" si="1"/>
        <v>1054043380</v>
      </c>
      <c r="F30" s="753">
        <f t="shared" si="1"/>
        <v>1051514386</v>
      </c>
      <c r="G30" s="753">
        <f t="shared" si="2"/>
        <v>2528994</v>
      </c>
      <c r="H30" s="753">
        <f t="shared" si="3"/>
        <v>0.0024050969094397156</v>
      </c>
      <c r="I30" s="741"/>
      <c r="J30" s="753"/>
      <c r="K30" s="741"/>
      <c r="L30" s="741"/>
    </row>
    <row r="31" spans="1:12" ht="12">
      <c r="A31" s="134">
        <f t="shared" si="0"/>
        <v>19</v>
      </c>
      <c r="B31" s="752" t="s">
        <v>1623</v>
      </c>
      <c r="C31" s="741">
        <v>66478160</v>
      </c>
      <c r="D31" s="754">
        <v>70004578</v>
      </c>
      <c r="E31" s="753">
        <f t="shared" si="1"/>
        <v>1041982130</v>
      </c>
      <c r="F31" s="753">
        <f t="shared" si="1"/>
        <v>1038409847</v>
      </c>
      <c r="G31" s="753">
        <f t="shared" si="2"/>
        <v>3572283</v>
      </c>
      <c r="H31" s="753">
        <f t="shared" si="3"/>
        <v>0.003440147462315041</v>
      </c>
      <c r="I31" s="741"/>
      <c r="J31" s="753"/>
      <c r="K31" s="741"/>
      <c r="L31" s="741"/>
    </row>
    <row r="32" spans="1:12" ht="12">
      <c r="A32" s="134">
        <f t="shared" si="0"/>
        <v>20</v>
      </c>
      <c r="B32" s="752" t="s">
        <v>1624</v>
      </c>
      <c r="C32" s="741">
        <v>75252230</v>
      </c>
      <c r="D32" s="754">
        <v>75840678</v>
      </c>
      <c r="E32" s="753">
        <f t="shared" si="1"/>
        <v>1051283140</v>
      </c>
      <c r="F32" s="753">
        <f t="shared" si="1"/>
        <v>1046914151</v>
      </c>
      <c r="G32" s="753">
        <f t="shared" si="2"/>
        <v>4368989</v>
      </c>
      <c r="H32" s="753">
        <f t="shared" si="3"/>
        <v>0.004173206557411411</v>
      </c>
      <c r="I32" s="741"/>
      <c r="J32" s="753"/>
      <c r="K32" s="741"/>
      <c r="L32" s="741"/>
    </row>
    <row r="33" spans="1:12" ht="12">
      <c r="A33" s="134">
        <f t="shared" si="0"/>
        <v>21</v>
      </c>
      <c r="B33" s="752" t="s">
        <v>1625</v>
      </c>
      <c r="C33" s="741">
        <v>91510850</v>
      </c>
      <c r="D33" s="754">
        <v>93160738</v>
      </c>
      <c r="E33" s="753">
        <f t="shared" si="1"/>
        <v>1089235770</v>
      </c>
      <c r="F33" s="753">
        <f t="shared" si="1"/>
        <v>1085118578</v>
      </c>
      <c r="G33" s="753">
        <f t="shared" si="2"/>
        <v>4117192</v>
      </c>
      <c r="H33" s="753">
        <f t="shared" si="3"/>
        <v>0.003794232338726026</v>
      </c>
      <c r="I33" s="741"/>
      <c r="J33" s="753"/>
      <c r="K33" s="741"/>
      <c r="L33" s="741"/>
    </row>
    <row r="34" spans="1:12" ht="12">
      <c r="A34" s="134">
        <f t="shared" si="0"/>
        <v>22</v>
      </c>
      <c r="B34" s="752" t="s">
        <v>1626</v>
      </c>
      <c r="C34" s="741">
        <v>93823420</v>
      </c>
      <c r="D34" s="754">
        <v>94411863</v>
      </c>
      <c r="E34" s="753">
        <f t="shared" si="1"/>
        <v>1118722060</v>
      </c>
      <c r="F34" s="753">
        <f t="shared" si="1"/>
        <v>1114523377</v>
      </c>
      <c r="G34" s="753">
        <f t="shared" si="2"/>
        <v>4198683</v>
      </c>
      <c r="H34" s="753">
        <f t="shared" si="3"/>
        <v>0.0037672453415035006</v>
      </c>
      <c r="I34" s="741"/>
      <c r="J34" s="753"/>
      <c r="K34" s="741"/>
      <c r="L34" s="741"/>
    </row>
    <row r="35" spans="1:12" ht="12">
      <c r="A35" s="134">
        <f t="shared" si="0"/>
        <v>23</v>
      </c>
      <c r="B35" s="752" t="s">
        <v>1627</v>
      </c>
      <c r="C35" s="741">
        <v>106722570</v>
      </c>
      <c r="D35" s="754">
        <v>106162471</v>
      </c>
      <c r="E35" s="753">
        <f t="shared" si="1"/>
        <v>1151949910</v>
      </c>
      <c r="F35" s="753">
        <f t="shared" si="1"/>
        <v>1147184001</v>
      </c>
      <c r="G35" s="753">
        <f t="shared" si="2"/>
        <v>4765909</v>
      </c>
      <c r="H35" s="753">
        <f t="shared" si="3"/>
        <v>0.004154441655258056</v>
      </c>
      <c r="I35" s="741"/>
      <c r="J35" s="753"/>
      <c r="K35" s="741"/>
      <c r="L35" s="741"/>
    </row>
    <row r="36" spans="1:12" ht="12">
      <c r="A36" s="134">
        <f t="shared" si="0"/>
        <v>24</v>
      </c>
      <c r="B36" s="752" t="s">
        <v>1628</v>
      </c>
      <c r="C36" s="741">
        <v>107448920</v>
      </c>
      <c r="D36" s="754">
        <v>106456867</v>
      </c>
      <c r="E36" s="753">
        <f t="shared" si="1"/>
        <v>1178499570</v>
      </c>
      <c r="F36" s="753">
        <f t="shared" si="1"/>
        <v>1173567498</v>
      </c>
      <c r="G36" s="753">
        <f t="shared" si="2"/>
        <v>4932072</v>
      </c>
      <c r="H36" s="753">
        <f t="shared" si="3"/>
        <v>0.004202631726257981</v>
      </c>
      <c r="I36" s="741"/>
      <c r="J36" s="753"/>
      <c r="K36" s="741"/>
      <c r="L36" s="741"/>
    </row>
    <row r="37" spans="1:12" ht="12">
      <c r="A37" s="134">
        <f t="shared" si="0"/>
        <v>25</v>
      </c>
      <c r="B37" s="752" t="s">
        <v>1629</v>
      </c>
      <c r="C37" s="741">
        <v>122022423</v>
      </c>
      <c r="D37" s="754">
        <v>117781233</v>
      </c>
      <c r="E37" s="753">
        <f t="shared" si="1"/>
        <v>1182909123</v>
      </c>
      <c r="F37" s="753">
        <f t="shared" si="1"/>
        <v>1178652746</v>
      </c>
      <c r="G37" s="753">
        <f t="shared" si="2"/>
        <v>4256377</v>
      </c>
      <c r="H37" s="753">
        <f t="shared" si="3"/>
        <v>0.0036112222318616647</v>
      </c>
      <c r="I37" s="741"/>
      <c r="J37" s="753"/>
      <c r="K37" s="741"/>
      <c r="L37" s="741"/>
    </row>
    <row r="38" spans="1:12" ht="12">
      <c r="A38" s="134">
        <f t="shared" si="0"/>
        <v>26</v>
      </c>
      <c r="B38" s="752" t="s">
        <v>1630</v>
      </c>
      <c r="C38" s="741">
        <v>119772090</v>
      </c>
      <c r="D38" s="754">
        <v>112120643</v>
      </c>
      <c r="E38" s="753">
        <f t="shared" si="1"/>
        <v>1201585463</v>
      </c>
      <c r="F38" s="753">
        <f t="shared" si="1"/>
        <v>1192721578</v>
      </c>
      <c r="G38" s="753">
        <f t="shared" si="2"/>
        <v>8863885</v>
      </c>
      <c r="H38" s="753">
        <f t="shared" si="3"/>
        <v>0.007431646382103099</v>
      </c>
      <c r="I38" s="741"/>
      <c r="J38" s="753"/>
      <c r="K38" s="741"/>
      <c r="L38" s="741"/>
    </row>
    <row r="39" spans="1:12" ht="12">
      <c r="A39" s="134">
        <f t="shared" si="0"/>
        <v>27</v>
      </c>
      <c r="B39" s="752" t="s">
        <v>1631</v>
      </c>
      <c r="C39" s="741">
        <v>90812962</v>
      </c>
      <c r="D39" s="754">
        <v>87348110</v>
      </c>
      <c r="E39" s="753">
        <f t="shared" si="1"/>
        <v>1184252745</v>
      </c>
      <c r="F39" s="753">
        <f t="shared" si="1"/>
        <v>1176956742</v>
      </c>
      <c r="G39" s="753">
        <f t="shared" si="2"/>
        <v>7296003</v>
      </c>
      <c r="H39" s="753">
        <f t="shared" si="3"/>
        <v>0.00619904091598296</v>
      </c>
      <c r="I39" s="741"/>
      <c r="J39" s="753"/>
      <c r="K39" s="741"/>
      <c r="L39" s="741"/>
    </row>
    <row r="40" spans="1:12" ht="12">
      <c r="A40" s="134">
        <f t="shared" si="0"/>
        <v>28</v>
      </c>
      <c r="B40" s="752" t="s">
        <v>1632</v>
      </c>
      <c r="C40" s="741">
        <v>108220090</v>
      </c>
      <c r="D40" s="754">
        <v>109326475</v>
      </c>
      <c r="E40" s="753">
        <f t="shared" si="1"/>
        <v>1175292325</v>
      </c>
      <c r="F40" s="753">
        <f t="shared" si="1"/>
        <v>1170191522</v>
      </c>
      <c r="G40" s="753">
        <f t="shared" si="2"/>
        <v>5100803</v>
      </c>
      <c r="H40" s="753">
        <f t="shared" si="3"/>
        <v>0.004358947150191368</v>
      </c>
      <c r="I40" s="741"/>
      <c r="J40" s="753"/>
      <c r="K40" s="741"/>
      <c r="L40" s="741"/>
    </row>
    <row r="41" spans="1:12" ht="12">
      <c r="A41" s="134">
        <f t="shared" si="0"/>
        <v>29</v>
      </c>
      <c r="B41" s="752" t="s">
        <v>1633</v>
      </c>
      <c r="C41" s="741">
        <v>110967540</v>
      </c>
      <c r="D41" s="754">
        <v>113564156</v>
      </c>
      <c r="E41" s="753">
        <f aca="true" t="shared" si="4" ref="E41:F46">SUM(C30:C41)</f>
        <v>1187720145</v>
      </c>
      <c r="F41" s="753">
        <f t="shared" si="4"/>
        <v>1182815989</v>
      </c>
      <c r="G41" s="753">
        <f t="shared" si="2"/>
        <v>4904156</v>
      </c>
      <c r="H41" s="753">
        <f t="shared" si="3"/>
        <v>0.004146169857025834</v>
      </c>
      <c r="I41" s="741"/>
      <c r="J41" s="753"/>
      <c r="K41" s="741"/>
      <c r="L41" s="741"/>
    </row>
    <row r="42" spans="1:12" ht="12">
      <c r="A42" s="134">
        <f t="shared" si="0"/>
        <v>30</v>
      </c>
      <c r="B42" s="752" t="s">
        <v>1634</v>
      </c>
      <c r="C42" s="741">
        <v>109420380</v>
      </c>
      <c r="D42" s="754">
        <v>112002255</v>
      </c>
      <c r="E42" s="753">
        <f t="shared" si="4"/>
        <v>1202451635</v>
      </c>
      <c r="F42" s="753">
        <f t="shared" si="4"/>
        <v>1198180067</v>
      </c>
      <c r="G42" s="753">
        <f t="shared" si="2"/>
        <v>4271568</v>
      </c>
      <c r="H42" s="753">
        <f t="shared" si="3"/>
        <v>0.003565046788580902</v>
      </c>
      <c r="I42" s="741"/>
      <c r="J42" s="753"/>
      <c r="K42" s="741"/>
      <c r="L42" s="741"/>
    </row>
    <row r="43" spans="1:12" ht="12">
      <c r="A43" s="134">
        <f t="shared" si="0"/>
        <v>31</v>
      </c>
      <c r="B43" s="752" t="s">
        <v>1635</v>
      </c>
      <c r="C43" s="741">
        <v>96520150</v>
      </c>
      <c r="D43" s="754">
        <v>99156536</v>
      </c>
      <c r="E43" s="753">
        <f t="shared" si="4"/>
        <v>1232493625</v>
      </c>
      <c r="F43" s="753">
        <f t="shared" si="4"/>
        <v>1227332025</v>
      </c>
      <c r="G43" s="753">
        <f t="shared" si="2"/>
        <v>5161600</v>
      </c>
      <c r="H43" s="753">
        <f t="shared" si="3"/>
        <v>0.004205544950234636</v>
      </c>
      <c r="I43" s="741"/>
      <c r="J43" s="753"/>
      <c r="K43" s="741"/>
      <c r="L43" s="741"/>
    </row>
    <row r="44" spans="1:12" ht="12">
      <c r="A44" s="134">
        <f t="shared" si="0"/>
        <v>32</v>
      </c>
      <c r="B44" s="752" t="s">
        <v>1636</v>
      </c>
      <c r="C44" s="741">
        <v>92293730</v>
      </c>
      <c r="D44" s="754">
        <v>95023918</v>
      </c>
      <c r="E44" s="753">
        <f t="shared" si="4"/>
        <v>1249535125</v>
      </c>
      <c r="F44" s="753">
        <f t="shared" si="4"/>
        <v>1246515265</v>
      </c>
      <c r="G44" s="753">
        <f t="shared" si="2"/>
        <v>3019860</v>
      </c>
      <c r="H44" s="753">
        <f t="shared" si="3"/>
        <v>0.002422641811771154</v>
      </c>
      <c r="I44" s="741"/>
      <c r="J44" s="753"/>
      <c r="K44" s="741"/>
      <c r="L44" s="741"/>
    </row>
    <row r="45" spans="1:12" ht="12">
      <c r="A45" s="134">
        <f t="shared" si="0"/>
        <v>33</v>
      </c>
      <c r="B45" s="752" t="s">
        <v>1637</v>
      </c>
      <c r="C45" s="741">
        <v>84448480</v>
      </c>
      <c r="D45" s="754">
        <v>85007163</v>
      </c>
      <c r="E45" s="753">
        <f t="shared" si="4"/>
        <v>1242472755</v>
      </c>
      <c r="F45" s="753">
        <f t="shared" si="4"/>
        <v>1238361690</v>
      </c>
      <c r="G45" s="753">
        <f t="shared" si="2"/>
        <v>4111065</v>
      </c>
      <c r="H45" s="753">
        <f t="shared" si="3"/>
        <v>0.003319761127300377</v>
      </c>
      <c r="I45" s="741"/>
      <c r="J45" s="753"/>
      <c r="K45" s="741"/>
      <c r="L45" s="741"/>
    </row>
    <row r="46" spans="1:12" ht="12">
      <c r="A46" s="134">
        <f t="shared" si="0"/>
        <v>34</v>
      </c>
      <c r="B46" s="752" t="s">
        <v>1638</v>
      </c>
      <c r="C46" s="741">
        <v>98906860</v>
      </c>
      <c r="D46" s="753">
        <v>99499326</v>
      </c>
      <c r="E46" s="753">
        <f t="shared" si="4"/>
        <v>1247556195</v>
      </c>
      <c r="F46" s="753">
        <f t="shared" si="4"/>
        <v>1243449153</v>
      </c>
      <c r="G46" s="753">
        <f t="shared" si="2"/>
        <v>4107042</v>
      </c>
      <c r="H46" s="753">
        <f t="shared" si="3"/>
        <v>0.00330294326076074</v>
      </c>
      <c r="I46" s="741"/>
      <c r="J46" s="753"/>
      <c r="K46" s="741"/>
      <c r="L46" s="741"/>
    </row>
    <row r="47" spans="1:12" ht="12">
      <c r="A47" s="134">
        <f aca="true" t="shared" si="5" ref="A47:A56">+A46+1</f>
        <v>35</v>
      </c>
      <c r="B47" s="752" t="s">
        <v>1639</v>
      </c>
      <c r="C47" s="741">
        <v>94292770</v>
      </c>
      <c r="D47" s="754">
        <v>94636837</v>
      </c>
      <c r="E47" s="753">
        <f aca="true" t="shared" si="6" ref="E47:E55">SUM(C36:C47)</f>
        <v>1235126395</v>
      </c>
      <c r="F47" s="753">
        <f aca="true" t="shared" si="7" ref="F47:F55">SUM(D36:D47)</f>
        <v>1231923519</v>
      </c>
      <c r="G47" s="753">
        <f aca="true" t="shared" si="8" ref="G47:G56">+E47-F47</f>
        <v>3202876</v>
      </c>
      <c r="H47" s="753">
        <f aca="true" t="shared" si="9" ref="H47:H56">+G47/F47</f>
        <v>0.002599898411388313</v>
      </c>
      <c r="I47" s="741"/>
      <c r="J47" s="753"/>
      <c r="K47" s="741"/>
      <c r="L47" s="741"/>
    </row>
    <row r="48" spans="1:12" ht="12">
      <c r="A48" s="134">
        <f t="shared" si="5"/>
        <v>36</v>
      </c>
      <c r="B48" s="752" t="s">
        <v>1640</v>
      </c>
      <c r="C48" s="741">
        <v>83199580</v>
      </c>
      <c r="D48" s="754">
        <v>82063294</v>
      </c>
      <c r="E48" s="753">
        <f t="shared" si="6"/>
        <v>1210877055</v>
      </c>
      <c r="F48" s="753">
        <f t="shared" si="7"/>
        <v>1207529946</v>
      </c>
      <c r="G48" s="753">
        <f t="shared" si="8"/>
        <v>3347109</v>
      </c>
      <c r="H48" s="753">
        <f t="shared" si="9"/>
        <v>0.0027718641770230683</v>
      </c>
      <c r="I48" s="741"/>
      <c r="J48" s="753"/>
      <c r="K48" s="741"/>
      <c r="L48" s="741"/>
    </row>
    <row r="49" spans="1:12" ht="12">
      <c r="A49" s="134">
        <f t="shared" si="5"/>
        <v>37</v>
      </c>
      <c r="B49" s="752" t="s">
        <v>1641</v>
      </c>
      <c r="C49" s="741">
        <v>93479070</v>
      </c>
      <c r="D49" s="754">
        <v>88248367</v>
      </c>
      <c r="E49" s="753">
        <f t="shared" si="6"/>
        <v>1182333702</v>
      </c>
      <c r="F49" s="753">
        <f t="shared" si="7"/>
        <v>1177997080</v>
      </c>
      <c r="G49" s="753">
        <f t="shared" si="8"/>
        <v>4336622</v>
      </c>
      <c r="H49" s="753">
        <f t="shared" si="9"/>
        <v>0.0036813520794126246</v>
      </c>
      <c r="I49" s="741"/>
      <c r="J49" s="753"/>
      <c r="K49" s="741"/>
      <c r="L49" s="741"/>
    </row>
    <row r="50" spans="1:12" ht="12">
      <c r="A50" s="134">
        <f t="shared" si="5"/>
        <v>38</v>
      </c>
      <c r="B50" s="752" t="s">
        <v>1642</v>
      </c>
      <c r="C50" s="741">
        <v>86945880</v>
      </c>
      <c r="D50" s="754">
        <v>83589601</v>
      </c>
      <c r="E50" s="753">
        <f t="shared" si="6"/>
        <v>1149507492</v>
      </c>
      <c r="F50" s="753">
        <f t="shared" si="7"/>
        <v>1149466038</v>
      </c>
      <c r="G50" s="753">
        <f t="shared" si="8"/>
        <v>41454</v>
      </c>
      <c r="H50" s="753">
        <f t="shared" si="9"/>
        <v>3.606370143142933E-05</v>
      </c>
      <c r="I50" s="741"/>
      <c r="J50" s="753"/>
      <c r="K50" s="741"/>
      <c r="L50" s="741"/>
    </row>
    <row r="51" spans="1:12" ht="12">
      <c r="A51" s="134">
        <f t="shared" si="5"/>
        <v>39</v>
      </c>
      <c r="B51" s="752" t="s">
        <v>1643</v>
      </c>
      <c r="C51" s="741">
        <v>97777060</v>
      </c>
      <c r="D51" s="754">
        <v>93564453</v>
      </c>
      <c r="E51" s="753">
        <f t="shared" si="6"/>
        <v>1156471590</v>
      </c>
      <c r="F51" s="753">
        <f t="shared" si="7"/>
        <v>1155682381</v>
      </c>
      <c r="G51" s="753">
        <f t="shared" si="8"/>
        <v>789209</v>
      </c>
      <c r="H51" s="753">
        <f t="shared" si="9"/>
        <v>0.0006828943773609368</v>
      </c>
      <c r="I51" s="741"/>
      <c r="J51" s="753"/>
      <c r="K51" s="741"/>
      <c r="L51" s="741"/>
    </row>
    <row r="52" spans="1:12" ht="12">
      <c r="A52" s="134">
        <f t="shared" si="5"/>
        <v>40</v>
      </c>
      <c r="B52" s="752" t="s">
        <v>1644</v>
      </c>
      <c r="C52" s="741">
        <v>94100250</v>
      </c>
      <c r="D52" s="754">
        <v>92859541</v>
      </c>
      <c r="E52" s="753">
        <f t="shared" si="6"/>
        <v>1142351750</v>
      </c>
      <c r="F52" s="753">
        <f t="shared" si="7"/>
        <v>1139215447</v>
      </c>
      <c r="G52" s="753">
        <f t="shared" si="8"/>
        <v>3136303</v>
      </c>
      <c r="H52" s="753">
        <f t="shared" si="9"/>
        <v>0.002753037635031295</v>
      </c>
      <c r="I52" s="741"/>
      <c r="J52" s="753"/>
      <c r="K52" s="741"/>
      <c r="L52" s="741"/>
    </row>
    <row r="53" spans="1:12" ht="12">
      <c r="A53" s="134">
        <f t="shared" si="5"/>
        <v>41</v>
      </c>
      <c r="B53" s="752" t="s">
        <v>1645</v>
      </c>
      <c r="C53" s="741">
        <v>85805780</v>
      </c>
      <c r="D53" s="754">
        <v>89820316</v>
      </c>
      <c r="E53" s="753">
        <f t="shared" si="6"/>
        <v>1117189990</v>
      </c>
      <c r="F53" s="753">
        <f t="shared" si="7"/>
        <v>1115471607</v>
      </c>
      <c r="G53" s="753">
        <f t="shared" si="8"/>
        <v>1718383</v>
      </c>
      <c r="H53" s="753">
        <f t="shared" si="9"/>
        <v>0.0015404990940302795</v>
      </c>
      <c r="I53" s="741"/>
      <c r="J53" s="753"/>
      <c r="K53" s="741"/>
      <c r="L53" s="741"/>
    </row>
    <row r="54" spans="1:12" ht="12">
      <c r="A54" s="134">
        <f t="shared" si="5"/>
        <v>42</v>
      </c>
      <c r="B54" s="752" t="s">
        <v>1646</v>
      </c>
      <c r="C54" s="741">
        <v>98990430</v>
      </c>
      <c r="D54" s="754">
        <v>97665660</v>
      </c>
      <c r="E54" s="753">
        <f t="shared" si="6"/>
        <v>1106760040</v>
      </c>
      <c r="F54" s="753">
        <f t="shared" si="7"/>
        <v>1101135012</v>
      </c>
      <c r="G54" s="753">
        <f t="shared" si="8"/>
        <v>5625028</v>
      </c>
      <c r="H54" s="753">
        <f t="shared" si="9"/>
        <v>0.005108390831913717</v>
      </c>
      <c r="I54" s="741"/>
      <c r="J54" s="753"/>
      <c r="K54" s="741"/>
      <c r="L54" s="741"/>
    </row>
    <row r="55" spans="1:12" ht="12">
      <c r="A55" s="134">
        <f t="shared" si="5"/>
        <v>43</v>
      </c>
      <c r="B55" s="752" t="s">
        <v>1647</v>
      </c>
      <c r="C55" s="741">
        <v>60071910</v>
      </c>
      <c r="D55" s="754">
        <v>64481831</v>
      </c>
      <c r="E55" s="753">
        <f t="shared" si="6"/>
        <v>1070311800</v>
      </c>
      <c r="F55" s="753">
        <f t="shared" si="7"/>
        <v>1066460307</v>
      </c>
      <c r="G55" s="753">
        <f t="shared" si="8"/>
        <v>3851493</v>
      </c>
      <c r="H55" s="753">
        <f t="shared" si="9"/>
        <v>0.003611473371038459</v>
      </c>
      <c r="I55" s="741"/>
      <c r="J55" s="753"/>
      <c r="K55" s="741"/>
      <c r="L55" s="741"/>
    </row>
    <row r="56" spans="1:12" ht="12">
      <c r="A56" s="135">
        <f t="shared" si="5"/>
        <v>44</v>
      </c>
      <c r="B56" s="755" t="s">
        <v>1648</v>
      </c>
      <c r="C56" s="744">
        <v>48555020</v>
      </c>
      <c r="D56" s="756">
        <v>50711433</v>
      </c>
      <c r="E56" s="757">
        <f>SUM(C45:C68)</f>
        <v>1026573090</v>
      </c>
      <c r="F56" s="757">
        <f>SUM(D45:D68)</f>
        <v>1022147822</v>
      </c>
      <c r="G56" s="757">
        <f t="shared" si="8"/>
        <v>4425268</v>
      </c>
      <c r="H56" s="757">
        <f t="shared" si="9"/>
        <v>0.004329381626369106</v>
      </c>
      <c r="I56" s="744"/>
      <c r="J56" s="757"/>
      <c r="K56" s="744"/>
      <c r="L56" s="744"/>
    </row>
    <row r="57" ht="15.75">
      <c r="K57" s="37" t="s">
        <v>385</v>
      </c>
    </row>
    <row r="58" ht="15.75">
      <c r="K58" s="141" t="s">
        <v>1431</v>
      </c>
    </row>
    <row r="59" ht="15.75">
      <c r="K59" s="141" t="s">
        <v>1601</v>
      </c>
    </row>
    <row r="60" ht="15.75">
      <c r="K60" s="367" t="s">
        <v>3</v>
      </c>
    </row>
    <row r="62" spans="1:12" ht="15.75">
      <c r="A62" s="1294" t="s">
        <v>658</v>
      </c>
      <c r="B62" s="1295"/>
      <c r="C62" s="1295"/>
      <c r="D62" s="1295"/>
      <c r="E62" s="1295"/>
      <c r="F62" s="1295"/>
      <c r="G62" s="1295"/>
      <c r="H62" s="1295"/>
      <c r="I62" s="1295"/>
      <c r="J62" s="1295"/>
      <c r="K62" s="1295"/>
      <c r="L62" s="1296"/>
    </row>
    <row r="63" spans="1:12" ht="14.25">
      <c r="A63" s="1297" t="s">
        <v>1602</v>
      </c>
      <c r="B63" s="1298"/>
      <c r="C63" s="1298"/>
      <c r="D63" s="1298"/>
      <c r="E63" s="1298"/>
      <c r="F63" s="1298"/>
      <c r="G63" s="1298"/>
      <c r="H63" s="1298"/>
      <c r="I63" s="1298"/>
      <c r="J63" s="1298"/>
      <c r="K63" s="1298"/>
      <c r="L63" s="1299"/>
    </row>
    <row r="64" spans="1:12" ht="15.75">
      <c r="A64" s="1300" t="s">
        <v>659</v>
      </c>
      <c r="B64" s="1301"/>
      <c r="C64" s="1301"/>
      <c r="D64" s="1301"/>
      <c r="E64" s="1301"/>
      <c r="F64" s="1301"/>
      <c r="G64" s="1301"/>
      <c r="H64" s="1301"/>
      <c r="I64" s="1301"/>
      <c r="J64" s="1301"/>
      <c r="K64" s="1301"/>
      <c r="L64" s="1302"/>
    </row>
    <row r="65" spans="1:12" ht="12">
      <c r="A65" s="731" t="s">
        <v>1000</v>
      </c>
      <c r="B65" s="731"/>
      <c r="C65" s="1303" t="s">
        <v>1426</v>
      </c>
      <c r="D65" s="1303"/>
      <c r="E65" s="732"/>
      <c r="F65" s="732"/>
      <c r="G65" s="732"/>
      <c r="H65" s="732"/>
      <c r="I65" s="1304" t="s">
        <v>1603</v>
      </c>
      <c r="J65" s="1305"/>
      <c r="K65" s="734"/>
      <c r="L65" s="734"/>
    </row>
    <row r="66" spans="1:12" ht="12">
      <c r="A66" s="735" t="s">
        <v>1006</v>
      </c>
      <c r="B66" s="735" t="s">
        <v>1604</v>
      </c>
      <c r="C66" s="736" t="s">
        <v>359</v>
      </c>
      <c r="D66" s="736" t="s">
        <v>120</v>
      </c>
      <c r="E66" s="737"/>
      <c r="F66" s="737"/>
      <c r="G66" s="737"/>
      <c r="H66" s="737"/>
      <c r="I66" s="736" t="s">
        <v>359</v>
      </c>
      <c r="J66" s="733" t="s">
        <v>120</v>
      </c>
      <c r="K66" s="735" t="s">
        <v>113</v>
      </c>
      <c r="L66" s="735" t="s">
        <v>1278</v>
      </c>
    </row>
    <row r="67" spans="1:12" ht="12">
      <c r="A67" s="738"/>
      <c r="B67" s="736" t="s">
        <v>1012</v>
      </c>
      <c r="C67" s="736" t="s">
        <v>1013</v>
      </c>
      <c r="D67" s="736" t="s">
        <v>1098</v>
      </c>
      <c r="E67" s="739"/>
      <c r="F67" s="739"/>
      <c r="G67" s="739"/>
      <c r="H67" s="739"/>
      <c r="I67" s="736" t="s">
        <v>1074</v>
      </c>
      <c r="J67" s="733" t="s">
        <v>1016</v>
      </c>
      <c r="K67" s="736" t="s">
        <v>1075</v>
      </c>
      <c r="L67" s="736" t="s">
        <v>1018</v>
      </c>
    </row>
    <row r="68" spans="1:12" ht="11.25">
      <c r="A68" s="129"/>
      <c r="B68" s="133"/>
      <c r="C68" s="751"/>
      <c r="D68" s="133"/>
      <c r="E68" s="138"/>
      <c r="F68" s="138"/>
      <c r="G68" s="138"/>
      <c r="H68" s="138"/>
      <c r="I68" s="248"/>
      <c r="J68" s="133"/>
      <c r="K68" s="133"/>
      <c r="L68" s="133"/>
    </row>
    <row r="69" spans="1:12" ht="12">
      <c r="A69" s="134">
        <f>+A56+1</f>
        <v>45</v>
      </c>
      <c r="B69" s="740" t="s">
        <v>1649</v>
      </c>
      <c r="C69" s="753">
        <v>40662590</v>
      </c>
      <c r="D69" s="741">
        <v>42186065</v>
      </c>
      <c r="E69" s="742">
        <f aca="true" t="shared" si="10" ref="E69:E79">SUM(C46:C69)</f>
        <v>982787200</v>
      </c>
      <c r="F69" s="742">
        <f aca="true" t="shared" si="11" ref="F69:F79">SUM(D46:D69)</f>
        <v>979326724</v>
      </c>
      <c r="G69" s="742">
        <f t="shared" si="2"/>
        <v>3460476</v>
      </c>
      <c r="H69" s="742">
        <f t="shared" si="3"/>
        <v>0.003533525548925999</v>
      </c>
      <c r="I69" s="743"/>
      <c r="J69" s="741"/>
      <c r="K69" s="741"/>
      <c r="L69" s="741"/>
    </row>
    <row r="70" spans="1:12" ht="12">
      <c r="A70" s="134">
        <f t="shared" si="0"/>
        <v>46</v>
      </c>
      <c r="B70" s="740" t="s">
        <v>1650</v>
      </c>
      <c r="C70" s="753">
        <v>49128910</v>
      </c>
      <c r="D70" s="741">
        <v>49372812</v>
      </c>
      <c r="E70" s="742">
        <f t="shared" si="10"/>
        <v>933009250</v>
      </c>
      <c r="F70" s="742">
        <f t="shared" si="11"/>
        <v>929200210</v>
      </c>
      <c r="G70" s="742">
        <f t="shared" si="2"/>
        <v>3809040</v>
      </c>
      <c r="H70" s="742">
        <f t="shared" si="3"/>
        <v>0.0040992672612504034</v>
      </c>
      <c r="I70" s="743"/>
      <c r="J70" s="741"/>
      <c r="K70" s="741"/>
      <c r="L70" s="741"/>
    </row>
    <row r="71" spans="1:12" ht="12">
      <c r="A71" s="134">
        <f t="shared" si="0"/>
        <v>47</v>
      </c>
      <c r="B71" s="740" t="s">
        <v>1651</v>
      </c>
      <c r="C71" s="753">
        <v>59540770</v>
      </c>
      <c r="D71" s="741">
        <v>59329767</v>
      </c>
      <c r="E71" s="742">
        <f t="shared" si="10"/>
        <v>898257250</v>
      </c>
      <c r="F71" s="742">
        <f t="shared" si="11"/>
        <v>893893140</v>
      </c>
      <c r="G71" s="742">
        <f t="shared" si="2"/>
        <v>4364110</v>
      </c>
      <c r="H71" s="742">
        <f t="shared" si="3"/>
        <v>0.004882138372826085</v>
      </c>
      <c r="I71" s="743"/>
      <c r="J71" s="741"/>
      <c r="K71" s="741"/>
      <c r="L71" s="741"/>
    </row>
    <row r="72" spans="1:12" ht="12">
      <c r="A72" s="134">
        <f t="shared" si="0"/>
        <v>48</v>
      </c>
      <c r="B72" s="740" t="s">
        <v>1652</v>
      </c>
      <c r="C72" s="753">
        <v>58273440</v>
      </c>
      <c r="D72" s="741">
        <v>57176876</v>
      </c>
      <c r="E72" s="742">
        <f t="shared" si="10"/>
        <v>873331110</v>
      </c>
      <c r="F72" s="742">
        <f t="shared" si="11"/>
        <v>869006722</v>
      </c>
      <c r="G72" s="742">
        <f t="shared" si="2"/>
        <v>4324388</v>
      </c>
      <c r="H72" s="742">
        <f t="shared" si="3"/>
        <v>0.004976242289642496</v>
      </c>
      <c r="I72" s="743"/>
      <c r="J72" s="741"/>
      <c r="K72" s="741"/>
      <c r="L72" s="741"/>
    </row>
    <row r="73" spans="1:12" ht="12">
      <c r="A73" s="134">
        <f t="shared" si="0"/>
        <v>49</v>
      </c>
      <c r="B73" s="740" t="s">
        <v>1653</v>
      </c>
      <c r="C73" s="753">
        <v>68989960</v>
      </c>
      <c r="D73" s="741">
        <v>62842695</v>
      </c>
      <c r="E73" s="742">
        <f t="shared" si="10"/>
        <v>848842000</v>
      </c>
      <c r="F73" s="742">
        <f t="shared" si="11"/>
        <v>843601050</v>
      </c>
      <c r="G73" s="742">
        <f t="shared" si="2"/>
        <v>5240950</v>
      </c>
      <c r="H73" s="742">
        <f t="shared" si="3"/>
        <v>0.006212593026051829</v>
      </c>
      <c r="I73" s="743"/>
      <c r="J73" s="741"/>
      <c r="K73" s="741"/>
      <c r="L73" s="741"/>
    </row>
    <row r="74" spans="1:12" ht="12">
      <c r="A74" s="134">
        <f t="shared" si="0"/>
        <v>50</v>
      </c>
      <c r="B74" s="740" t="s">
        <v>1654</v>
      </c>
      <c r="C74" s="753">
        <v>77390990</v>
      </c>
      <c r="D74" s="741">
        <v>74450996</v>
      </c>
      <c r="E74" s="742">
        <f t="shared" si="10"/>
        <v>839287110</v>
      </c>
      <c r="F74" s="742">
        <f t="shared" si="11"/>
        <v>834462445</v>
      </c>
      <c r="G74" s="742">
        <f t="shared" si="2"/>
        <v>4824665</v>
      </c>
      <c r="H74" s="742">
        <f t="shared" si="3"/>
        <v>0.005781764091252782</v>
      </c>
      <c r="I74" s="743"/>
      <c r="J74" s="741"/>
      <c r="K74" s="741"/>
      <c r="L74" s="741"/>
    </row>
    <row r="75" spans="1:12" ht="12">
      <c r="A75" s="134">
        <f t="shared" si="0"/>
        <v>51</v>
      </c>
      <c r="B75" s="740" t="s">
        <v>1655</v>
      </c>
      <c r="C75" s="753">
        <v>90548330</v>
      </c>
      <c r="D75" s="741">
        <v>87249067</v>
      </c>
      <c r="E75" s="742">
        <f t="shared" si="10"/>
        <v>832058380</v>
      </c>
      <c r="F75" s="742">
        <f t="shared" si="11"/>
        <v>828147059</v>
      </c>
      <c r="G75" s="742">
        <f t="shared" si="2"/>
        <v>3911321</v>
      </c>
      <c r="H75" s="742">
        <f t="shared" si="3"/>
        <v>0.004722978796450692</v>
      </c>
      <c r="I75" s="743"/>
      <c r="J75" s="741"/>
      <c r="K75" s="741"/>
      <c r="L75" s="741"/>
    </row>
    <row r="76" spans="1:12" ht="12">
      <c r="A76" s="134">
        <f t="shared" si="0"/>
        <v>52</v>
      </c>
      <c r="B76" s="740" t="s">
        <v>1656</v>
      </c>
      <c r="C76" s="753">
        <v>82410990</v>
      </c>
      <c r="D76" s="741">
        <v>84273220</v>
      </c>
      <c r="E76" s="742">
        <f t="shared" si="10"/>
        <v>820369120</v>
      </c>
      <c r="F76" s="742">
        <f t="shared" si="11"/>
        <v>819560738</v>
      </c>
      <c r="G76" s="742">
        <f t="shared" si="2"/>
        <v>808382</v>
      </c>
      <c r="H76" s="742">
        <f t="shared" si="3"/>
        <v>0.0009863600859805952</v>
      </c>
      <c r="I76" s="743"/>
      <c r="J76" s="741"/>
      <c r="K76" s="741"/>
      <c r="L76" s="741"/>
    </row>
    <row r="77" spans="1:12" ht="12">
      <c r="A77" s="134">
        <f t="shared" si="0"/>
        <v>53</v>
      </c>
      <c r="B77" s="740" t="s">
        <v>1657</v>
      </c>
      <c r="C77" s="753">
        <v>79268510</v>
      </c>
      <c r="D77" s="741">
        <v>80437747</v>
      </c>
      <c r="E77" s="742">
        <f t="shared" si="10"/>
        <v>813831850</v>
      </c>
      <c r="F77" s="742">
        <f t="shared" si="11"/>
        <v>810178169</v>
      </c>
      <c r="G77" s="742">
        <f t="shared" si="2"/>
        <v>3653681</v>
      </c>
      <c r="H77" s="742">
        <f t="shared" si="3"/>
        <v>0.004509725316975308</v>
      </c>
      <c r="I77" s="743"/>
      <c r="J77" s="741"/>
      <c r="K77" s="741"/>
      <c r="L77" s="741"/>
    </row>
    <row r="78" spans="1:12" ht="12">
      <c r="A78" s="134">
        <f t="shared" si="0"/>
        <v>54</v>
      </c>
      <c r="B78" s="740" t="s">
        <v>1658</v>
      </c>
      <c r="C78" s="753">
        <v>74025220</v>
      </c>
      <c r="D78" s="741">
        <v>76303555</v>
      </c>
      <c r="E78" s="742">
        <f t="shared" si="10"/>
        <v>788866640</v>
      </c>
      <c r="F78" s="742">
        <f t="shared" si="11"/>
        <v>788816064</v>
      </c>
      <c r="G78" s="742">
        <f t="shared" si="2"/>
        <v>50576</v>
      </c>
      <c r="H78" s="742">
        <f t="shared" si="3"/>
        <v>6.411634132237956E-05</v>
      </c>
      <c r="I78" s="743"/>
      <c r="J78" s="741"/>
      <c r="K78" s="741"/>
      <c r="L78" s="741"/>
    </row>
    <row r="79" spans="1:12" ht="12">
      <c r="A79" s="134">
        <f t="shared" si="0"/>
        <v>55</v>
      </c>
      <c r="B79" s="740" t="s">
        <v>1659</v>
      </c>
      <c r="C79" s="753">
        <v>54570400</v>
      </c>
      <c r="D79" s="741">
        <v>56385228</v>
      </c>
      <c r="E79" s="742">
        <f t="shared" si="10"/>
        <v>783365130</v>
      </c>
      <c r="F79" s="742">
        <f t="shared" si="11"/>
        <v>780719461</v>
      </c>
      <c r="G79" s="742">
        <f t="shared" si="2"/>
        <v>2645669</v>
      </c>
      <c r="H79" s="742">
        <f t="shared" si="3"/>
        <v>0.003388757591121454</v>
      </c>
      <c r="I79" s="743"/>
      <c r="J79" s="741"/>
      <c r="K79" s="741"/>
      <c r="L79" s="741"/>
    </row>
    <row r="80" spans="1:12" ht="12">
      <c r="A80" s="134">
        <f t="shared" si="0"/>
        <v>56</v>
      </c>
      <c r="B80" s="740" t="s">
        <v>1660</v>
      </c>
      <c r="C80" s="753">
        <v>45062700</v>
      </c>
      <c r="D80" s="741">
        <v>47240401</v>
      </c>
      <c r="E80" s="742">
        <f aca="true" t="shared" si="12" ref="E80:F85">SUM(C69:C80)</f>
        <v>779872810</v>
      </c>
      <c r="F80" s="742">
        <f t="shared" si="12"/>
        <v>777248429</v>
      </c>
      <c r="G80" s="742">
        <f t="shared" si="2"/>
        <v>2624381</v>
      </c>
      <c r="H80" s="742">
        <f t="shared" si="3"/>
        <v>0.0033765021608039817</v>
      </c>
      <c r="I80" s="743"/>
      <c r="J80" s="741"/>
      <c r="K80" s="741"/>
      <c r="L80" s="741"/>
    </row>
    <row r="81" spans="1:12" ht="12">
      <c r="A81" s="134">
        <f t="shared" si="0"/>
        <v>57</v>
      </c>
      <c r="B81" s="740" t="s">
        <v>1661</v>
      </c>
      <c r="C81" s="753">
        <v>35852250</v>
      </c>
      <c r="D81" s="741">
        <v>37203575</v>
      </c>
      <c r="E81" s="742">
        <f t="shared" si="12"/>
        <v>775062470</v>
      </c>
      <c r="F81" s="742">
        <f t="shared" si="12"/>
        <v>772265939</v>
      </c>
      <c r="G81" s="742">
        <f t="shared" si="2"/>
        <v>2796531</v>
      </c>
      <c r="H81" s="742">
        <f t="shared" si="3"/>
        <v>0.003621202048119851</v>
      </c>
      <c r="I81" s="743"/>
      <c r="J81" s="741"/>
      <c r="K81" s="741"/>
      <c r="L81" s="741"/>
    </row>
    <row r="82" spans="1:12" ht="12">
      <c r="A82" s="134">
        <f t="shared" si="0"/>
        <v>58</v>
      </c>
      <c r="B82" s="740" t="s">
        <v>1662</v>
      </c>
      <c r="C82" s="753">
        <v>61404350</v>
      </c>
      <c r="D82" s="741">
        <v>62054350</v>
      </c>
      <c r="E82" s="742">
        <f t="shared" si="12"/>
        <v>787337910</v>
      </c>
      <c r="F82" s="742">
        <f t="shared" si="12"/>
        <v>784947477</v>
      </c>
      <c r="G82" s="742">
        <f t="shared" si="2"/>
        <v>2390433</v>
      </c>
      <c r="H82" s="742">
        <f t="shared" si="3"/>
        <v>0.00304534133816956</v>
      </c>
      <c r="I82" s="743"/>
      <c r="J82" s="741"/>
      <c r="K82" s="741"/>
      <c r="L82" s="741"/>
    </row>
    <row r="83" spans="1:12" ht="12">
      <c r="A83" s="134">
        <f t="shared" si="0"/>
        <v>59</v>
      </c>
      <c r="B83" s="740" t="s">
        <v>1663</v>
      </c>
      <c r="C83" s="753">
        <v>65351090</v>
      </c>
      <c r="D83" s="741">
        <v>65350588</v>
      </c>
      <c r="E83" s="742">
        <f t="shared" si="12"/>
        <v>793148230</v>
      </c>
      <c r="F83" s="742">
        <f t="shared" si="12"/>
        <v>790968298</v>
      </c>
      <c r="G83" s="742">
        <f t="shared" si="2"/>
        <v>2179932</v>
      </c>
      <c r="H83" s="742">
        <f t="shared" si="3"/>
        <v>0.0027560295469642197</v>
      </c>
      <c r="I83" s="743"/>
      <c r="J83" s="741"/>
      <c r="K83" s="741"/>
      <c r="L83" s="741"/>
    </row>
    <row r="84" spans="1:12" ht="12">
      <c r="A84" s="134">
        <f t="shared" si="0"/>
        <v>60</v>
      </c>
      <c r="B84" s="740" t="s">
        <v>1664</v>
      </c>
      <c r="C84" s="753">
        <v>64704070</v>
      </c>
      <c r="D84" s="741">
        <v>64051106</v>
      </c>
      <c r="E84" s="742">
        <f t="shared" si="12"/>
        <v>799578860</v>
      </c>
      <c r="F84" s="742">
        <f t="shared" si="12"/>
        <v>797842528</v>
      </c>
      <c r="G84" s="742">
        <f t="shared" si="2"/>
        <v>1736332</v>
      </c>
      <c r="H84" s="742">
        <f t="shared" si="3"/>
        <v>0.002176284089985236</v>
      </c>
      <c r="I84" s="743">
        <f aca="true" t="shared" si="13" ref="I84:I108">SUM(C13:C84)</f>
        <v>5061512095</v>
      </c>
      <c r="J84" s="741">
        <f aca="true" t="shared" si="14" ref="J84:J108">SUM(D13:D84)</f>
        <v>5043786965</v>
      </c>
      <c r="K84" s="741">
        <f>+I84-J84</f>
        <v>17725130</v>
      </c>
      <c r="L84" s="745">
        <f>+K84/J84</f>
        <v>0.0035142503287705767</v>
      </c>
    </row>
    <row r="85" spans="1:12" ht="12">
      <c r="A85" s="134">
        <f t="shared" si="0"/>
        <v>61</v>
      </c>
      <c r="B85" s="740" t="s">
        <v>1665</v>
      </c>
      <c r="C85" s="753">
        <v>76360960</v>
      </c>
      <c r="D85" s="741">
        <v>72315922</v>
      </c>
      <c r="E85" s="742">
        <f t="shared" si="12"/>
        <v>806949860</v>
      </c>
      <c r="F85" s="742">
        <f t="shared" si="12"/>
        <v>807315755</v>
      </c>
      <c r="G85" s="742">
        <f t="shared" si="2"/>
        <v>-365895</v>
      </c>
      <c r="H85" s="742">
        <f t="shared" si="3"/>
        <v>-0.00045322415391236854</v>
      </c>
      <c r="I85" s="743">
        <f t="shared" si="13"/>
        <v>5028504845</v>
      </c>
      <c r="J85" s="741">
        <f t="shared" si="14"/>
        <v>5011408623</v>
      </c>
      <c r="K85" s="741">
        <f aca="true" t="shared" si="15" ref="K85:K92">+I85-J85</f>
        <v>17096222</v>
      </c>
      <c r="L85" s="745">
        <f aca="true" t="shared" si="16" ref="L85:L92">+K85/J85</f>
        <v>0.0034114603869132543</v>
      </c>
    </row>
    <row r="86" spans="1:12" ht="12">
      <c r="A86" s="134">
        <f t="shared" si="0"/>
        <v>62</v>
      </c>
      <c r="B86" s="740" t="s">
        <v>1666</v>
      </c>
      <c r="C86" s="753">
        <v>87244350</v>
      </c>
      <c r="D86" s="741">
        <v>78251750</v>
      </c>
      <c r="E86" s="742">
        <f aca="true" t="shared" si="17" ref="E86:F92">SUM(C75:C86)</f>
        <v>816803220</v>
      </c>
      <c r="F86" s="742">
        <f t="shared" si="17"/>
        <v>811116509</v>
      </c>
      <c r="G86" s="742">
        <f t="shared" si="2"/>
        <v>5686711</v>
      </c>
      <c r="H86" s="742">
        <f t="shared" si="3"/>
        <v>0.007010966904139292</v>
      </c>
      <c r="I86" s="743">
        <f t="shared" si="13"/>
        <v>5013036685</v>
      </c>
      <c r="J86" s="741">
        <f t="shared" si="14"/>
        <v>4990939906</v>
      </c>
      <c r="K86" s="741">
        <f t="shared" si="15"/>
        <v>22096779</v>
      </c>
      <c r="L86" s="745">
        <f t="shared" si="16"/>
        <v>0.0044273782927010865</v>
      </c>
    </row>
    <row r="87" spans="1:12" ht="12">
      <c r="A87" s="134">
        <f t="shared" si="0"/>
        <v>63</v>
      </c>
      <c r="B87" s="740" t="s">
        <v>1667</v>
      </c>
      <c r="C87" s="753">
        <v>78859760</v>
      </c>
      <c r="D87" s="741">
        <v>75003737</v>
      </c>
      <c r="E87" s="742">
        <f t="shared" si="17"/>
        <v>805114650</v>
      </c>
      <c r="F87" s="742">
        <f t="shared" si="17"/>
        <v>798871179</v>
      </c>
      <c r="G87" s="742">
        <f t="shared" si="2"/>
        <v>6243471</v>
      </c>
      <c r="H87" s="742">
        <f t="shared" si="3"/>
        <v>0.007815366437196252</v>
      </c>
      <c r="I87" s="743">
        <f t="shared" si="13"/>
        <v>4984717845</v>
      </c>
      <c r="J87" s="741">
        <f t="shared" si="14"/>
        <v>4965384420</v>
      </c>
      <c r="K87" s="741">
        <f t="shared" si="15"/>
        <v>19333425</v>
      </c>
      <c r="L87" s="745">
        <f t="shared" si="16"/>
        <v>0.003893641129199821</v>
      </c>
    </row>
    <row r="88" spans="1:12" ht="12">
      <c r="A88" s="134">
        <f t="shared" si="0"/>
        <v>64</v>
      </c>
      <c r="B88" s="740" t="s">
        <v>1668</v>
      </c>
      <c r="C88" s="753">
        <v>88637750</v>
      </c>
      <c r="D88" s="741">
        <v>88758793</v>
      </c>
      <c r="E88" s="742">
        <f t="shared" si="17"/>
        <v>811341410</v>
      </c>
      <c r="F88" s="742">
        <f t="shared" si="17"/>
        <v>803356752</v>
      </c>
      <c r="G88" s="742">
        <f t="shared" si="2"/>
        <v>7984658</v>
      </c>
      <c r="H88" s="742">
        <f t="shared" si="3"/>
        <v>0.009939118554890792</v>
      </c>
      <c r="I88" s="743">
        <f t="shared" si="13"/>
        <v>4975348285</v>
      </c>
      <c r="J88" s="741">
        <f t="shared" si="14"/>
        <v>4953088407</v>
      </c>
      <c r="K88" s="741">
        <f t="shared" si="15"/>
        <v>22259878</v>
      </c>
      <c r="L88" s="745">
        <f t="shared" si="16"/>
        <v>0.0044941410632891214</v>
      </c>
    </row>
    <row r="89" spans="1:12" ht="12">
      <c r="A89" s="134">
        <f t="shared" si="0"/>
        <v>65</v>
      </c>
      <c r="B89" s="740" t="s">
        <v>1669</v>
      </c>
      <c r="C89" s="753">
        <v>67845327</v>
      </c>
      <c r="D89" s="741">
        <v>72151449.00006</v>
      </c>
      <c r="E89" s="742">
        <f t="shared" si="17"/>
        <v>799918227</v>
      </c>
      <c r="F89" s="742">
        <f t="shared" si="17"/>
        <v>795070454.00006</v>
      </c>
      <c r="G89" s="742">
        <f aca="true" t="shared" si="18" ref="G89:G108">+E89-F89</f>
        <v>4847772.999940038</v>
      </c>
      <c r="H89" s="742">
        <f aca="true" t="shared" si="19" ref="H89:H108">+G89/F89</f>
        <v>0.006097287322841042</v>
      </c>
      <c r="I89" s="743">
        <f t="shared" si="13"/>
        <v>4960729222</v>
      </c>
      <c r="J89" s="741">
        <f t="shared" si="14"/>
        <v>4942521930.00006</v>
      </c>
      <c r="K89" s="741">
        <f t="shared" si="15"/>
        <v>18207291.99993992</v>
      </c>
      <c r="L89" s="745">
        <f t="shared" si="16"/>
        <v>0.0036838060119522217</v>
      </c>
    </row>
    <row r="90" spans="1:12" ht="12">
      <c r="A90" s="134">
        <f t="shared" si="0"/>
        <v>66</v>
      </c>
      <c r="B90" s="740" t="s">
        <v>1670</v>
      </c>
      <c r="C90" s="753">
        <v>59218470</v>
      </c>
      <c r="D90" s="741">
        <v>62611036</v>
      </c>
      <c r="E90" s="742">
        <f t="shared" si="17"/>
        <v>785111477</v>
      </c>
      <c r="F90" s="742">
        <f t="shared" si="17"/>
        <v>781377935.00006</v>
      </c>
      <c r="G90" s="742">
        <f t="shared" si="18"/>
        <v>3733541.9999400377</v>
      </c>
      <c r="H90" s="742">
        <f t="shared" si="19"/>
        <v>0.004778151305155233</v>
      </c>
      <c r="I90" s="743">
        <f t="shared" si="13"/>
        <v>4937233172</v>
      </c>
      <c r="J90" s="741">
        <f t="shared" si="14"/>
        <v>4921023464.00006</v>
      </c>
      <c r="K90" s="741">
        <f t="shared" si="15"/>
        <v>16209707.999939919</v>
      </c>
      <c r="L90" s="745">
        <f t="shared" si="16"/>
        <v>0.0032939708819766196</v>
      </c>
    </row>
    <row r="91" spans="1:12" ht="12">
      <c r="A91" s="134">
        <f aca="true" t="shared" si="20" ref="A91:A108">+A90+1</f>
        <v>67</v>
      </c>
      <c r="B91" s="740" t="s">
        <v>1671</v>
      </c>
      <c r="C91" s="753">
        <v>47614910</v>
      </c>
      <c r="D91" s="741">
        <v>51325518</v>
      </c>
      <c r="E91" s="742">
        <f t="shared" si="17"/>
        <v>778155987</v>
      </c>
      <c r="F91" s="742">
        <f t="shared" si="17"/>
        <v>776318225.00006</v>
      </c>
      <c r="G91" s="742">
        <f t="shared" si="18"/>
        <v>1837761.9999400377</v>
      </c>
      <c r="H91" s="742">
        <f t="shared" si="19"/>
        <v>0.0023672792171533725</v>
      </c>
      <c r="I91" s="743">
        <f t="shared" si="13"/>
        <v>4906308672</v>
      </c>
      <c r="J91" s="741">
        <f t="shared" si="14"/>
        <v>4889239865.00006</v>
      </c>
      <c r="K91" s="741">
        <f t="shared" si="15"/>
        <v>17068806.99993992</v>
      </c>
      <c r="L91" s="745">
        <f t="shared" si="16"/>
        <v>0.003491096258567324</v>
      </c>
    </row>
    <row r="92" spans="1:12" ht="12">
      <c r="A92" s="134">
        <f t="shared" si="20"/>
        <v>68</v>
      </c>
      <c r="B92" s="740" t="s">
        <v>1672</v>
      </c>
      <c r="C92" s="753">
        <v>45457270</v>
      </c>
      <c r="D92" s="741">
        <v>46527313</v>
      </c>
      <c r="E92" s="753">
        <f t="shared" si="17"/>
        <v>778550557</v>
      </c>
      <c r="F92" s="753">
        <f t="shared" si="17"/>
        <v>775605137.00006</v>
      </c>
      <c r="G92" s="753">
        <f t="shared" si="18"/>
        <v>2945419.9999400377</v>
      </c>
      <c r="H92" s="753">
        <f t="shared" si="19"/>
        <v>0.003797576704213874</v>
      </c>
      <c r="I92" s="753">
        <f t="shared" si="13"/>
        <v>4885814722</v>
      </c>
      <c r="J92" s="741">
        <f t="shared" si="14"/>
        <v>4868430804.00006</v>
      </c>
      <c r="K92" s="741">
        <f t="shared" si="15"/>
        <v>17383917.99993992</v>
      </c>
      <c r="L92" s="745">
        <f t="shared" si="16"/>
        <v>0.003570743572170468</v>
      </c>
    </row>
    <row r="93" spans="1:12" ht="12">
      <c r="A93" s="134">
        <f t="shared" si="20"/>
        <v>69</v>
      </c>
      <c r="B93" s="746" t="s">
        <v>1673</v>
      </c>
      <c r="C93" s="753">
        <v>39026980</v>
      </c>
      <c r="D93" s="741">
        <v>40181394</v>
      </c>
      <c r="E93" s="753">
        <f aca="true" t="shared" si="21" ref="E93:E103">SUM(C82:C93)</f>
        <v>781725287</v>
      </c>
      <c r="F93" s="753">
        <f aca="true" t="shared" si="22" ref="F93:F103">SUM(D82:D93)</f>
        <v>778582956.00006</v>
      </c>
      <c r="G93" s="753">
        <f t="shared" si="18"/>
        <v>3142330.9999400377</v>
      </c>
      <c r="H93" s="753">
        <f t="shared" si="19"/>
        <v>0.004035961711881856</v>
      </c>
      <c r="I93" s="753">
        <f t="shared" si="13"/>
        <v>4871283482</v>
      </c>
      <c r="J93" s="741">
        <f t="shared" si="14"/>
        <v>4853655887.00006</v>
      </c>
      <c r="K93" s="741">
        <f aca="true" t="shared" si="23" ref="K93:K108">+I93-J93</f>
        <v>17627594.99993992</v>
      </c>
      <c r="L93" s="745">
        <f aca="true" t="shared" si="24" ref="L93:L108">+K93/J93</f>
        <v>0.00363181803785335</v>
      </c>
    </row>
    <row r="94" spans="1:12" ht="12">
      <c r="A94" s="134">
        <f t="shared" si="20"/>
        <v>70</v>
      </c>
      <c r="B94" s="746" t="s">
        <v>1674</v>
      </c>
      <c r="C94" s="753">
        <v>52503310</v>
      </c>
      <c r="D94" s="741">
        <v>53000075</v>
      </c>
      <c r="E94" s="742">
        <f t="shared" si="21"/>
        <v>772824247</v>
      </c>
      <c r="F94" s="742">
        <f t="shared" si="22"/>
        <v>769528681.0000601</v>
      </c>
      <c r="G94" s="742">
        <f t="shared" si="18"/>
        <v>3295565.9999399185</v>
      </c>
      <c r="H94" s="742">
        <f t="shared" si="19"/>
        <v>0.004282577220717861</v>
      </c>
      <c r="I94" s="743">
        <f t="shared" si="13"/>
        <v>4859449662</v>
      </c>
      <c r="J94" s="741">
        <f t="shared" si="14"/>
        <v>4841648898.00006</v>
      </c>
      <c r="K94" s="741">
        <f t="shared" si="23"/>
        <v>17800763.99993992</v>
      </c>
      <c r="L94" s="745">
        <f t="shared" si="24"/>
        <v>0.0036765912553660966</v>
      </c>
    </row>
    <row r="95" spans="1:12" ht="12">
      <c r="A95" s="134">
        <f t="shared" si="20"/>
        <v>71</v>
      </c>
      <c r="B95" s="746" t="s">
        <v>1675</v>
      </c>
      <c r="C95" s="753">
        <v>56228520</v>
      </c>
      <c r="D95" s="741">
        <v>55913416.00001</v>
      </c>
      <c r="E95" s="742">
        <f t="shared" si="21"/>
        <v>763701677</v>
      </c>
      <c r="F95" s="742">
        <f t="shared" si="22"/>
        <v>760091509.0000701</v>
      </c>
      <c r="G95" s="742">
        <f t="shared" si="18"/>
        <v>3610167.999929905</v>
      </c>
      <c r="H95" s="742">
        <f t="shared" si="19"/>
        <v>0.004749649163531929</v>
      </c>
      <c r="I95" s="743">
        <f t="shared" si="13"/>
        <v>4842183462</v>
      </c>
      <c r="J95" s="741">
        <f t="shared" si="14"/>
        <v>4824060467.00007</v>
      </c>
      <c r="K95" s="741">
        <f t="shared" si="23"/>
        <v>18122994.99993038</v>
      </c>
      <c r="L95" s="745">
        <f t="shared" si="24"/>
        <v>0.0037567926695579955</v>
      </c>
    </row>
    <row r="96" spans="1:12" ht="12">
      <c r="A96" s="134">
        <f t="shared" si="20"/>
        <v>72</v>
      </c>
      <c r="B96" s="740" t="s">
        <v>1676</v>
      </c>
      <c r="C96" s="753">
        <v>54049140</v>
      </c>
      <c r="D96" s="741">
        <v>52227837</v>
      </c>
      <c r="E96" s="742">
        <f t="shared" si="21"/>
        <v>753046747</v>
      </c>
      <c r="F96" s="742">
        <f t="shared" si="22"/>
        <v>748268240.0000701</v>
      </c>
      <c r="G96" s="742">
        <f t="shared" si="18"/>
        <v>4778506.999929905</v>
      </c>
      <c r="H96" s="742">
        <f t="shared" si="19"/>
        <v>0.006386088229442235</v>
      </c>
      <c r="I96" s="743">
        <f t="shared" si="13"/>
        <v>4815333342</v>
      </c>
      <c r="J96" s="741">
        <f t="shared" si="14"/>
        <v>4796214934.00007</v>
      </c>
      <c r="K96" s="741">
        <f t="shared" si="23"/>
        <v>19118407.99993038</v>
      </c>
      <c r="L96" s="745">
        <f t="shared" si="24"/>
        <v>0.003986144962854182</v>
      </c>
    </row>
    <row r="97" spans="1:12" ht="12">
      <c r="A97" s="134">
        <f t="shared" si="20"/>
        <v>73</v>
      </c>
      <c r="B97" s="746" t="s">
        <v>1677</v>
      </c>
      <c r="C97" s="753">
        <v>60326880</v>
      </c>
      <c r="D97" s="741">
        <v>55834031</v>
      </c>
      <c r="E97" s="742">
        <f t="shared" si="21"/>
        <v>737012667</v>
      </c>
      <c r="F97" s="742">
        <f t="shared" si="22"/>
        <v>731786349.0000701</v>
      </c>
      <c r="G97" s="742">
        <f t="shared" si="18"/>
        <v>5226317.999929905</v>
      </c>
      <c r="H97" s="742">
        <f t="shared" si="19"/>
        <v>0.007141863205116176</v>
      </c>
      <c r="I97" s="743">
        <f t="shared" si="13"/>
        <v>4758047352</v>
      </c>
      <c r="J97" s="741">
        <f t="shared" si="14"/>
        <v>4739352980.00007</v>
      </c>
      <c r="K97" s="741">
        <f t="shared" si="23"/>
        <v>18694371.99993038</v>
      </c>
      <c r="L97" s="745">
        <f t="shared" si="24"/>
        <v>0.0039444987699418215</v>
      </c>
    </row>
    <row r="98" spans="1:12" ht="12">
      <c r="A98" s="134">
        <f t="shared" si="20"/>
        <v>74</v>
      </c>
      <c r="B98" s="740" t="s">
        <v>1678</v>
      </c>
      <c r="C98" s="753">
        <v>68464350</v>
      </c>
      <c r="D98" s="741">
        <v>61485068</v>
      </c>
      <c r="E98" s="742">
        <f t="shared" si="21"/>
        <v>718232667</v>
      </c>
      <c r="F98" s="742">
        <f t="shared" si="22"/>
        <v>715019667.00007</v>
      </c>
      <c r="G98" s="742">
        <f t="shared" si="18"/>
        <v>3212999.999930024</v>
      </c>
      <c r="H98" s="742">
        <f t="shared" si="19"/>
        <v>0.004493582691802671</v>
      </c>
      <c r="I98" s="743">
        <f t="shared" si="13"/>
        <v>4725415952</v>
      </c>
      <c r="J98" s="741">
        <f t="shared" si="14"/>
        <v>4702786237.00007</v>
      </c>
      <c r="K98" s="741">
        <f t="shared" si="23"/>
        <v>22629714.99993038</v>
      </c>
      <c r="L98" s="745">
        <f t="shared" si="24"/>
        <v>0.004811980357917775</v>
      </c>
    </row>
    <row r="99" spans="1:12" ht="12">
      <c r="A99" s="134">
        <f t="shared" si="20"/>
        <v>75</v>
      </c>
      <c r="B99" s="746" t="s">
        <v>1679</v>
      </c>
      <c r="C99" s="753">
        <v>74236500</v>
      </c>
      <c r="D99" s="741">
        <v>71122850</v>
      </c>
      <c r="E99" s="742">
        <f t="shared" si="21"/>
        <v>713609407</v>
      </c>
      <c r="F99" s="742">
        <f t="shared" si="22"/>
        <v>711138780.0000701</v>
      </c>
      <c r="G99" s="742">
        <f t="shared" si="18"/>
        <v>2470626.999929905</v>
      </c>
      <c r="H99" s="742">
        <f t="shared" si="19"/>
        <v>0.0034741840403214423</v>
      </c>
      <c r="I99" s="743">
        <f t="shared" si="13"/>
        <v>4691506772</v>
      </c>
      <c r="J99" s="741">
        <f t="shared" si="14"/>
        <v>4670796141.00007</v>
      </c>
      <c r="K99" s="741">
        <f t="shared" si="23"/>
        <v>20710630.99993038</v>
      </c>
      <c r="L99" s="745">
        <f t="shared" si="24"/>
        <v>0.004434068705789417</v>
      </c>
    </row>
    <row r="100" spans="1:12" ht="12">
      <c r="A100" s="134">
        <f t="shared" si="20"/>
        <v>76</v>
      </c>
      <c r="B100" s="740" t="s">
        <v>1680</v>
      </c>
      <c r="C100" s="753">
        <v>91031100</v>
      </c>
      <c r="D100" s="741">
        <v>91215142</v>
      </c>
      <c r="E100" s="742">
        <f t="shared" si="21"/>
        <v>716002757</v>
      </c>
      <c r="F100" s="742">
        <f t="shared" si="22"/>
        <v>713595129.0000701</v>
      </c>
      <c r="G100" s="742">
        <f t="shared" si="18"/>
        <v>2407627.999929905</v>
      </c>
      <c r="H100" s="742">
        <f t="shared" si="19"/>
        <v>0.0033739411917001307</v>
      </c>
      <c r="I100" s="743">
        <f t="shared" si="13"/>
        <v>4665357362</v>
      </c>
      <c r="J100" s="741">
        <f t="shared" si="14"/>
        <v>4645919588.00007</v>
      </c>
      <c r="K100" s="741">
        <f t="shared" si="23"/>
        <v>19437773.99993038</v>
      </c>
      <c r="L100" s="745">
        <f t="shared" si="24"/>
        <v>0.004183837802560368</v>
      </c>
    </row>
    <row r="101" spans="1:12" ht="12">
      <c r="A101" s="134">
        <f t="shared" si="20"/>
        <v>77</v>
      </c>
      <c r="B101" s="746" t="s">
        <v>1681</v>
      </c>
      <c r="C101" s="753">
        <v>66153790</v>
      </c>
      <c r="D101" s="741">
        <v>66622489</v>
      </c>
      <c r="E101" s="742">
        <f t="shared" si="21"/>
        <v>714311220</v>
      </c>
      <c r="F101" s="742">
        <f t="shared" si="22"/>
        <v>708066169.00001</v>
      </c>
      <c r="G101" s="742">
        <f t="shared" si="18"/>
        <v>6245050.999989986</v>
      </c>
      <c r="H101" s="742">
        <f t="shared" si="19"/>
        <v>0.00881986920630563</v>
      </c>
      <c r="I101" s="743">
        <f t="shared" si="13"/>
        <v>4632971432</v>
      </c>
      <c r="J101" s="741">
        <f t="shared" si="14"/>
        <v>4611602388.000071</v>
      </c>
      <c r="K101" s="741">
        <f t="shared" si="23"/>
        <v>21369043.999929428</v>
      </c>
      <c r="L101" s="745">
        <f t="shared" si="24"/>
        <v>0.004633756816401644</v>
      </c>
    </row>
    <row r="102" spans="1:12" ht="12">
      <c r="A102" s="134">
        <f t="shared" si="20"/>
        <v>78</v>
      </c>
      <c r="B102" s="740" t="s">
        <v>1682</v>
      </c>
      <c r="C102" s="753">
        <v>61663800</v>
      </c>
      <c r="D102" s="741">
        <v>66202102</v>
      </c>
      <c r="E102" s="742">
        <f t="shared" si="21"/>
        <v>716756550</v>
      </c>
      <c r="F102" s="742">
        <f t="shared" si="22"/>
        <v>711657235.00001</v>
      </c>
      <c r="G102" s="742">
        <f t="shared" si="18"/>
        <v>5099314.999989986</v>
      </c>
      <c r="H102" s="742">
        <f t="shared" si="19"/>
        <v>0.007165408779958395</v>
      </c>
      <c r="I102" s="743">
        <f t="shared" si="13"/>
        <v>4599946342</v>
      </c>
      <c r="J102" s="741">
        <f t="shared" si="14"/>
        <v>4581166313.000071</v>
      </c>
      <c r="K102" s="741">
        <f t="shared" si="23"/>
        <v>18780028.999929428</v>
      </c>
      <c r="L102" s="745">
        <f t="shared" si="24"/>
        <v>0.00409939908678647</v>
      </c>
    </row>
    <row r="103" spans="1:12" ht="12">
      <c r="A103" s="134">
        <f t="shared" si="20"/>
        <v>79</v>
      </c>
      <c r="B103" s="746" t="s">
        <v>1683</v>
      </c>
      <c r="C103" s="753">
        <v>53656700</v>
      </c>
      <c r="D103" s="741">
        <v>56971614</v>
      </c>
      <c r="E103" s="742">
        <f t="shared" si="21"/>
        <v>722798340</v>
      </c>
      <c r="F103" s="742">
        <f t="shared" si="22"/>
        <v>717303331.00001</v>
      </c>
      <c r="G103" s="742">
        <f t="shared" si="18"/>
        <v>5495008.999989986</v>
      </c>
      <c r="H103" s="742">
        <f t="shared" si="19"/>
        <v>0.007660648936802316</v>
      </c>
      <c r="I103" s="743">
        <f t="shared" si="13"/>
        <v>4587124882</v>
      </c>
      <c r="J103" s="741">
        <f t="shared" si="14"/>
        <v>4568133349.000071</v>
      </c>
      <c r="K103" s="741">
        <f t="shared" si="23"/>
        <v>18991532.999929428</v>
      </c>
      <c r="L103" s="745">
        <f t="shared" si="24"/>
        <v>0.004157394618107313</v>
      </c>
    </row>
    <row r="104" spans="1:12" ht="12">
      <c r="A104" s="134">
        <f t="shared" si="20"/>
        <v>80</v>
      </c>
      <c r="B104" s="740" t="s">
        <v>1684</v>
      </c>
      <c r="C104" s="753">
        <v>41799700</v>
      </c>
      <c r="D104" s="741">
        <v>44015037</v>
      </c>
      <c r="E104" s="742">
        <f aca="true" t="shared" si="25" ref="E104:F108">SUM(C93:C104)</f>
        <v>719140770</v>
      </c>
      <c r="F104" s="742">
        <f t="shared" si="25"/>
        <v>714791055.00001</v>
      </c>
      <c r="G104" s="742">
        <f t="shared" si="18"/>
        <v>4349714.999989986</v>
      </c>
      <c r="H104" s="742">
        <f t="shared" si="19"/>
        <v>0.006085295793174028</v>
      </c>
      <c r="I104" s="743">
        <f t="shared" si="13"/>
        <v>4553672352</v>
      </c>
      <c r="J104" s="741">
        <f t="shared" si="14"/>
        <v>4536307708.000071</v>
      </c>
      <c r="K104" s="741">
        <f t="shared" si="23"/>
        <v>17364643.999929428</v>
      </c>
      <c r="L104" s="745">
        <f t="shared" si="24"/>
        <v>0.0038279246289456424</v>
      </c>
    </row>
    <row r="105" spans="1:12" ht="12">
      <c r="A105" s="134">
        <f t="shared" si="20"/>
        <v>81</v>
      </c>
      <c r="B105" s="746" t="s">
        <v>1685</v>
      </c>
      <c r="C105" s="753">
        <v>39030880</v>
      </c>
      <c r="D105" s="741">
        <v>40190576</v>
      </c>
      <c r="E105" s="742">
        <f t="shared" si="25"/>
        <v>719144670</v>
      </c>
      <c r="F105" s="742">
        <f t="shared" si="25"/>
        <v>714800237.00001</v>
      </c>
      <c r="G105" s="742">
        <f t="shared" si="18"/>
        <v>4344432.999989986</v>
      </c>
      <c r="H105" s="742">
        <f t="shared" si="19"/>
        <v>0.006077828147096607</v>
      </c>
      <c r="I105" s="743">
        <f t="shared" si="13"/>
        <v>4501192382</v>
      </c>
      <c r="J105" s="741">
        <f t="shared" si="14"/>
        <v>4483337546.000071</v>
      </c>
      <c r="K105" s="741">
        <f t="shared" si="23"/>
        <v>17854835.999929428</v>
      </c>
      <c r="L105" s="745">
        <f t="shared" si="24"/>
        <v>0.0039824875590416114</v>
      </c>
    </row>
    <row r="106" spans="1:12" ht="12">
      <c r="A106" s="134">
        <f t="shared" si="20"/>
        <v>82</v>
      </c>
      <c r="B106" s="740" t="s">
        <v>1686</v>
      </c>
      <c r="C106" s="753">
        <v>45537040</v>
      </c>
      <c r="D106" s="741">
        <v>46109040</v>
      </c>
      <c r="E106" s="742">
        <f t="shared" si="25"/>
        <v>712178400</v>
      </c>
      <c r="F106" s="742">
        <f t="shared" si="25"/>
        <v>707909202.00001</v>
      </c>
      <c r="G106" s="742">
        <f t="shared" si="18"/>
        <v>4269197.999989986</v>
      </c>
      <c r="H106" s="742">
        <f t="shared" si="19"/>
        <v>0.006030714091480232</v>
      </c>
      <c r="I106" s="743">
        <f t="shared" si="13"/>
        <v>4452906002</v>
      </c>
      <c r="J106" s="741">
        <f t="shared" si="14"/>
        <v>4435034723.000071</v>
      </c>
      <c r="K106" s="741">
        <f t="shared" si="23"/>
        <v>17871278.999929428</v>
      </c>
      <c r="L106" s="745">
        <f t="shared" si="24"/>
        <v>0.004029569127666364</v>
      </c>
    </row>
    <row r="107" spans="1:12" ht="12">
      <c r="A107" s="134">
        <f t="shared" si="20"/>
        <v>83</v>
      </c>
      <c r="B107" s="746" t="s">
        <v>1687</v>
      </c>
      <c r="C107" s="753">
        <v>54601920</v>
      </c>
      <c r="D107" s="741">
        <v>54656423</v>
      </c>
      <c r="E107" s="742">
        <f t="shared" si="25"/>
        <v>710551800</v>
      </c>
      <c r="F107" s="742">
        <f t="shared" si="25"/>
        <v>706652209</v>
      </c>
      <c r="G107" s="742">
        <f t="shared" si="18"/>
        <v>3899591</v>
      </c>
      <c r="H107" s="742">
        <f t="shared" si="19"/>
        <v>0.005518402051722731</v>
      </c>
      <c r="I107" s="743">
        <f t="shared" si="13"/>
        <v>4400785352</v>
      </c>
      <c r="J107" s="741">
        <f t="shared" si="14"/>
        <v>4383528675.000071</v>
      </c>
      <c r="K107" s="741">
        <f t="shared" si="23"/>
        <v>17256676.999929428</v>
      </c>
      <c r="L107" s="745">
        <f t="shared" si="24"/>
        <v>0.003936709048659104</v>
      </c>
    </row>
    <row r="108" spans="1:13" ht="12">
      <c r="A108" s="134">
        <f t="shared" si="20"/>
        <v>84</v>
      </c>
      <c r="B108" s="740" t="s">
        <v>1688</v>
      </c>
      <c r="C108" s="753">
        <v>45376950</v>
      </c>
      <c r="D108" s="741">
        <v>43910485</v>
      </c>
      <c r="E108" s="742">
        <f t="shared" si="25"/>
        <v>701879610</v>
      </c>
      <c r="F108" s="742">
        <f t="shared" si="25"/>
        <v>698334857</v>
      </c>
      <c r="G108" s="742">
        <f t="shared" si="18"/>
        <v>3544753</v>
      </c>
      <c r="H108" s="742">
        <f t="shared" si="19"/>
        <v>0.005076007540605981</v>
      </c>
      <c r="I108" s="743">
        <f t="shared" si="13"/>
        <v>4338713382</v>
      </c>
      <c r="J108" s="741">
        <f t="shared" si="14"/>
        <v>4320982293.000071</v>
      </c>
      <c r="K108" s="741">
        <f t="shared" si="23"/>
        <v>17731088.999929428</v>
      </c>
      <c r="L108" s="747">
        <f t="shared" si="24"/>
        <v>0.004103485688579085</v>
      </c>
      <c r="M108" s="138" t="s">
        <v>295</v>
      </c>
    </row>
    <row r="109" spans="1:12" ht="11.25">
      <c r="A109" s="132"/>
      <c r="B109" s="134"/>
      <c r="C109" s="143"/>
      <c r="D109" s="132"/>
      <c r="I109" s="154"/>
      <c r="J109" s="132"/>
      <c r="K109" s="132"/>
      <c r="L109" s="132"/>
    </row>
    <row r="110" spans="1:12" ht="11.25">
      <c r="A110" s="118"/>
      <c r="B110" s="135"/>
      <c r="C110" s="166"/>
      <c r="D110" s="118"/>
      <c r="I110" s="156"/>
      <c r="J110" s="118"/>
      <c r="K110" s="118"/>
      <c r="L110" s="118"/>
    </row>
    <row r="112" ht="11.25">
      <c r="A112" t="s">
        <v>0</v>
      </c>
    </row>
  </sheetData>
  <mergeCells count="10">
    <mergeCell ref="A6:L6"/>
    <mergeCell ref="A7:L7"/>
    <mergeCell ref="A8:L8"/>
    <mergeCell ref="C9:D9"/>
    <mergeCell ref="I9:J9"/>
    <mergeCell ref="A62:L62"/>
    <mergeCell ref="A63:L63"/>
    <mergeCell ref="A64:L64"/>
    <mergeCell ref="C65:D65"/>
    <mergeCell ref="I65:J65"/>
  </mergeCells>
  <printOptions/>
  <pageMargins left="0.75" right="0.75" top="0.35" bottom="1" header="0.18"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7:F42"/>
  <sheetViews>
    <sheetView workbookViewId="0" topLeftCell="A22">
      <selection activeCell="G32" sqref="G32"/>
    </sheetView>
  </sheetViews>
  <sheetFormatPr defaultColWidth="9.33203125" defaultRowHeight="11.25"/>
  <cols>
    <col min="2" max="2" width="18.83203125" style="0" customWidth="1"/>
    <col min="3" max="3" width="15.83203125" style="0" customWidth="1"/>
    <col min="4" max="4" width="11.66015625" style="0" bestFit="1" customWidth="1"/>
    <col min="5" max="5" width="12.83203125" style="0" bestFit="1" customWidth="1"/>
    <col min="6" max="6" width="14.16015625" style="0" bestFit="1" customWidth="1"/>
  </cols>
  <sheetData>
    <row r="7" spans="1:6" ht="15">
      <c r="A7" s="454" t="s">
        <v>658</v>
      </c>
      <c r="B7" s="455"/>
      <c r="C7" s="455"/>
      <c r="D7" s="455"/>
      <c r="E7" s="455"/>
      <c r="F7" s="456"/>
    </row>
    <row r="8" spans="1:6" ht="15">
      <c r="A8" s="457" t="s">
        <v>65</v>
      </c>
      <c r="B8" s="458"/>
      <c r="C8" s="458"/>
      <c r="D8" s="458"/>
      <c r="E8" s="458"/>
      <c r="F8" s="459"/>
    </row>
    <row r="9" spans="1:6" ht="15">
      <c r="A9" s="457" t="s">
        <v>66</v>
      </c>
      <c r="B9" s="458"/>
      <c r="C9" s="458"/>
      <c r="D9" s="458"/>
      <c r="E9" s="458"/>
      <c r="F9" s="459"/>
    </row>
    <row r="10" spans="1:6" ht="15">
      <c r="A10" s="457" t="s">
        <v>659</v>
      </c>
      <c r="B10" s="458"/>
      <c r="C10" s="458"/>
      <c r="D10" s="458"/>
      <c r="E10" s="458"/>
      <c r="F10" s="459"/>
    </row>
    <row r="11" spans="1:6" ht="15">
      <c r="A11" s="460"/>
      <c r="B11" s="460"/>
      <c r="C11" s="460"/>
      <c r="D11" s="460"/>
      <c r="E11" s="460"/>
      <c r="F11" s="461"/>
    </row>
    <row r="12" spans="1:6" ht="15">
      <c r="A12" s="460"/>
      <c r="B12" s="460"/>
      <c r="C12" s="460"/>
      <c r="D12" s="460"/>
      <c r="E12" s="460"/>
      <c r="F12" s="461"/>
    </row>
    <row r="13" spans="1:6" ht="15">
      <c r="A13" s="462" t="s">
        <v>377</v>
      </c>
      <c r="B13" s="463" t="s">
        <v>1007</v>
      </c>
      <c r="C13" s="463"/>
      <c r="D13" s="460"/>
      <c r="E13" s="464" t="s">
        <v>1465</v>
      </c>
      <c r="F13" s="465" t="s">
        <v>67</v>
      </c>
    </row>
    <row r="14" spans="1:6" ht="15">
      <c r="A14" s="460"/>
      <c r="B14" s="460"/>
      <c r="C14" s="460"/>
      <c r="D14" s="460"/>
      <c r="E14" s="460"/>
      <c r="F14" s="461"/>
    </row>
    <row r="15" spans="1:6" ht="15">
      <c r="A15" s="466"/>
      <c r="B15" s="462" t="s">
        <v>1285</v>
      </c>
      <c r="C15" s="467"/>
      <c r="D15" s="460"/>
      <c r="E15" s="460"/>
      <c r="F15" s="461"/>
    </row>
    <row r="16" spans="1:6" ht="15">
      <c r="A16" s="460"/>
      <c r="B16" s="460"/>
      <c r="C16" s="460"/>
      <c r="D16" s="460"/>
      <c r="E16" s="460"/>
      <c r="F16" s="461"/>
    </row>
    <row r="17" spans="1:6" ht="15">
      <c r="A17" s="460"/>
      <c r="B17" s="460" t="s">
        <v>68</v>
      </c>
      <c r="C17" s="460"/>
      <c r="D17" s="460"/>
      <c r="E17" s="460"/>
      <c r="F17" s="461"/>
    </row>
    <row r="18" spans="1:6" ht="15">
      <c r="A18" s="466">
        <v>1</v>
      </c>
      <c r="B18" s="460" t="s">
        <v>69</v>
      </c>
      <c r="C18" s="460"/>
      <c r="D18" s="460"/>
      <c r="E18" s="468">
        <v>4148757</v>
      </c>
      <c r="F18" s="461"/>
    </row>
    <row r="19" spans="1:6" ht="15">
      <c r="A19" s="460"/>
      <c r="B19" s="460"/>
      <c r="C19" s="460"/>
      <c r="D19" s="460"/>
      <c r="E19" s="460"/>
      <c r="F19" s="461"/>
    </row>
    <row r="20" spans="1:6" ht="15">
      <c r="A20" s="466">
        <v>2</v>
      </c>
      <c r="B20" s="460" t="s">
        <v>70</v>
      </c>
      <c r="C20" s="460"/>
      <c r="D20" s="469"/>
      <c r="E20" s="460"/>
      <c r="F20" s="461"/>
    </row>
    <row r="21" spans="1:6" ht="15">
      <c r="A21" s="460"/>
      <c r="B21" s="460"/>
      <c r="C21" s="460"/>
      <c r="D21" s="460"/>
      <c r="E21" s="460"/>
      <c r="F21" s="461"/>
    </row>
    <row r="22" spans="1:6" ht="15">
      <c r="A22" s="460"/>
      <c r="B22" s="460"/>
      <c r="C22" s="460"/>
      <c r="D22" s="460"/>
      <c r="E22" s="460"/>
      <c r="F22" s="461"/>
    </row>
    <row r="23" spans="1:6" ht="15">
      <c r="A23" s="460"/>
      <c r="B23" s="460"/>
      <c r="C23" s="460"/>
      <c r="D23" s="460"/>
      <c r="E23" s="460"/>
      <c r="F23" s="461"/>
    </row>
    <row r="24" spans="1:6" ht="15">
      <c r="A24" s="460"/>
      <c r="B24" s="462" t="s">
        <v>1301</v>
      </c>
      <c r="C24" s="460"/>
      <c r="D24" s="460"/>
      <c r="E24" s="460"/>
      <c r="F24" s="461"/>
    </row>
    <row r="25" spans="1:6" ht="15">
      <c r="A25" s="460"/>
      <c r="B25" s="460"/>
      <c r="C25" s="460"/>
      <c r="D25" s="460"/>
      <c r="E25" s="460"/>
      <c r="F25" s="461"/>
    </row>
    <row r="26" spans="1:6" ht="15">
      <c r="A26" s="460"/>
      <c r="B26" s="460" t="s">
        <v>71</v>
      </c>
      <c r="C26" s="460"/>
      <c r="D26" s="460"/>
      <c r="E26" s="460"/>
      <c r="F26" s="461"/>
    </row>
    <row r="27" spans="1:6" ht="15">
      <c r="A27" s="466">
        <v>3</v>
      </c>
      <c r="B27" s="460" t="s">
        <v>69</v>
      </c>
      <c r="C27" s="460"/>
      <c r="D27" s="460"/>
      <c r="E27" s="468">
        <v>2516395</v>
      </c>
      <c r="F27" s="461"/>
    </row>
    <row r="28" spans="1:6" ht="15">
      <c r="A28" s="460"/>
      <c r="B28" s="460"/>
      <c r="C28" s="460"/>
      <c r="D28" s="460"/>
      <c r="E28" s="460"/>
      <c r="F28" s="461"/>
    </row>
    <row r="29" spans="1:6" ht="15">
      <c r="A29" s="466">
        <v>4</v>
      </c>
      <c r="B29" s="460" t="s">
        <v>70</v>
      </c>
      <c r="C29" s="460"/>
      <c r="D29" s="469"/>
      <c r="E29" s="470"/>
      <c r="F29" s="471"/>
    </row>
    <row r="30" spans="1:6" ht="15">
      <c r="A30" s="460"/>
      <c r="B30" s="460"/>
      <c r="C30" s="460"/>
      <c r="D30" s="460"/>
      <c r="E30" s="460"/>
      <c r="F30" s="461"/>
    </row>
    <row r="31" spans="1:6" ht="15.75" thickBot="1">
      <c r="A31" s="466">
        <v>5</v>
      </c>
      <c r="B31" s="460" t="s">
        <v>72</v>
      </c>
      <c r="C31" s="460"/>
      <c r="D31" s="460"/>
      <c r="E31" s="472">
        <v>3458001.7015329357</v>
      </c>
      <c r="F31" s="473"/>
    </row>
    <row r="32" spans="1:6" ht="15.75" thickTop="1">
      <c r="A32" s="460"/>
      <c r="B32" s="460"/>
      <c r="C32" s="460"/>
      <c r="D32" s="460"/>
      <c r="E32" s="460"/>
      <c r="F32" s="461"/>
    </row>
    <row r="33" spans="1:6" ht="15">
      <c r="A33" s="460"/>
      <c r="B33" s="462"/>
      <c r="C33" s="460"/>
      <c r="D33" s="460"/>
      <c r="E33" s="460"/>
      <c r="F33" s="461"/>
    </row>
    <row r="34" spans="1:6" ht="15">
      <c r="A34" s="460"/>
      <c r="B34" s="460"/>
      <c r="C34" s="460"/>
      <c r="D34" s="460"/>
      <c r="E34" s="460"/>
      <c r="F34" s="461"/>
    </row>
    <row r="35" spans="1:6" ht="15">
      <c r="A35" s="466"/>
      <c r="B35" s="474"/>
      <c r="C35" s="474"/>
      <c r="D35" s="474"/>
      <c r="E35" s="474"/>
      <c r="F35" s="461"/>
    </row>
    <row r="36" spans="1:6" ht="15">
      <c r="A36" s="466"/>
      <c r="B36" s="474"/>
      <c r="C36" s="474"/>
      <c r="D36" s="475"/>
      <c r="E36" s="476"/>
      <c r="F36" s="477"/>
    </row>
    <row r="37" spans="1:6" ht="15">
      <c r="A37" s="460"/>
      <c r="B37" s="474"/>
      <c r="C37" s="474"/>
      <c r="D37" s="474"/>
      <c r="E37" s="474"/>
      <c r="F37" s="477"/>
    </row>
    <row r="38" spans="1:6" ht="15">
      <c r="A38" s="466"/>
      <c r="B38" s="474"/>
      <c r="C38" s="474"/>
      <c r="D38" s="474"/>
      <c r="E38" s="474"/>
      <c r="F38" s="477"/>
    </row>
    <row r="39" spans="1:6" ht="15">
      <c r="A39" s="466"/>
      <c r="B39" s="474"/>
      <c r="C39" s="474"/>
      <c r="D39" s="475"/>
      <c r="E39" s="478"/>
      <c r="F39" s="471"/>
    </row>
    <row r="40" spans="1:6" ht="15">
      <c r="A40" s="474"/>
      <c r="B40" s="474"/>
      <c r="C40" s="474"/>
      <c r="D40" s="474"/>
      <c r="E40" s="474"/>
      <c r="F40" s="479"/>
    </row>
    <row r="41" spans="1:6" ht="15.75" thickBot="1">
      <c r="A41" s="480"/>
      <c r="B41" s="474"/>
      <c r="C41" s="474"/>
      <c r="D41" s="474"/>
      <c r="E41" s="481"/>
      <c r="F41" s="482"/>
    </row>
    <row r="42" ht="12" thickTop="1">
      <c r="F42" s="120"/>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sheetPr>
    <pageSetUpPr fitToPage="1"/>
  </sheetPr>
  <dimension ref="A2:H37"/>
  <sheetViews>
    <sheetView workbookViewId="0" topLeftCell="D13">
      <selection activeCell="G32" sqref="G32"/>
    </sheetView>
  </sheetViews>
  <sheetFormatPr defaultColWidth="9.33203125" defaultRowHeight="11.25"/>
  <cols>
    <col min="1" max="1" width="12.5" style="0" customWidth="1"/>
    <col min="2" max="2" width="30.16015625" style="0" customWidth="1"/>
    <col min="3" max="3" width="25.83203125" style="0" customWidth="1"/>
    <col min="4" max="4" width="20.83203125" style="0" customWidth="1"/>
    <col min="5" max="5" width="13.16015625" style="0" customWidth="1"/>
    <col min="6" max="6" width="21.5" style="0" customWidth="1"/>
    <col min="7" max="7" width="13.16015625" style="0" customWidth="1"/>
    <col min="8" max="8" width="17.33203125" style="0" customWidth="1"/>
    <col min="9" max="9" width="13.33203125" style="0" customWidth="1"/>
    <col min="10" max="10" width="18.66015625" style="0" bestFit="1" customWidth="1"/>
    <col min="11" max="11" width="15.33203125" style="0" customWidth="1"/>
    <col min="13" max="13" width="14.66015625" style="0" customWidth="1"/>
    <col min="16" max="16" width="15.16015625" style="0" customWidth="1"/>
    <col min="19" max="19" width="14.83203125" style="0" customWidth="1"/>
    <col min="20" max="20" width="21.5" style="0" bestFit="1" customWidth="1"/>
    <col min="21" max="21" width="18.5" style="0" bestFit="1" customWidth="1"/>
    <col min="22" max="22" width="21.5" style="0" bestFit="1" customWidth="1"/>
  </cols>
  <sheetData>
    <row r="2" ht="15.75">
      <c r="G2" s="308" t="s">
        <v>28</v>
      </c>
    </row>
    <row r="3" ht="15.75">
      <c r="G3" s="308" t="s">
        <v>1432</v>
      </c>
    </row>
    <row r="4" ht="15.75">
      <c r="G4" s="308" t="s">
        <v>1083</v>
      </c>
    </row>
    <row r="5" ht="15.75">
      <c r="G5" s="308" t="s">
        <v>314</v>
      </c>
    </row>
    <row r="7" spans="6:8" ht="11.25">
      <c r="F7">
        <v>500</v>
      </c>
      <c r="G7">
        <v>12</v>
      </c>
      <c r="H7" s="771">
        <f aca="true" t="shared" si="0" ref="H7:H12">+G7*F7</f>
        <v>6000</v>
      </c>
    </row>
    <row r="8" spans="5:8" ht="11.25">
      <c r="E8" t="s">
        <v>1494</v>
      </c>
      <c r="F8" s="596">
        <v>0.13313</v>
      </c>
      <c r="G8" s="483">
        <v>120000</v>
      </c>
      <c r="H8" s="771">
        <f t="shared" si="0"/>
        <v>15975.6</v>
      </c>
    </row>
    <row r="9" spans="5:8" ht="11.25">
      <c r="E9" t="s">
        <v>1494</v>
      </c>
      <c r="F9" s="596">
        <v>0.12003</v>
      </c>
      <c r="G9" s="483">
        <v>120000</v>
      </c>
      <c r="H9" s="771">
        <f t="shared" si="0"/>
        <v>14403.6</v>
      </c>
    </row>
    <row r="10" spans="5:8" ht="11.25">
      <c r="E10" t="s">
        <v>1495</v>
      </c>
      <c r="F10" s="596">
        <v>0.10038</v>
      </c>
      <c r="G10" s="483">
        <v>343670</v>
      </c>
      <c r="H10" s="771">
        <f t="shared" si="0"/>
        <v>34497.5946</v>
      </c>
    </row>
    <row r="11" spans="5:8" ht="11.25">
      <c r="E11" t="s">
        <v>1496</v>
      </c>
      <c r="F11" s="596">
        <v>0.06038</v>
      </c>
      <c r="G11" s="483">
        <v>110744</v>
      </c>
      <c r="H11" s="771">
        <f t="shared" si="0"/>
        <v>6686.722720000001</v>
      </c>
    </row>
    <row r="12" spans="5:8" ht="11.25">
      <c r="E12" t="s">
        <v>1497</v>
      </c>
      <c r="F12" s="596">
        <v>0.03025</v>
      </c>
      <c r="H12" s="771">
        <f t="shared" si="0"/>
        <v>0</v>
      </c>
    </row>
    <row r="13" spans="7:8" ht="11.25">
      <c r="G13" s="483">
        <f>SUM(G8:G12)</f>
        <v>694414</v>
      </c>
      <c r="H13" s="597">
        <f>SUM(H7:H12)</f>
        <v>77563.51732</v>
      </c>
    </row>
    <row r="14" spans="7:8" ht="11.25">
      <c r="G14" s="483" t="s">
        <v>1503</v>
      </c>
      <c r="H14" s="597">
        <f>+G13*0.0002</f>
        <v>138.8828</v>
      </c>
    </row>
    <row r="15" spans="7:8" ht="11.25">
      <c r="G15" s="483"/>
      <c r="H15" s="597">
        <f>+H13+H14</f>
        <v>77702.40012</v>
      </c>
    </row>
    <row r="16" spans="7:8" ht="11.25">
      <c r="G16" s="483" t="s">
        <v>1498</v>
      </c>
      <c r="H16" s="597">
        <f>+H13*0.04633</f>
        <v>3593.5177574356003</v>
      </c>
    </row>
    <row r="17" spans="7:8" ht="15.75">
      <c r="G17" s="483"/>
      <c r="H17" s="1099">
        <f>+H16+H15</f>
        <v>81295.91787743561</v>
      </c>
    </row>
    <row r="18" spans="1:6" ht="11.25">
      <c r="A18" t="s">
        <v>1499</v>
      </c>
      <c r="D18" s="138" t="s">
        <v>1500</v>
      </c>
      <c r="E18" s="138" t="s">
        <v>1501</v>
      </c>
      <c r="F18" s="138" t="s">
        <v>1502</v>
      </c>
    </row>
    <row r="19" spans="2:5" ht="11.25">
      <c r="B19" s="598">
        <v>38291</v>
      </c>
      <c r="C19" s="1098">
        <v>41699</v>
      </c>
      <c r="D19" s="1098">
        <v>10000</v>
      </c>
      <c r="E19" s="483">
        <f>+C19-20000</f>
        <v>21699</v>
      </c>
    </row>
    <row r="20" spans="2:6" ht="11.25">
      <c r="B20" s="598">
        <v>38321</v>
      </c>
      <c r="C20" s="1098">
        <v>61140</v>
      </c>
      <c r="D20" s="1098">
        <v>10000</v>
      </c>
      <c r="E20" s="483">
        <v>30000</v>
      </c>
      <c r="F20" s="483">
        <f aca="true" t="shared" si="1" ref="F20:F27">+C20-50000</f>
        <v>11140</v>
      </c>
    </row>
    <row r="21" spans="2:6" ht="11.25">
      <c r="B21" s="598">
        <v>38352</v>
      </c>
      <c r="C21" s="1098">
        <v>56114</v>
      </c>
      <c r="D21" s="1098">
        <v>10000</v>
      </c>
      <c r="E21" s="483">
        <v>30000</v>
      </c>
      <c r="F21" s="483">
        <f t="shared" si="1"/>
        <v>6114</v>
      </c>
    </row>
    <row r="22" spans="2:6" ht="11.25">
      <c r="B22" s="598">
        <v>38383</v>
      </c>
      <c r="C22" s="1098">
        <v>72287</v>
      </c>
      <c r="D22" s="1098">
        <v>10000</v>
      </c>
      <c r="E22" s="483">
        <v>30000</v>
      </c>
      <c r="F22" s="483">
        <f t="shared" si="1"/>
        <v>22287</v>
      </c>
    </row>
    <row r="23" spans="2:6" ht="11.25">
      <c r="B23" s="598">
        <v>38411</v>
      </c>
      <c r="C23" s="1098">
        <v>70178</v>
      </c>
      <c r="D23" s="1098">
        <v>10000</v>
      </c>
      <c r="E23" s="483">
        <v>30000</v>
      </c>
      <c r="F23" s="483">
        <f t="shared" si="1"/>
        <v>20178</v>
      </c>
    </row>
    <row r="24" spans="2:6" ht="11.25">
      <c r="B24" s="598">
        <v>38442</v>
      </c>
      <c r="C24" s="1098">
        <v>63894</v>
      </c>
      <c r="D24" s="1098">
        <v>10000</v>
      </c>
      <c r="E24" s="483">
        <v>30000</v>
      </c>
      <c r="F24" s="483">
        <f t="shared" si="1"/>
        <v>13894</v>
      </c>
    </row>
    <row r="25" spans="2:6" ht="11.25">
      <c r="B25" s="598">
        <v>38472</v>
      </c>
      <c r="C25" s="1098">
        <v>59658</v>
      </c>
      <c r="D25" s="1098">
        <v>10000</v>
      </c>
      <c r="E25" s="483">
        <v>30000</v>
      </c>
      <c r="F25" s="483">
        <f t="shared" si="1"/>
        <v>9658</v>
      </c>
    </row>
    <row r="26" spans="2:6" ht="11.25">
      <c r="B26" s="598">
        <v>38503</v>
      </c>
      <c r="C26" s="1098">
        <v>64238</v>
      </c>
      <c r="D26" s="1098">
        <v>10000</v>
      </c>
      <c r="E26" s="483">
        <v>30000</v>
      </c>
      <c r="F26" s="483">
        <f t="shared" si="1"/>
        <v>14238</v>
      </c>
    </row>
    <row r="27" spans="2:6" ht="11.25">
      <c r="B27" s="598">
        <v>38533</v>
      </c>
      <c r="C27" s="1098">
        <v>55606</v>
      </c>
      <c r="D27" s="1098">
        <v>10000</v>
      </c>
      <c r="E27" s="483">
        <v>30000</v>
      </c>
      <c r="F27" s="483">
        <f t="shared" si="1"/>
        <v>5606</v>
      </c>
    </row>
    <row r="28" spans="2:6" ht="11.25">
      <c r="B28" s="598">
        <v>38564</v>
      </c>
      <c r="C28" s="1098">
        <v>46233</v>
      </c>
      <c r="D28" s="1098">
        <v>10000</v>
      </c>
      <c r="E28" s="483">
        <f>+C28-20000</f>
        <v>26233</v>
      </c>
      <c r="F28" s="483"/>
    </row>
    <row r="29" spans="2:6" ht="11.25">
      <c r="B29" s="598">
        <v>38595</v>
      </c>
      <c r="C29" s="1098">
        <v>57629</v>
      </c>
      <c r="D29" s="1098">
        <v>10000</v>
      </c>
      <c r="E29" s="483">
        <v>30000</v>
      </c>
      <c r="F29" s="483">
        <f>+C29-50000</f>
        <v>7629</v>
      </c>
    </row>
    <row r="30" spans="2:5" ht="11.25">
      <c r="B30" s="598">
        <v>38625</v>
      </c>
      <c r="C30" s="1098">
        <v>45738</v>
      </c>
      <c r="D30" s="1098">
        <v>10000</v>
      </c>
      <c r="E30" s="483">
        <f>+C30-20000</f>
        <v>25738</v>
      </c>
    </row>
    <row r="31" spans="2:5" ht="11.25">
      <c r="B31" s="598"/>
      <c r="C31" s="1098"/>
      <c r="D31" s="1098"/>
      <c r="E31" s="483"/>
    </row>
    <row r="32" spans="3:6" ht="11.25">
      <c r="C32" s="483">
        <f>SUM(C19:C31)</f>
        <v>694414</v>
      </c>
      <c r="D32" s="483">
        <f>SUM(D19:D31)</f>
        <v>120000</v>
      </c>
      <c r="E32" s="483">
        <f>SUM(E19:E31)</f>
        <v>343670</v>
      </c>
      <c r="F32" s="483">
        <f>SUM(F19:F31)</f>
        <v>110744</v>
      </c>
    </row>
    <row r="35" ht="11.25">
      <c r="H35">
        <v>72000</v>
      </c>
    </row>
    <row r="36" spans="7:8" ht="11.25">
      <c r="G36" s="483" t="s">
        <v>1498</v>
      </c>
      <c r="H36" s="597">
        <f>+H35*0.04633</f>
        <v>3335.76</v>
      </c>
    </row>
    <row r="37" spans="7:8" ht="15.75">
      <c r="G37" s="483"/>
      <c r="H37" s="1099">
        <f>+H36+H35</f>
        <v>75335.76</v>
      </c>
    </row>
  </sheetData>
  <printOptions/>
  <pageMargins left="0.54" right="0.21" top="0.93" bottom="1" header="0.5" footer="0.5"/>
  <pageSetup fitToHeight="1" fitToWidth="1" horizontalDpi="600" verticalDpi="600" orientation="landscape" r:id="rId1"/>
</worksheet>
</file>

<file path=xl/worksheets/sheet34.xml><?xml version="1.0" encoding="utf-8"?>
<worksheet xmlns="http://schemas.openxmlformats.org/spreadsheetml/2006/main" xmlns:r="http://schemas.openxmlformats.org/officeDocument/2006/relationships">
  <dimension ref="A1:I105"/>
  <sheetViews>
    <sheetView workbookViewId="0" topLeftCell="A1">
      <selection activeCell="G32" sqref="G32"/>
    </sheetView>
  </sheetViews>
  <sheetFormatPr defaultColWidth="9.33203125" defaultRowHeight="11.25"/>
  <cols>
    <col min="1" max="1" width="4.5" style="0" customWidth="1"/>
    <col min="2" max="2" width="54.66015625" style="0" customWidth="1"/>
    <col min="4" max="4" width="11.33203125" style="1073" bestFit="1" customWidth="1"/>
    <col min="5" max="5" width="3.33203125" style="0" customWidth="1"/>
    <col min="6" max="6" width="10.83203125" style="0" bestFit="1" customWidth="1"/>
    <col min="7" max="7" width="11.5" style="0" bestFit="1" customWidth="1"/>
    <col min="8" max="8" width="3.33203125" style="0" customWidth="1"/>
    <col min="9" max="9" width="14.33203125" style="0" bestFit="1" customWidth="1"/>
  </cols>
  <sheetData>
    <row r="1" ht="15.75">
      <c r="F1" s="37" t="s">
        <v>385</v>
      </c>
    </row>
    <row r="2" ht="15.75">
      <c r="F2" s="141" t="s">
        <v>82</v>
      </c>
    </row>
    <row r="3" ht="15.75">
      <c r="F3" s="141" t="s">
        <v>310</v>
      </c>
    </row>
    <row r="4" ht="15.75">
      <c r="F4" s="367" t="s">
        <v>163</v>
      </c>
    </row>
    <row r="5" ht="0.75" customHeight="1"/>
    <row r="6" ht="1.5" customHeight="1"/>
    <row r="7" ht="11.25"/>
    <row r="8" spans="1:7" ht="15.75">
      <c r="A8" s="1315" t="s">
        <v>658</v>
      </c>
      <c r="B8" s="1316"/>
      <c r="C8" s="1316"/>
      <c r="D8" s="1316"/>
      <c r="E8" s="1316"/>
      <c r="F8" s="1316"/>
      <c r="G8" s="1317"/>
    </row>
    <row r="9" spans="1:7" ht="15.75">
      <c r="A9" s="1312" t="s">
        <v>164</v>
      </c>
      <c r="B9" s="1313"/>
      <c r="C9" s="1313"/>
      <c r="D9" s="1313"/>
      <c r="E9" s="1313"/>
      <c r="F9" s="1313"/>
      <c r="G9" s="1314"/>
    </row>
    <row r="10" spans="1:7" ht="15.75">
      <c r="A10" s="1306" t="s">
        <v>659</v>
      </c>
      <c r="B10" s="1307"/>
      <c r="C10" s="1307"/>
      <c r="D10" s="1307"/>
      <c r="E10" s="1307"/>
      <c r="F10" s="1307"/>
      <c r="G10" s="1308"/>
    </row>
    <row r="11" ht="6.75" customHeight="1" hidden="1">
      <c r="I11" s="367"/>
    </row>
    <row r="12" spans="1:9" ht="15.75">
      <c r="A12" s="287" t="s">
        <v>1000</v>
      </c>
      <c r="B12" s="843"/>
      <c r="C12" s="844"/>
      <c r="D12" s="1074" t="s">
        <v>165</v>
      </c>
      <c r="E12" s="844"/>
      <c r="F12" s="288" t="s">
        <v>1478</v>
      </c>
      <c r="G12" s="1062" t="s">
        <v>1280</v>
      </c>
      <c r="I12" s="141"/>
    </row>
    <row r="13" spans="1:9" ht="15.75">
      <c r="A13" s="1097" t="s">
        <v>1006</v>
      </c>
      <c r="B13" s="1309" t="s">
        <v>1007</v>
      </c>
      <c r="C13" s="1309"/>
      <c r="D13" s="1075" t="s">
        <v>1141</v>
      </c>
      <c r="E13" s="828"/>
      <c r="F13" s="1075" t="s">
        <v>1277</v>
      </c>
      <c r="G13" s="1075" t="s">
        <v>1277</v>
      </c>
      <c r="I13" s="141"/>
    </row>
    <row r="14" spans="1:9" ht="15.75">
      <c r="A14" s="291"/>
      <c r="B14" s="1318" t="s">
        <v>1012</v>
      </c>
      <c r="C14" s="1319"/>
      <c r="D14" s="1075" t="s">
        <v>1013</v>
      </c>
      <c r="E14" s="726"/>
      <c r="F14" s="1076" t="s">
        <v>1014</v>
      </c>
      <c r="G14" s="1076" t="s">
        <v>1074</v>
      </c>
      <c r="I14" s="141"/>
    </row>
    <row r="15" spans="1:9" ht="4.5" customHeight="1">
      <c r="A15" s="843"/>
      <c r="B15" s="843"/>
      <c r="C15" s="844"/>
      <c r="D15" s="1074"/>
      <c r="E15" s="844"/>
      <c r="F15" s="287"/>
      <c r="G15" s="287"/>
      <c r="I15" s="367"/>
    </row>
    <row r="16" spans="1:7" ht="12.75">
      <c r="A16" s="833"/>
      <c r="B16" s="846" t="s">
        <v>166</v>
      </c>
      <c r="C16" s="713"/>
      <c r="D16" s="1077"/>
      <c r="E16" s="713"/>
      <c r="F16" s="289"/>
      <c r="G16" s="289"/>
    </row>
    <row r="17" spans="1:7" ht="12.75">
      <c r="A17" s="833"/>
      <c r="B17" s="833" t="s">
        <v>167</v>
      </c>
      <c r="C17" s="713"/>
      <c r="D17" s="1077"/>
      <c r="E17" s="713"/>
      <c r="F17" s="289"/>
      <c r="G17" s="289"/>
    </row>
    <row r="18" spans="1:7" ht="12.75">
      <c r="A18" s="833">
        <v>1</v>
      </c>
      <c r="B18" s="833" t="s">
        <v>168</v>
      </c>
      <c r="C18" s="713" t="s">
        <v>181</v>
      </c>
      <c r="D18" s="1078">
        <f>ROUND(33.52/60*9,2)</f>
        <v>5.03</v>
      </c>
      <c r="E18" s="713"/>
      <c r="F18" s="289"/>
      <c r="G18" s="289"/>
    </row>
    <row r="19" spans="1:7" ht="12.75">
      <c r="A19" s="833">
        <v>2</v>
      </c>
      <c r="B19" s="833" t="s">
        <v>169</v>
      </c>
      <c r="C19" s="713" t="s">
        <v>170</v>
      </c>
      <c r="D19" s="1078">
        <f>ROUND(52.76/60*5,2)</f>
        <v>4.4</v>
      </c>
      <c r="E19" s="713"/>
      <c r="F19" s="289"/>
      <c r="G19" s="289"/>
    </row>
    <row r="20" spans="1:7" ht="12.75">
      <c r="A20" s="833">
        <v>3</v>
      </c>
      <c r="B20" s="833" t="s">
        <v>171</v>
      </c>
      <c r="C20" s="713" t="s">
        <v>172</v>
      </c>
      <c r="D20" s="1078">
        <f>53.76/60*38</f>
        <v>34.048</v>
      </c>
      <c r="E20" s="713"/>
      <c r="F20" s="289"/>
      <c r="G20" s="289"/>
    </row>
    <row r="21" spans="1:7" ht="12.75">
      <c r="A21" s="833">
        <v>4</v>
      </c>
      <c r="B21" s="833" t="s">
        <v>173</v>
      </c>
      <c r="C21" s="713" t="s">
        <v>172</v>
      </c>
      <c r="D21" s="1079">
        <f>ROUND(5.5/60*38,2)</f>
        <v>3.48</v>
      </c>
      <c r="E21" s="713"/>
      <c r="F21" s="289"/>
      <c r="G21" s="289"/>
    </row>
    <row r="22" spans="1:7" ht="12.75">
      <c r="A22" s="833">
        <v>5</v>
      </c>
      <c r="B22" s="833" t="s">
        <v>174</v>
      </c>
      <c r="C22" s="713"/>
      <c r="D22" s="1078">
        <f>SUM(D18:D21)</f>
        <v>46.958</v>
      </c>
      <c r="E22" s="713"/>
      <c r="F22" s="845">
        <v>16</v>
      </c>
      <c r="G22" s="845">
        <v>32</v>
      </c>
    </row>
    <row r="23" spans="1:7" ht="7.5" customHeight="1">
      <c r="A23" s="833"/>
      <c r="B23" s="833"/>
      <c r="C23" s="713"/>
      <c r="D23" s="1078"/>
      <c r="E23" s="713"/>
      <c r="F23" s="289"/>
      <c r="G23" s="289"/>
    </row>
    <row r="24" spans="1:7" ht="12.75">
      <c r="A24" s="833"/>
      <c r="B24" s="833" t="s">
        <v>175</v>
      </c>
      <c r="C24" s="713"/>
      <c r="D24" s="1078"/>
      <c r="E24" s="713"/>
      <c r="F24" s="289"/>
      <c r="G24" s="289"/>
    </row>
    <row r="25" spans="1:7" ht="12.75">
      <c r="A25" s="833">
        <v>6</v>
      </c>
      <c r="B25" s="833" t="s">
        <v>168</v>
      </c>
      <c r="C25" s="713" t="s">
        <v>181</v>
      </c>
      <c r="D25" s="1078">
        <f>ROUND(33.52/60*9,2)</f>
        <v>5.03</v>
      </c>
      <c r="E25" s="713"/>
      <c r="F25" s="289"/>
      <c r="G25" s="289"/>
    </row>
    <row r="26" spans="1:7" ht="12.75">
      <c r="A26" s="833">
        <v>7</v>
      </c>
      <c r="B26" s="833" t="s">
        <v>169</v>
      </c>
      <c r="C26" s="713" t="s">
        <v>170</v>
      </c>
      <c r="D26" s="1078">
        <f>ROUND(52.76/60*5,2)</f>
        <v>4.4</v>
      </c>
      <c r="E26" s="713"/>
      <c r="F26" s="289"/>
      <c r="G26" s="289"/>
    </row>
    <row r="27" spans="1:7" ht="12.75">
      <c r="A27" s="833">
        <v>8</v>
      </c>
      <c r="B27" s="833" t="s">
        <v>83</v>
      </c>
      <c r="C27" s="713"/>
      <c r="D27" s="1078">
        <f>ROUND((25.8*1.5*2)*1.0765,2)</f>
        <v>83.32</v>
      </c>
      <c r="E27" s="713"/>
      <c r="F27" s="289"/>
      <c r="G27" s="289"/>
    </row>
    <row r="28" spans="1:7" ht="12.75">
      <c r="A28" s="833">
        <v>9</v>
      </c>
      <c r="B28" s="833" t="s">
        <v>173</v>
      </c>
      <c r="C28" s="713" t="s">
        <v>172</v>
      </c>
      <c r="D28" s="1078">
        <f>ROUND(5.5/60*38,2)</f>
        <v>3.48</v>
      </c>
      <c r="E28" s="713"/>
      <c r="F28" s="289"/>
      <c r="G28" s="289"/>
    </row>
    <row r="29" spans="1:7" ht="12.75">
      <c r="A29" s="833">
        <v>10</v>
      </c>
      <c r="B29" s="833" t="s">
        <v>177</v>
      </c>
      <c r="C29" s="713" t="s">
        <v>178</v>
      </c>
      <c r="D29" s="1079">
        <f>ROUND(69.9/60*10,2)</f>
        <v>11.65</v>
      </c>
      <c r="E29" s="713"/>
      <c r="F29" s="289"/>
      <c r="G29" s="289"/>
    </row>
    <row r="30" spans="1:7" ht="12.75">
      <c r="A30" s="833">
        <v>11</v>
      </c>
      <c r="B30" s="833" t="s">
        <v>179</v>
      </c>
      <c r="C30" s="713"/>
      <c r="D30" s="1078">
        <f>SUM(D25:D29)</f>
        <v>107.88000000000001</v>
      </c>
      <c r="E30" s="713"/>
      <c r="F30" s="845">
        <v>32</v>
      </c>
      <c r="G30" s="845">
        <v>100</v>
      </c>
    </row>
    <row r="31" spans="1:7" ht="12.75">
      <c r="A31" s="833"/>
      <c r="B31" s="833"/>
      <c r="C31" s="713"/>
      <c r="D31" s="1077"/>
      <c r="E31" s="713"/>
      <c r="F31" s="289"/>
      <c r="G31" s="289"/>
    </row>
    <row r="32" spans="1:7" ht="12.75">
      <c r="A32" s="833"/>
      <c r="B32" s="830" t="s">
        <v>180</v>
      </c>
      <c r="C32" s="713"/>
      <c r="D32" s="1077"/>
      <c r="E32" s="713"/>
      <c r="F32" s="289"/>
      <c r="G32" s="289"/>
    </row>
    <row r="33" spans="1:7" ht="12.75">
      <c r="A33" s="833"/>
      <c r="B33" s="833" t="s">
        <v>167</v>
      </c>
      <c r="C33" s="713"/>
      <c r="D33" s="1077"/>
      <c r="E33" s="713"/>
      <c r="F33" s="289"/>
      <c r="G33" s="289"/>
    </row>
    <row r="34" spans="1:7" ht="12.75">
      <c r="A34" s="833">
        <v>12</v>
      </c>
      <c r="B34" s="833" t="s">
        <v>168</v>
      </c>
      <c r="C34" s="713" t="s">
        <v>181</v>
      </c>
      <c r="D34" s="1078">
        <f>ROUND(33.52/60*9,2)</f>
        <v>5.03</v>
      </c>
      <c r="E34" s="713"/>
      <c r="F34" s="289"/>
      <c r="G34" s="289"/>
    </row>
    <row r="35" spans="1:7" ht="12.75">
      <c r="A35" s="833">
        <v>13</v>
      </c>
      <c r="B35" s="833" t="s">
        <v>169</v>
      </c>
      <c r="C35" s="713" t="s">
        <v>170</v>
      </c>
      <c r="D35" s="1078">
        <f>ROUND(52.76/60*5,2)</f>
        <v>4.4</v>
      </c>
      <c r="E35" s="713"/>
      <c r="F35" s="289"/>
      <c r="G35" s="289"/>
    </row>
    <row r="36" spans="1:7" ht="12.75">
      <c r="A36" s="833">
        <v>14</v>
      </c>
      <c r="B36" s="833" t="s">
        <v>182</v>
      </c>
      <c r="C36" s="713" t="s">
        <v>183</v>
      </c>
      <c r="D36" s="1078">
        <f>53.76/60*23</f>
        <v>20.608</v>
      </c>
      <c r="E36" s="713"/>
      <c r="F36" s="289"/>
      <c r="G36" s="289"/>
    </row>
    <row r="37" spans="1:7" ht="12.75">
      <c r="A37" s="833">
        <v>15</v>
      </c>
      <c r="B37" s="833" t="s">
        <v>173</v>
      </c>
      <c r="C37" s="713" t="s">
        <v>183</v>
      </c>
      <c r="D37" s="1078">
        <f>ROUND(5.5/60*23,2)</f>
        <v>2.11</v>
      </c>
      <c r="E37" s="713"/>
      <c r="F37" s="289"/>
      <c r="G37" s="289"/>
    </row>
    <row r="38" spans="1:7" ht="12.75">
      <c r="A38" s="833">
        <v>16</v>
      </c>
      <c r="B38" s="833" t="s">
        <v>184</v>
      </c>
      <c r="C38" s="713"/>
      <c r="D38" s="1079">
        <f>1.92+0.2</f>
        <v>2.12</v>
      </c>
      <c r="E38" s="713"/>
      <c r="F38" s="289"/>
      <c r="G38" s="289"/>
    </row>
    <row r="39" spans="1:7" ht="12.75">
      <c r="A39" s="833">
        <v>17</v>
      </c>
      <c r="B39" s="833" t="s">
        <v>185</v>
      </c>
      <c r="C39" s="713"/>
      <c r="D39" s="1080">
        <f>SUM(D34:D38)</f>
        <v>34.268</v>
      </c>
      <c r="E39" s="713"/>
      <c r="F39" s="845">
        <v>8</v>
      </c>
      <c r="G39" s="845">
        <v>25</v>
      </c>
    </row>
    <row r="40" spans="1:7" ht="7.5" customHeight="1">
      <c r="A40" s="833"/>
      <c r="B40" s="833"/>
      <c r="C40" s="713"/>
      <c r="D40" s="1077"/>
      <c r="E40" s="713"/>
      <c r="F40" s="289"/>
      <c r="G40" s="289"/>
    </row>
    <row r="41" spans="1:7" ht="3.75" customHeight="1">
      <c r="A41" s="833"/>
      <c r="B41" s="833"/>
      <c r="C41" s="713"/>
      <c r="D41" s="1077"/>
      <c r="E41" s="713"/>
      <c r="F41" s="289"/>
      <c r="G41" s="289"/>
    </row>
    <row r="42" spans="1:7" ht="12.75">
      <c r="A42" s="846"/>
      <c r="B42" s="846" t="s">
        <v>186</v>
      </c>
      <c r="C42" s="713"/>
      <c r="D42" s="1077"/>
      <c r="E42" s="713"/>
      <c r="F42" s="289"/>
      <c r="G42" s="289"/>
    </row>
    <row r="43" spans="1:7" ht="12.75">
      <c r="A43" s="833">
        <v>18</v>
      </c>
      <c r="B43" s="833" t="s">
        <v>187</v>
      </c>
      <c r="C43" s="713" t="s">
        <v>84</v>
      </c>
      <c r="D43" s="1080">
        <v>9.72144854658623</v>
      </c>
      <c r="E43" s="713"/>
      <c r="F43" s="289"/>
      <c r="G43" s="289"/>
    </row>
    <row r="44" spans="1:7" ht="12.75">
      <c r="A44" s="833">
        <v>19</v>
      </c>
      <c r="B44" s="833" t="s">
        <v>188</v>
      </c>
      <c r="C44" s="713"/>
      <c r="D44" s="1080">
        <v>7.75</v>
      </c>
      <c r="E44" s="713"/>
      <c r="F44" s="289"/>
      <c r="G44" s="289"/>
    </row>
    <row r="45" spans="1:7" ht="12.75">
      <c r="A45" s="833">
        <v>20</v>
      </c>
      <c r="B45" s="833" t="s">
        <v>189</v>
      </c>
      <c r="C45" s="713"/>
      <c r="D45" s="1081">
        <v>0.37</v>
      </c>
      <c r="E45" s="713"/>
      <c r="F45" s="289"/>
      <c r="G45" s="289"/>
    </row>
    <row r="46" spans="1:7" ht="12.75">
      <c r="A46" s="833">
        <v>21</v>
      </c>
      <c r="B46" s="833" t="s">
        <v>190</v>
      </c>
      <c r="C46" s="713"/>
      <c r="D46" s="1080">
        <f>SUM(D43:D45)</f>
        <v>17.841448546586232</v>
      </c>
      <c r="E46" s="713"/>
      <c r="F46" s="845">
        <v>10</v>
      </c>
      <c r="G46" s="845">
        <v>18</v>
      </c>
    </row>
    <row r="47" spans="1:7" ht="7.5" customHeight="1">
      <c r="A47" s="833"/>
      <c r="B47" s="833"/>
      <c r="C47" s="713"/>
      <c r="D47" s="1077"/>
      <c r="E47" s="713"/>
      <c r="F47" s="289"/>
      <c r="G47" s="289"/>
    </row>
    <row r="48" spans="1:7" ht="6" customHeight="1">
      <c r="A48" s="833"/>
      <c r="B48" s="833"/>
      <c r="C48" s="713"/>
      <c r="D48" s="1077"/>
      <c r="E48" s="713"/>
      <c r="F48" s="289"/>
      <c r="G48" s="289"/>
    </row>
    <row r="49" spans="1:7" ht="12.75">
      <c r="A49" s="833"/>
      <c r="B49" s="846" t="s">
        <v>191</v>
      </c>
      <c r="C49" s="713"/>
      <c r="D49" s="1077"/>
      <c r="E49" s="713"/>
      <c r="F49" s="289"/>
      <c r="G49" s="289"/>
    </row>
    <row r="50" spans="1:7" ht="12.75">
      <c r="A50" s="833">
        <v>22</v>
      </c>
      <c r="B50" s="833" t="s">
        <v>192</v>
      </c>
      <c r="C50" s="713" t="s">
        <v>193</v>
      </c>
      <c r="D50" s="1078">
        <f>ROUND(52.76/60*60,2)</f>
        <v>52.76</v>
      </c>
      <c r="E50" s="713"/>
      <c r="F50" s="289"/>
      <c r="G50" s="289"/>
    </row>
    <row r="51" spans="1:7" ht="12.75">
      <c r="A51" s="833">
        <v>23</v>
      </c>
      <c r="B51" s="833" t="s">
        <v>194</v>
      </c>
      <c r="C51" s="713" t="s">
        <v>193</v>
      </c>
      <c r="D51" s="1078">
        <f>53.76/60*60</f>
        <v>53.76</v>
      </c>
      <c r="E51" s="713"/>
      <c r="F51" s="289"/>
      <c r="G51" s="289"/>
    </row>
    <row r="52" spans="1:7" ht="12.75">
      <c r="A52" s="833">
        <v>24</v>
      </c>
      <c r="B52" s="833" t="s">
        <v>195</v>
      </c>
      <c r="C52" s="826"/>
      <c r="D52" s="1078">
        <f>90.5+3</f>
        <v>93.5</v>
      </c>
      <c r="E52" s="713"/>
      <c r="F52" s="289"/>
      <c r="G52" s="289"/>
    </row>
    <row r="53" spans="1:7" ht="12.75">
      <c r="A53" s="833">
        <v>25</v>
      </c>
      <c r="B53" s="833" t="s">
        <v>173</v>
      </c>
      <c r="C53" s="826" t="s">
        <v>193</v>
      </c>
      <c r="D53" s="1079">
        <f>5.5</f>
        <v>5.5</v>
      </c>
      <c r="E53" s="713"/>
      <c r="F53" s="289"/>
      <c r="G53" s="289"/>
    </row>
    <row r="54" spans="1:7" ht="12.75">
      <c r="A54" s="833">
        <v>26</v>
      </c>
      <c r="B54" s="833" t="s">
        <v>196</v>
      </c>
      <c r="C54" s="826"/>
      <c r="D54" s="1080">
        <f>SUM(D50:D53)</f>
        <v>205.51999999999998</v>
      </c>
      <c r="E54" s="713"/>
      <c r="F54" s="845">
        <v>0</v>
      </c>
      <c r="G54" s="845">
        <v>175</v>
      </c>
    </row>
    <row r="55" spans="1:7" ht="12.75">
      <c r="A55" s="833"/>
      <c r="B55" s="833"/>
      <c r="C55" s="713"/>
      <c r="D55" s="1080"/>
      <c r="E55" s="713"/>
      <c r="F55" s="845"/>
      <c r="G55" s="845"/>
    </row>
    <row r="56" spans="1:7" ht="6.75" customHeight="1">
      <c r="A56" s="725"/>
      <c r="B56" s="725"/>
      <c r="C56" s="727"/>
      <c r="D56" s="1081"/>
      <c r="E56" s="726"/>
      <c r="F56" s="847"/>
      <c r="G56" s="847"/>
    </row>
    <row r="57" spans="1:8" ht="3.75" customHeight="1">
      <c r="A57" s="833"/>
      <c r="B57" s="713"/>
      <c r="C57" s="713"/>
      <c r="D57" s="831"/>
      <c r="E57" s="713"/>
      <c r="F57" s="713"/>
      <c r="G57" s="713"/>
      <c r="H57" s="143"/>
    </row>
    <row r="58" spans="3:8" ht="15.75">
      <c r="C58" s="143"/>
      <c r="D58" s="1082"/>
      <c r="E58" s="143"/>
      <c r="F58" s="37" t="s">
        <v>385</v>
      </c>
      <c r="G58" s="143"/>
      <c r="H58" s="143"/>
    </row>
    <row r="59" ht="15.75">
      <c r="F59" s="141" t="s">
        <v>82</v>
      </c>
    </row>
    <row r="60" ht="15.75">
      <c r="F60" s="141" t="s">
        <v>310</v>
      </c>
    </row>
    <row r="61" ht="15.75">
      <c r="F61" s="367" t="s">
        <v>197</v>
      </c>
    </row>
    <row r="62" ht="4.5" customHeight="1"/>
    <row r="63" ht="4.5" customHeight="1"/>
    <row r="65" spans="1:7" ht="15.75">
      <c r="A65" s="1315" t="s">
        <v>658</v>
      </c>
      <c r="B65" s="1316"/>
      <c r="C65" s="1316"/>
      <c r="D65" s="1316"/>
      <c r="E65" s="1316"/>
      <c r="F65" s="1316"/>
      <c r="G65" s="1317"/>
    </row>
    <row r="66" spans="1:7" ht="15.75">
      <c r="A66" s="1312" t="s">
        <v>164</v>
      </c>
      <c r="B66" s="1313"/>
      <c r="C66" s="1313"/>
      <c r="D66" s="1313"/>
      <c r="E66" s="1313"/>
      <c r="F66" s="1313"/>
      <c r="G66" s="1314"/>
    </row>
    <row r="67" spans="1:7" ht="15.75">
      <c r="A67" s="1306" t="s">
        <v>659</v>
      </c>
      <c r="B67" s="1307"/>
      <c r="C67" s="1307"/>
      <c r="D67" s="1307"/>
      <c r="E67" s="1307"/>
      <c r="F67" s="1307"/>
      <c r="G67" s="1308"/>
    </row>
    <row r="68" ht="6.75" customHeight="1" hidden="1">
      <c r="I68" s="367"/>
    </row>
    <row r="69" spans="1:9" ht="15.75">
      <c r="A69" s="287" t="s">
        <v>1000</v>
      </c>
      <c r="B69" s="843"/>
      <c r="C69" s="844"/>
      <c r="D69" s="1074" t="s">
        <v>165</v>
      </c>
      <c r="E69" s="844"/>
      <c r="F69" s="288" t="s">
        <v>1478</v>
      </c>
      <c r="G69" s="1062" t="s">
        <v>1280</v>
      </c>
      <c r="I69" s="141"/>
    </row>
    <row r="70" spans="1:9" ht="15.75">
      <c r="A70" s="1097" t="s">
        <v>1006</v>
      </c>
      <c r="B70" s="1309" t="s">
        <v>1007</v>
      </c>
      <c r="C70" s="1309"/>
      <c r="D70" s="1075" t="s">
        <v>1141</v>
      </c>
      <c r="E70" s="828"/>
      <c r="F70" s="1075" t="s">
        <v>1277</v>
      </c>
      <c r="G70" s="1075" t="s">
        <v>1277</v>
      </c>
      <c r="I70" s="141"/>
    </row>
    <row r="71" spans="1:9" ht="15.75">
      <c r="A71" s="291"/>
      <c r="B71" s="1310" t="s">
        <v>1012</v>
      </c>
      <c r="C71" s="1311"/>
      <c r="D71" s="1075" t="s">
        <v>1013</v>
      </c>
      <c r="E71" s="726"/>
      <c r="F71" s="1076" t="s">
        <v>1014</v>
      </c>
      <c r="G71" s="1076" t="s">
        <v>1074</v>
      </c>
      <c r="I71" s="141"/>
    </row>
    <row r="72" spans="1:9" ht="4.5" customHeight="1">
      <c r="A72" s="843"/>
      <c r="B72" s="843"/>
      <c r="C72" s="825"/>
      <c r="D72" s="1084"/>
      <c r="E72" s="844"/>
      <c r="F72" s="287"/>
      <c r="G72" s="287"/>
      <c r="I72" s="367"/>
    </row>
    <row r="73" spans="1:7" ht="12.75">
      <c r="A73" s="833"/>
      <c r="B73" s="846" t="s">
        <v>860</v>
      </c>
      <c r="C73" s="826"/>
      <c r="D73" s="1077"/>
      <c r="E73" s="713"/>
      <c r="F73" s="289"/>
      <c r="G73" s="289"/>
    </row>
    <row r="74" spans="1:7" ht="12.75">
      <c r="A74" s="833"/>
      <c r="B74" s="833" t="s">
        <v>167</v>
      </c>
      <c r="C74" s="826"/>
      <c r="D74" s="1077"/>
      <c r="E74" s="713"/>
      <c r="F74" s="289"/>
      <c r="G74" s="289"/>
    </row>
    <row r="75" spans="1:7" ht="12.75">
      <c r="A75" s="833">
        <v>27</v>
      </c>
      <c r="B75" s="833" t="s">
        <v>168</v>
      </c>
      <c r="C75" s="826" t="s">
        <v>181</v>
      </c>
      <c r="D75" s="1078">
        <f>ROUND(33.52/60*9,2)</f>
        <v>5.03</v>
      </c>
      <c r="E75" s="713"/>
      <c r="F75" s="289"/>
      <c r="G75" s="289"/>
    </row>
    <row r="76" spans="1:7" ht="12.75">
      <c r="A76" s="833">
        <v>28</v>
      </c>
      <c r="B76" s="833" t="s">
        <v>169</v>
      </c>
      <c r="C76" s="826" t="s">
        <v>170</v>
      </c>
      <c r="D76" s="1085">
        <f>ROUND(52.76/60*5,2)</f>
        <v>4.4</v>
      </c>
      <c r="E76" s="713"/>
      <c r="F76" s="289"/>
      <c r="G76" s="289"/>
    </row>
    <row r="77" spans="1:7" ht="12.75">
      <c r="A77" s="833">
        <v>29</v>
      </c>
      <c r="B77" s="833" t="s">
        <v>861</v>
      </c>
      <c r="C77" s="826" t="s">
        <v>172</v>
      </c>
      <c r="D77" s="1085">
        <f>53.76/60*38</f>
        <v>34.048</v>
      </c>
      <c r="E77" s="713"/>
      <c r="F77" s="289"/>
      <c r="G77" s="289"/>
    </row>
    <row r="78" spans="1:7" ht="12.75">
      <c r="A78" s="833">
        <v>30</v>
      </c>
      <c r="B78" s="833" t="s">
        <v>173</v>
      </c>
      <c r="C78" s="826" t="s">
        <v>172</v>
      </c>
      <c r="D78" s="1086">
        <f>ROUND(5.5/60*38,2)</f>
        <v>3.48</v>
      </c>
      <c r="E78" s="713"/>
      <c r="F78" s="289"/>
      <c r="G78" s="289"/>
    </row>
    <row r="79" spans="1:7" ht="12.75">
      <c r="A79" s="833">
        <v>31</v>
      </c>
      <c r="B79" s="833" t="s">
        <v>198</v>
      </c>
      <c r="C79" s="826"/>
      <c r="D79" s="1087">
        <f>SUM(D75:D78)</f>
        <v>46.958</v>
      </c>
      <c r="E79" s="713"/>
      <c r="F79" s="845">
        <v>16</v>
      </c>
      <c r="G79" s="845">
        <v>32</v>
      </c>
    </row>
    <row r="80" spans="1:7" ht="7.5" customHeight="1">
      <c r="A80" s="833"/>
      <c r="B80" s="833"/>
      <c r="C80" s="826"/>
      <c r="D80" s="1078"/>
      <c r="E80" s="713"/>
      <c r="F80" s="289"/>
      <c r="G80" s="289"/>
    </row>
    <row r="81" spans="1:7" ht="12.75">
      <c r="A81" s="833"/>
      <c r="B81" s="833" t="s">
        <v>175</v>
      </c>
      <c r="C81" s="826"/>
      <c r="D81" s="1078"/>
      <c r="E81" s="713"/>
      <c r="F81" s="289"/>
      <c r="G81" s="289"/>
    </row>
    <row r="82" spans="1:7" ht="12.75">
      <c r="A82" s="833">
        <v>32</v>
      </c>
      <c r="B82" s="833" t="s">
        <v>168</v>
      </c>
      <c r="C82" s="826" t="s">
        <v>181</v>
      </c>
      <c r="D82" s="1078">
        <f>ROUND(33.52/60*9,2)</f>
        <v>5.03</v>
      </c>
      <c r="E82" s="713"/>
      <c r="F82" s="289"/>
      <c r="G82" s="289"/>
    </row>
    <row r="83" spans="1:7" ht="12.75">
      <c r="A83" s="833">
        <v>33</v>
      </c>
      <c r="B83" s="833" t="s">
        <v>169</v>
      </c>
      <c r="C83" s="826" t="s">
        <v>170</v>
      </c>
      <c r="D83" s="1085">
        <f>ROUND(52.76/60*5,2)</f>
        <v>4.4</v>
      </c>
      <c r="E83" s="713"/>
      <c r="F83" s="289"/>
      <c r="G83" s="289"/>
    </row>
    <row r="84" spans="1:7" ht="12.75">
      <c r="A84" s="833">
        <v>34</v>
      </c>
      <c r="B84" s="833" t="s">
        <v>176</v>
      </c>
      <c r="C84" s="826"/>
      <c r="D84" s="1085">
        <f>ROUND((25.8*1.5*2)*1.0765,2)</f>
        <v>83.32</v>
      </c>
      <c r="E84" s="713"/>
      <c r="F84" s="289"/>
      <c r="G84" s="289"/>
    </row>
    <row r="85" spans="1:7" ht="12.75">
      <c r="A85" s="833">
        <v>35</v>
      </c>
      <c r="B85" s="833" t="s">
        <v>173</v>
      </c>
      <c r="C85" s="826" t="s">
        <v>172</v>
      </c>
      <c r="D85" s="1085">
        <f>ROUND(5.5/60*38,2)</f>
        <v>3.48</v>
      </c>
      <c r="E85" s="713"/>
      <c r="F85" s="289"/>
      <c r="G85" s="289"/>
    </row>
    <row r="86" spans="1:7" ht="12.75">
      <c r="A86" s="833">
        <v>36</v>
      </c>
      <c r="B86" s="833" t="s">
        <v>177</v>
      </c>
      <c r="C86" s="826" t="s">
        <v>178</v>
      </c>
      <c r="D86" s="1086">
        <f>ROUND(69.9/60*10,2)</f>
        <v>11.65</v>
      </c>
      <c r="E86" s="713"/>
      <c r="F86" s="289"/>
      <c r="G86" s="289"/>
    </row>
    <row r="87" spans="1:7" ht="12.75">
      <c r="A87" s="833">
        <v>37</v>
      </c>
      <c r="B87" s="833" t="s">
        <v>199</v>
      </c>
      <c r="C87" s="826"/>
      <c r="D87" s="1087">
        <f>SUM(D82:D86)</f>
        <v>107.88000000000001</v>
      </c>
      <c r="E87" s="713"/>
      <c r="F87" s="845">
        <v>32</v>
      </c>
      <c r="G87" s="845">
        <v>100</v>
      </c>
    </row>
    <row r="88" spans="1:7" ht="12.75">
      <c r="A88" s="833"/>
      <c r="B88" s="833"/>
      <c r="C88" s="826"/>
      <c r="D88" s="1078"/>
      <c r="E88" s="713"/>
      <c r="F88" s="845"/>
      <c r="G88" s="845"/>
    </row>
    <row r="89" spans="1:7" ht="5.25" customHeight="1">
      <c r="A89" s="833"/>
      <c r="B89" s="833"/>
      <c r="C89" s="826"/>
      <c r="D89" s="1078"/>
      <c r="E89" s="713"/>
      <c r="F89" s="845"/>
      <c r="G89" s="928"/>
    </row>
    <row r="90" spans="1:7" ht="12.75">
      <c r="A90" s="833"/>
      <c r="B90" s="846" t="s">
        <v>200</v>
      </c>
      <c r="C90" s="826"/>
      <c r="D90" s="1077"/>
      <c r="E90" s="713"/>
      <c r="F90" s="289"/>
      <c r="G90" s="289"/>
    </row>
    <row r="91" spans="1:7" ht="12.75">
      <c r="A91" s="833"/>
      <c r="B91" s="833" t="s">
        <v>167</v>
      </c>
      <c r="C91" s="826"/>
      <c r="D91" s="1077"/>
      <c r="E91" s="713"/>
      <c r="F91" s="289"/>
      <c r="G91" s="289"/>
    </row>
    <row r="92" spans="1:7" ht="12.75">
      <c r="A92" s="833">
        <v>38</v>
      </c>
      <c r="B92" s="833" t="s">
        <v>85</v>
      </c>
      <c r="C92" s="826" t="s">
        <v>181</v>
      </c>
      <c r="D92" s="1078">
        <f>ROUND(33.52/60*9,2)</f>
        <v>5.03</v>
      </c>
      <c r="E92" s="713"/>
      <c r="F92" s="289"/>
      <c r="G92" s="289"/>
    </row>
    <row r="93" spans="1:7" ht="12.75">
      <c r="A93" s="833">
        <v>39</v>
      </c>
      <c r="B93" s="833" t="s">
        <v>169</v>
      </c>
      <c r="C93" s="826" t="s">
        <v>170</v>
      </c>
      <c r="D93" s="1085">
        <f>ROUND(52.76/60*5,2)</f>
        <v>4.4</v>
      </c>
      <c r="E93" s="713"/>
      <c r="F93" s="289"/>
      <c r="G93" s="289"/>
    </row>
    <row r="94" spans="1:7" ht="12.75">
      <c r="A94" s="833">
        <v>40</v>
      </c>
      <c r="B94" s="833" t="s">
        <v>201</v>
      </c>
      <c r="C94" s="826" t="s">
        <v>202</v>
      </c>
      <c r="D94" s="1085">
        <f>43.82/60*100</f>
        <v>73.03333333333335</v>
      </c>
      <c r="E94" s="713"/>
      <c r="F94" s="289"/>
      <c r="G94" s="289"/>
    </row>
    <row r="95" spans="1:7" ht="12.75">
      <c r="A95" s="833">
        <v>41</v>
      </c>
      <c r="B95" s="833" t="s">
        <v>173</v>
      </c>
      <c r="C95" s="826" t="s">
        <v>202</v>
      </c>
      <c r="D95" s="1085">
        <f>ROUND(5.5/60*100,2)</f>
        <v>9.17</v>
      </c>
      <c r="E95" s="713"/>
      <c r="F95" s="289"/>
      <c r="G95" s="289"/>
    </row>
    <row r="96" spans="1:7" ht="12.75">
      <c r="A96" s="833">
        <v>42</v>
      </c>
      <c r="B96" s="833" t="s">
        <v>203</v>
      </c>
      <c r="C96" s="826"/>
      <c r="D96" s="1088">
        <f>SUM(D92:D95)</f>
        <v>91.63333333333334</v>
      </c>
      <c r="E96" s="713"/>
      <c r="F96" s="845"/>
      <c r="G96" s="845">
        <v>90</v>
      </c>
    </row>
    <row r="97" spans="1:7" ht="12.75">
      <c r="A97" s="833"/>
      <c r="B97" s="833"/>
      <c r="C97" s="826"/>
      <c r="D97" s="1077"/>
      <c r="E97" s="713"/>
      <c r="F97" s="289"/>
      <c r="G97" s="289"/>
    </row>
    <row r="98" spans="1:7" ht="12.75">
      <c r="A98" s="833"/>
      <c r="B98" s="833" t="s">
        <v>204</v>
      </c>
      <c r="C98" s="826"/>
      <c r="D98" s="1077"/>
      <c r="E98" s="713"/>
      <c r="F98" s="289"/>
      <c r="G98" s="289"/>
    </row>
    <row r="99" spans="1:7" ht="12.75">
      <c r="A99" s="833">
        <v>43</v>
      </c>
      <c r="B99" s="833" t="s">
        <v>85</v>
      </c>
      <c r="C99" s="826" t="s">
        <v>181</v>
      </c>
      <c r="D99" s="1078">
        <f>ROUND(33.52/60*9,2)</f>
        <v>5.03</v>
      </c>
      <c r="E99" s="713"/>
      <c r="F99" s="289"/>
      <c r="G99" s="289"/>
    </row>
    <row r="100" spans="1:7" ht="12.75">
      <c r="A100" s="833">
        <v>44</v>
      </c>
      <c r="B100" s="833" t="s">
        <v>169</v>
      </c>
      <c r="C100" s="826" t="s">
        <v>170</v>
      </c>
      <c r="D100" s="1078">
        <f>ROUND(52.76/60*5,2)</f>
        <v>4.4</v>
      </c>
      <c r="E100" s="713"/>
      <c r="F100" s="289"/>
      <c r="G100" s="289"/>
    </row>
    <row r="101" spans="1:7" ht="12.75">
      <c r="A101" s="833">
        <v>45</v>
      </c>
      <c r="B101" s="833" t="s">
        <v>205</v>
      </c>
      <c r="C101" s="826" t="s">
        <v>202</v>
      </c>
      <c r="D101" s="1078">
        <f>((43.82/60)*1.5)*120</f>
        <v>131.46</v>
      </c>
      <c r="E101" s="713"/>
      <c r="F101" s="289"/>
      <c r="G101" s="289"/>
    </row>
    <row r="102" spans="1:7" ht="12.75">
      <c r="A102" s="833">
        <v>46</v>
      </c>
      <c r="B102" s="833" t="s">
        <v>173</v>
      </c>
      <c r="C102" s="826" t="s">
        <v>202</v>
      </c>
      <c r="D102" s="1078">
        <f>ROUND(5.5/60*100,2)</f>
        <v>9.17</v>
      </c>
      <c r="E102" s="713"/>
      <c r="F102" s="289"/>
      <c r="G102" s="289"/>
    </row>
    <row r="103" spans="1:7" ht="12.75">
      <c r="A103" s="833">
        <v>47</v>
      </c>
      <c r="B103" s="833" t="s">
        <v>177</v>
      </c>
      <c r="C103" s="826" t="s">
        <v>178</v>
      </c>
      <c r="D103" s="1078">
        <f>ROUND(69.9/60*10,2)</f>
        <v>11.65</v>
      </c>
      <c r="E103" s="713"/>
      <c r="F103" s="289"/>
      <c r="G103" s="289"/>
    </row>
    <row r="104" spans="1:7" s="143" customFormat="1" ht="12.75">
      <c r="A104" s="834">
        <v>48</v>
      </c>
      <c r="B104" s="833" t="s">
        <v>203</v>
      </c>
      <c r="C104" s="826"/>
      <c r="D104" s="1080">
        <f>SUM(D99:D103)</f>
        <v>161.71</v>
      </c>
      <c r="F104" s="132"/>
      <c r="G104" s="845">
        <v>160</v>
      </c>
    </row>
    <row r="105" spans="1:7" ht="11.25">
      <c r="A105" s="156"/>
      <c r="B105" s="156"/>
      <c r="C105" s="157"/>
      <c r="D105" s="1089"/>
      <c r="E105" s="118"/>
      <c r="F105" s="118"/>
      <c r="G105" s="157"/>
    </row>
  </sheetData>
  <mergeCells count="10">
    <mergeCell ref="A65:G65"/>
    <mergeCell ref="A8:G8"/>
    <mergeCell ref="A9:G9"/>
    <mergeCell ref="A10:G10"/>
    <mergeCell ref="B13:C13"/>
    <mergeCell ref="B14:C14"/>
    <mergeCell ref="A67:G67"/>
    <mergeCell ref="B70:C70"/>
    <mergeCell ref="B71:C71"/>
    <mergeCell ref="A66:G66"/>
  </mergeCells>
  <printOptions/>
  <pageMargins left="1.14" right="0.32" top="0.35" bottom="1.51" header="0.31" footer="0.5"/>
  <pageSetup horizontalDpi="600" verticalDpi="600" orientation="portrait" r:id="rId4"/>
  <drawing r:id="rId3"/>
  <legacyDrawing r:id="rId2"/>
</worksheet>
</file>

<file path=xl/worksheets/sheet35.xml><?xml version="1.0" encoding="utf-8"?>
<worksheet xmlns="http://schemas.openxmlformats.org/spreadsheetml/2006/main" xmlns:r="http://schemas.openxmlformats.org/officeDocument/2006/relationships">
  <sheetPr>
    <pageSetUpPr fitToPage="1"/>
  </sheetPr>
  <dimension ref="A1:M60"/>
  <sheetViews>
    <sheetView workbookViewId="0" topLeftCell="C33">
      <selection activeCell="G32" sqref="G32"/>
    </sheetView>
  </sheetViews>
  <sheetFormatPr defaultColWidth="9.33203125" defaultRowHeight="11.25"/>
  <cols>
    <col min="2" max="2" width="31.83203125" style="0" customWidth="1"/>
    <col min="4" max="4" width="13" style="0" bestFit="1" customWidth="1"/>
    <col min="5" max="5" width="12" style="0" customWidth="1"/>
    <col min="6" max="6" width="12.5" style="0" bestFit="1" customWidth="1"/>
    <col min="7" max="7" width="13" style="0" customWidth="1"/>
    <col min="8" max="8" width="12.5" style="0" bestFit="1" customWidth="1"/>
    <col min="9" max="10" width="14.33203125" style="0" customWidth="1"/>
    <col min="11" max="11" width="11.5" style="0" bestFit="1" customWidth="1"/>
    <col min="12" max="12" width="13.66015625" style="0" bestFit="1" customWidth="1"/>
    <col min="13" max="13" width="12.5" style="0" bestFit="1" customWidth="1"/>
  </cols>
  <sheetData>
    <row r="1" ht="15.75">
      <c r="K1" s="37" t="s">
        <v>385</v>
      </c>
    </row>
    <row r="2" ht="15.75">
      <c r="K2" s="308" t="s">
        <v>1433</v>
      </c>
    </row>
    <row r="3" ht="15.75">
      <c r="K3" s="308" t="s">
        <v>876</v>
      </c>
    </row>
    <row r="4" ht="15.75">
      <c r="K4" s="308" t="s">
        <v>314</v>
      </c>
    </row>
    <row r="7" spans="1:12" ht="15.75">
      <c r="A7" s="1243" t="s">
        <v>658</v>
      </c>
      <c r="B7" s="1244"/>
      <c r="C7" s="1244"/>
      <c r="D7" s="1244"/>
      <c r="E7" s="1244"/>
      <c r="F7" s="1244"/>
      <c r="G7" s="1244"/>
      <c r="H7" s="1244"/>
      <c r="I7" s="1244"/>
      <c r="J7" s="1244"/>
      <c r="K7" s="1244"/>
      <c r="L7" s="1245"/>
    </row>
    <row r="8" spans="1:12" ht="18.75">
      <c r="A8" s="1323" t="s">
        <v>366</v>
      </c>
      <c r="B8" s="1324"/>
      <c r="C8" s="1324"/>
      <c r="D8" s="1324"/>
      <c r="E8" s="1324"/>
      <c r="F8" s="1324"/>
      <c r="G8" s="1324"/>
      <c r="H8" s="1324"/>
      <c r="I8" s="1324"/>
      <c r="J8" s="1324"/>
      <c r="K8" s="1324"/>
      <c r="L8" s="1325"/>
    </row>
    <row r="9" spans="1:12" ht="18.75">
      <c r="A9" s="1326" t="s">
        <v>367</v>
      </c>
      <c r="B9" s="1327"/>
      <c r="C9" s="1327"/>
      <c r="D9" s="1327"/>
      <c r="E9" s="1327"/>
      <c r="F9" s="1327"/>
      <c r="G9" s="1327"/>
      <c r="H9" s="1327"/>
      <c r="I9" s="1327"/>
      <c r="J9" s="1327"/>
      <c r="K9" s="1327"/>
      <c r="L9" s="1328"/>
    </row>
    <row r="10" spans="1:12" ht="15.75">
      <c r="A10" s="1329" t="s">
        <v>659</v>
      </c>
      <c r="B10" s="1330"/>
      <c r="C10" s="1330"/>
      <c r="D10" s="1330"/>
      <c r="E10" s="1330"/>
      <c r="F10" s="1330"/>
      <c r="G10" s="1330"/>
      <c r="H10" s="1330"/>
      <c r="I10" s="1330"/>
      <c r="J10" s="1330"/>
      <c r="K10" s="1330"/>
      <c r="L10" s="1331"/>
    </row>
    <row r="11" spans="1:12" ht="11.25">
      <c r="A11" s="20"/>
      <c r="B11" s="20"/>
      <c r="C11" s="21"/>
      <c r="D11" s="1320" t="s">
        <v>360</v>
      </c>
      <c r="E11" s="1321"/>
      <c r="F11" s="1321"/>
      <c r="G11" s="1321"/>
      <c r="H11" s="1322"/>
      <c r="I11" s="1320" t="s">
        <v>362</v>
      </c>
      <c r="J11" s="1321"/>
      <c r="K11" s="1321"/>
      <c r="L11" s="1322"/>
    </row>
    <row r="12" spans="1:12" ht="11.25">
      <c r="A12" s="23" t="s">
        <v>1000</v>
      </c>
      <c r="B12" s="20"/>
      <c r="C12" s="32" t="s">
        <v>1277</v>
      </c>
      <c r="D12" s="129"/>
      <c r="E12" s="133" t="s">
        <v>80</v>
      </c>
      <c r="F12" s="129"/>
      <c r="G12" s="698" t="s">
        <v>358</v>
      </c>
      <c r="H12" s="133" t="s">
        <v>357</v>
      </c>
      <c r="I12" s="699" t="s">
        <v>364</v>
      </c>
      <c r="J12" s="698" t="s">
        <v>365</v>
      </c>
      <c r="K12" s="698" t="s">
        <v>363</v>
      </c>
      <c r="L12" s="133" t="s">
        <v>357</v>
      </c>
    </row>
    <row r="13" spans="1:12" ht="11.25">
      <c r="A13" s="24" t="s">
        <v>1006</v>
      </c>
      <c r="B13" s="24" t="s">
        <v>1007</v>
      </c>
      <c r="C13" s="696" t="s">
        <v>1281</v>
      </c>
      <c r="D13" s="697" t="s">
        <v>361</v>
      </c>
      <c r="E13" s="697" t="s">
        <v>1009</v>
      </c>
      <c r="F13" s="697" t="s">
        <v>11</v>
      </c>
      <c r="G13" s="749">
        <f>+'JTS-5 S2'!L108</f>
        <v>0.004103485688579085</v>
      </c>
      <c r="H13" s="697" t="s">
        <v>359</v>
      </c>
      <c r="I13" s="697" t="s">
        <v>35</v>
      </c>
      <c r="J13" s="697" t="s">
        <v>35</v>
      </c>
      <c r="K13" s="700">
        <v>0.77776</v>
      </c>
      <c r="L13" s="697" t="s">
        <v>359</v>
      </c>
    </row>
    <row r="14" spans="1:12" ht="11.25">
      <c r="A14" s="18"/>
      <c r="B14" s="35" t="s">
        <v>1012</v>
      </c>
      <c r="C14" s="35" t="s">
        <v>1013</v>
      </c>
      <c r="D14" s="35" t="s">
        <v>1014</v>
      </c>
      <c r="E14" s="35"/>
      <c r="F14" s="35"/>
      <c r="G14" s="35" t="s">
        <v>1074</v>
      </c>
      <c r="H14" s="35" t="s">
        <v>1016</v>
      </c>
      <c r="I14" s="35" t="s">
        <v>1075</v>
      </c>
      <c r="J14" s="35" t="s">
        <v>1018</v>
      </c>
      <c r="K14" s="35" t="s">
        <v>1076</v>
      </c>
      <c r="L14" s="35" t="s">
        <v>1077</v>
      </c>
    </row>
    <row r="15" spans="1:12" ht="11.25">
      <c r="A15" s="129"/>
      <c r="B15" s="174" t="s">
        <v>92</v>
      </c>
      <c r="C15" s="179"/>
      <c r="D15" s="183"/>
      <c r="E15" s="183"/>
      <c r="F15" s="183"/>
      <c r="G15" s="702"/>
      <c r="H15" s="702"/>
      <c r="I15" s="702"/>
      <c r="J15" s="702"/>
      <c r="K15" s="702"/>
      <c r="L15" s="702"/>
    </row>
    <row r="16" spans="1:12" ht="11.25">
      <c r="A16" s="129"/>
      <c r="B16" s="701" t="s">
        <v>1285</v>
      </c>
      <c r="C16" s="132"/>
      <c r="D16" s="132"/>
      <c r="E16" s="132"/>
      <c r="F16" s="132"/>
      <c r="G16" s="132"/>
      <c r="H16" s="132"/>
      <c r="I16" s="132"/>
      <c r="J16" s="132"/>
      <c r="K16" s="132"/>
      <c r="L16" s="132"/>
    </row>
    <row r="17" spans="1:12" ht="11.25">
      <c r="A17" s="115">
        <v>1</v>
      </c>
      <c r="B17" s="208" t="s">
        <v>1295</v>
      </c>
      <c r="C17" s="115" t="s">
        <v>1296</v>
      </c>
      <c r="D17" s="131">
        <f>+'MPP-3 p5'!E18</f>
        <v>1329808</v>
      </c>
      <c r="E17" s="131"/>
      <c r="F17" s="131">
        <f>+E17+D17</f>
        <v>1329808</v>
      </c>
      <c r="G17" s="131">
        <f>+F17*G$13</f>
        <v>5456.848096557976</v>
      </c>
      <c r="H17" s="131">
        <f>+G17+D17</f>
        <v>1335264.848096558</v>
      </c>
      <c r="I17" s="130">
        <f>+'MPP-3 p5'!L18</f>
        <v>1151064.3931332</v>
      </c>
      <c r="J17" s="130">
        <f>-'MPP-3 p5'!W18</f>
        <v>-65422.36992914349</v>
      </c>
      <c r="K17" s="130">
        <f>+G17*K$13</f>
        <v>4244.118175578931</v>
      </c>
      <c r="L17" s="130">
        <f>+K17+J17+I17</f>
        <v>1089886.1413796355</v>
      </c>
    </row>
    <row r="18" spans="1:12" ht="11.25">
      <c r="A18" s="115">
        <v>2</v>
      </c>
      <c r="B18" s="208" t="s">
        <v>1287</v>
      </c>
      <c r="C18" s="115" t="s">
        <v>1290</v>
      </c>
      <c r="D18" s="131">
        <f>+'MPP-3 p5'!E19</f>
        <v>99122776</v>
      </c>
      <c r="E18" s="131">
        <f>+'MPP-3 p11'!E16</f>
        <v>5862710</v>
      </c>
      <c r="F18" s="131">
        <f>+E18+D18</f>
        <v>104985486</v>
      </c>
      <c r="G18" s="131">
        <f>+F18*G$13</f>
        <v>430806.4393095199</v>
      </c>
      <c r="H18" s="131">
        <f>+G18+D18</f>
        <v>99553582.43930952</v>
      </c>
      <c r="I18" s="131">
        <f>+'MPP-3 p5'!L19</f>
        <v>86969741.49709305</v>
      </c>
      <c r="J18" s="131">
        <f>-'MPP-3 p5'!W19</f>
        <v>-288426.8874960061</v>
      </c>
      <c r="K18" s="131">
        <f>+G18*K$13</f>
        <v>335064.0162373722</v>
      </c>
      <c r="L18" s="131">
        <f>+K18+J18+I18</f>
        <v>87016378.62583442</v>
      </c>
    </row>
    <row r="19" spans="1:12" ht="11.25">
      <c r="A19" s="115">
        <v>3</v>
      </c>
      <c r="B19" s="208" t="s">
        <v>1305</v>
      </c>
      <c r="C19" s="115" t="s">
        <v>1306</v>
      </c>
      <c r="D19" s="131">
        <f>+'MPP-3 p5'!E20</f>
        <v>0</v>
      </c>
      <c r="E19" s="131">
        <v>0</v>
      </c>
      <c r="F19" s="131">
        <f>+E19+D19</f>
        <v>0</v>
      </c>
      <c r="G19" s="131">
        <f>+F19*G$13</f>
        <v>0</v>
      </c>
      <c r="H19" s="131">
        <f>+G19+D19</f>
        <v>0</v>
      </c>
      <c r="I19" s="131">
        <f>+'MPP-3 p5'!L20</f>
        <v>0</v>
      </c>
      <c r="J19" s="131">
        <f>-'MPP-3 p5'!W20</f>
        <v>0</v>
      </c>
      <c r="K19" s="131">
        <f>+G19*K$13</f>
        <v>0</v>
      </c>
      <c r="L19" s="131">
        <f>+K19+J19+I19</f>
        <v>0</v>
      </c>
    </row>
    <row r="20" spans="1:12" ht="13.5">
      <c r="A20" s="115">
        <v>4</v>
      </c>
      <c r="B20" s="208" t="s">
        <v>1298</v>
      </c>
      <c r="C20" s="115" t="s">
        <v>1299</v>
      </c>
      <c r="D20" s="194">
        <f>+'MPP-3 p5'!E21</f>
        <v>73433</v>
      </c>
      <c r="E20" s="194">
        <v>0</v>
      </c>
      <c r="F20" s="194">
        <f>+E20+D20</f>
        <v>73433</v>
      </c>
      <c r="G20" s="194">
        <f>+F20*G$13</f>
        <v>301.33126456942796</v>
      </c>
      <c r="H20" s="194">
        <f>+G20+D20</f>
        <v>73734.33126456942</v>
      </c>
      <c r="I20" s="194">
        <f>+'MPP-3 p5'!L21</f>
        <v>65903.2032261</v>
      </c>
      <c r="J20" s="194">
        <f>-'MPP-3 p5'!W21</f>
        <v>-3612.672574542185</v>
      </c>
      <c r="K20" s="194">
        <f>+G20*K$13</f>
        <v>234.3634043315183</v>
      </c>
      <c r="L20" s="194">
        <f>+K20+J20+I20</f>
        <v>62524.89405588933</v>
      </c>
    </row>
    <row r="21" spans="1:12" ht="11.25">
      <c r="A21" s="115">
        <v>5</v>
      </c>
      <c r="B21" s="208" t="s">
        <v>1292</v>
      </c>
      <c r="C21" s="132"/>
      <c r="D21" s="131">
        <f aca="true" t="shared" si="0" ref="D21:L21">SUM(D17:D20)</f>
        <v>100526017</v>
      </c>
      <c r="E21" s="131">
        <f>SUM(E18:E20)</f>
        <v>5862710</v>
      </c>
      <c r="F21" s="131">
        <f>+E21+D21</f>
        <v>106388727</v>
      </c>
      <c r="G21" s="131">
        <f t="shared" si="0"/>
        <v>436564.61867064727</v>
      </c>
      <c r="H21" s="131">
        <f t="shared" si="0"/>
        <v>100962581.61867066</v>
      </c>
      <c r="I21" s="130">
        <f t="shared" si="0"/>
        <v>88186709.09345235</v>
      </c>
      <c r="J21" s="130">
        <f t="shared" si="0"/>
        <v>-357461.9299996917</v>
      </c>
      <c r="K21" s="130">
        <f t="shared" si="0"/>
        <v>339542.4978172826</v>
      </c>
      <c r="L21" s="130">
        <f t="shared" si="0"/>
        <v>88168789.66126995</v>
      </c>
    </row>
    <row r="22" spans="1:12" ht="11.25">
      <c r="A22" s="115"/>
      <c r="B22" s="701" t="s">
        <v>1301</v>
      </c>
      <c r="C22" s="132"/>
      <c r="D22" s="132"/>
      <c r="E22" s="131"/>
      <c r="F22" s="131"/>
      <c r="G22" s="131"/>
      <c r="H22" s="131"/>
      <c r="I22" s="131"/>
      <c r="J22" s="131"/>
      <c r="K22" s="131"/>
      <c r="L22" s="131"/>
    </row>
    <row r="23" spans="1:12" ht="11.25">
      <c r="A23" s="115">
        <v>6</v>
      </c>
      <c r="B23" s="208" t="s">
        <v>1295</v>
      </c>
      <c r="C23" s="115" t="s">
        <v>1296</v>
      </c>
      <c r="D23" s="131">
        <f>+'MPP-3 p5'!E24</f>
        <v>101667</v>
      </c>
      <c r="E23" s="131">
        <v>0</v>
      </c>
      <c r="F23" s="131">
        <f aca="true" t="shared" si="1" ref="F23:F28">+E23+D23</f>
        <v>101667</v>
      </c>
      <c r="G23" s="131">
        <f>+F23*G$13</f>
        <v>417.1890795007698</v>
      </c>
      <c r="H23" s="131">
        <f>+G23+D23</f>
        <v>102084.18907950076</v>
      </c>
      <c r="I23" s="130">
        <f>+'MPP-3 p5'!L24</f>
        <v>88806.1509414</v>
      </c>
      <c r="J23" s="130">
        <f>-'MPP-3 p5'!W24</f>
        <v>-5001.696548363547</v>
      </c>
      <c r="K23" s="130">
        <f>+G23*K$13</f>
        <v>324.4729784725187</v>
      </c>
      <c r="L23" s="130">
        <f>+K23+J23+I23</f>
        <v>84128.92737150898</v>
      </c>
    </row>
    <row r="24" spans="1:12" ht="11.25">
      <c r="A24" s="115">
        <v>7</v>
      </c>
      <c r="B24" s="208" t="s">
        <v>1287</v>
      </c>
      <c r="C24" s="115" t="s">
        <v>1303</v>
      </c>
      <c r="D24" s="131">
        <f>+'MPP-3 p5'!E25</f>
        <v>73180576</v>
      </c>
      <c r="E24" s="131">
        <f>+'MPP-3 p11'!E25</f>
        <v>4439798</v>
      </c>
      <c r="F24" s="131">
        <f t="shared" si="1"/>
        <v>77620374</v>
      </c>
      <c r="G24" s="131">
        <f>+F24*G$13</f>
        <v>318514.09385115607</v>
      </c>
      <c r="H24" s="131">
        <f>+G24+D24</f>
        <v>73499090.09385115</v>
      </c>
      <c r="I24" s="131">
        <f>+'MPP-3 p5'!L25</f>
        <v>64046327.89985436</v>
      </c>
      <c r="J24" s="131">
        <f>-'MPP-3 p5'!W25</f>
        <v>-218424.09367869</v>
      </c>
      <c r="K24" s="131">
        <f>+G24*K$13</f>
        <v>247727.52163367515</v>
      </c>
      <c r="L24" s="131">
        <f>+K24+J24+I24</f>
        <v>64075631.32780935</v>
      </c>
    </row>
    <row r="25" spans="1:12" ht="11.25">
      <c r="A25" s="115">
        <v>8</v>
      </c>
      <c r="B25" s="208" t="s">
        <v>1310</v>
      </c>
      <c r="C25" s="115" t="s">
        <v>1311</v>
      </c>
      <c r="D25" s="131">
        <f>+'MPP-3 p5'!E26</f>
        <v>6477837</v>
      </c>
      <c r="E25" s="131">
        <v>0</v>
      </c>
      <c r="F25" s="131">
        <f t="shared" si="1"/>
        <v>6477837</v>
      </c>
      <c r="G25" s="131">
        <f>+F25*G$13</f>
        <v>26581.711422448072</v>
      </c>
      <c r="H25" s="131">
        <f>+G25+D25</f>
        <v>6504418.711422448</v>
      </c>
      <c r="I25" s="131">
        <f>+'MPP-3 p5'!L26</f>
        <v>5625161.2217025</v>
      </c>
      <c r="J25" s="131">
        <f>-'MPP-3 p5'!W26</f>
        <v>-318689.20066257165</v>
      </c>
      <c r="K25" s="131">
        <f>+G25*K$13</f>
        <v>20674.191875923214</v>
      </c>
      <c r="L25" s="131">
        <f>+K25+J25+I25</f>
        <v>5327146.212915852</v>
      </c>
    </row>
    <row r="26" spans="1:12" ht="11.25">
      <c r="A26" s="115">
        <v>9</v>
      </c>
      <c r="B26" s="208" t="s">
        <v>1305</v>
      </c>
      <c r="C26" s="115" t="s">
        <v>1306</v>
      </c>
      <c r="D26" s="131">
        <f>+'MPP-3 p5'!E27</f>
        <v>55917</v>
      </c>
      <c r="E26" s="131">
        <v>0</v>
      </c>
      <c r="F26" s="131">
        <f t="shared" si="1"/>
        <v>55917</v>
      </c>
      <c r="G26" s="131">
        <f>+F26*G$13</f>
        <v>229.45460924827668</v>
      </c>
      <c r="H26" s="131">
        <f>+G26+D26</f>
        <v>56146.45460924828</v>
      </c>
      <c r="I26" s="131">
        <f>+'MPP-3 p5'!L27</f>
        <v>48953.9982474</v>
      </c>
      <c r="J26" s="131">
        <f>-'MPP-3 p5'!W27</f>
        <v>-2750.9404811280397</v>
      </c>
      <c r="K26" s="131">
        <f>+G26*K$13</f>
        <v>178.46061688893968</v>
      </c>
      <c r="L26" s="131">
        <f>+K26+J26+I26</f>
        <v>46381.518383160896</v>
      </c>
    </row>
    <row r="27" spans="1:12" ht="13.5">
      <c r="A27" s="115">
        <v>10</v>
      </c>
      <c r="B27" s="208" t="s">
        <v>1298</v>
      </c>
      <c r="C27" s="115" t="s">
        <v>1299</v>
      </c>
      <c r="D27" s="194">
        <f>+'MPP-3 p5'!E28</f>
        <v>88291</v>
      </c>
      <c r="E27" s="194">
        <v>0</v>
      </c>
      <c r="F27" s="194">
        <f t="shared" si="1"/>
        <v>88291</v>
      </c>
      <c r="G27" s="194">
        <f>+F27*G$13</f>
        <v>362.30085493033596</v>
      </c>
      <c r="H27" s="194">
        <f>+G27+D27</f>
        <v>88653.30085493033</v>
      </c>
      <c r="I27" s="194">
        <f>+'MPP-3 p5'!L28</f>
        <v>78172.7781249</v>
      </c>
      <c r="J27" s="194">
        <f>-'MPP-3 p5'!W28</f>
        <v>-4343.639430213992</v>
      </c>
      <c r="K27" s="194">
        <f>+G27*K$13</f>
        <v>281.7831129306181</v>
      </c>
      <c r="L27" s="194">
        <f>+K27+J27+I27</f>
        <v>74110.92180761663</v>
      </c>
    </row>
    <row r="28" spans="1:12" ht="11.25">
      <c r="A28" s="115">
        <v>11</v>
      </c>
      <c r="B28" s="208" t="s">
        <v>1292</v>
      </c>
      <c r="C28" s="132"/>
      <c r="D28" s="131">
        <f aca="true" t="shared" si="2" ref="D28:L28">SUM(D23:D27)</f>
        <v>79904288</v>
      </c>
      <c r="E28" s="131">
        <f>SUM(E24:E27)</f>
        <v>4439798</v>
      </c>
      <c r="F28" s="131">
        <f t="shared" si="1"/>
        <v>84344086</v>
      </c>
      <c r="G28" s="131">
        <f t="shared" si="2"/>
        <v>346104.74981728353</v>
      </c>
      <c r="H28" s="131">
        <f t="shared" si="2"/>
        <v>80250392.74981728</v>
      </c>
      <c r="I28" s="130">
        <f t="shared" si="2"/>
        <v>69887422.04887056</v>
      </c>
      <c r="J28" s="130">
        <f t="shared" si="2"/>
        <v>-549209.5708009672</v>
      </c>
      <c r="K28" s="130">
        <f t="shared" si="2"/>
        <v>269186.4302178904</v>
      </c>
      <c r="L28" s="130">
        <f t="shared" si="2"/>
        <v>69607398.90828748</v>
      </c>
    </row>
    <row r="29" spans="1:12" ht="11.25">
      <c r="A29" s="115"/>
      <c r="B29" s="701" t="s">
        <v>1313</v>
      </c>
      <c r="C29" s="132"/>
      <c r="D29" s="132"/>
      <c r="E29" s="131"/>
      <c r="F29" s="131"/>
      <c r="G29" s="131"/>
      <c r="H29" s="131"/>
      <c r="I29" s="131"/>
      <c r="J29" s="131"/>
      <c r="K29" s="131"/>
      <c r="L29" s="131"/>
    </row>
    <row r="30" spans="1:12" ht="11.25">
      <c r="A30" s="115">
        <v>12</v>
      </c>
      <c r="B30" s="208" t="s">
        <v>1287</v>
      </c>
      <c r="C30" s="115" t="s">
        <v>1315</v>
      </c>
      <c r="D30" s="131">
        <f>+'MPP-3 p5'!E31</f>
        <v>10198314</v>
      </c>
      <c r="E30" s="131">
        <v>0</v>
      </c>
      <c r="F30" s="131">
        <f>+E30+D30</f>
        <v>10198314</v>
      </c>
      <c r="G30" s="131">
        <f>+F30*G$13</f>
        <v>41848.63554663572</v>
      </c>
      <c r="H30" s="131">
        <f>+G30+D30</f>
        <v>10240162.635546636</v>
      </c>
      <c r="I30" s="130">
        <f>+'MPP-3 p5'!L31</f>
        <v>8970559.421616301</v>
      </c>
      <c r="J30" s="130">
        <f>-'MPP-3 p5'!W31</f>
        <v>-501724.9641764548</v>
      </c>
      <c r="K30" s="130">
        <f>+G30*K$13</f>
        <v>32548.194782751398</v>
      </c>
      <c r="L30" s="130">
        <f>+K30+J30+I30</f>
        <v>8501382.652222598</v>
      </c>
    </row>
    <row r="31" spans="1:12" ht="11.25">
      <c r="A31" s="115">
        <v>13</v>
      </c>
      <c r="B31" s="208" t="s">
        <v>1310</v>
      </c>
      <c r="C31" s="115" t="s">
        <v>1311</v>
      </c>
      <c r="D31" s="131">
        <f>+'MPP-3 p5'!E32</f>
        <v>1351604</v>
      </c>
      <c r="E31" s="131">
        <v>0</v>
      </c>
      <c r="F31" s="131">
        <f>+E31+D31</f>
        <v>1351604</v>
      </c>
      <c r="G31" s="131">
        <f>+F31*G$13</f>
        <v>5546.287670626245</v>
      </c>
      <c r="H31" s="131">
        <f>+G31+D31</f>
        <v>1357150.2876706263</v>
      </c>
      <c r="I31" s="131">
        <f>+'MPP-3 p5'!L32</f>
        <v>1173628.3683837</v>
      </c>
      <c r="J31" s="131">
        <f>-'MPP-3 p5'!W32</f>
        <v>-66494.66455737223</v>
      </c>
      <c r="K31" s="131">
        <f>+G31*K$13</f>
        <v>4313.680698706268</v>
      </c>
      <c r="L31" s="131">
        <f>+K31+J31+I31</f>
        <v>1111447.384525034</v>
      </c>
    </row>
    <row r="32" spans="1:12" ht="13.5">
      <c r="A32" s="115">
        <v>14</v>
      </c>
      <c r="B32" s="208" t="s">
        <v>1305</v>
      </c>
      <c r="C32" s="115" t="s">
        <v>1306</v>
      </c>
      <c r="D32" s="194">
        <f>+'MPP-3 p5'!E33</f>
        <v>5379</v>
      </c>
      <c r="E32" s="194">
        <v>0</v>
      </c>
      <c r="F32" s="194">
        <f>+E32+D32</f>
        <v>5379</v>
      </c>
      <c r="G32" s="194">
        <f>+F32*G$13</f>
        <v>22.072649518866896</v>
      </c>
      <c r="H32" s="194">
        <f>+G32+D32</f>
        <v>5401.0726495188665</v>
      </c>
      <c r="I32" s="194">
        <f>+'MPP-3 p5'!L33</f>
        <v>4708.26879</v>
      </c>
      <c r="J32" s="194">
        <f>-'MPP-3 p5'!W33</f>
        <v>-264.6298772821812</v>
      </c>
      <c r="K32" s="194">
        <f>+G32*K$13</f>
        <v>17.167223889793917</v>
      </c>
      <c r="L32" s="194">
        <f>+K32+J32+I32</f>
        <v>4460.806136607613</v>
      </c>
    </row>
    <row r="33" spans="1:12" ht="11.25">
      <c r="A33" s="115">
        <v>15</v>
      </c>
      <c r="B33" s="208" t="s">
        <v>1292</v>
      </c>
      <c r="C33" s="132"/>
      <c r="D33" s="131">
        <f aca="true" t="shared" si="3" ref="D33:L33">SUM(D30:D32)</f>
        <v>11555297</v>
      </c>
      <c r="E33" s="131">
        <f>SUM(E30:E32)</f>
        <v>0</v>
      </c>
      <c r="F33" s="131">
        <f>+E33+D33</f>
        <v>11555297</v>
      </c>
      <c r="G33" s="131">
        <f t="shared" si="3"/>
        <v>47416.99586678083</v>
      </c>
      <c r="H33" s="131">
        <f t="shared" si="3"/>
        <v>11602713.995866781</v>
      </c>
      <c r="I33" s="130">
        <f t="shared" si="3"/>
        <v>10148896.05879</v>
      </c>
      <c r="J33" s="130">
        <f t="shared" si="3"/>
        <v>-568484.2586111092</v>
      </c>
      <c r="K33" s="130">
        <f t="shared" si="3"/>
        <v>36879.04270534746</v>
      </c>
      <c r="L33" s="130">
        <f t="shared" si="3"/>
        <v>9617290.84288424</v>
      </c>
    </row>
    <row r="34" spans="1:12" ht="11.25">
      <c r="A34" s="115"/>
      <c r="B34" s="701" t="s">
        <v>103</v>
      </c>
      <c r="C34" s="132"/>
      <c r="D34" s="132"/>
      <c r="E34" s="131"/>
      <c r="F34" s="131"/>
      <c r="G34" s="131"/>
      <c r="H34" s="131"/>
      <c r="I34" s="131"/>
      <c r="J34" s="131"/>
      <c r="K34" s="131"/>
      <c r="L34" s="131"/>
    </row>
    <row r="35" spans="1:12" ht="13.5">
      <c r="A35" s="115">
        <v>16</v>
      </c>
      <c r="B35" s="208" t="s">
        <v>1319</v>
      </c>
      <c r="C35" s="115" t="s">
        <v>1320</v>
      </c>
      <c r="D35" s="194">
        <f>+'MPP-3 p5'!E36</f>
        <v>877330</v>
      </c>
      <c r="E35" s="194">
        <v>0</v>
      </c>
      <c r="F35" s="194">
        <f>+E35+D35</f>
        <v>877330</v>
      </c>
      <c r="G35" s="194">
        <f>+F35*G$13</f>
        <v>3600.1110991610885</v>
      </c>
      <c r="H35" s="194">
        <f>+G35+D35</f>
        <v>880930.1110991611</v>
      </c>
      <c r="I35" s="711">
        <f>+'MPP-3 p5'!L36</f>
        <v>754733.3222061</v>
      </c>
      <c r="J35" s="711">
        <f>-'MPP-3 p5'!W36</f>
        <v>-43161.875857218074</v>
      </c>
      <c r="K35" s="711">
        <f>+G35*K$13</f>
        <v>2800.022408483528</v>
      </c>
      <c r="L35" s="711">
        <f>+K35+J35+I35</f>
        <v>714371.4687573655</v>
      </c>
    </row>
    <row r="36" spans="1:12" ht="11.25">
      <c r="A36" s="115">
        <v>17</v>
      </c>
      <c r="B36" s="208" t="s">
        <v>1292</v>
      </c>
      <c r="C36" s="132"/>
      <c r="D36" s="131">
        <f aca="true" t="shared" si="4" ref="D36:K36">SUM(D35)</f>
        <v>877330</v>
      </c>
      <c r="E36" s="131">
        <f>+E35</f>
        <v>0</v>
      </c>
      <c r="F36" s="131">
        <f>+E36+D36</f>
        <v>877330</v>
      </c>
      <c r="G36" s="131">
        <f t="shared" si="4"/>
        <v>3600.1110991610885</v>
      </c>
      <c r="H36" s="131">
        <f t="shared" si="4"/>
        <v>880930.1110991611</v>
      </c>
      <c r="I36" s="130">
        <f t="shared" si="4"/>
        <v>754733.3222061</v>
      </c>
      <c r="J36" s="130">
        <f t="shared" si="4"/>
        <v>-43161.875857218074</v>
      </c>
      <c r="K36" s="130">
        <f t="shared" si="4"/>
        <v>2800.022408483528</v>
      </c>
      <c r="L36" s="130">
        <f>+K36+I36+J36</f>
        <v>714371.4687573655</v>
      </c>
    </row>
    <row r="37" spans="1:12" ht="11.25">
      <c r="A37" s="115"/>
      <c r="B37" s="701" t="s">
        <v>1459</v>
      </c>
      <c r="C37" s="132"/>
      <c r="D37" s="132"/>
      <c r="E37" s="131"/>
      <c r="F37" s="131"/>
      <c r="G37" s="131"/>
      <c r="H37" s="131"/>
      <c r="I37" s="131"/>
      <c r="J37" s="131"/>
      <c r="K37" s="131"/>
      <c r="L37" s="131"/>
    </row>
    <row r="38" spans="1:12" ht="11.25">
      <c r="A38" s="115">
        <v>18</v>
      </c>
      <c r="B38" s="208" t="s">
        <v>104</v>
      </c>
      <c r="C38" s="115" t="s">
        <v>1320</v>
      </c>
      <c r="D38" s="131">
        <f>+'MPP-3 p5'!E39</f>
        <v>2386834</v>
      </c>
      <c r="E38" s="131">
        <v>0</v>
      </c>
      <c r="F38" s="131">
        <f>+E38+D38</f>
        <v>2386834</v>
      </c>
      <c r="G38" s="131">
        <f>+F38*G$13</f>
        <v>9794.339160013971</v>
      </c>
      <c r="H38" s="131">
        <f>+G38+D38</f>
        <v>2396628.339160014</v>
      </c>
      <c r="I38" s="130">
        <f>+'MPP-3 p5'!L39</f>
        <v>2053361.3823207</v>
      </c>
      <c r="J38" s="130">
        <f>-'MPP-3 p5'!W39</f>
        <v>-117424.72364992334</v>
      </c>
      <c r="K38" s="130">
        <f>+G38*K$13</f>
        <v>7617.645225092467</v>
      </c>
      <c r="L38" s="130">
        <f>+K38+J38+I38</f>
        <v>1943554.303895869</v>
      </c>
    </row>
    <row r="39" spans="1:12" ht="13.5">
      <c r="A39" s="115">
        <v>19</v>
      </c>
      <c r="B39" s="208" t="s">
        <v>1322</v>
      </c>
      <c r="C39" s="115" t="s">
        <v>1323</v>
      </c>
      <c r="D39" s="194">
        <f>+'MPP-3 p5'!E40</f>
        <v>407759</v>
      </c>
      <c r="E39" s="194">
        <v>0</v>
      </c>
      <c r="F39" s="194">
        <f>+E39+D39</f>
        <v>407759</v>
      </c>
      <c r="G39" s="194">
        <f>+F39*G$13</f>
        <v>1673.233220889319</v>
      </c>
      <c r="H39" s="194">
        <f>+G39+D39</f>
        <v>409432.2332208893</v>
      </c>
      <c r="I39" s="194">
        <f>+'MPP-3 p5'!L40</f>
        <v>350789.6186508</v>
      </c>
      <c r="J39" s="194">
        <f>-'MPP-3 p5'!W40</f>
        <v>-20060.45996109034</v>
      </c>
      <c r="K39" s="194">
        <f>+G39*K$13</f>
        <v>1301.3738698788768</v>
      </c>
      <c r="L39" s="194">
        <f>+K39+J39+I39</f>
        <v>332030.53255958855</v>
      </c>
    </row>
    <row r="40" spans="1:12" ht="11.25">
      <c r="A40" s="115">
        <v>20</v>
      </c>
      <c r="B40" s="208" t="s">
        <v>1292</v>
      </c>
      <c r="C40" s="132"/>
      <c r="D40" s="131">
        <f>SUM(D38:D39)</f>
        <v>2794593</v>
      </c>
      <c r="E40" s="131">
        <f>SUM(E38:E39)</f>
        <v>0</v>
      </c>
      <c r="F40" s="131">
        <f>+E40+D40</f>
        <v>2794593</v>
      </c>
      <c r="G40" s="131">
        <f>+D40*G$13</f>
        <v>11467.57238090329</v>
      </c>
      <c r="H40" s="131">
        <f>+G40+D40</f>
        <v>2806060.572380903</v>
      </c>
      <c r="I40" s="131">
        <f>+'MPP-3 p5'!L41</f>
        <v>2404151.0009715</v>
      </c>
      <c r="J40" s="131">
        <f>+J39+J38</f>
        <v>-137485.1836110137</v>
      </c>
      <c r="K40" s="131">
        <f>+K39+K38</f>
        <v>8919.019094971343</v>
      </c>
      <c r="L40" s="131">
        <f>+K40+I40+J40</f>
        <v>2275584.836455458</v>
      </c>
    </row>
    <row r="41" spans="1:12" ht="11.25">
      <c r="A41" s="115"/>
      <c r="B41" s="208"/>
      <c r="C41" s="132"/>
      <c r="D41" s="131"/>
      <c r="E41" s="131"/>
      <c r="F41" s="131"/>
      <c r="G41" s="131"/>
      <c r="H41" s="131"/>
      <c r="I41" s="131"/>
      <c r="J41" s="131"/>
      <c r="K41" s="131"/>
      <c r="L41" s="131"/>
    </row>
    <row r="42" spans="1:12" ht="13.5">
      <c r="A42" s="115">
        <v>21</v>
      </c>
      <c r="B42" s="701" t="s">
        <v>105</v>
      </c>
      <c r="C42" s="132"/>
      <c r="D42" s="707">
        <f aca="true" t="shared" si="5" ref="D42:K42">+D40+D36+D33+D28+D21</f>
        <v>195657525</v>
      </c>
      <c r="E42" s="707">
        <f t="shared" si="5"/>
        <v>10302508</v>
      </c>
      <c r="F42" s="707">
        <f>+E42+D42</f>
        <v>205960033</v>
      </c>
      <c r="G42" s="707">
        <f t="shared" si="5"/>
        <v>845154.047834776</v>
      </c>
      <c r="H42" s="707">
        <f t="shared" si="5"/>
        <v>196502679.04783478</v>
      </c>
      <c r="I42" s="195">
        <f t="shared" si="5"/>
        <v>171381911.5242905</v>
      </c>
      <c r="J42" s="195">
        <f t="shared" si="5"/>
        <v>-1655802.81888</v>
      </c>
      <c r="K42" s="195">
        <f t="shared" si="5"/>
        <v>657327.0122439754</v>
      </c>
      <c r="L42" s="195">
        <f>+K42+J42+I42</f>
        <v>170383435.71765447</v>
      </c>
    </row>
    <row r="43" spans="1:12" ht="11.25">
      <c r="A43" s="132"/>
      <c r="B43" s="143"/>
      <c r="C43" s="132"/>
      <c r="D43" s="132"/>
      <c r="E43" s="131"/>
      <c r="F43" s="131"/>
      <c r="G43" s="131"/>
      <c r="H43" s="131"/>
      <c r="I43" s="131"/>
      <c r="J43" s="131"/>
      <c r="K43" s="131"/>
      <c r="L43" s="131"/>
    </row>
    <row r="44" spans="1:12" ht="11.25">
      <c r="A44" s="132"/>
      <c r="B44" s="182" t="s">
        <v>106</v>
      </c>
      <c r="C44" s="175"/>
      <c r="D44" s="183"/>
      <c r="E44" s="703"/>
      <c r="F44" s="703"/>
      <c r="G44" s="703"/>
      <c r="H44" s="703"/>
      <c r="I44" s="703"/>
      <c r="J44" s="703"/>
      <c r="K44" s="703"/>
      <c r="L44" s="703"/>
    </row>
    <row r="45" spans="1:12" ht="11.25">
      <c r="A45" s="132"/>
      <c r="B45" s="704"/>
      <c r="C45" s="132"/>
      <c r="D45" s="132"/>
      <c r="E45" s="131"/>
      <c r="F45" s="131"/>
      <c r="G45" s="131"/>
      <c r="H45" s="131"/>
      <c r="I45" s="131"/>
      <c r="J45" s="131"/>
      <c r="K45" s="131"/>
      <c r="L45" s="131"/>
    </row>
    <row r="46" spans="1:12" ht="11.25">
      <c r="A46" s="115">
        <v>24</v>
      </c>
      <c r="B46" s="705" t="s">
        <v>107</v>
      </c>
      <c r="C46" s="132"/>
      <c r="D46" s="132"/>
      <c r="E46" s="131"/>
      <c r="F46" s="131"/>
      <c r="G46" s="131"/>
      <c r="H46" s="131"/>
      <c r="I46" s="131"/>
      <c r="J46" s="131"/>
      <c r="K46" s="131"/>
      <c r="L46" s="131"/>
    </row>
    <row r="47" spans="1:12" ht="11.25">
      <c r="A47" s="115">
        <v>25</v>
      </c>
      <c r="B47" s="705" t="s">
        <v>46</v>
      </c>
      <c r="C47" s="115" t="s">
        <v>1330</v>
      </c>
      <c r="D47" s="131">
        <f>+'MPP-3 p5'!E47</f>
        <v>90046672</v>
      </c>
      <c r="E47" s="131">
        <f>+'MPP-3 p15'!D16</f>
        <v>-694414</v>
      </c>
      <c r="F47" s="131">
        <f>+E47+D47</f>
        <v>89352258</v>
      </c>
      <c r="G47" s="131">
        <f>+F47*G$13</f>
        <v>366655.71194522607</v>
      </c>
      <c r="H47" s="131">
        <f>+G47+D47</f>
        <v>90413327.71194522</v>
      </c>
      <c r="I47" s="130">
        <f>+'MPP-3 p5'!L47</f>
        <v>0</v>
      </c>
      <c r="J47" s="130">
        <f>-'MPP-3 p5'!W47</f>
        <v>0</v>
      </c>
      <c r="K47" s="130">
        <f>+G47*K$13</f>
        <v>285170.146522519</v>
      </c>
      <c r="L47" s="130">
        <f>+K47+J47+I47</f>
        <v>285170.146522519</v>
      </c>
    </row>
    <row r="48" spans="1:12" ht="11.25">
      <c r="A48" s="115">
        <v>26</v>
      </c>
      <c r="B48" s="705" t="s">
        <v>1310</v>
      </c>
      <c r="C48" s="115">
        <v>664</v>
      </c>
      <c r="D48" s="131">
        <f>+'MPP-3 p5'!E48</f>
        <v>155323148</v>
      </c>
      <c r="E48" s="131">
        <v>0</v>
      </c>
      <c r="F48" s="131">
        <f>+E48+D48</f>
        <v>155323148</v>
      </c>
      <c r="G48" s="131">
        <f>+F48*G$13</f>
        <v>637366.3149230512</v>
      </c>
      <c r="H48" s="131">
        <f>+G48+D48</f>
        <v>155960514.31492305</v>
      </c>
      <c r="I48" s="131">
        <f>+'MPP-3 p5'!L48</f>
        <v>0</v>
      </c>
      <c r="J48" s="131">
        <f>-'MPP-3 p5'!W48</f>
        <v>0</v>
      </c>
      <c r="K48" s="131">
        <f>+G48*K$13</f>
        <v>495718.02509455226</v>
      </c>
      <c r="L48" s="131">
        <f>+K48+J48+I48</f>
        <v>495718.02509455226</v>
      </c>
    </row>
    <row r="49" spans="1:12" ht="11.25">
      <c r="A49" s="115">
        <v>27</v>
      </c>
      <c r="B49" s="705" t="s">
        <v>1332</v>
      </c>
      <c r="C49" s="115" t="s">
        <v>1333</v>
      </c>
      <c r="D49" s="131">
        <f>+'MPP-3 p5'!E49</f>
        <v>0</v>
      </c>
      <c r="E49" s="131">
        <v>0</v>
      </c>
      <c r="F49" s="131">
        <f>+E49+D49</f>
        <v>0</v>
      </c>
      <c r="G49" s="131">
        <f>+F49*G$13</f>
        <v>0</v>
      </c>
      <c r="H49" s="131">
        <f>+G49+D49</f>
        <v>0</v>
      </c>
      <c r="I49" s="131">
        <f>+'MPP-3 p5'!L49</f>
        <v>0</v>
      </c>
      <c r="J49" s="131">
        <f>-'MPP-3 p5'!W49</f>
        <v>0</v>
      </c>
      <c r="K49" s="131">
        <f>+G49*K$13</f>
        <v>0</v>
      </c>
      <c r="L49" s="131">
        <f>+K49+J49+I49</f>
        <v>0</v>
      </c>
    </row>
    <row r="50" spans="1:12" ht="11.25">
      <c r="A50" s="115">
        <v>28</v>
      </c>
      <c r="B50" s="705" t="s">
        <v>1335</v>
      </c>
      <c r="C50" s="115" t="s">
        <v>1336</v>
      </c>
      <c r="D50" s="131">
        <f>+'MPP-3 p5'!E50</f>
        <v>257718509</v>
      </c>
      <c r="E50" s="131">
        <v>0</v>
      </c>
      <c r="F50" s="131">
        <f>+E50+D50</f>
        <v>257718509</v>
      </c>
      <c r="G50" s="131">
        <v>0</v>
      </c>
      <c r="H50" s="131">
        <f>+G50+D50</f>
        <v>257718509</v>
      </c>
      <c r="I50" s="131">
        <f>+'MPP-3 p5'!L50</f>
        <v>0</v>
      </c>
      <c r="J50" s="131">
        <f>-'MPP-3 p5'!W50</f>
        <v>0</v>
      </c>
      <c r="K50" s="131">
        <f>+G50*K$13</f>
        <v>0</v>
      </c>
      <c r="L50" s="131">
        <f>+K50+J50+I50</f>
        <v>0</v>
      </c>
    </row>
    <row r="51" spans="1:12" ht="11.25">
      <c r="A51" s="132"/>
      <c r="B51" s="706"/>
      <c r="C51" s="134"/>
      <c r="D51" s="132"/>
      <c r="E51" s="131"/>
      <c r="F51" s="131"/>
      <c r="G51" s="131"/>
      <c r="H51" s="131"/>
      <c r="I51" s="131"/>
      <c r="J51" s="131"/>
      <c r="K51" s="131"/>
      <c r="L51" s="131"/>
    </row>
    <row r="52" spans="1:12" ht="13.5">
      <c r="A52" s="115">
        <v>29</v>
      </c>
      <c r="B52" s="182" t="s">
        <v>39</v>
      </c>
      <c r="C52" s="175"/>
      <c r="D52" s="708">
        <f aca="true" t="shared" si="6" ref="D52:L52">SUM(D47:D51)</f>
        <v>503088329</v>
      </c>
      <c r="E52" s="709">
        <f t="shared" si="6"/>
        <v>-694414</v>
      </c>
      <c r="F52" s="709">
        <f>+E52+D52</f>
        <v>502393915</v>
      </c>
      <c r="G52" s="709">
        <f t="shared" si="6"/>
        <v>1004022.0268682772</v>
      </c>
      <c r="H52" s="709">
        <f t="shared" si="6"/>
        <v>504092351.0268683</v>
      </c>
      <c r="I52" s="710">
        <f t="shared" si="6"/>
        <v>0</v>
      </c>
      <c r="J52" s="710">
        <f t="shared" si="6"/>
        <v>0</v>
      </c>
      <c r="K52" s="710">
        <f t="shared" si="6"/>
        <v>780888.1716170713</v>
      </c>
      <c r="L52" s="710">
        <f t="shared" si="6"/>
        <v>780888.1716170713</v>
      </c>
    </row>
    <row r="53" spans="1:12" ht="11.25">
      <c r="A53" s="132"/>
      <c r="B53" s="701"/>
      <c r="C53" s="132"/>
      <c r="D53" s="132"/>
      <c r="E53" s="131"/>
      <c r="F53" s="131"/>
      <c r="G53" s="131"/>
      <c r="H53" s="131"/>
      <c r="I53" s="131"/>
      <c r="J53" s="131"/>
      <c r="K53" s="131"/>
      <c r="L53" s="131"/>
    </row>
    <row r="54" spans="1:13" ht="13.5">
      <c r="A54" s="135">
        <v>32</v>
      </c>
      <c r="B54" s="182" t="s">
        <v>108</v>
      </c>
      <c r="C54" s="175"/>
      <c r="D54" s="708">
        <f aca="true" t="shared" si="7" ref="D54:L54">+D52+D42</f>
        <v>698745854</v>
      </c>
      <c r="E54" s="709">
        <f t="shared" si="7"/>
        <v>9608094</v>
      </c>
      <c r="F54" s="709">
        <f>+E54+D54</f>
        <v>708353948</v>
      </c>
      <c r="G54" s="709">
        <f t="shared" si="7"/>
        <v>1849176.074703053</v>
      </c>
      <c r="H54" s="709">
        <f t="shared" si="7"/>
        <v>700595030.0747031</v>
      </c>
      <c r="I54" s="710">
        <f t="shared" si="7"/>
        <v>171381911.5242905</v>
      </c>
      <c r="J54" s="710">
        <f t="shared" si="7"/>
        <v>-1655802.81888</v>
      </c>
      <c r="K54" s="710">
        <f t="shared" si="7"/>
        <v>1438215.1838610466</v>
      </c>
      <c r="L54" s="710">
        <f t="shared" si="7"/>
        <v>171164323.88927153</v>
      </c>
      <c r="M54" s="210"/>
    </row>
    <row r="57" ht="11.25">
      <c r="A57" s="750"/>
    </row>
    <row r="58" spans="1:12" ht="11.25">
      <c r="A58" s="750"/>
      <c r="L58" s="139">
        <f>+L54-L60</f>
        <v>-28485597.925018966</v>
      </c>
    </row>
    <row r="59" ht="11.25">
      <c r="A59" s="750"/>
    </row>
    <row r="60" ht="12.75">
      <c r="L60" s="794">
        <f>+'MPP-3 p1'!G17</f>
        <v>199649921.8142905</v>
      </c>
    </row>
  </sheetData>
  <mergeCells count="6">
    <mergeCell ref="A7:L7"/>
    <mergeCell ref="D11:H11"/>
    <mergeCell ref="I11:L11"/>
    <mergeCell ref="A8:L8"/>
    <mergeCell ref="A9:L9"/>
    <mergeCell ref="A10:L10"/>
  </mergeCells>
  <printOptions/>
  <pageMargins left="0.62" right="0.29" top="1" bottom="0.31" header="0.18" footer="0.18"/>
  <pageSetup fitToHeight="1" fitToWidth="1" horizontalDpi="600" verticalDpi="600" orientation="landscape" scale="79" r:id="rId2"/>
  <drawing r:id="rId1"/>
</worksheet>
</file>

<file path=xl/worksheets/sheet36.xml><?xml version="1.0" encoding="utf-8"?>
<worksheet xmlns="http://schemas.openxmlformats.org/spreadsheetml/2006/main" xmlns:r="http://schemas.openxmlformats.org/officeDocument/2006/relationships">
  <sheetPr>
    <pageSetUpPr fitToPage="1"/>
  </sheetPr>
  <dimension ref="A1:P48"/>
  <sheetViews>
    <sheetView showGridLines="0" zoomScale="75" zoomScaleNormal="75" workbookViewId="0" topLeftCell="A36">
      <selection activeCell="G32" sqref="G32"/>
    </sheetView>
  </sheetViews>
  <sheetFormatPr defaultColWidth="9.33203125" defaultRowHeight="11.25"/>
  <cols>
    <col min="2" max="2" width="27.33203125" style="0" customWidth="1"/>
    <col min="3" max="3" width="9.5" style="0" bestFit="1" customWidth="1"/>
    <col min="4" max="4" width="16.16015625" style="0" customWidth="1"/>
    <col min="5" max="5" width="2.33203125" style="0" customWidth="1"/>
    <col min="6" max="6" width="16.66015625" style="0" customWidth="1"/>
    <col min="7" max="7" width="13.16015625" style="0" customWidth="1"/>
    <col min="8" max="8" width="13" style="0" customWidth="1"/>
    <col min="9" max="9" width="17.66015625" style="0" customWidth="1"/>
    <col min="10" max="10" width="17.5" style="0" customWidth="1"/>
    <col min="11" max="11" width="12.83203125" style="0" bestFit="1" customWidth="1"/>
    <col min="12" max="12" width="25.33203125" style="0" customWidth="1"/>
    <col min="16" max="16" width="13.5" style="0" customWidth="1"/>
  </cols>
  <sheetData>
    <row r="1" ht="15.75">
      <c r="I1" s="37" t="s">
        <v>384</v>
      </c>
    </row>
    <row r="2" ht="15.75">
      <c r="I2" s="37" t="s">
        <v>86</v>
      </c>
    </row>
    <row r="3" ht="15.75">
      <c r="I3" s="37" t="s">
        <v>876</v>
      </c>
    </row>
    <row r="4" ht="15.75">
      <c r="I4" s="37" t="s">
        <v>878</v>
      </c>
    </row>
    <row r="5" ht="15.75">
      <c r="I5" s="37"/>
    </row>
    <row r="6" spans="1:11" ht="15.75">
      <c r="A6" s="1243" t="s">
        <v>658</v>
      </c>
      <c r="B6" s="1244"/>
      <c r="C6" s="1244"/>
      <c r="D6" s="1244"/>
      <c r="E6" s="1244"/>
      <c r="F6" s="1244"/>
      <c r="G6" s="1244"/>
      <c r="H6" s="1244"/>
      <c r="I6" s="1244"/>
      <c r="J6" s="1244"/>
      <c r="K6" s="1245"/>
    </row>
    <row r="7" spans="1:11" ht="18.75">
      <c r="A7" s="1258" t="s">
        <v>311</v>
      </c>
      <c r="B7" s="1259"/>
      <c r="C7" s="1259"/>
      <c r="D7" s="1259"/>
      <c r="E7" s="1259"/>
      <c r="F7" s="1259"/>
      <c r="G7" s="1259"/>
      <c r="H7" s="1259"/>
      <c r="I7" s="1259"/>
      <c r="J7" s="1259"/>
      <c r="K7" s="1260"/>
    </row>
    <row r="8" spans="1:11" ht="18.75">
      <c r="A8" s="1258" t="s">
        <v>312</v>
      </c>
      <c r="B8" s="1259"/>
      <c r="C8" s="1259"/>
      <c r="D8" s="1259"/>
      <c r="E8" s="1259"/>
      <c r="F8" s="1259"/>
      <c r="G8" s="1259"/>
      <c r="H8" s="1259"/>
      <c r="I8" s="1259"/>
      <c r="J8" s="1259"/>
      <c r="K8" s="1260"/>
    </row>
    <row r="9" spans="1:11" ht="15.75">
      <c r="A9" s="1249" t="s">
        <v>659</v>
      </c>
      <c r="B9" s="1250"/>
      <c r="C9" s="1250"/>
      <c r="D9" s="1250"/>
      <c r="E9" s="1250"/>
      <c r="F9" s="1250"/>
      <c r="G9" s="1250"/>
      <c r="H9" s="1250"/>
      <c r="I9" s="1250"/>
      <c r="J9" s="1250"/>
      <c r="K9" s="1251"/>
    </row>
    <row r="10" spans="1:16" ht="11.25">
      <c r="A10" s="20"/>
      <c r="B10" s="20"/>
      <c r="C10" s="20"/>
      <c r="D10" s="15"/>
      <c r="E10" s="15"/>
      <c r="F10" s="22" t="s">
        <v>1273</v>
      </c>
      <c r="G10" s="22" t="s">
        <v>1478</v>
      </c>
      <c r="H10" s="213" t="s">
        <v>1274</v>
      </c>
      <c r="I10" s="213" t="s">
        <v>1275</v>
      </c>
      <c r="J10" s="213"/>
      <c r="K10" s="22" t="s">
        <v>79</v>
      </c>
      <c r="P10" s="212" t="s">
        <v>1276</v>
      </c>
    </row>
    <row r="11" spans="1:16" ht="11.25">
      <c r="A11" s="23" t="s">
        <v>1000</v>
      </c>
      <c r="B11" s="20"/>
      <c r="C11" s="23" t="s">
        <v>1277</v>
      </c>
      <c r="D11" s="22" t="s">
        <v>1273</v>
      </c>
      <c r="E11" s="22"/>
      <c r="F11" s="22" t="s">
        <v>1276</v>
      </c>
      <c r="G11" s="22" t="s">
        <v>1509</v>
      </c>
      <c r="H11" s="213" t="s">
        <v>1278</v>
      </c>
      <c r="I11" s="213" t="s">
        <v>1279</v>
      </c>
      <c r="J11" s="213" t="s">
        <v>997</v>
      </c>
      <c r="K11" s="22" t="s">
        <v>1509</v>
      </c>
      <c r="P11" s="213" t="s">
        <v>1280</v>
      </c>
    </row>
    <row r="12" spans="1:16" ht="11.25">
      <c r="A12" s="24" t="s">
        <v>1006</v>
      </c>
      <c r="B12" s="24" t="s">
        <v>1007</v>
      </c>
      <c r="C12" s="24" t="s">
        <v>1281</v>
      </c>
      <c r="D12" s="25" t="s">
        <v>1282</v>
      </c>
      <c r="E12" s="25"/>
      <c r="F12" s="24" t="s">
        <v>34</v>
      </c>
      <c r="G12" s="25" t="s">
        <v>1510</v>
      </c>
      <c r="H12" s="214" t="s">
        <v>998</v>
      </c>
      <c r="I12" s="214" t="s">
        <v>1283</v>
      </c>
      <c r="J12" s="214" t="s">
        <v>1356</v>
      </c>
      <c r="K12" s="25" t="s">
        <v>1510</v>
      </c>
      <c r="P12" s="214" t="s">
        <v>1284</v>
      </c>
    </row>
    <row r="13" spans="1:11" ht="11.25">
      <c r="A13" s="26"/>
      <c r="B13" s="27" t="s">
        <v>1012</v>
      </c>
      <c r="C13" s="27" t="s">
        <v>1013</v>
      </c>
      <c r="D13" s="28" t="s">
        <v>1014</v>
      </c>
      <c r="E13" s="19"/>
      <c r="F13" s="28" t="s">
        <v>1074</v>
      </c>
      <c r="G13" s="28"/>
      <c r="H13" s="215" t="s">
        <v>1016</v>
      </c>
      <c r="I13" s="212" t="s">
        <v>1075</v>
      </c>
      <c r="J13" s="215" t="s">
        <v>1018</v>
      </c>
      <c r="K13" s="19"/>
    </row>
    <row r="14" spans="1:11" ht="11.25">
      <c r="A14" s="136"/>
      <c r="B14" s="30" t="s">
        <v>1285</v>
      </c>
      <c r="C14" s="18"/>
      <c r="D14" s="165"/>
      <c r="E14" s="129"/>
      <c r="F14" s="197"/>
      <c r="G14" s="197"/>
      <c r="H14" s="1063"/>
      <c r="I14" s="228"/>
      <c r="J14" s="909"/>
      <c r="K14" s="198"/>
    </row>
    <row r="15" spans="1:11" ht="17.25">
      <c r="A15" s="23" t="s">
        <v>1286</v>
      </c>
      <c r="B15" s="31" t="s">
        <v>1289</v>
      </c>
      <c r="C15" s="1021" t="s">
        <v>1290</v>
      </c>
      <c r="D15" s="1033">
        <f>+'JTS-9 S3 WP1'!F17</f>
        <v>104985486</v>
      </c>
      <c r="E15" s="1034"/>
      <c r="F15" s="1035">
        <f>+'JTS-9 S3 WP1'!R17</f>
        <v>30852197.036800012</v>
      </c>
      <c r="G15" s="1036">
        <f>+'WP =% ROR '!K43</f>
        <v>0.016874164157129647</v>
      </c>
      <c r="H15" s="1064">
        <f>+'MPP-2'!F36</f>
        <v>-0.003917456163010873</v>
      </c>
      <c r="I15" s="1037">
        <f>ROUND(H15*F15,0)</f>
        <v>-120862</v>
      </c>
      <c r="J15" s="1038">
        <f>+I15+F15</f>
        <v>30731335.036800012</v>
      </c>
      <c r="K15" s="1036">
        <f>+'WP =% ROR '!M43</f>
        <v>0.016031124777102116</v>
      </c>
    </row>
    <row r="16" spans="1:11" ht="17.25">
      <c r="A16" s="23" t="s">
        <v>1288</v>
      </c>
      <c r="B16" s="31" t="s">
        <v>1292</v>
      </c>
      <c r="C16" s="93"/>
      <c r="D16" s="952">
        <f>+D15</f>
        <v>104985486</v>
      </c>
      <c r="E16" s="1039"/>
      <c r="F16" s="1040">
        <f>+F15</f>
        <v>30852197.036800012</v>
      </c>
      <c r="G16" s="1040"/>
      <c r="H16" s="1042"/>
      <c r="I16" s="1041">
        <f>+I15</f>
        <v>-120862</v>
      </c>
      <c r="J16" s="1042">
        <f>+J15</f>
        <v>30731335.036800012</v>
      </c>
      <c r="K16" s="1041"/>
    </row>
    <row r="17" spans="1:11" ht="15">
      <c r="A17" s="23"/>
      <c r="B17" s="33" t="s">
        <v>1293</v>
      </c>
      <c r="C17" s="93"/>
      <c r="D17" s="943"/>
      <c r="E17" s="1034"/>
      <c r="F17" s="950"/>
      <c r="G17" s="950"/>
      <c r="H17" s="943"/>
      <c r="I17" s="1034"/>
      <c r="J17" s="943"/>
      <c r="K17" s="1034"/>
    </row>
    <row r="18" spans="1:11" ht="15">
      <c r="A18" s="23" t="s">
        <v>1291</v>
      </c>
      <c r="B18" s="31" t="s">
        <v>1295</v>
      </c>
      <c r="C18" s="1021" t="s">
        <v>1296</v>
      </c>
      <c r="D18" s="943">
        <f>+'JTS-9 S3 WP1'!D16+'JTS-9 S3 WP1'!D22</f>
        <v>1431475</v>
      </c>
      <c r="E18" s="1034"/>
      <c r="F18" s="945">
        <f>+'JTS-9 S3 WP1'!R16+'JTS-9 S3 WP1'!R22</f>
        <v>372851.82999999996</v>
      </c>
      <c r="G18" s="1036">
        <f>+'WP =% ROR '!O43</f>
        <v>0.1171495972603568</v>
      </c>
      <c r="H18" s="1064">
        <f>+H15</f>
        <v>-0.003917456163010873</v>
      </c>
      <c r="I18" s="980">
        <f>ROUND(H18*F18,0)</f>
        <v>-1461</v>
      </c>
      <c r="J18" s="946">
        <f>+I18+F18</f>
        <v>371390.82999999996</v>
      </c>
      <c r="K18" s="1036">
        <f>+'WP =% ROR '!Q43</f>
        <v>0.116276528084521</v>
      </c>
    </row>
    <row r="19" spans="1:11" ht="17.25">
      <c r="A19" s="23" t="s">
        <v>1294</v>
      </c>
      <c r="B19" s="31" t="s">
        <v>1298</v>
      </c>
      <c r="C19" s="1021" t="s">
        <v>1299</v>
      </c>
      <c r="D19" s="1033">
        <f>+'JTS-9 S3 WP1'!F19+'JTS-9 S3 WP1'!F26</f>
        <v>161724</v>
      </c>
      <c r="E19" s="1034"/>
      <c r="F19" s="1043">
        <f>+'JTS-9 S3 WP1'!R19+'JTS-9 S3 WP1'!R26</f>
        <v>35738.40999999999</v>
      </c>
      <c r="G19" s="1036">
        <f>+'WP =% ROR '!S43</f>
        <v>0.02296164844146372</v>
      </c>
      <c r="H19" s="1064">
        <f>+H18</f>
        <v>-0.003917456163010873</v>
      </c>
      <c r="I19" s="1044">
        <f>ROUND(H19*F19,0)</f>
        <v>-140</v>
      </c>
      <c r="J19" s="1033">
        <f>+I19+F19</f>
        <v>35598.40999999999</v>
      </c>
      <c r="K19" s="1036">
        <f>+'WP =% ROR '!U43</f>
        <v>0.02240732258079874</v>
      </c>
    </row>
    <row r="20" spans="1:11" ht="17.25">
      <c r="A20" s="23" t="s">
        <v>1297</v>
      </c>
      <c r="B20" s="31" t="s">
        <v>1292</v>
      </c>
      <c r="C20" s="93"/>
      <c r="D20" s="952">
        <f>D19+D18</f>
        <v>1593199</v>
      </c>
      <c r="E20" s="1039"/>
      <c r="F20" s="1040">
        <f>F19+F18</f>
        <v>408590.23999999993</v>
      </c>
      <c r="G20" s="1036"/>
      <c r="H20" s="1064"/>
      <c r="I20" s="1041">
        <f>I18+I19</f>
        <v>-1601</v>
      </c>
      <c r="J20" s="1042">
        <f>J18+J19</f>
        <v>406989.23999999993</v>
      </c>
      <c r="K20" s="1036"/>
    </row>
    <row r="21" spans="1:11" ht="15">
      <c r="A21" s="23"/>
      <c r="B21" s="33" t="s">
        <v>1301</v>
      </c>
      <c r="C21" s="93"/>
      <c r="D21" s="943"/>
      <c r="E21" s="1034"/>
      <c r="F21" s="950"/>
      <c r="G21" s="1036"/>
      <c r="H21" s="1064"/>
      <c r="I21" s="1034"/>
      <c r="J21" s="943"/>
      <c r="K21" s="1036"/>
    </row>
    <row r="22" spans="1:11" ht="17.25">
      <c r="A22" s="23" t="s">
        <v>1300</v>
      </c>
      <c r="B22" s="31" t="s">
        <v>1287</v>
      </c>
      <c r="C22" s="1021" t="s">
        <v>1303</v>
      </c>
      <c r="D22" s="943">
        <f>+'JTS-9 S3 WP1'!F23</f>
        <v>77620374</v>
      </c>
      <c r="E22" s="1034"/>
      <c r="F22" s="1035">
        <f>+'JTS-9 S3 WP1'!R23</f>
        <v>16960283.09736999</v>
      </c>
      <c r="G22" s="1036">
        <f>+'WP =% ROR '!W43</f>
        <v>0.04948301416321784</v>
      </c>
      <c r="H22" s="1064">
        <f>+H19</f>
        <v>-0.003917456163010873</v>
      </c>
      <c r="I22" s="1037">
        <f>ROUND(H22*F22,0)</f>
        <v>-66441</v>
      </c>
      <c r="J22" s="1038">
        <f>+I22+F22</f>
        <v>16893842.09736999</v>
      </c>
      <c r="K22" s="1036">
        <f>+'WP =% ROR '!Y43</f>
        <v>0.048757792179089564</v>
      </c>
    </row>
    <row r="23" spans="1:11" ht="17.25">
      <c r="A23" s="23" t="s">
        <v>1302</v>
      </c>
      <c r="B23" s="31" t="s">
        <v>1292</v>
      </c>
      <c r="C23" s="93"/>
      <c r="D23" s="952">
        <f>+D22</f>
        <v>77620374</v>
      </c>
      <c r="E23" s="1039"/>
      <c r="F23" s="1040">
        <f>+F22</f>
        <v>16960283.09736999</v>
      </c>
      <c r="G23" s="1036"/>
      <c r="H23" s="1064"/>
      <c r="I23" s="1041">
        <f>+I22</f>
        <v>-66441</v>
      </c>
      <c r="J23" s="1042">
        <f>+J22</f>
        <v>16893842.09736999</v>
      </c>
      <c r="K23" s="1036"/>
    </row>
    <row r="24" spans="1:11" ht="15">
      <c r="A24" s="23"/>
      <c r="B24" s="33" t="s">
        <v>1308</v>
      </c>
      <c r="C24" s="93"/>
      <c r="D24" s="943"/>
      <c r="E24" s="1034"/>
      <c r="F24" s="950"/>
      <c r="G24" s="1036"/>
      <c r="H24" s="1064"/>
      <c r="I24" s="1034"/>
      <c r="J24" s="943"/>
      <c r="K24" s="1036"/>
    </row>
    <row r="25" spans="1:11" ht="15">
      <c r="A25" s="23" t="s">
        <v>1304</v>
      </c>
      <c r="B25" s="31" t="s">
        <v>1310</v>
      </c>
      <c r="C25" s="1021" t="s">
        <v>1311</v>
      </c>
      <c r="D25" s="943">
        <f>+'JTS-9 S3 WP1'!F24+'JTS-9 S3 WP1'!F30</f>
        <v>7829441</v>
      </c>
      <c r="E25" s="1034"/>
      <c r="F25" s="945">
        <f>+'JTS-9 S3 WP1'!R24+'JTS-9 S3 WP1'!R30</f>
        <v>1014713.9300000009</v>
      </c>
      <c r="G25" s="1036">
        <f>+'WP =% ROR '!AE43</f>
        <v>0.17396020147966443</v>
      </c>
      <c r="H25" s="1064">
        <f>+H22</f>
        <v>-0.003917456163010873</v>
      </c>
      <c r="I25" s="980">
        <f>ROUND(H25*F25,0)</f>
        <v>-3975</v>
      </c>
      <c r="J25" s="946">
        <f>+I25+F25</f>
        <v>1010738.9300000009</v>
      </c>
      <c r="K25" s="1036">
        <f>+'WP =% ROR '!AG43</f>
        <v>0.17323023167262522</v>
      </c>
    </row>
    <row r="26" spans="1:11" ht="17.25">
      <c r="A26" s="23" t="s">
        <v>1307</v>
      </c>
      <c r="B26" s="31" t="s">
        <v>1305</v>
      </c>
      <c r="C26" s="1021" t="s">
        <v>1306</v>
      </c>
      <c r="D26" s="1033">
        <f>+'JTS-9 S3 WP1'!F25+'JTS-9 S3 WP1'!F31</f>
        <v>61296</v>
      </c>
      <c r="E26" s="1034"/>
      <c r="F26" s="1043">
        <f>+'JTS-9 S3 WP1'!R25+'JTS-9 S3 WP1'!R31</f>
        <v>12451.620000000003</v>
      </c>
      <c r="G26" s="1036">
        <f>+'WP =% ROR '!AA43</f>
        <v>0.5046701123896189</v>
      </c>
      <c r="H26" s="1064">
        <f>+H25</f>
        <v>-0.003917456163010873</v>
      </c>
      <c r="I26" s="1044">
        <f>ROUND(H26*F26,0)</f>
        <v>-49</v>
      </c>
      <c r="J26" s="1033">
        <f>+I26+F26</f>
        <v>12402.620000000003</v>
      </c>
      <c r="K26" s="1036">
        <f>+'WP =% ROR '!AC43</f>
        <v>0.503124748836925</v>
      </c>
    </row>
    <row r="27" spans="1:11" ht="17.25">
      <c r="A27" s="23" t="s">
        <v>1309</v>
      </c>
      <c r="B27" s="31" t="s">
        <v>1292</v>
      </c>
      <c r="C27" s="93"/>
      <c r="D27" s="952">
        <f>+D26+D25</f>
        <v>7890737</v>
      </c>
      <c r="E27" s="1039"/>
      <c r="F27" s="1040">
        <f>+F26+F25</f>
        <v>1027165.5500000009</v>
      </c>
      <c r="G27" s="1036"/>
      <c r="H27" s="1064"/>
      <c r="I27" s="1041">
        <f>I25</f>
        <v>-3975</v>
      </c>
      <c r="J27" s="1042">
        <f>J25</f>
        <v>1010738.9300000009</v>
      </c>
      <c r="K27" s="1036"/>
    </row>
    <row r="28" spans="1:11" ht="15">
      <c r="A28" s="23"/>
      <c r="B28" s="33" t="s">
        <v>1313</v>
      </c>
      <c r="C28" s="93"/>
      <c r="D28" s="943"/>
      <c r="E28" s="1034"/>
      <c r="F28" s="950"/>
      <c r="G28" s="1036"/>
      <c r="H28" s="1064"/>
      <c r="I28" s="1034"/>
      <c r="J28" s="943"/>
      <c r="K28" s="1036"/>
    </row>
    <row r="29" spans="1:11" ht="17.25">
      <c r="A29" s="23" t="s">
        <v>1312</v>
      </c>
      <c r="B29" s="31" t="s">
        <v>1287</v>
      </c>
      <c r="C29" s="1021" t="s">
        <v>1315</v>
      </c>
      <c r="D29" s="1033">
        <f>+'JTS-9 S3 WP1'!F29</f>
        <v>10198314</v>
      </c>
      <c r="E29" s="1034"/>
      <c r="F29" s="1035">
        <f>+'JTS-9 S3 WP1'!R29</f>
        <v>1407925.379999999</v>
      </c>
      <c r="G29" s="1036">
        <f>+'WP =% ROR '!AI43</f>
        <v>0.04005441365745898</v>
      </c>
      <c r="H29" s="1064">
        <f>+H26</f>
        <v>-0.003917456163010873</v>
      </c>
      <c r="I29" s="1037">
        <f>ROUND(H29*F29,0)</f>
        <v>-5515</v>
      </c>
      <c r="J29" s="1038">
        <f>+I29+F29</f>
        <v>1402410.379999999</v>
      </c>
      <c r="K29" s="1036">
        <f>+'WP =% ROR '!AK43</f>
        <v>0.03953724918003577</v>
      </c>
    </row>
    <row r="30" spans="1:11" ht="17.25">
      <c r="A30" s="23" t="s">
        <v>1314</v>
      </c>
      <c r="B30" s="31" t="s">
        <v>1292</v>
      </c>
      <c r="C30" s="93"/>
      <c r="D30" s="952">
        <f>D29</f>
        <v>10198314</v>
      </c>
      <c r="E30" s="1039"/>
      <c r="F30" s="1040">
        <f>F29</f>
        <v>1407925.379999999</v>
      </c>
      <c r="G30" s="1036"/>
      <c r="H30" s="1064"/>
      <c r="I30" s="1041">
        <f>I29</f>
        <v>-5515</v>
      </c>
      <c r="J30" s="1042">
        <f>J29</f>
        <v>1402410.379999999</v>
      </c>
      <c r="K30" s="1036"/>
    </row>
    <row r="31" spans="1:11" ht="15">
      <c r="A31" s="23"/>
      <c r="B31" s="33" t="s">
        <v>1317</v>
      </c>
      <c r="C31" s="93"/>
      <c r="D31" s="943"/>
      <c r="E31" s="1034"/>
      <c r="F31" s="950"/>
      <c r="G31" s="1036"/>
      <c r="H31" s="1064"/>
      <c r="I31" s="1034"/>
      <c r="J31" s="943"/>
      <c r="K31" s="1036"/>
    </row>
    <row r="32" spans="1:11" ht="15">
      <c r="A32" s="23" t="s">
        <v>1316</v>
      </c>
      <c r="B32" s="31" t="s">
        <v>1319</v>
      </c>
      <c r="C32" s="1021" t="s">
        <v>1320</v>
      </c>
      <c r="D32" s="943">
        <f>+'JTS-9 S3 WP1'!F34+'JTS-9 S3 WP1'!F37</f>
        <v>3264164</v>
      </c>
      <c r="E32" s="1034"/>
      <c r="F32" s="945">
        <f>+'JTS-9 S3 WP1'!R34+'JTS-9 S3 WP1'!R37</f>
        <v>189142.09999999998</v>
      </c>
      <c r="G32" s="1036">
        <f>+'WP =% ROR '!AM43</f>
        <v>0.1067014458462572</v>
      </c>
      <c r="H32" s="1064">
        <f>+H29</f>
        <v>-0.003917456163010873</v>
      </c>
      <c r="I32" s="980">
        <f>ROUND(H32*F32,0)</f>
        <v>-741</v>
      </c>
      <c r="J32" s="946">
        <f>+I32+F32</f>
        <v>188401.09999999998</v>
      </c>
      <c r="K32" s="1036">
        <f>+'WP =% ROR '!AO43</f>
        <v>0.10615191128317174</v>
      </c>
    </row>
    <row r="33" spans="1:11" ht="17.25">
      <c r="A33" s="23" t="s">
        <v>1318</v>
      </c>
      <c r="B33" s="31" t="s">
        <v>1322</v>
      </c>
      <c r="C33" s="1021" t="s">
        <v>1323</v>
      </c>
      <c r="D33" s="1033">
        <f>+'JTS-9 S3 WP1'!F38</f>
        <v>407759</v>
      </c>
      <c r="E33" s="1034"/>
      <c r="F33" s="1043">
        <f>+'JTS-9 S3 WP1'!R38</f>
        <v>36976.31</v>
      </c>
      <c r="G33" s="1036">
        <f>+'WP =% ROR '!AQ43</f>
        <v>0.13920905688094717</v>
      </c>
      <c r="H33" s="1064">
        <f>+H32</f>
        <v>-0.003917456163010873</v>
      </c>
      <c r="I33" s="1044">
        <f>ROUND(H33*F33,0)</f>
        <v>-145</v>
      </c>
      <c r="J33" s="1033">
        <f>+I33+F33</f>
        <v>36831.31</v>
      </c>
      <c r="K33" s="1036">
        <f>+'WP =% ROR '!AS43</f>
        <v>0.13859034079943577</v>
      </c>
    </row>
    <row r="34" spans="1:11" ht="17.25">
      <c r="A34" s="23" t="s">
        <v>1321</v>
      </c>
      <c r="B34" s="31" t="s">
        <v>1292</v>
      </c>
      <c r="C34" s="93"/>
      <c r="D34" s="952">
        <f>D33+D32</f>
        <v>3671923</v>
      </c>
      <c r="E34" s="1039"/>
      <c r="F34" s="1040">
        <f>F33+F32</f>
        <v>226118.40999999997</v>
      </c>
      <c r="G34" s="1036"/>
      <c r="H34" s="1064"/>
      <c r="I34" s="1041">
        <f>SUM(I32:I33)</f>
        <v>-886</v>
      </c>
      <c r="J34" s="1042">
        <f>SUM(J32:J33)</f>
        <v>225232.40999999997</v>
      </c>
      <c r="K34" s="1036"/>
    </row>
    <row r="35" spans="1:11" ht="16.5">
      <c r="A35" s="23" t="s">
        <v>1324</v>
      </c>
      <c r="B35" s="33" t="s">
        <v>1326</v>
      </c>
      <c r="C35" s="93"/>
      <c r="D35" s="962">
        <f>D34+D30+D27+D23+D20+D16</f>
        <v>205960033</v>
      </c>
      <c r="E35" s="1045"/>
      <c r="F35" s="1046">
        <f>F34+F30+F27+F23+F20+F16</f>
        <v>50882279.71417</v>
      </c>
      <c r="G35" s="1036"/>
      <c r="H35" s="1064"/>
      <c r="I35" s="1047">
        <f>I34+I30+I27+I23+I20+I16</f>
        <v>-199280</v>
      </c>
      <c r="J35" s="1049">
        <f>J34+J30+J27+J23+J20+J16</f>
        <v>50670548.094170004</v>
      </c>
      <c r="K35" s="1036"/>
    </row>
    <row r="36" spans="1:11" ht="15">
      <c r="A36" s="23"/>
      <c r="B36" s="20"/>
      <c r="C36" s="93"/>
      <c r="D36" s="984"/>
      <c r="E36" s="629"/>
      <c r="F36" s="635"/>
      <c r="G36" s="1036"/>
      <c r="H36" s="1064"/>
      <c r="I36" s="629"/>
      <c r="J36" s="984"/>
      <c r="K36" s="1036"/>
    </row>
    <row r="37" spans="1:11" ht="15">
      <c r="A37" s="23"/>
      <c r="B37" s="33" t="s">
        <v>1327</v>
      </c>
      <c r="C37" s="93"/>
      <c r="D37" s="984"/>
      <c r="E37" s="629"/>
      <c r="F37" s="635"/>
      <c r="G37" s="1036"/>
      <c r="H37" s="1064"/>
      <c r="I37" s="629"/>
      <c r="J37" s="984"/>
      <c r="K37" s="1036"/>
    </row>
    <row r="38" spans="1:11" ht="15">
      <c r="A38" s="23" t="s">
        <v>1325</v>
      </c>
      <c r="B38" s="31" t="s">
        <v>1329</v>
      </c>
      <c r="C38" s="1021" t="s">
        <v>1330</v>
      </c>
      <c r="D38" s="943">
        <f>+'JTS-9 S3 WP1'!F46</f>
        <v>89352258</v>
      </c>
      <c r="E38" s="1034"/>
      <c r="F38" s="945">
        <f>+'JTS-9 S3 WP1'!R46</f>
        <v>8619619.542122565</v>
      </c>
      <c r="G38" s="1036">
        <f>+'WP =% ROR '!AU43</f>
        <v>0.1768902796314059</v>
      </c>
      <c r="H38" s="1064">
        <f>+H33</f>
        <v>-0.003917456163010873</v>
      </c>
      <c r="I38" s="1050">
        <f>ROUND(H38*F38,0)</f>
        <v>-33767</v>
      </c>
      <c r="J38" s="1051">
        <f>+I38+F38</f>
        <v>8585852.542122565</v>
      </c>
      <c r="K38" s="1036">
        <f>+'WP =% ROR '!AW43</f>
        <v>0.176081889867856</v>
      </c>
    </row>
    <row r="39" spans="1:11" ht="15">
      <c r="A39" s="23" t="s">
        <v>1328</v>
      </c>
      <c r="B39" s="31" t="s">
        <v>126</v>
      </c>
      <c r="C39" s="1021">
        <v>664</v>
      </c>
      <c r="D39" s="943">
        <f>+'JTS-9 S3 WP1'!F47</f>
        <v>155323148</v>
      </c>
      <c r="E39" s="1034"/>
      <c r="F39" s="950">
        <f>+'JTS-9 S3 WP1'!R47</f>
        <v>5922700.11</v>
      </c>
      <c r="G39" s="1036">
        <f>+'WP =% ROR '!AY43</f>
        <v>0.05454754767142894</v>
      </c>
      <c r="H39" s="1064">
        <f>+H38</f>
        <v>-0.003917456163010873</v>
      </c>
      <c r="I39" s="1034">
        <f>ROUND(H39*F39,0)</f>
        <v>-23202</v>
      </c>
      <c r="J39" s="943">
        <f>+I39+F39</f>
        <v>5899498.11</v>
      </c>
      <c r="K39" s="1036">
        <f>+'WP =% ROR '!BA43</f>
        <v>0.054089303172992986</v>
      </c>
    </row>
    <row r="40" spans="1:11" ht="15">
      <c r="A40" s="23" t="s">
        <v>1331</v>
      </c>
      <c r="B40" s="31" t="s">
        <v>1332</v>
      </c>
      <c r="C40" s="1021" t="s">
        <v>1333</v>
      </c>
      <c r="D40" s="1052">
        <f>+'JTS-9 S3 WP1'!F48</f>
        <v>0</v>
      </c>
      <c r="E40" s="1034"/>
      <c r="F40" s="982">
        <f>+'JTS-9 S3 WP1'!R48</f>
        <v>0</v>
      </c>
      <c r="G40" s="1036"/>
      <c r="H40" s="1064"/>
      <c r="I40" s="1034">
        <v>0</v>
      </c>
      <c r="J40" s="943">
        <f>+I40+F40</f>
        <v>0</v>
      </c>
      <c r="K40" s="1036"/>
    </row>
    <row r="41" spans="1:11" ht="17.25">
      <c r="A41" s="23" t="s">
        <v>1334</v>
      </c>
      <c r="B41" s="31" t="s">
        <v>1335</v>
      </c>
      <c r="C41" s="1021" t="s">
        <v>1336</v>
      </c>
      <c r="D41" s="1033">
        <f>+'JTS-9 S3 WP1'!F49</f>
        <v>257718509</v>
      </c>
      <c r="E41" s="629"/>
      <c r="F41" s="1043">
        <f>+'JTS-9 S3 WP1'!R49</f>
        <v>5832166.85</v>
      </c>
      <c r="G41" s="1036">
        <f>+'WP =% ROR '!BC43</f>
        <v>0.12482162732238837</v>
      </c>
      <c r="H41" s="1064">
        <v>0</v>
      </c>
      <c r="I41" s="1044">
        <v>0</v>
      </c>
      <c r="J41" s="1033">
        <f>+I41+F41</f>
        <v>5832166.85</v>
      </c>
      <c r="K41" s="1036">
        <f>+'WP =% ROR '!BE43</f>
        <v>0.12482162732238837</v>
      </c>
    </row>
    <row r="42" spans="1:11" ht="15">
      <c r="A42" s="23" t="s">
        <v>1337</v>
      </c>
      <c r="B42" s="31" t="s">
        <v>1345</v>
      </c>
      <c r="C42" s="93"/>
      <c r="D42" s="474"/>
      <c r="E42" s="1045"/>
      <c r="F42" s="474"/>
      <c r="G42" s="474"/>
      <c r="H42" s="474"/>
      <c r="I42" s="629"/>
      <c r="J42" s="474"/>
      <c r="K42" s="629"/>
    </row>
    <row r="43" spans="1:11" ht="17.25">
      <c r="A43" s="23" t="s">
        <v>1346</v>
      </c>
      <c r="B43" s="33" t="s">
        <v>1347</v>
      </c>
      <c r="C43" s="93"/>
      <c r="D43" s="962">
        <f>SUM(D38:D41)</f>
        <v>502393915</v>
      </c>
      <c r="E43" s="629"/>
      <c r="F43" s="1040">
        <f>SUM(F38:F41)</f>
        <v>20374486.502122566</v>
      </c>
      <c r="G43" s="1040"/>
      <c r="H43" s="1042"/>
      <c r="I43" s="1053">
        <f>SUM(I38:I39)</f>
        <v>-56969</v>
      </c>
      <c r="J43" s="1054">
        <f>SUM(J38:J41)</f>
        <v>20317517.502122566</v>
      </c>
      <c r="K43" s="1041"/>
    </row>
    <row r="44" spans="1:11" ht="17.25">
      <c r="A44" s="137"/>
      <c r="B44" s="20"/>
      <c r="C44" s="93"/>
      <c r="D44" s="962"/>
      <c r="E44" s="629"/>
      <c r="F44" s="1040"/>
      <c r="G44" s="1040"/>
      <c r="H44" s="1042"/>
      <c r="I44" s="1053"/>
      <c r="J44" s="1054"/>
      <c r="K44" s="1041"/>
    </row>
    <row r="45" spans="1:11" ht="16.5">
      <c r="A45" s="23" t="s">
        <v>1348</v>
      </c>
      <c r="B45" s="33" t="s">
        <v>1349</v>
      </c>
      <c r="C45" s="93"/>
      <c r="D45" s="962">
        <f>D43+D35</f>
        <v>708353948</v>
      </c>
      <c r="E45" s="1045"/>
      <c r="F45" s="1046">
        <f>F43+F35</f>
        <v>71256766.21629256</v>
      </c>
      <c r="G45" s="1046"/>
      <c r="H45" s="1049"/>
      <c r="I45" s="1047">
        <f>I43+I35</f>
        <v>-256249</v>
      </c>
      <c r="J45" s="1049">
        <f>J43+J35</f>
        <v>70988065.59629257</v>
      </c>
      <c r="K45" s="1047"/>
    </row>
    <row r="46" spans="1:11" ht="15">
      <c r="A46" s="23"/>
      <c r="B46" s="31" t="s">
        <v>1009</v>
      </c>
      <c r="C46" s="93"/>
      <c r="D46" s="943"/>
      <c r="E46" s="1034"/>
      <c r="F46" s="950"/>
      <c r="G46" s="950"/>
      <c r="H46" s="943"/>
      <c r="I46" s="629"/>
      <c r="J46" s="984"/>
      <c r="K46" s="1034"/>
    </row>
    <row r="47" spans="1:11" ht="17.25">
      <c r="A47" s="23" t="s">
        <v>1350</v>
      </c>
      <c r="B47" s="156" t="s">
        <v>123</v>
      </c>
      <c r="C47" s="93"/>
      <c r="D47" s="1055"/>
      <c r="E47" s="1056"/>
      <c r="F47" s="1040">
        <f>+'JTS-9 S3 WP1'!R56</f>
        <v>9760691.47</v>
      </c>
      <c r="G47" s="1040"/>
      <c r="H47" s="1042"/>
      <c r="I47" s="1041">
        <f>+'MPP-2'!F31</f>
        <v>1885720</v>
      </c>
      <c r="J47" s="1042">
        <f>+I47+F47</f>
        <v>11646411.47</v>
      </c>
      <c r="K47" s="1057"/>
    </row>
    <row r="48" spans="1:11" ht="16.5">
      <c r="A48" s="27">
        <v>25</v>
      </c>
      <c r="B48" s="142" t="s">
        <v>1352</v>
      </c>
      <c r="C48" s="1058"/>
      <c r="D48" s="1059">
        <f>+D45</f>
        <v>708353948</v>
      </c>
      <c r="E48" s="970"/>
      <c r="F48" s="1060">
        <f>+F47+F45</f>
        <v>81017457.68629256</v>
      </c>
      <c r="G48" s="1060"/>
      <c r="H48" s="1065"/>
      <c r="I48" s="1060">
        <f>+I47+I45</f>
        <v>1629471</v>
      </c>
      <c r="J48" s="1066">
        <f>+J47+J45</f>
        <v>82634477.06629257</v>
      </c>
      <c r="K48" s="1060"/>
    </row>
  </sheetData>
  <mergeCells count="4">
    <mergeCell ref="A6:K6"/>
    <mergeCell ref="A7:K7"/>
    <mergeCell ref="A9:K9"/>
    <mergeCell ref="A8:K8"/>
  </mergeCells>
  <printOptions/>
  <pageMargins left="0.88" right="0.26" top="1.08" bottom="0.18" header="0.25" footer="0.5"/>
  <pageSetup fitToHeight="1" fitToWidth="1" horizontalDpi="300" verticalDpi="300" orientation="landscape" scale="76" r:id="rId2"/>
  <drawing r:id="rId1"/>
</worksheet>
</file>

<file path=xl/worksheets/sheet37.xml><?xml version="1.0" encoding="utf-8"?>
<worksheet xmlns="http://schemas.openxmlformats.org/spreadsheetml/2006/main" xmlns:r="http://schemas.openxmlformats.org/officeDocument/2006/relationships">
  <sheetPr>
    <pageSetUpPr fitToPage="1"/>
  </sheetPr>
  <dimension ref="A1:BE93"/>
  <sheetViews>
    <sheetView showGridLines="0" view="pageBreakPreview" zoomScale="75" zoomScaleNormal="75" zoomScaleSheetLayoutView="75" workbookViewId="0" topLeftCell="A1">
      <selection activeCell="G32" sqref="G32"/>
    </sheetView>
  </sheetViews>
  <sheetFormatPr defaultColWidth="9.33203125" defaultRowHeight="11.25"/>
  <cols>
    <col min="1" max="1" width="5.83203125" style="0" customWidth="1"/>
    <col min="2" max="2" width="37.33203125" style="0" customWidth="1"/>
    <col min="3" max="3" width="16" style="0" hidden="1" customWidth="1"/>
    <col min="4" max="4" width="17.5" style="0" hidden="1" customWidth="1"/>
    <col min="5" max="5" width="18.16015625" style="0" hidden="1" customWidth="1"/>
    <col min="6" max="7" width="16.33203125" style="0" hidden="1" customWidth="1"/>
    <col min="8" max="8" width="20" style="0" hidden="1" customWidth="1"/>
    <col min="9" max="9" width="18.16015625" style="0" hidden="1" customWidth="1"/>
    <col min="10" max="10" width="2.16015625" style="0" customWidth="1"/>
    <col min="11" max="13" width="16.66015625" style="0" customWidth="1"/>
    <col min="14" max="14" width="3.16015625" style="0" customWidth="1"/>
    <col min="15" max="16" width="13.83203125" style="0" customWidth="1"/>
    <col min="17" max="17" width="17.66015625" style="0" customWidth="1"/>
    <col min="18" max="18" width="3.16015625" style="0" customWidth="1"/>
    <col min="19" max="20" width="13.83203125" style="0" customWidth="1"/>
    <col min="21" max="21" width="15.66015625" style="0" customWidth="1"/>
    <col min="22" max="22" width="17.5" style="0" customWidth="1"/>
    <col min="23" max="24" width="13.83203125" style="0" customWidth="1"/>
    <col min="25" max="25" width="16.5" style="0" customWidth="1"/>
    <col min="26" max="26" width="2.33203125" style="0" customWidth="1"/>
    <col min="27" max="28" width="13.83203125" style="0" customWidth="1"/>
    <col min="29" max="29" width="17.16015625" style="0" customWidth="1"/>
    <col min="30" max="30" width="3" style="0" customWidth="1"/>
    <col min="31" max="32" width="13.83203125" style="0" customWidth="1"/>
    <col min="33" max="33" width="17" style="0" customWidth="1"/>
    <col min="34" max="34" width="17.5" style="0" customWidth="1"/>
    <col min="35" max="36" width="13.83203125" style="0" customWidth="1"/>
    <col min="37" max="37" width="17" style="0" customWidth="1"/>
    <col min="38" max="38" width="3.16015625" style="0" customWidth="1"/>
    <col min="39" max="40" width="13.83203125" style="0" customWidth="1"/>
    <col min="41" max="41" width="17.66015625" style="0" customWidth="1"/>
    <col min="42" max="42" width="3.33203125" style="0" customWidth="1"/>
    <col min="43" max="44" width="13.83203125" style="0" customWidth="1"/>
    <col min="45" max="45" width="17.16015625" style="0" customWidth="1"/>
    <col min="46" max="46" width="17.5" style="0" customWidth="1"/>
    <col min="47" max="47" width="13.83203125" style="0" customWidth="1"/>
    <col min="48" max="48" width="15" style="0" customWidth="1"/>
    <col min="49" max="49" width="17" style="0" customWidth="1"/>
    <col min="50" max="50" width="3.16015625" style="0" customWidth="1"/>
    <col min="51" max="51" width="16.16015625" style="0" customWidth="1"/>
    <col min="52" max="52" width="16.66015625" style="0" customWidth="1"/>
    <col min="53" max="53" width="17.33203125" style="0" customWidth="1"/>
    <col min="54" max="54" width="3.16015625" style="0" customWidth="1"/>
    <col min="55" max="55" width="16.16015625" style="0" customWidth="1"/>
    <col min="56" max="56" width="16.66015625" style="0" customWidth="1"/>
    <col min="57" max="57" width="17.16015625" style="0" customWidth="1"/>
    <col min="58" max="58" width="12.83203125" style="0" customWidth="1"/>
  </cols>
  <sheetData>
    <row r="1" spans="1:5" ht="11.25">
      <c r="A1" s="1"/>
      <c r="B1" s="2"/>
      <c r="D1" s="3"/>
      <c r="E1" s="4"/>
    </row>
    <row r="2" spans="4:57" ht="18.75" customHeight="1">
      <c r="D2" s="783"/>
      <c r="E2" s="783"/>
      <c r="F2" s="783"/>
      <c r="G2" s="783"/>
      <c r="H2" s="784"/>
      <c r="J2" s="73"/>
      <c r="K2" s="1243" t="s">
        <v>658</v>
      </c>
      <c r="L2" s="1244"/>
      <c r="M2" s="1244"/>
      <c r="N2" s="1244"/>
      <c r="O2" s="1244"/>
      <c r="P2" s="1244"/>
      <c r="Q2" s="1244"/>
      <c r="R2" s="1244"/>
      <c r="S2" s="1244"/>
      <c r="T2" s="1244"/>
      <c r="U2" s="1245"/>
      <c r="W2" s="1243" t="s">
        <v>658</v>
      </c>
      <c r="X2" s="1244"/>
      <c r="Y2" s="1244"/>
      <c r="Z2" s="1244"/>
      <c r="AA2" s="1244"/>
      <c r="AB2" s="1244"/>
      <c r="AC2" s="1244"/>
      <c r="AD2" s="1244"/>
      <c r="AE2" s="1244"/>
      <c r="AF2" s="1244"/>
      <c r="AG2" s="1245"/>
      <c r="AI2" s="1243" t="s">
        <v>658</v>
      </c>
      <c r="AJ2" s="1244"/>
      <c r="AK2" s="1244"/>
      <c r="AL2" s="1244"/>
      <c r="AM2" s="1244"/>
      <c r="AN2" s="1244"/>
      <c r="AO2" s="1244"/>
      <c r="AP2" s="1244"/>
      <c r="AQ2" s="1244"/>
      <c r="AR2" s="1244"/>
      <c r="AS2" s="1245"/>
      <c r="AU2" s="1243" t="s">
        <v>658</v>
      </c>
      <c r="AV2" s="1244"/>
      <c r="AW2" s="1244"/>
      <c r="AX2" s="1244"/>
      <c r="AY2" s="1244"/>
      <c r="AZ2" s="1244"/>
      <c r="BA2" s="1244"/>
      <c r="BB2" s="1244"/>
      <c r="BC2" s="1244"/>
      <c r="BD2" s="1244"/>
      <c r="BE2" s="1245"/>
    </row>
    <row r="3" spans="4:57" ht="20.25">
      <c r="D3" s="795"/>
      <c r="E3" s="795"/>
      <c r="F3" s="795"/>
      <c r="G3" s="795"/>
      <c r="H3" s="796"/>
      <c r="J3" s="73"/>
      <c r="K3" s="1246" t="s">
        <v>1504</v>
      </c>
      <c r="L3" s="1247"/>
      <c r="M3" s="1247"/>
      <c r="N3" s="1247"/>
      <c r="O3" s="1247"/>
      <c r="P3" s="1247"/>
      <c r="Q3" s="1247"/>
      <c r="R3" s="1247"/>
      <c r="S3" s="1247"/>
      <c r="T3" s="1247"/>
      <c r="U3" s="1248"/>
      <c r="V3" s="143"/>
      <c r="W3" s="1246" t="s">
        <v>1504</v>
      </c>
      <c r="X3" s="1247"/>
      <c r="Y3" s="1247"/>
      <c r="Z3" s="1247"/>
      <c r="AA3" s="1247"/>
      <c r="AB3" s="1247"/>
      <c r="AC3" s="1247"/>
      <c r="AD3" s="1247"/>
      <c r="AE3" s="1247"/>
      <c r="AF3" s="1247"/>
      <c r="AG3" s="1248"/>
      <c r="AH3" s="143"/>
      <c r="AI3" s="1246" t="s">
        <v>1504</v>
      </c>
      <c r="AJ3" s="1247"/>
      <c r="AK3" s="1247"/>
      <c r="AL3" s="1247"/>
      <c r="AM3" s="1247"/>
      <c r="AN3" s="1247"/>
      <c r="AO3" s="1247"/>
      <c r="AP3" s="1247"/>
      <c r="AQ3" s="1247"/>
      <c r="AR3" s="1247"/>
      <c r="AS3" s="1248"/>
      <c r="AT3" s="143"/>
      <c r="AU3" s="1246" t="s">
        <v>1504</v>
      </c>
      <c r="AV3" s="1247"/>
      <c r="AW3" s="1247"/>
      <c r="AX3" s="1247"/>
      <c r="AY3" s="1247"/>
      <c r="AZ3" s="1247"/>
      <c r="BA3" s="1247"/>
      <c r="BB3" s="1247"/>
      <c r="BC3" s="1247"/>
      <c r="BD3" s="1247"/>
      <c r="BE3" s="1248"/>
    </row>
    <row r="4" spans="4:57" ht="20.25">
      <c r="D4" s="795"/>
      <c r="E4" s="795"/>
      <c r="F4" s="795"/>
      <c r="G4" s="795"/>
      <c r="H4" s="796"/>
      <c r="J4" s="73"/>
      <c r="K4" s="1246" t="s">
        <v>1508</v>
      </c>
      <c r="L4" s="1247"/>
      <c r="M4" s="1247"/>
      <c r="N4" s="1247"/>
      <c r="O4" s="1247"/>
      <c r="P4" s="1247"/>
      <c r="Q4" s="1247"/>
      <c r="R4" s="1247"/>
      <c r="S4" s="1247"/>
      <c r="T4" s="1247"/>
      <c r="U4" s="1248"/>
      <c r="V4" s="143"/>
      <c r="W4" s="1246" t="str">
        <f>+K4</f>
        <v>Equal Percent of Margin Basis</v>
      </c>
      <c r="X4" s="1247"/>
      <c r="Y4" s="1247"/>
      <c r="Z4" s="1247"/>
      <c r="AA4" s="1247"/>
      <c r="AB4" s="1247"/>
      <c r="AC4" s="1247"/>
      <c r="AD4" s="1247"/>
      <c r="AE4" s="1247"/>
      <c r="AF4" s="1247"/>
      <c r="AG4" s="1248"/>
      <c r="AH4" s="143"/>
      <c r="AI4" s="1246" t="str">
        <f>+K4</f>
        <v>Equal Percent of Margin Basis</v>
      </c>
      <c r="AJ4" s="1247"/>
      <c r="AK4" s="1247"/>
      <c r="AL4" s="1247"/>
      <c r="AM4" s="1247"/>
      <c r="AN4" s="1247"/>
      <c r="AO4" s="1247"/>
      <c r="AP4" s="1247"/>
      <c r="AQ4" s="1247"/>
      <c r="AR4" s="1247"/>
      <c r="AS4" s="1248"/>
      <c r="AT4" s="143"/>
      <c r="AU4" s="1246" t="str">
        <f>+K4</f>
        <v>Equal Percent of Margin Basis</v>
      </c>
      <c r="AV4" s="1247"/>
      <c r="AW4" s="1247"/>
      <c r="AX4" s="1247"/>
      <c r="AY4" s="1247"/>
      <c r="AZ4" s="1247"/>
      <c r="BA4" s="1247"/>
      <c r="BB4" s="1247"/>
      <c r="BC4" s="1247"/>
      <c r="BD4" s="1247"/>
      <c r="BE4" s="1248"/>
    </row>
    <row r="5" spans="4:57" ht="15.75">
      <c r="D5" s="871"/>
      <c r="E5" s="871"/>
      <c r="F5" s="871"/>
      <c r="G5" s="871"/>
      <c r="H5" s="873"/>
      <c r="J5" s="73"/>
      <c r="K5" s="1249" t="s">
        <v>659</v>
      </c>
      <c r="L5" s="1250"/>
      <c r="M5" s="1250"/>
      <c r="N5" s="1250"/>
      <c r="O5" s="1250"/>
      <c r="P5" s="1250"/>
      <c r="Q5" s="1250"/>
      <c r="R5" s="1250"/>
      <c r="S5" s="1250"/>
      <c r="T5" s="1250"/>
      <c r="U5" s="1251"/>
      <c r="V5" s="143"/>
      <c r="W5" s="1249" t="s">
        <v>659</v>
      </c>
      <c r="X5" s="1250"/>
      <c r="Y5" s="1250"/>
      <c r="Z5" s="1250"/>
      <c r="AA5" s="1250"/>
      <c r="AB5" s="1250"/>
      <c r="AC5" s="1250"/>
      <c r="AD5" s="1250"/>
      <c r="AE5" s="1250"/>
      <c r="AF5" s="1250"/>
      <c r="AG5" s="1251"/>
      <c r="AH5" s="143"/>
      <c r="AI5" s="1249" t="s">
        <v>659</v>
      </c>
      <c r="AJ5" s="1250"/>
      <c r="AK5" s="1250"/>
      <c r="AL5" s="1250"/>
      <c r="AM5" s="1250"/>
      <c r="AN5" s="1250"/>
      <c r="AO5" s="1250"/>
      <c r="AP5" s="1250"/>
      <c r="AQ5" s="1250"/>
      <c r="AR5" s="1250"/>
      <c r="AS5" s="1251"/>
      <c r="AT5" s="143"/>
      <c r="AU5" s="1249" t="s">
        <v>659</v>
      </c>
      <c r="AV5" s="1250"/>
      <c r="AW5" s="1250"/>
      <c r="AX5" s="1250"/>
      <c r="AY5" s="1250"/>
      <c r="AZ5" s="1250"/>
      <c r="BA5" s="1250"/>
      <c r="BB5" s="1250"/>
      <c r="BC5" s="1250"/>
      <c r="BD5" s="1250"/>
      <c r="BE5" s="1251"/>
    </row>
    <row r="6" spans="1:57" ht="15.75">
      <c r="A6" s="178"/>
      <c r="B6" s="874"/>
      <c r="C6" s="175"/>
      <c r="D6" s="874"/>
      <c r="E6" s="874"/>
      <c r="F6" s="874"/>
      <c r="G6" s="874"/>
      <c r="H6" s="874"/>
      <c r="I6" s="180"/>
      <c r="J6" s="180"/>
      <c r="K6" s="1332" t="s">
        <v>279</v>
      </c>
      <c r="L6" s="1333"/>
      <c r="M6" s="1334"/>
      <c r="N6" s="175"/>
      <c r="O6" s="1332" t="s">
        <v>280</v>
      </c>
      <c r="P6" s="1333"/>
      <c r="Q6" s="1334"/>
      <c r="R6" s="175"/>
      <c r="S6" s="1332" t="s">
        <v>281</v>
      </c>
      <c r="T6" s="1333"/>
      <c r="U6" s="1334"/>
      <c r="V6" s="143"/>
      <c r="W6" s="1333" t="s">
        <v>282</v>
      </c>
      <c r="X6" s="1333"/>
      <c r="Y6" s="1334"/>
      <c r="Z6" s="175"/>
      <c r="AA6" s="1332" t="s">
        <v>285</v>
      </c>
      <c r="AB6" s="1333"/>
      <c r="AC6" s="1334"/>
      <c r="AD6" s="175"/>
      <c r="AE6" s="1332" t="s">
        <v>284</v>
      </c>
      <c r="AF6" s="1333"/>
      <c r="AG6" s="1334"/>
      <c r="AH6" s="143"/>
      <c r="AI6" s="1332" t="s">
        <v>283</v>
      </c>
      <c r="AJ6" s="1333"/>
      <c r="AK6" s="1334"/>
      <c r="AL6" s="175"/>
      <c r="AM6" s="1332" t="s">
        <v>286</v>
      </c>
      <c r="AN6" s="1333"/>
      <c r="AO6" s="1334"/>
      <c r="AP6" s="179"/>
      <c r="AQ6" s="1332" t="s">
        <v>287</v>
      </c>
      <c r="AR6" s="1333"/>
      <c r="AS6" s="1334"/>
      <c r="AT6" s="143"/>
      <c r="AU6" s="1332" t="s">
        <v>288</v>
      </c>
      <c r="AV6" s="1333"/>
      <c r="AW6" s="1334"/>
      <c r="AX6" s="175"/>
      <c r="AY6" s="1332" t="s">
        <v>1506</v>
      </c>
      <c r="AZ6" s="1333"/>
      <c r="BA6" s="1334"/>
      <c r="BB6" s="175"/>
      <c r="BC6" s="1332" t="s">
        <v>1507</v>
      </c>
      <c r="BD6" s="1333"/>
      <c r="BE6" s="1334"/>
    </row>
    <row r="7" spans="1:57" ht="11.25">
      <c r="A7" s="21"/>
      <c r="B7" s="132"/>
      <c r="C7" s="15"/>
      <c r="D7" s="15"/>
      <c r="E7" s="15"/>
      <c r="F7" s="143"/>
      <c r="G7" s="132"/>
      <c r="H7" s="22" t="s">
        <v>995</v>
      </c>
      <c r="I7" s="15"/>
      <c r="J7" s="15"/>
      <c r="K7" s="115" t="s">
        <v>1285</v>
      </c>
      <c r="L7" s="115" t="s">
        <v>995</v>
      </c>
      <c r="M7" s="115"/>
      <c r="N7" s="115"/>
      <c r="O7" s="115"/>
      <c r="P7" s="115" t="s">
        <v>995</v>
      </c>
      <c r="Q7" s="115"/>
      <c r="R7" s="270"/>
      <c r="S7" s="115"/>
      <c r="T7" s="115" t="s">
        <v>995</v>
      </c>
      <c r="U7" s="115"/>
      <c r="V7" s="347"/>
      <c r="W7" s="885"/>
      <c r="X7" s="115" t="s">
        <v>995</v>
      </c>
      <c r="Y7" s="115"/>
      <c r="Z7" s="115"/>
      <c r="AA7" s="115"/>
      <c r="AB7" s="115" t="s">
        <v>995</v>
      </c>
      <c r="AC7" s="115"/>
      <c r="AD7" s="115"/>
      <c r="AE7" s="115"/>
      <c r="AF7" s="115" t="s">
        <v>995</v>
      </c>
      <c r="AG7" s="115"/>
      <c r="AH7" s="347"/>
      <c r="AI7" s="115"/>
      <c r="AJ7" s="115" t="s">
        <v>995</v>
      </c>
      <c r="AK7" s="115"/>
      <c r="AL7" s="115"/>
      <c r="AM7" s="115"/>
      <c r="AN7" s="115" t="s">
        <v>995</v>
      </c>
      <c r="AO7" s="115"/>
      <c r="AP7" s="115"/>
      <c r="AQ7" s="115"/>
      <c r="AR7" s="115" t="s">
        <v>995</v>
      </c>
      <c r="AS7" s="115"/>
      <c r="AT7" s="347"/>
      <c r="AU7" s="115"/>
      <c r="AV7" s="115" t="s">
        <v>995</v>
      </c>
      <c r="AW7" s="115"/>
      <c r="AX7" s="115"/>
      <c r="AY7" s="115"/>
      <c r="AZ7" s="115" t="s">
        <v>995</v>
      </c>
      <c r="BA7" s="115"/>
      <c r="BB7" s="115"/>
      <c r="BC7" s="115"/>
      <c r="BD7" s="115" t="s">
        <v>995</v>
      </c>
      <c r="BE7" s="115"/>
    </row>
    <row r="8" spans="1:57" ht="11.25">
      <c r="A8" s="21"/>
      <c r="B8" s="132"/>
      <c r="C8" s="22" t="s">
        <v>996</v>
      </c>
      <c r="D8" s="22" t="s">
        <v>997</v>
      </c>
      <c r="E8" s="22" t="s">
        <v>997</v>
      </c>
      <c r="F8" s="347" t="s">
        <v>997</v>
      </c>
      <c r="G8" s="115" t="s">
        <v>997</v>
      </c>
      <c r="H8" s="22" t="s">
        <v>998</v>
      </c>
      <c r="I8" s="22" t="s">
        <v>997</v>
      </c>
      <c r="J8" s="22"/>
      <c r="K8" s="115">
        <v>503</v>
      </c>
      <c r="L8" s="115" t="s">
        <v>998</v>
      </c>
      <c r="M8" s="115" t="s">
        <v>1010</v>
      </c>
      <c r="N8" s="115"/>
      <c r="O8" s="115">
        <v>502</v>
      </c>
      <c r="P8" s="115" t="s">
        <v>998</v>
      </c>
      <c r="Q8" s="115" t="s">
        <v>1010</v>
      </c>
      <c r="R8" s="270"/>
      <c r="S8" s="115">
        <v>541</v>
      </c>
      <c r="T8" s="115" t="s">
        <v>998</v>
      </c>
      <c r="U8" s="115" t="s">
        <v>1010</v>
      </c>
      <c r="V8" s="347"/>
      <c r="W8" s="885">
        <v>504</v>
      </c>
      <c r="X8" s="115" t="s">
        <v>998</v>
      </c>
      <c r="Y8" s="115" t="s">
        <v>1010</v>
      </c>
      <c r="Z8" s="115"/>
      <c r="AA8" s="115">
        <v>512</v>
      </c>
      <c r="AB8" s="115" t="s">
        <v>998</v>
      </c>
      <c r="AC8" s="115" t="s">
        <v>1010</v>
      </c>
      <c r="AD8" s="115"/>
      <c r="AE8" s="115">
        <v>511</v>
      </c>
      <c r="AF8" s="115" t="s">
        <v>998</v>
      </c>
      <c r="AG8" s="115" t="s">
        <v>1010</v>
      </c>
      <c r="AH8" s="347"/>
      <c r="AI8" s="115">
        <v>505</v>
      </c>
      <c r="AJ8" s="115" t="s">
        <v>998</v>
      </c>
      <c r="AK8" s="115" t="s">
        <v>1010</v>
      </c>
      <c r="AL8" s="115"/>
      <c r="AM8" s="115">
        <v>570</v>
      </c>
      <c r="AN8" s="115" t="s">
        <v>998</v>
      </c>
      <c r="AO8" s="115" t="s">
        <v>1010</v>
      </c>
      <c r="AP8" s="115"/>
      <c r="AQ8" s="115">
        <v>577</v>
      </c>
      <c r="AR8" s="115" t="s">
        <v>998</v>
      </c>
      <c r="AS8" s="115" t="s">
        <v>1010</v>
      </c>
      <c r="AT8" s="347"/>
      <c r="AU8" s="115">
        <v>663</v>
      </c>
      <c r="AV8" s="115" t="s">
        <v>998</v>
      </c>
      <c r="AW8" s="115" t="s">
        <v>1010</v>
      </c>
      <c r="AX8" s="115"/>
      <c r="AY8" s="115">
        <v>664</v>
      </c>
      <c r="AZ8" s="115" t="s">
        <v>998</v>
      </c>
      <c r="BA8" s="115" t="s">
        <v>1010</v>
      </c>
      <c r="BB8" s="115"/>
      <c r="BC8" s="115">
        <v>901</v>
      </c>
      <c r="BD8" s="115" t="s">
        <v>998</v>
      </c>
      <c r="BE8" s="115" t="s">
        <v>1010</v>
      </c>
    </row>
    <row r="9" spans="1:57" ht="11.25">
      <c r="A9" s="32" t="s">
        <v>1000</v>
      </c>
      <c r="B9" s="132"/>
      <c r="C9" s="22" t="s">
        <v>1001</v>
      </c>
      <c r="D9" s="22" t="s">
        <v>1002</v>
      </c>
      <c r="E9" s="22" t="s">
        <v>1003</v>
      </c>
      <c r="F9" s="347" t="s">
        <v>1004</v>
      </c>
      <c r="G9" s="115" t="s">
        <v>1004</v>
      </c>
      <c r="H9" s="22" t="s">
        <v>1005</v>
      </c>
      <c r="I9" s="349" t="s">
        <v>1004</v>
      </c>
      <c r="J9" s="349"/>
      <c r="K9" s="864" t="s">
        <v>1004</v>
      </c>
      <c r="L9" s="864" t="s">
        <v>1005</v>
      </c>
      <c r="M9" s="864" t="s">
        <v>278</v>
      </c>
      <c r="N9" s="864"/>
      <c r="O9" s="864" t="s">
        <v>1004</v>
      </c>
      <c r="P9" s="864" t="s">
        <v>1005</v>
      </c>
      <c r="Q9" s="864" t="s">
        <v>278</v>
      </c>
      <c r="R9" s="875"/>
      <c r="S9" s="864" t="s">
        <v>1004</v>
      </c>
      <c r="T9" s="864" t="s">
        <v>1005</v>
      </c>
      <c r="U9" s="864" t="s">
        <v>278</v>
      </c>
      <c r="V9" s="892"/>
      <c r="W9" s="886" t="s">
        <v>1004</v>
      </c>
      <c r="X9" s="864" t="s">
        <v>1005</v>
      </c>
      <c r="Y9" s="864" t="s">
        <v>278</v>
      </c>
      <c r="Z9" s="864"/>
      <c r="AA9" s="864" t="s">
        <v>1004</v>
      </c>
      <c r="AB9" s="864" t="s">
        <v>1005</v>
      </c>
      <c r="AC9" s="864" t="s">
        <v>278</v>
      </c>
      <c r="AD9" s="864"/>
      <c r="AE9" s="864" t="s">
        <v>1004</v>
      </c>
      <c r="AF9" s="864" t="s">
        <v>1005</v>
      </c>
      <c r="AG9" s="864" t="s">
        <v>278</v>
      </c>
      <c r="AH9" s="892"/>
      <c r="AI9" s="864" t="s">
        <v>1004</v>
      </c>
      <c r="AJ9" s="864" t="s">
        <v>1005</v>
      </c>
      <c r="AK9" s="864" t="s">
        <v>278</v>
      </c>
      <c r="AL9" s="864"/>
      <c r="AM9" s="864" t="s">
        <v>1004</v>
      </c>
      <c r="AN9" s="864" t="s">
        <v>1005</v>
      </c>
      <c r="AO9" s="864" t="s">
        <v>278</v>
      </c>
      <c r="AP9" s="864"/>
      <c r="AQ9" s="864" t="s">
        <v>1004</v>
      </c>
      <c r="AR9" s="864" t="s">
        <v>1005</v>
      </c>
      <c r="AS9" s="864" t="s">
        <v>278</v>
      </c>
      <c r="AT9" s="892"/>
      <c r="AU9" s="864" t="s">
        <v>1004</v>
      </c>
      <c r="AV9" s="864" t="s">
        <v>1005</v>
      </c>
      <c r="AW9" s="864" t="s">
        <v>278</v>
      </c>
      <c r="AX9" s="864"/>
      <c r="AY9" s="864" t="s">
        <v>1004</v>
      </c>
      <c r="AZ9" s="864" t="s">
        <v>1005</v>
      </c>
      <c r="BA9" s="864" t="s">
        <v>278</v>
      </c>
      <c r="BB9" s="864"/>
      <c r="BC9" s="864" t="s">
        <v>1004</v>
      </c>
      <c r="BD9" s="864" t="s">
        <v>1005</v>
      </c>
      <c r="BE9" s="864" t="s">
        <v>278</v>
      </c>
    </row>
    <row r="10" spans="1:57" ht="11.25">
      <c r="A10" s="696" t="s">
        <v>1006</v>
      </c>
      <c r="B10" s="116" t="s">
        <v>1007</v>
      </c>
      <c r="C10" s="25" t="s">
        <v>1008</v>
      </c>
      <c r="D10" s="25" t="s">
        <v>1009</v>
      </c>
      <c r="E10" s="25" t="s">
        <v>1010</v>
      </c>
      <c r="F10" s="348" t="s">
        <v>1009</v>
      </c>
      <c r="G10" s="116" t="s">
        <v>1010</v>
      </c>
      <c r="H10" s="25" t="s">
        <v>1011</v>
      </c>
      <c r="I10" s="25" t="s">
        <v>1010</v>
      </c>
      <c r="J10" s="25"/>
      <c r="K10" s="116" t="s">
        <v>1010</v>
      </c>
      <c r="L10" s="116" t="s">
        <v>1011</v>
      </c>
      <c r="M10" s="116" t="s">
        <v>1284</v>
      </c>
      <c r="N10" s="116"/>
      <c r="O10" s="116" t="s">
        <v>1010</v>
      </c>
      <c r="P10" s="116" t="s">
        <v>1011</v>
      </c>
      <c r="Q10" s="116" t="s">
        <v>1284</v>
      </c>
      <c r="R10" s="763"/>
      <c r="S10" s="116" t="s">
        <v>1010</v>
      </c>
      <c r="T10" s="116" t="s">
        <v>1011</v>
      </c>
      <c r="U10" s="116" t="s">
        <v>1284</v>
      </c>
      <c r="V10" s="347"/>
      <c r="W10" s="887" t="s">
        <v>1010</v>
      </c>
      <c r="X10" s="116" t="s">
        <v>1011</v>
      </c>
      <c r="Y10" s="116" t="s">
        <v>1284</v>
      </c>
      <c r="Z10" s="116"/>
      <c r="AA10" s="116" t="s">
        <v>1010</v>
      </c>
      <c r="AB10" s="116" t="s">
        <v>1011</v>
      </c>
      <c r="AC10" s="116" t="s">
        <v>1284</v>
      </c>
      <c r="AD10" s="116"/>
      <c r="AE10" s="116" t="s">
        <v>1010</v>
      </c>
      <c r="AF10" s="116" t="s">
        <v>1011</v>
      </c>
      <c r="AG10" s="116" t="s">
        <v>1284</v>
      </c>
      <c r="AH10" s="347"/>
      <c r="AI10" s="116" t="s">
        <v>1010</v>
      </c>
      <c r="AJ10" s="116" t="s">
        <v>1011</v>
      </c>
      <c r="AK10" s="116" t="s">
        <v>1284</v>
      </c>
      <c r="AL10" s="116"/>
      <c r="AM10" s="116" t="s">
        <v>1010</v>
      </c>
      <c r="AN10" s="116" t="s">
        <v>1011</v>
      </c>
      <c r="AO10" s="116" t="s">
        <v>1284</v>
      </c>
      <c r="AP10" s="116"/>
      <c r="AQ10" s="116" t="s">
        <v>1010</v>
      </c>
      <c r="AR10" s="116" t="s">
        <v>1011</v>
      </c>
      <c r="AS10" s="116" t="s">
        <v>1284</v>
      </c>
      <c r="AT10" s="347"/>
      <c r="AU10" s="116" t="s">
        <v>1010</v>
      </c>
      <c r="AV10" s="116" t="s">
        <v>1011</v>
      </c>
      <c r="AW10" s="116" t="s">
        <v>1284</v>
      </c>
      <c r="AX10" s="116"/>
      <c r="AY10" s="116" t="s">
        <v>1010</v>
      </c>
      <c r="AZ10" s="116" t="s">
        <v>1011</v>
      </c>
      <c r="BA10" s="116" t="s">
        <v>1284</v>
      </c>
      <c r="BB10" s="116"/>
      <c r="BC10" s="116" t="s">
        <v>1010</v>
      </c>
      <c r="BD10" s="116" t="s">
        <v>1011</v>
      </c>
      <c r="BE10" s="116" t="s">
        <v>1284</v>
      </c>
    </row>
    <row r="11" spans="1:57" ht="11.25">
      <c r="A11" s="26"/>
      <c r="B11" s="24" t="s">
        <v>1012</v>
      </c>
      <c r="C11" s="28" t="s">
        <v>1013</v>
      </c>
      <c r="D11" s="28" t="s">
        <v>1014</v>
      </c>
      <c r="E11" s="28" t="s">
        <v>1015</v>
      </c>
      <c r="F11" s="28" t="s">
        <v>1016</v>
      </c>
      <c r="G11" s="25" t="s">
        <v>1017</v>
      </c>
      <c r="H11" s="28" t="s">
        <v>1018</v>
      </c>
      <c r="I11" s="28" t="s">
        <v>1013</v>
      </c>
      <c r="J11" s="28"/>
      <c r="K11" s="25" t="s">
        <v>1013</v>
      </c>
      <c r="L11" s="25"/>
      <c r="M11" s="25"/>
      <c r="N11" s="25"/>
      <c r="O11" s="25"/>
      <c r="P11" s="25"/>
      <c r="Q11" s="25"/>
      <c r="R11" s="348"/>
      <c r="S11" s="893"/>
      <c r="T11" s="25"/>
      <c r="U11" s="894"/>
      <c r="V11" s="347"/>
      <c r="W11" s="25"/>
      <c r="X11" s="25"/>
      <c r="Y11" s="25"/>
      <c r="Z11" s="25"/>
      <c r="AA11" s="25"/>
      <c r="AB11" s="25"/>
      <c r="AC11" s="25"/>
      <c r="AD11" s="25"/>
      <c r="AE11" s="25"/>
      <c r="AF11" s="25"/>
      <c r="AG11" s="25"/>
      <c r="AH11" s="347"/>
      <c r="AI11" s="25"/>
      <c r="AJ11" s="25"/>
      <c r="AK11" s="25"/>
      <c r="AL11" s="25"/>
      <c r="AM11" s="25"/>
      <c r="AN11" s="25"/>
      <c r="AO11" s="25"/>
      <c r="AP11" s="25"/>
      <c r="AQ11" s="25"/>
      <c r="AR11" s="25"/>
      <c r="AS11" s="25"/>
      <c r="AT11" s="347"/>
      <c r="AU11" s="25"/>
      <c r="AV11" s="25"/>
      <c r="AW11" s="25"/>
      <c r="AX11" s="25"/>
      <c r="AY11" s="25"/>
      <c r="AZ11" s="25"/>
      <c r="BA11" s="25"/>
      <c r="BB11" s="25"/>
      <c r="BC11" s="25"/>
      <c r="BD11" s="25"/>
      <c r="BE11" s="25"/>
    </row>
    <row r="12" spans="1:57" ht="11.25">
      <c r="A12" s="18"/>
      <c r="B12" s="29" t="s">
        <v>1020</v>
      </c>
      <c r="C12" s="14"/>
      <c r="D12" s="14"/>
      <c r="E12" s="14"/>
      <c r="F12" s="14"/>
      <c r="G12" s="14"/>
      <c r="H12" s="14"/>
      <c r="I12" s="14"/>
      <c r="J12" s="14"/>
      <c r="K12" s="14"/>
      <c r="L12" s="14"/>
      <c r="M12" s="14"/>
      <c r="N12" s="14"/>
      <c r="O12" s="14"/>
      <c r="P12" s="14"/>
      <c r="Q12" s="14"/>
      <c r="R12" s="13"/>
      <c r="S12" s="895"/>
      <c r="T12" s="14"/>
      <c r="U12" s="896"/>
      <c r="V12" s="143"/>
      <c r="W12" s="14"/>
      <c r="X12" s="14"/>
      <c r="Y12" s="14"/>
      <c r="Z12" s="14"/>
      <c r="AA12" s="14"/>
      <c r="AB12" s="14"/>
      <c r="AC12" s="14"/>
      <c r="AD12" s="14"/>
      <c r="AE12" s="14"/>
      <c r="AF12" s="14"/>
      <c r="AG12" s="14"/>
      <c r="AH12" s="143"/>
      <c r="AI12" s="14"/>
      <c r="AJ12" s="14"/>
      <c r="AK12" s="14"/>
      <c r="AL12" s="14"/>
      <c r="AM12" s="14"/>
      <c r="AN12" s="14"/>
      <c r="AO12" s="14"/>
      <c r="AP12" s="14"/>
      <c r="AQ12" s="14"/>
      <c r="AR12" s="14"/>
      <c r="AS12" s="14"/>
      <c r="AT12" s="143"/>
      <c r="AU12" s="14"/>
      <c r="AV12" s="14"/>
      <c r="AW12" s="14"/>
      <c r="AX12" s="14"/>
      <c r="AY12" s="14"/>
      <c r="AZ12" s="14"/>
      <c r="BA12" s="14"/>
      <c r="BB12" s="14"/>
      <c r="BC12" s="14"/>
      <c r="BD12" s="14"/>
      <c r="BE12" s="14"/>
    </row>
    <row r="13" spans="1:57" ht="15.75" customHeight="1">
      <c r="A13" s="23" t="s">
        <v>1021</v>
      </c>
      <c r="B13" s="31" t="s">
        <v>1022</v>
      </c>
      <c r="C13" s="106">
        <f>+'KJB-2 p1'!F8</f>
        <v>232428111</v>
      </c>
      <c r="D13" s="106">
        <f>+'MPP-3 p2'!N9</f>
        <v>58440331.72442006</v>
      </c>
      <c r="E13" s="106">
        <f>C13+D13</f>
        <v>290868442.7244201</v>
      </c>
      <c r="F13" s="106">
        <f>+'MPP-3 p3&amp;4'!U9</f>
        <v>6116.002122564387</v>
      </c>
      <c r="G13" s="106">
        <f>E13+F13</f>
        <v>290874558.72654265</v>
      </c>
      <c r="H13" s="106">
        <f>+H61/NTG</f>
        <v>5426655.903663833</v>
      </c>
      <c r="I13" s="106">
        <f>+G13</f>
        <v>290874558.72654265</v>
      </c>
      <c r="J13" s="106"/>
      <c r="K13" s="106">
        <f>+'Max Topsheet'!E14</f>
        <v>125257242.72740754</v>
      </c>
      <c r="L13" s="106">
        <v>0</v>
      </c>
      <c r="M13" s="106">
        <f>+K13</f>
        <v>125257242.72740754</v>
      </c>
      <c r="N13" s="106"/>
      <c r="O13" s="106">
        <f>+'Max Topsheet'!F14</f>
        <v>1720995.6139749999</v>
      </c>
      <c r="P13" s="106">
        <v>0</v>
      </c>
      <c r="Q13" s="106">
        <f>+O13</f>
        <v>1720995.6139749999</v>
      </c>
      <c r="R13" s="876"/>
      <c r="S13" s="897">
        <f>+'Max Topsheet'!G14</f>
        <v>190676.44916745747</v>
      </c>
      <c r="T13" s="106">
        <v>0</v>
      </c>
      <c r="U13" s="898">
        <f>+S13</f>
        <v>190676.44916745747</v>
      </c>
      <c r="V13" s="876"/>
      <c r="W13" s="106">
        <f>+'Max Topsheet'!H14</f>
        <v>87202523.46508901</v>
      </c>
      <c r="X13" s="106">
        <v>0</v>
      </c>
      <c r="Y13" s="106">
        <f>+W13</f>
        <v>87202523.46508901</v>
      </c>
      <c r="Z13" s="106"/>
      <c r="AA13" s="106">
        <f>+'Max Topsheet'!I14</f>
        <v>70785.63415325253</v>
      </c>
      <c r="AB13" s="106">
        <v>0</v>
      </c>
      <c r="AC13" s="106">
        <f>+AA13</f>
        <v>70785.63415325253</v>
      </c>
      <c r="AD13" s="106"/>
      <c r="AE13" s="106">
        <f>+'Max Topsheet'!J14</f>
        <v>8288333.699015172</v>
      </c>
      <c r="AF13" s="106">
        <v>0</v>
      </c>
      <c r="AG13" s="106">
        <f>+AE13</f>
        <v>8288333.699015172</v>
      </c>
      <c r="AH13" s="876"/>
      <c r="AI13" s="106">
        <f>+'Max Topsheet'!K14</f>
        <v>10956333.076993717</v>
      </c>
      <c r="AJ13" s="106">
        <v>0</v>
      </c>
      <c r="AK13" s="106">
        <f>+AI13</f>
        <v>10956333.076993717</v>
      </c>
      <c r="AL13" s="106"/>
      <c r="AM13" s="106">
        <f>+'Max Topsheet'!L14</f>
        <v>3148788.4969692016</v>
      </c>
      <c r="AN13" s="106">
        <v>0</v>
      </c>
      <c r="AO13" s="106">
        <f>+AM13</f>
        <v>3148788.4969692016</v>
      </c>
      <c r="AP13" s="106"/>
      <c r="AQ13" s="106">
        <f>+'Max Topsheet'!M14</f>
        <v>412448.2273043912</v>
      </c>
      <c r="AR13" s="106">
        <v>0</v>
      </c>
      <c r="AS13" s="106">
        <f>+AQ13</f>
        <v>412448.2273043912</v>
      </c>
      <c r="AT13" s="876"/>
      <c r="AU13" s="106">
        <f>+'Max Topsheet'!N14</f>
        <v>8907753.133491788</v>
      </c>
      <c r="AV13" s="106">
        <v>0</v>
      </c>
      <c r="AW13" s="106">
        <f>+AU13</f>
        <v>8907753.133491788</v>
      </c>
      <c r="AX13" s="106"/>
      <c r="AY13" s="106">
        <f>+'Max Topsheet'!O14</f>
        <v>6351718.4524967875</v>
      </c>
      <c r="AZ13" s="106">
        <v>0</v>
      </c>
      <c r="BA13" s="106">
        <f>+AY13</f>
        <v>6351718.4524967875</v>
      </c>
      <c r="BB13" s="106"/>
      <c r="BC13" s="106">
        <f>+'Max Topsheet'!P14</f>
        <v>5866354.83393666</v>
      </c>
      <c r="BD13" s="106">
        <v>0</v>
      </c>
      <c r="BE13" s="106">
        <f>+BC13</f>
        <v>5866354.83393666</v>
      </c>
    </row>
    <row r="14" spans="1:57" ht="12">
      <c r="A14" s="23" t="s">
        <v>1023</v>
      </c>
      <c r="B14" s="31" t="s">
        <v>1024</v>
      </c>
      <c r="C14" s="113">
        <f>+'KJB-2 p1'!F9</f>
        <v>18411461</v>
      </c>
      <c r="D14" s="113">
        <f>+'MPP-3 p2'!N10</f>
        <v>-18411461</v>
      </c>
      <c r="E14" s="186">
        <f>C14+D14</f>
        <v>0</v>
      </c>
      <c r="F14" s="113">
        <f>+'MPP-3 p3&amp;4'!U10</f>
        <v>0</v>
      </c>
      <c r="G14" s="186">
        <f>E14+F14</f>
        <v>0</v>
      </c>
      <c r="H14" s="113">
        <v>0</v>
      </c>
      <c r="I14" s="186">
        <f>G14+H14</f>
        <v>0</v>
      </c>
      <c r="J14" s="186"/>
      <c r="K14" s="186">
        <f>+'Max Topsheet'!E15</f>
        <v>0</v>
      </c>
      <c r="L14" s="186">
        <v>0</v>
      </c>
      <c r="M14" s="186">
        <f>K14+L14</f>
        <v>0</v>
      </c>
      <c r="N14" s="186"/>
      <c r="O14" s="186">
        <f>+'Max Topsheet'!F15</f>
        <v>0</v>
      </c>
      <c r="P14" s="186">
        <v>0</v>
      </c>
      <c r="Q14" s="186">
        <f>O14+P14</f>
        <v>0</v>
      </c>
      <c r="R14" s="877"/>
      <c r="S14" s="899">
        <f>+'Max Topsheet'!G15</f>
        <v>0</v>
      </c>
      <c r="T14" s="186">
        <v>0</v>
      </c>
      <c r="U14" s="900">
        <f>S14+T14</f>
        <v>0</v>
      </c>
      <c r="V14" s="877"/>
      <c r="W14" s="186">
        <f>+'Max Topsheet'!H15</f>
        <v>0</v>
      </c>
      <c r="X14" s="186">
        <v>0</v>
      </c>
      <c r="Y14" s="186">
        <f>W14+X14</f>
        <v>0</v>
      </c>
      <c r="Z14" s="186"/>
      <c r="AA14" s="186">
        <f>+'Max Topsheet'!I15</f>
        <v>0</v>
      </c>
      <c r="AB14" s="186">
        <v>0</v>
      </c>
      <c r="AC14" s="186">
        <f>AA14+AB14</f>
        <v>0</v>
      </c>
      <c r="AD14" s="186"/>
      <c r="AE14" s="186">
        <f>+'Max Topsheet'!J15</f>
        <v>0</v>
      </c>
      <c r="AF14" s="186">
        <v>0</v>
      </c>
      <c r="AG14" s="186">
        <f>AE14+AF14</f>
        <v>0</v>
      </c>
      <c r="AH14" s="877"/>
      <c r="AI14" s="186">
        <f>+'Max Topsheet'!K15</f>
        <v>0</v>
      </c>
      <c r="AJ14" s="186">
        <v>0</v>
      </c>
      <c r="AK14" s="186">
        <f>AI14+AJ14</f>
        <v>0</v>
      </c>
      <c r="AL14" s="186"/>
      <c r="AM14" s="186">
        <f>+'Max Topsheet'!L15</f>
        <v>0</v>
      </c>
      <c r="AN14" s="186">
        <v>0</v>
      </c>
      <c r="AO14" s="186">
        <f>AM14+AN14</f>
        <v>0</v>
      </c>
      <c r="AP14" s="186"/>
      <c r="AQ14" s="186">
        <f>+'Max Topsheet'!M15</f>
        <v>0</v>
      </c>
      <c r="AR14" s="186">
        <v>0</v>
      </c>
      <c r="AS14" s="186">
        <f>AQ14+AR14</f>
        <v>0</v>
      </c>
      <c r="AT14" s="877"/>
      <c r="AU14" s="186">
        <f>+'Max Topsheet'!N15</f>
        <v>0</v>
      </c>
      <c r="AV14" s="186">
        <v>0</v>
      </c>
      <c r="AW14" s="186">
        <f>AU14+AV14</f>
        <v>0</v>
      </c>
      <c r="AX14" s="186"/>
      <c r="AY14" s="186">
        <f>+'Max Topsheet'!O15</f>
        <v>0</v>
      </c>
      <c r="AZ14" s="186">
        <v>0</v>
      </c>
      <c r="BA14" s="186">
        <f>AY14+AZ14</f>
        <v>0</v>
      </c>
      <c r="BB14" s="186"/>
      <c r="BC14" s="186">
        <f>+'Max Topsheet'!P15</f>
        <v>0</v>
      </c>
      <c r="BD14" s="186">
        <v>0</v>
      </c>
      <c r="BE14" s="186">
        <f>BC14+BD14</f>
        <v>0</v>
      </c>
    </row>
    <row r="15" spans="1:57" ht="12">
      <c r="A15" s="23" t="s">
        <v>1025</v>
      </c>
      <c r="B15" s="31" t="s">
        <v>1026</v>
      </c>
      <c r="C15" s="108">
        <f>+'KJB-2 p1'!F10</f>
        <v>889298</v>
      </c>
      <c r="D15" s="108">
        <f>+'MPP-3 p2'!N11</f>
        <v>0</v>
      </c>
      <c r="E15" s="108">
        <f>C15+D15</f>
        <v>889298</v>
      </c>
      <c r="F15" s="108">
        <f>+'MPP-3 p3&amp;4'!U11</f>
        <v>0</v>
      </c>
      <c r="G15" s="108">
        <f>E15+F15</f>
        <v>889298</v>
      </c>
      <c r="H15" s="108">
        <v>0</v>
      </c>
      <c r="I15" s="186">
        <f>G15+H15</f>
        <v>889298</v>
      </c>
      <c r="J15" s="186"/>
      <c r="K15" s="186"/>
      <c r="L15" s="186">
        <v>0</v>
      </c>
      <c r="M15" s="186">
        <f>K15+L15</f>
        <v>0</v>
      </c>
      <c r="N15" s="186"/>
      <c r="O15" s="186"/>
      <c r="P15" s="186">
        <v>0</v>
      </c>
      <c r="Q15" s="186">
        <f>O15+P15</f>
        <v>0</v>
      </c>
      <c r="R15" s="877"/>
      <c r="S15" s="899"/>
      <c r="T15" s="186">
        <v>0</v>
      </c>
      <c r="U15" s="900">
        <f>S15+T15</f>
        <v>0</v>
      </c>
      <c r="V15" s="877"/>
      <c r="W15" s="186"/>
      <c r="X15" s="186">
        <v>0</v>
      </c>
      <c r="Y15" s="186">
        <f>W15+X15</f>
        <v>0</v>
      </c>
      <c r="Z15" s="186"/>
      <c r="AA15" s="186"/>
      <c r="AB15" s="186">
        <v>0</v>
      </c>
      <c r="AC15" s="186">
        <f>AA15+AB15</f>
        <v>0</v>
      </c>
      <c r="AD15" s="186"/>
      <c r="AE15" s="186"/>
      <c r="AF15" s="186">
        <v>0</v>
      </c>
      <c r="AG15" s="186">
        <f>AE15+AF15</f>
        <v>0</v>
      </c>
      <c r="AH15" s="877"/>
      <c r="AI15" s="186"/>
      <c r="AJ15" s="186">
        <v>0</v>
      </c>
      <c r="AK15" s="186">
        <f>AI15+AJ15</f>
        <v>0</v>
      </c>
      <c r="AL15" s="186"/>
      <c r="AM15" s="186"/>
      <c r="AN15" s="186">
        <v>0</v>
      </c>
      <c r="AO15" s="186">
        <f>AM15+AN15</f>
        <v>0</v>
      </c>
      <c r="AP15" s="186"/>
      <c r="AQ15" s="186"/>
      <c r="AR15" s="186">
        <v>0</v>
      </c>
      <c r="AS15" s="186">
        <f>AQ15+AR15</f>
        <v>0</v>
      </c>
      <c r="AT15" s="877"/>
      <c r="AU15" s="186">
        <f>+'Max Topsheet'!N16</f>
        <v>70052.3234873546</v>
      </c>
      <c r="AV15" s="186">
        <v>0</v>
      </c>
      <c r="AW15" s="186">
        <f>AU15+AV15</f>
        <v>70052.3234873546</v>
      </c>
      <c r="AX15" s="186"/>
      <c r="AY15" s="186">
        <f>+'Max Topsheet'!O16</f>
        <v>84161.02612901814</v>
      </c>
      <c r="AZ15" s="186">
        <v>0</v>
      </c>
      <c r="BA15" s="186">
        <f>AY15+AZ15</f>
        <v>84161.02612901814</v>
      </c>
      <c r="BB15" s="186"/>
      <c r="BC15" s="186">
        <f>+'Max Topsheet'!P16</f>
        <v>53880.25836478095</v>
      </c>
      <c r="BD15" s="186">
        <v>0</v>
      </c>
      <c r="BE15" s="186">
        <f>BC15+BD15</f>
        <v>53880.25836478095</v>
      </c>
    </row>
    <row r="16" spans="1:57" ht="12">
      <c r="A16" s="23">
        <v>4</v>
      </c>
      <c r="B16" s="31" t="s">
        <v>276</v>
      </c>
      <c r="C16" s="863"/>
      <c r="D16" s="863"/>
      <c r="E16" s="863"/>
      <c r="F16" s="863"/>
      <c r="G16" s="863"/>
      <c r="H16" s="863"/>
      <c r="I16" s="186">
        <f>+H13</f>
        <v>5426655.903663833</v>
      </c>
      <c r="J16" s="186"/>
      <c r="K16" s="186"/>
      <c r="L16" s="186">
        <f>+'JTS-9 S3 P1'!I15</f>
        <v>-120862</v>
      </c>
      <c r="M16" s="186">
        <f>+L16+K16</f>
        <v>-120862</v>
      </c>
      <c r="N16" s="186"/>
      <c r="O16" s="186"/>
      <c r="P16" s="186">
        <f>+'JTS-9 S3 P1'!I18</f>
        <v>-1461</v>
      </c>
      <c r="Q16" s="186">
        <f>+P16+O16</f>
        <v>-1461</v>
      </c>
      <c r="R16" s="877"/>
      <c r="S16" s="899"/>
      <c r="T16" s="186">
        <f>+'JTS-9 S3 P1'!I19</f>
        <v>-140</v>
      </c>
      <c r="U16" s="900">
        <f>+T16</f>
        <v>-140</v>
      </c>
      <c r="V16" s="877"/>
      <c r="W16" s="186"/>
      <c r="X16" s="186">
        <f>+'JTS-9 S3 P1'!I22</f>
        <v>-66441</v>
      </c>
      <c r="Y16" s="186">
        <f>+X16</f>
        <v>-66441</v>
      </c>
      <c r="Z16" s="186"/>
      <c r="AA16" s="186"/>
      <c r="AB16" s="186">
        <f>+'JTS-9 S3 P1'!I26</f>
        <v>-49</v>
      </c>
      <c r="AC16" s="186">
        <f>+AB16</f>
        <v>-49</v>
      </c>
      <c r="AD16" s="186"/>
      <c r="AE16" s="186"/>
      <c r="AF16" s="186">
        <f>+'JTS-9 S3 P1'!I25</f>
        <v>-3975</v>
      </c>
      <c r="AG16" s="186">
        <f>+AF16</f>
        <v>-3975</v>
      </c>
      <c r="AH16" s="877"/>
      <c r="AI16" s="186"/>
      <c r="AJ16" s="186">
        <f>+'JTS-9 S3 P1'!I29</f>
        <v>-5515</v>
      </c>
      <c r="AK16" s="186">
        <f>+AJ16</f>
        <v>-5515</v>
      </c>
      <c r="AL16" s="186"/>
      <c r="AM16" s="186"/>
      <c r="AN16" s="186">
        <f>+'JTS-9 S3 P1'!I32</f>
        <v>-741</v>
      </c>
      <c r="AO16" s="186">
        <f>+AN16</f>
        <v>-741</v>
      </c>
      <c r="AP16" s="186"/>
      <c r="AQ16" s="186"/>
      <c r="AR16" s="186">
        <f>+'JTS-9 S3 P1'!I33</f>
        <v>-145</v>
      </c>
      <c r="AS16" s="186">
        <f>+AR16</f>
        <v>-145</v>
      </c>
      <c r="AT16" s="877"/>
      <c r="AU16" s="186"/>
      <c r="AV16" s="186">
        <f>+'JTS-9 S3 P1'!I38</f>
        <v>-33767</v>
      </c>
      <c r="AW16" s="186">
        <f>+AV16</f>
        <v>-33767</v>
      </c>
      <c r="AX16" s="186"/>
      <c r="AY16" s="186"/>
      <c r="AZ16" s="186">
        <f>+'JTS-9 S3 P1'!I39</f>
        <v>-23202</v>
      </c>
      <c r="BA16" s="186">
        <f>+AZ16</f>
        <v>-23202</v>
      </c>
      <c r="BB16" s="186"/>
      <c r="BC16" s="186"/>
      <c r="BD16" s="186">
        <v>0</v>
      </c>
      <c r="BE16" s="186">
        <f>+BD16+BC16</f>
        <v>0</v>
      </c>
    </row>
    <row r="17" spans="1:57" ht="12.75" thickBot="1">
      <c r="A17" s="23">
        <v>5</v>
      </c>
      <c r="B17" s="31" t="s">
        <v>1028</v>
      </c>
      <c r="C17" s="109">
        <f>C13+C14+C15</f>
        <v>251728870</v>
      </c>
      <c r="D17" s="109">
        <f>+'MPP-3 p2'!N12</f>
        <v>40028870.72442006</v>
      </c>
      <c r="E17" s="109">
        <f>C17+D17</f>
        <v>291757740.7244201</v>
      </c>
      <c r="F17" s="109">
        <f>+'MPP-3 p3&amp;4'!U12</f>
        <v>6116.002122564387</v>
      </c>
      <c r="G17" s="109">
        <f>E17+F17</f>
        <v>291763856.72654265</v>
      </c>
      <c r="H17" s="109">
        <f>+H13+H14+H15</f>
        <v>5426655.903663833</v>
      </c>
      <c r="I17" s="109">
        <f>G17+H17</f>
        <v>297190512.63020647</v>
      </c>
      <c r="J17" s="109"/>
      <c r="K17" s="109">
        <f>SUM(K13:K16)</f>
        <v>125257242.72740754</v>
      </c>
      <c r="L17" s="109">
        <f>+L16</f>
        <v>-120862</v>
      </c>
      <c r="M17" s="109">
        <f>K17+L17</f>
        <v>125136380.72740754</v>
      </c>
      <c r="N17" s="109"/>
      <c r="O17" s="109">
        <f>SUM(O13:O16)</f>
        <v>1720995.6139749999</v>
      </c>
      <c r="P17" s="109">
        <f>+P16</f>
        <v>-1461</v>
      </c>
      <c r="Q17" s="109">
        <f>O17+P17</f>
        <v>1719534.6139749999</v>
      </c>
      <c r="R17" s="878"/>
      <c r="S17" s="109">
        <f>SUM(S13:S16)</f>
        <v>190676.44916745747</v>
      </c>
      <c r="T17" s="109">
        <f>+T16</f>
        <v>-140</v>
      </c>
      <c r="U17" s="109">
        <f>S17+T17</f>
        <v>190536.44916745747</v>
      </c>
      <c r="V17" s="881"/>
      <c r="W17" s="888">
        <f>SUM(W13:W16)</f>
        <v>87202523.46508901</v>
      </c>
      <c r="X17" s="109">
        <f>SUM(X13:X16)</f>
        <v>-66441</v>
      </c>
      <c r="Y17" s="109">
        <f>W17+X17</f>
        <v>87136082.46508901</v>
      </c>
      <c r="Z17" s="109"/>
      <c r="AA17" s="109">
        <f>SUM(AA13:AA16)</f>
        <v>70785.63415325253</v>
      </c>
      <c r="AB17" s="109">
        <f>SUM(AB13:AB16)</f>
        <v>-49</v>
      </c>
      <c r="AC17" s="109">
        <f>AA17+AB17</f>
        <v>70736.63415325253</v>
      </c>
      <c r="AD17" s="109"/>
      <c r="AE17" s="109">
        <f>SUM(AE13:AE16)</f>
        <v>8288333.699015172</v>
      </c>
      <c r="AF17" s="109">
        <f>SUM(AF13:AF16)</f>
        <v>-3975</v>
      </c>
      <c r="AG17" s="109">
        <f>AE17+AF17</f>
        <v>8284358.699015172</v>
      </c>
      <c r="AH17" s="881"/>
      <c r="AI17" s="109">
        <f>SUM(AI13:AI16)</f>
        <v>10956333.076993717</v>
      </c>
      <c r="AJ17" s="109">
        <f>SUM(AJ13:AJ16)</f>
        <v>-5515</v>
      </c>
      <c r="AK17" s="109">
        <f>AI17+AJ17</f>
        <v>10950818.076993717</v>
      </c>
      <c r="AL17" s="109"/>
      <c r="AM17" s="109">
        <f>SUM(AM13:AM16)</f>
        <v>3148788.4969692016</v>
      </c>
      <c r="AN17" s="109">
        <f>SUM(AN13:AN16)</f>
        <v>-741</v>
      </c>
      <c r="AO17" s="109">
        <f>AM17+AN17</f>
        <v>3148047.4969692016</v>
      </c>
      <c r="AP17" s="109"/>
      <c r="AQ17" s="109">
        <f>SUM(AQ13:AQ16)</f>
        <v>412448.2273043912</v>
      </c>
      <c r="AR17" s="109">
        <f>SUM(AR13:AR16)</f>
        <v>-145</v>
      </c>
      <c r="AS17" s="109">
        <f>AQ17+AR17</f>
        <v>412303.2273043912</v>
      </c>
      <c r="AT17" s="881"/>
      <c r="AU17" s="109">
        <f>SUM(AU13:AU16)</f>
        <v>8977805.456979143</v>
      </c>
      <c r="AV17" s="109">
        <f>SUM(AV13:AV16)</f>
        <v>-33767</v>
      </c>
      <c r="AW17" s="109">
        <f>AU17+AV17</f>
        <v>8944038.456979143</v>
      </c>
      <c r="AX17" s="109"/>
      <c r="AY17" s="109">
        <f>SUM(AY13:AY16)</f>
        <v>6435879.478625806</v>
      </c>
      <c r="AZ17" s="109">
        <f>SUM(AZ13:AZ16)</f>
        <v>-23202</v>
      </c>
      <c r="BA17" s="109">
        <f>AY17+AZ17</f>
        <v>6412677.478625806</v>
      </c>
      <c r="BB17" s="109"/>
      <c r="BC17" s="109">
        <f>SUM(BC13:BC16)</f>
        <v>5920235.09230144</v>
      </c>
      <c r="BD17" s="109">
        <f>+BD16</f>
        <v>0</v>
      </c>
      <c r="BE17" s="109">
        <f>BC17+BD17</f>
        <v>5920235.09230144</v>
      </c>
    </row>
    <row r="18" spans="1:57" ht="12.75" thickTop="1">
      <c r="A18" s="34"/>
      <c r="B18" s="34"/>
      <c r="C18" s="110"/>
      <c r="D18" s="110"/>
      <c r="E18" s="110"/>
      <c r="F18" s="110"/>
      <c r="G18" s="110"/>
      <c r="H18" s="110"/>
      <c r="I18" s="110"/>
      <c r="J18" s="110"/>
      <c r="K18" s="110"/>
      <c r="L18" s="110"/>
      <c r="M18" s="110"/>
      <c r="N18" s="110"/>
      <c r="O18" s="110"/>
      <c r="P18" s="110"/>
      <c r="Q18" s="110"/>
      <c r="R18" s="879"/>
      <c r="S18" s="110"/>
      <c r="T18" s="110"/>
      <c r="U18" s="110"/>
      <c r="V18" s="863"/>
      <c r="W18" s="889"/>
      <c r="X18" s="110"/>
      <c r="Y18" s="110"/>
      <c r="Z18" s="110"/>
      <c r="AA18" s="110"/>
      <c r="AB18" s="110"/>
      <c r="AC18" s="110"/>
      <c r="AD18" s="110"/>
      <c r="AE18" s="110"/>
      <c r="AF18" s="110"/>
      <c r="AG18" s="110"/>
      <c r="AH18" s="863"/>
      <c r="AI18" s="110"/>
      <c r="AJ18" s="110"/>
      <c r="AK18" s="110"/>
      <c r="AL18" s="110"/>
      <c r="AM18" s="110"/>
      <c r="AN18" s="110"/>
      <c r="AO18" s="110"/>
      <c r="AP18" s="110"/>
      <c r="AQ18" s="110"/>
      <c r="AR18" s="110"/>
      <c r="AS18" s="110"/>
      <c r="AT18" s="863"/>
      <c r="AU18" s="110"/>
      <c r="AV18" s="110"/>
      <c r="AW18" s="110"/>
      <c r="AX18" s="110"/>
      <c r="AY18" s="110"/>
      <c r="AZ18" s="110"/>
      <c r="BA18" s="110"/>
      <c r="BB18" s="110"/>
      <c r="BC18" s="110"/>
      <c r="BD18" s="110"/>
      <c r="BE18" s="110"/>
    </row>
    <row r="19" spans="1:57" ht="12">
      <c r="A19" s="18"/>
      <c r="B19" s="29" t="s">
        <v>1029</v>
      </c>
      <c r="C19" s="111"/>
      <c r="D19" s="111"/>
      <c r="E19" s="111"/>
      <c r="F19" s="111"/>
      <c r="G19" s="111"/>
      <c r="H19" s="111"/>
      <c r="I19" s="111"/>
      <c r="J19" s="111"/>
      <c r="K19" s="111"/>
      <c r="L19" s="111"/>
      <c r="M19" s="111"/>
      <c r="N19" s="111"/>
      <c r="O19" s="111"/>
      <c r="P19" s="111"/>
      <c r="Q19" s="111"/>
      <c r="R19" s="880"/>
      <c r="S19" s="901"/>
      <c r="T19" s="111"/>
      <c r="U19" s="902"/>
      <c r="V19" s="863"/>
      <c r="W19" s="111"/>
      <c r="X19" s="111"/>
      <c r="Y19" s="111"/>
      <c r="Z19" s="111"/>
      <c r="AA19" s="111"/>
      <c r="AB19" s="111"/>
      <c r="AC19" s="111"/>
      <c r="AD19" s="111"/>
      <c r="AE19" s="111"/>
      <c r="AF19" s="111"/>
      <c r="AG19" s="111"/>
      <c r="AH19" s="863"/>
      <c r="AI19" s="111"/>
      <c r="AJ19" s="111"/>
      <c r="AK19" s="111"/>
      <c r="AL19" s="111"/>
      <c r="AM19" s="111"/>
      <c r="AN19" s="111"/>
      <c r="AO19" s="111"/>
      <c r="AP19" s="111"/>
      <c r="AQ19" s="111"/>
      <c r="AR19" s="111"/>
      <c r="AS19" s="111"/>
      <c r="AT19" s="863"/>
      <c r="AU19" s="111"/>
      <c r="AV19" s="111"/>
      <c r="AW19" s="111"/>
      <c r="AX19" s="111"/>
      <c r="AY19" s="111"/>
      <c r="AZ19" s="111"/>
      <c r="BA19" s="111"/>
      <c r="BB19" s="111"/>
      <c r="BC19" s="111"/>
      <c r="BD19" s="111"/>
      <c r="BE19" s="111"/>
    </row>
    <row r="20" spans="1:57" ht="12">
      <c r="A20" s="23" t="s">
        <v>1032</v>
      </c>
      <c r="B20" s="31" t="s">
        <v>1031</v>
      </c>
      <c r="C20" s="112">
        <f>+'KJB-2 p1'!F14</f>
        <v>163837631</v>
      </c>
      <c r="D20" s="112">
        <f>+'MPP-3 p2'!N15</f>
        <v>35812290.814290494</v>
      </c>
      <c r="E20" s="112">
        <f>C20+D20</f>
        <v>199649921.8142905</v>
      </c>
      <c r="F20" s="112">
        <f>+'MPP-3 p3&amp;4'!U15</f>
        <v>0</v>
      </c>
      <c r="G20" s="112">
        <f>E20+F20</f>
        <v>199649921.8142905</v>
      </c>
      <c r="H20" s="112">
        <v>0</v>
      </c>
      <c r="I20" s="112">
        <f>G20+H20</f>
        <v>199649921.8142905</v>
      </c>
      <c r="J20" s="112"/>
      <c r="K20" s="112">
        <f>+'Max Topsheet'!E20</f>
        <v>87180423.97452986</v>
      </c>
      <c r="L20" s="112">
        <v>0</v>
      </c>
      <c r="M20" s="112">
        <f>K20+L20</f>
        <v>87180423.97452986</v>
      </c>
      <c r="N20" s="112"/>
      <c r="O20" s="112">
        <f>+'Max Topsheet'!F20</f>
        <v>1156037.4896622584</v>
      </c>
      <c r="P20" s="112">
        <v>0</v>
      </c>
      <c r="Q20" s="112">
        <f>O20+P20</f>
        <v>1156037.4896622584</v>
      </c>
      <c r="R20" s="881"/>
      <c r="S20" s="903">
        <f>+'Max Topsheet'!G20</f>
        <v>134604.7599606746</v>
      </c>
      <c r="T20" s="112">
        <v>0</v>
      </c>
      <c r="U20" s="904">
        <f>S20+T20</f>
        <v>134604.7599606746</v>
      </c>
      <c r="V20" s="881"/>
      <c r="W20" s="112">
        <f>+'Max Topsheet'!H20</f>
        <v>64183040.98124863</v>
      </c>
      <c r="X20" s="112">
        <v>0</v>
      </c>
      <c r="Y20" s="112">
        <f>W20+X20</f>
        <v>64183040.98124863</v>
      </c>
      <c r="Z20" s="112"/>
      <c r="AA20" s="112">
        <f>+'Max Topsheet'!I20</f>
        <v>50072.51998537109</v>
      </c>
      <c r="AB20" s="112">
        <v>0</v>
      </c>
      <c r="AC20" s="112">
        <f>AA20+AB20</f>
        <v>50072.51998537109</v>
      </c>
      <c r="AD20" s="112"/>
      <c r="AE20" s="112">
        <f>+'Max Topsheet'!J20</f>
        <v>6340265.378147664</v>
      </c>
      <c r="AF20" s="112">
        <v>0</v>
      </c>
      <c r="AG20" s="112">
        <f>AE20+AF20</f>
        <v>6340265.378147664</v>
      </c>
      <c r="AH20" s="881"/>
      <c r="AI20" s="112">
        <f>+'Max Topsheet'!K20</f>
        <v>8373304.277553702</v>
      </c>
      <c r="AJ20" s="112">
        <v>0</v>
      </c>
      <c r="AK20" s="112">
        <f>AI20+AJ20</f>
        <v>8373304.277553702</v>
      </c>
      <c r="AL20" s="112"/>
      <c r="AM20" s="112">
        <f>+'Max Topsheet'!L20</f>
        <v>2616931.8592354516</v>
      </c>
      <c r="AN20" s="112">
        <v>0</v>
      </c>
      <c r="AO20" s="112">
        <f>AM20+AN20</f>
        <v>2616931.8592354516</v>
      </c>
      <c r="AP20" s="112"/>
      <c r="AQ20" s="112">
        <f>+'Max Topsheet'!M20</f>
        <v>326909.5799044919</v>
      </c>
      <c r="AR20" s="112">
        <v>0</v>
      </c>
      <c r="AS20" s="112">
        <f>AQ20+AR20</f>
        <v>326909.5799044919</v>
      </c>
      <c r="AT20" s="881"/>
      <c r="AU20" s="112">
        <f>+'Max Topsheet'!N20</f>
        <v>285170.14991668635</v>
      </c>
      <c r="AV20" s="112">
        <v>0</v>
      </c>
      <c r="AW20" s="112">
        <f>AU20+AV20</f>
        <v>285170.14991668635</v>
      </c>
      <c r="AX20" s="112"/>
      <c r="AY20" s="112">
        <f>+'Max Topsheet'!O20</f>
        <v>495718.02985517384</v>
      </c>
      <c r="AZ20" s="112">
        <v>0</v>
      </c>
      <c r="BA20" s="112">
        <f>AY20+AZ20</f>
        <v>495718.02985517384</v>
      </c>
      <c r="BB20" s="112"/>
      <c r="BC20" s="112">
        <f>+'Max Topsheet'!P20</f>
        <v>0</v>
      </c>
      <c r="BD20" s="112">
        <v>0</v>
      </c>
      <c r="BE20" s="112">
        <f>BC20+BD20</f>
        <v>0</v>
      </c>
    </row>
    <row r="21" spans="1:57" ht="12">
      <c r="A21" s="23"/>
      <c r="B21" s="31" t="s">
        <v>277</v>
      </c>
      <c r="C21" s="112"/>
      <c r="D21" s="112"/>
      <c r="E21" s="112"/>
      <c r="F21" s="112"/>
      <c r="G21" s="112"/>
      <c r="H21" s="112"/>
      <c r="I21" s="113">
        <v>0</v>
      </c>
      <c r="J21" s="112"/>
      <c r="K21" s="113">
        <f>+'Max Topsheet'!E21</f>
        <v>0</v>
      </c>
      <c r="L21" s="113">
        <v>0</v>
      </c>
      <c r="M21" s="113">
        <v>0</v>
      </c>
      <c r="N21" s="113"/>
      <c r="O21" s="113">
        <f>+'Max Topsheet'!F21</f>
        <v>0</v>
      </c>
      <c r="P21" s="113">
        <v>0</v>
      </c>
      <c r="Q21" s="113">
        <v>0</v>
      </c>
      <c r="R21" s="863"/>
      <c r="S21" s="905">
        <f>+'Max Topsheet'!G21</f>
        <v>0</v>
      </c>
      <c r="T21" s="113">
        <v>0</v>
      </c>
      <c r="U21" s="906">
        <v>0</v>
      </c>
      <c r="V21" s="863"/>
      <c r="W21" s="113">
        <f>+'Max Topsheet'!H21</f>
        <v>0</v>
      </c>
      <c r="X21" s="113">
        <v>0</v>
      </c>
      <c r="Y21" s="113">
        <v>0</v>
      </c>
      <c r="Z21" s="113"/>
      <c r="AA21" s="113">
        <f>+'Max Topsheet'!I21</f>
        <v>0</v>
      </c>
      <c r="AB21" s="113">
        <v>0</v>
      </c>
      <c r="AC21" s="113">
        <v>0</v>
      </c>
      <c r="AD21" s="113"/>
      <c r="AE21" s="113">
        <f>+'Max Topsheet'!J21</f>
        <v>0</v>
      </c>
      <c r="AF21" s="113">
        <v>0</v>
      </c>
      <c r="AG21" s="113">
        <v>0</v>
      </c>
      <c r="AH21" s="863"/>
      <c r="AI21" s="113">
        <f>+'Max Topsheet'!K21</f>
        <v>0</v>
      </c>
      <c r="AJ21" s="113">
        <v>0</v>
      </c>
      <c r="AK21" s="113">
        <v>0</v>
      </c>
      <c r="AL21" s="113"/>
      <c r="AM21" s="113">
        <f>+'Max Topsheet'!L21</f>
        <v>0</v>
      </c>
      <c r="AN21" s="113">
        <v>0</v>
      </c>
      <c r="AO21" s="113">
        <v>0</v>
      </c>
      <c r="AP21" s="113"/>
      <c r="AQ21" s="113">
        <f>+'Max Topsheet'!M21</f>
        <v>0</v>
      </c>
      <c r="AR21" s="113">
        <v>0</v>
      </c>
      <c r="AS21" s="113">
        <v>0</v>
      </c>
      <c r="AT21" s="863"/>
      <c r="AU21" s="113">
        <f>+'Max Topsheet'!N21</f>
        <v>0</v>
      </c>
      <c r="AV21" s="113">
        <v>0</v>
      </c>
      <c r="AW21" s="113">
        <v>0</v>
      </c>
      <c r="AX21" s="113"/>
      <c r="AY21" s="113">
        <f>+'Max Topsheet'!O21</f>
        <v>0</v>
      </c>
      <c r="AZ21" s="113">
        <v>0</v>
      </c>
      <c r="BA21" s="113">
        <v>0</v>
      </c>
      <c r="BB21" s="113"/>
      <c r="BC21" s="113">
        <f>+'Max Topsheet'!P21</f>
        <v>0</v>
      </c>
      <c r="BD21" s="113">
        <v>0</v>
      </c>
      <c r="BE21" s="113">
        <v>0</v>
      </c>
    </row>
    <row r="22" spans="1:57" ht="12">
      <c r="A22" s="23" t="s">
        <v>1034</v>
      </c>
      <c r="B22" s="31" t="s">
        <v>1035</v>
      </c>
      <c r="C22" s="113">
        <f>+'KJB-2 p1'!F16</f>
        <v>7682852</v>
      </c>
      <c r="D22" s="113">
        <f>+'MPP-3 p2'!N17</f>
        <v>0</v>
      </c>
      <c r="E22" s="113">
        <f aca="true" t="shared" si="0" ref="E22:E29">C22+D22</f>
        <v>7682852</v>
      </c>
      <c r="F22" s="113">
        <f>+'MPP-3 p3&amp;4'!U17</f>
        <v>0</v>
      </c>
      <c r="G22" s="113">
        <f aca="true" t="shared" si="1" ref="G22:G29">E22+F22</f>
        <v>7682852</v>
      </c>
      <c r="H22" s="113">
        <v>0</v>
      </c>
      <c r="I22" s="113">
        <f aca="true" t="shared" si="2" ref="I22:I29">G22+H22</f>
        <v>7682852</v>
      </c>
      <c r="J22" s="113"/>
      <c r="K22" s="113">
        <f>+'Max Topsheet'!E22</f>
        <v>3271525.720380055</v>
      </c>
      <c r="L22" s="113">
        <v>0</v>
      </c>
      <c r="M22" s="113">
        <f aca="true" t="shared" si="3" ref="M22:M29">K22+L22</f>
        <v>3271525.720380055</v>
      </c>
      <c r="N22" s="113"/>
      <c r="O22" s="113">
        <f>+'Max Topsheet'!F22</f>
        <v>35866.66525242017</v>
      </c>
      <c r="P22" s="113">
        <v>0</v>
      </c>
      <c r="Q22" s="113">
        <f aca="true" t="shared" si="4" ref="Q22:Q29">O22+P22</f>
        <v>35866.66525242017</v>
      </c>
      <c r="R22" s="863"/>
      <c r="S22" s="905">
        <f>+'Max Topsheet'!G22</f>
        <v>5711.128765848083</v>
      </c>
      <c r="T22" s="113">
        <v>0</v>
      </c>
      <c r="U22" s="906">
        <f aca="true" t="shared" si="5" ref="U22:U29">S22+T22</f>
        <v>5711.128765848083</v>
      </c>
      <c r="V22" s="863"/>
      <c r="W22" s="113">
        <f>+'Max Topsheet'!H22</f>
        <v>1931727.9486089838</v>
      </c>
      <c r="X22" s="113">
        <v>0</v>
      </c>
      <c r="Y22" s="113">
        <f aca="true" t="shared" si="6" ref="Y22:Y29">W22+X22</f>
        <v>1931727.9486089838</v>
      </c>
      <c r="Z22" s="113"/>
      <c r="AA22" s="113">
        <f>+'Max Topsheet'!I22</f>
        <v>449.26931622595123</v>
      </c>
      <c r="AB22" s="113">
        <v>0</v>
      </c>
      <c r="AC22" s="113">
        <f aca="true" t="shared" si="7" ref="AC22:AC29">AA22+AB22</f>
        <v>449.26931622595123</v>
      </c>
      <c r="AD22" s="113"/>
      <c r="AE22" s="113">
        <f>+'Max Topsheet'!J22</f>
        <v>80745.36724838897</v>
      </c>
      <c r="AF22" s="113">
        <v>0</v>
      </c>
      <c r="AG22" s="113">
        <f aca="true" t="shared" si="8" ref="AG22:AG29">AE22+AF22</f>
        <v>80745.36724838897</v>
      </c>
      <c r="AH22" s="863"/>
      <c r="AI22" s="113">
        <f>+'Max Topsheet'!K22</f>
        <v>220922.33041140297</v>
      </c>
      <c r="AJ22" s="113">
        <v>0</v>
      </c>
      <c r="AK22" s="113">
        <f aca="true" t="shared" si="9" ref="AK22:AK29">AI22+AJ22</f>
        <v>220922.33041140297</v>
      </c>
      <c r="AL22" s="113"/>
      <c r="AM22" s="113">
        <f>+'Max Topsheet'!L22</f>
        <v>28686.507714962478</v>
      </c>
      <c r="AN22" s="113">
        <v>0</v>
      </c>
      <c r="AO22" s="113">
        <f aca="true" t="shared" si="10" ref="AO22:AO29">AM22+AN22</f>
        <v>28686.507714962478</v>
      </c>
      <c r="AP22" s="113"/>
      <c r="AQ22" s="113">
        <f>+'Max Topsheet'!M22</f>
        <v>5883.2026028985165</v>
      </c>
      <c r="AR22" s="113">
        <v>0</v>
      </c>
      <c r="AS22" s="113">
        <f aca="true" t="shared" si="11" ref="AS22:AS29">AQ22+AR22</f>
        <v>5883.2026028985165</v>
      </c>
      <c r="AT22" s="863"/>
      <c r="AU22" s="113">
        <f>+'Max Topsheet'!N22</f>
        <v>666965.2881437482</v>
      </c>
      <c r="AV22" s="113">
        <v>0</v>
      </c>
      <c r="AW22" s="113">
        <f aca="true" t="shared" si="12" ref="AW22:AW29">AU22+AV22</f>
        <v>666965.2881437482</v>
      </c>
      <c r="AX22" s="113"/>
      <c r="AY22" s="113">
        <f>+'Max Topsheet'!O22</f>
        <v>663498.683655108</v>
      </c>
      <c r="AZ22" s="113">
        <v>0</v>
      </c>
      <c r="BA22" s="113">
        <f aca="true" t="shared" si="13" ref="BA22:BA29">AY22+AZ22</f>
        <v>663498.683655108</v>
      </c>
      <c r="BB22" s="113"/>
      <c r="BC22" s="113">
        <f>+'Max Topsheet'!P22</f>
        <v>770869.6778999586</v>
      </c>
      <c r="BD22" s="113">
        <v>0</v>
      </c>
      <c r="BE22" s="113">
        <f aca="true" t="shared" si="14" ref="BE22:BE29">BC22+BD22</f>
        <v>770869.6778999586</v>
      </c>
    </row>
    <row r="23" spans="1:57" ht="12">
      <c r="A23" s="23" t="s">
        <v>1036</v>
      </c>
      <c r="B23" s="31" t="s">
        <v>1037</v>
      </c>
      <c r="C23" s="113">
        <f>+'KJB-2 p1'!F17</f>
        <v>4158014</v>
      </c>
      <c r="D23" s="113">
        <f>+'MPP-3 p2'!N18</f>
        <v>-67744.25</v>
      </c>
      <c r="E23" s="113">
        <f t="shared" si="0"/>
        <v>4090269.75</v>
      </c>
      <c r="F23" s="113">
        <f>+'MPP-3 p3&amp;4'!U18</f>
        <v>19</v>
      </c>
      <c r="G23" s="113">
        <f t="shared" si="1"/>
        <v>4090288.75</v>
      </c>
      <c r="H23" s="113">
        <f>ROUND(H17*PFU,0)</f>
        <v>16710</v>
      </c>
      <c r="I23" s="113">
        <f t="shared" si="2"/>
        <v>4106998.75</v>
      </c>
      <c r="J23" s="113"/>
      <c r="K23" s="113">
        <f>+'Max Topsheet'!E23</f>
        <v>3254547.329749807</v>
      </c>
      <c r="L23" s="113">
        <f>ROUND(L17*PFU,0)</f>
        <v>-372</v>
      </c>
      <c r="M23" s="113">
        <f t="shared" si="3"/>
        <v>3254175.329749807</v>
      </c>
      <c r="N23" s="113"/>
      <c r="O23" s="113">
        <f>+'Max Topsheet'!F23</f>
        <v>35029.47112901484</v>
      </c>
      <c r="P23" s="113">
        <f>ROUND(P17*PFU,0)</f>
        <v>-4</v>
      </c>
      <c r="Q23" s="113">
        <f t="shared" si="4"/>
        <v>35025.47112901484</v>
      </c>
      <c r="R23" s="863"/>
      <c r="S23" s="905">
        <f>+'Max Topsheet'!G23</f>
        <v>2114.310896190326</v>
      </c>
      <c r="T23" s="113">
        <f>ROUND(T17*PFU,0)</f>
        <v>0</v>
      </c>
      <c r="U23" s="906">
        <f t="shared" si="5"/>
        <v>2114.310896190326</v>
      </c>
      <c r="V23" s="863"/>
      <c r="W23" s="113">
        <f>+'Max Topsheet'!H23</f>
        <v>772546.2095897797</v>
      </c>
      <c r="X23" s="113">
        <f>ROUND(X17*PFU,0)</f>
        <v>-205</v>
      </c>
      <c r="Y23" s="113">
        <f t="shared" si="6"/>
        <v>772341.2095897797</v>
      </c>
      <c r="Z23" s="113"/>
      <c r="AA23" s="113">
        <f>+'Max Topsheet'!I23</f>
        <v>331.1531445711612</v>
      </c>
      <c r="AB23" s="113">
        <f>ROUND(AB17*PFU,0)</f>
        <v>0</v>
      </c>
      <c r="AC23" s="113">
        <f t="shared" si="7"/>
        <v>331.1531445711612</v>
      </c>
      <c r="AD23" s="113"/>
      <c r="AE23" s="113">
        <f>+'Max Topsheet'!J23</f>
        <v>36187.799254292964</v>
      </c>
      <c r="AF23" s="113">
        <f>ROUND(AF17*PFU,0)</f>
        <v>-12</v>
      </c>
      <c r="AG23" s="113">
        <f t="shared" si="8"/>
        <v>36175.799254292964</v>
      </c>
      <c r="AH23" s="863"/>
      <c r="AI23" s="113">
        <f>+'Max Topsheet'!K23</f>
        <v>53783.636071896515</v>
      </c>
      <c r="AJ23" s="113">
        <f>ROUND(AJ17*PFU,0)</f>
        <v>-17</v>
      </c>
      <c r="AK23" s="113">
        <f t="shared" si="9"/>
        <v>53766.636071896515</v>
      </c>
      <c r="AL23" s="113"/>
      <c r="AM23" s="113">
        <f>+'Max Topsheet'!L23</f>
        <v>13633.906712202606</v>
      </c>
      <c r="AN23" s="113">
        <f>ROUND(AN17*PFU,0)</f>
        <v>-2</v>
      </c>
      <c r="AO23" s="113">
        <f t="shared" si="10"/>
        <v>13631.906712202606</v>
      </c>
      <c r="AP23" s="113"/>
      <c r="AQ23" s="113">
        <f>+'Max Topsheet'!M23</f>
        <v>1788.0839486439909</v>
      </c>
      <c r="AR23" s="113">
        <f>ROUND(AR17*PFU,0)</f>
        <v>0</v>
      </c>
      <c r="AS23" s="113">
        <f t="shared" si="11"/>
        <v>1788.0839486439909</v>
      </c>
      <c r="AT23" s="863"/>
      <c r="AU23" s="113">
        <f>+'Max Topsheet'!N23</f>
        <v>7765.584749063108</v>
      </c>
      <c r="AV23" s="113">
        <f>ROUND(AV17*PFU,0)</f>
        <v>-104</v>
      </c>
      <c r="AW23" s="113">
        <f t="shared" si="12"/>
        <v>7661.584749063108</v>
      </c>
      <c r="AX23" s="113"/>
      <c r="AY23" s="113">
        <f>+'Max Topsheet'!O23</f>
        <v>2160.242989438196</v>
      </c>
      <c r="AZ23" s="113">
        <f>ROUND(AZ17*PFU,0)</f>
        <v>-71</v>
      </c>
      <c r="BA23" s="113">
        <f t="shared" si="13"/>
        <v>2089.242989438196</v>
      </c>
      <c r="BB23" s="113"/>
      <c r="BC23" s="113">
        <f>+'Max Topsheet'!P23</f>
        <v>1327.451765099748</v>
      </c>
      <c r="BD23" s="113">
        <f>ROUND(BD17*PFU,0)</f>
        <v>0</v>
      </c>
      <c r="BE23" s="113">
        <f t="shared" si="14"/>
        <v>1327.451765099748</v>
      </c>
    </row>
    <row r="24" spans="1:57" ht="12">
      <c r="A24" s="23" t="s">
        <v>1038</v>
      </c>
      <c r="B24" s="31" t="s">
        <v>1039</v>
      </c>
      <c r="C24" s="113">
        <f>+'KJB-2 p1'!F18</f>
        <v>344136</v>
      </c>
      <c r="D24" s="113">
        <f>+'MPP-3 p2'!N19</f>
        <v>0</v>
      </c>
      <c r="E24" s="113">
        <f t="shared" si="0"/>
        <v>344136</v>
      </c>
      <c r="F24" s="113">
        <f>+'MPP-3 p3&amp;4'!U19</f>
        <v>0</v>
      </c>
      <c r="G24" s="113">
        <f t="shared" si="1"/>
        <v>344136</v>
      </c>
      <c r="H24" s="113">
        <v>0</v>
      </c>
      <c r="I24" s="113">
        <f t="shared" si="2"/>
        <v>344136</v>
      </c>
      <c r="J24" s="113"/>
      <c r="K24" s="113">
        <f>+'Max Topsheet'!E24</f>
        <v>1149915.8650866593</v>
      </c>
      <c r="L24" s="113">
        <v>0</v>
      </c>
      <c r="M24" s="113">
        <f t="shared" si="3"/>
        <v>1149915.8650866593</v>
      </c>
      <c r="N24" s="113"/>
      <c r="O24" s="113">
        <f>+'Max Topsheet'!F24</f>
        <v>11743.15089572325</v>
      </c>
      <c r="P24" s="113">
        <v>0</v>
      </c>
      <c r="Q24" s="113">
        <f t="shared" si="4"/>
        <v>11743.15089572325</v>
      </c>
      <c r="R24" s="863"/>
      <c r="S24" s="905">
        <f>+'Max Topsheet'!G24</f>
        <v>553.9958229876084</v>
      </c>
      <c r="T24" s="113">
        <v>0</v>
      </c>
      <c r="U24" s="906">
        <f t="shared" si="5"/>
        <v>553.9958229876084</v>
      </c>
      <c r="V24" s="863"/>
      <c r="W24" s="113">
        <f>+'Max Topsheet'!H24</f>
        <v>172066.42096510902</v>
      </c>
      <c r="X24" s="113">
        <v>0</v>
      </c>
      <c r="Y24" s="113">
        <f t="shared" si="6"/>
        <v>172066.42096510902</v>
      </c>
      <c r="Z24" s="113"/>
      <c r="AA24" s="113">
        <f>+'Max Topsheet'!I24</f>
        <v>15.605516140496013</v>
      </c>
      <c r="AB24" s="113">
        <v>0</v>
      </c>
      <c r="AC24" s="113">
        <f t="shared" si="7"/>
        <v>15.605516140496013</v>
      </c>
      <c r="AD24" s="113"/>
      <c r="AE24" s="113">
        <f>+'Max Topsheet'!J24</f>
        <v>561.7985810578564</v>
      </c>
      <c r="AF24" s="113">
        <v>0</v>
      </c>
      <c r="AG24" s="113">
        <f t="shared" si="8"/>
        <v>561.7985810578564</v>
      </c>
      <c r="AH24" s="863"/>
      <c r="AI24" s="113">
        <f>+'Max Topsheet'!K24</f>
        <v>3160.117018450442</v>
      </c>
      <c r="AJ24" s="113">
        <v>0</v>
      </c>
      <c r="AK24" s="113">
        <f t="shared" si="9"/>
        <v>3160.117018450442</v>
      </c>
      <c r="AL24" s="113"/>
      <c r="AM24" s="113">
        <f>+'Max Topsheet'!L24</f>
        <v>93.63309684297606</v>
      </c>
      <c r="AN24" s="113">
        <v>0</v>
      </c>
      <c r="AO24" s="113">
        <f t="shared" si="10"/>
        <v>93.63309684297606</v>
      </c>
      <c r="AP24" s="113"/>
      <c r="AQ24" s="113">
        <f>+'Max Topsheet'!M24</f>
        <v>23.408274210744015</v>
      </c>
      <c r="AR24" s="113">
        <v>0</v>
      </c>
      <c r="AS24" s="113">
        <f t="shared" si="11"/>
        <v>23.408274210744015</v>
      </c>
      <c r="AT24" s="863"/>
      <c r="AU24" s="113">
        <f>+'Max Topsheet'!N24</f>
        <v>1029.964065272737</v>
      </c>
      <c r="AV24" s="113">
        <v>0</v>
      </c>
      <c r="AW24" s="113">
        <f t="shared" si="12"/>
        <v>1029.964065272737</v>
      </c>
      <c r="AX24" s="113"/>
      <c r="AY24" s="113">
        <f>+'Max Topsheet'!O24</f>
        <v>78.02758070248007</v>
      </c>
      <c r="AZ24" s="113">
        <v>0</v>
      </c>
      <c r="BA24" s="113">
        <f t="shared" si="13"/>
        <v>78.02758070248007</v>
      </c>
      <c r="BB24" s="113"/>
      <c r="BC24" s="113">
        <f>+'Max Topsheet'!P24</f>
        <v>93.63309684297606</v>
      </c>
      <c r="BD24" s="113">
        <v>0</v>
      </c>
      <c r="BE24" s="113">
        <f t="shared" si="14"/>
        <v>93.63309684297606</v>
      </c>
    </row>
    <row r="25" spans="1:57" ht="12">
      <c r="A25" s="23" t="s">
        <v>1040</v>
      </c>
      <c r="B25" s="31" t="s">
        <v>1041</v>
      </c>
      <c r="C25" s="113">
        <f>+'KJB-2 p1'!F19</f>
        <v>625296</v>
      </c>
      <c r="D25" s="113">
        <f>+'MPP-3 p2'!N20</f>
        <v>-183585.35</v>
      </c>
      <c r="E25" s="113">
        <f t="shared" si="0"/>
        <v>441710.65</v>
      </c>
      <c r="F25" s="113">
        <f>+'MPP-3 p3&amp;4'!U20</f>
        <v>0</v>
      </c>
      <c r="G25" s="113">
        <f t="shared" si="1"/>
        <v>441710.65</v>
      </c>
      <c r="H25" s="113">
        <v>0</v>
      </c>
      <c r="I25" s="113">
        <f t="shared" si="2"/>
        <v>441710.65</v>
      </c>
      <c r="J25" s="113"/>
      <c r="K25" s="113">
        <f>+'Max Topsheet'!E25</f>
        <v>200971.65236436646</v>
      </c>
      <c r="L25" s="113">
        <v>0</v>
      </c>
      <c r="M25" s="113">
        <f t="shared" si="3"/>
        <v>200971.65236436646</v>
      </c>
      <c r="N25" s="113"/>
      <c r="O25" s="113">
        <f>+'Max Topsheet'!F25</f>
        <v>2332.590901732883</v>
      </c>
      <c r="P25" s="113">
        <v>0</v>
      </c>
      <c r="Q25" s="113">
        <f t="shared" si="4"/>
        <v>2332.590901732883</v>
      </c>
      <c r="R25" s="863"/>
      <c r="S25" s="905">
        <f>+'Max Topsheet'!G25</f>
        <v>181.78984281244556</v>
      </c>
      <c r="T25" s="113">
        <v>0</v>
      </c>
      <c r="U25" s="906">
        <f t="shared" si="5"/>
        <v>181.78984281244556</v>
      </c>
      <c r="V25" s="863"/>
      <c r="W25" s="113">
        <f>+'Max Topsheet'!H25</f>
        <v>73153.34017316918</v>
      </c>
      <c r="X25" s="113">
        <v>0</v>
      </c>
      <c r="Y25" s="113">
        <f t="shared" si="6"/>
        <v>73153.34017316918</v>
      </c>
      <c r="Z25" s="113"/>
      <c r="AA25" s="113">
        <f>+'Max Topsheet'!I25</f>
        <v>40.509102490872195</v>
      </c>
      <c r="AB25" s="113">
        <v>0</v>
      </c>
      <c r="AC25" s="113">
        <f t="shared" si="7"/>
        <v>40.509102490872195</v>
      </c>
      <c r="AD25" s="113"/>
      <c r="AE25" s="113">
        <f>+'Max Topsheet'!J25</f>
        <v>5674.573243634263</v>
      </c>
      <c r="AF25" s="113">
        <v>0</v>
      </c>
      <c r="AG25" s="113">
        <f t="shared" si="8"/>
        <v>5674.573243634263</v>
      </c>
      <c r="AH25" s="863"/>
      <c r="AI25" s="113">
        <f>+'Max Topsheet'!K25</f>
        <v>7285.548879858233</v>
      </c>
      <c r="AJ25" s="113">
        <v>0</v>
      </c>
      <c r="AK25" s="113">
        <f t="shared" si="9"/>
        <v>7285.548879858233</v>
      </c>
      <c r="AL25" s="113"/>
      <c r="AM25" s="113">
        <f>+'Max Topsheet'!L25</f>
        <v>1886.7635810341417</v>
      </c>
      <c r="AN25" s="113">
        <v>0</v>
      </c>
      <c r="AO25" s="113">
        <f t="shared" si="10"/>
        <v>1886.7635810341417</v>
      </c>
      <c r="AP25" s="113"/>
      <c r="AQ25" s="113">
        <f>+'Max Topsheet'!M25</f>
        <v>259.97398014330446</v>
      </c>
      <c r="AR25" s="113">
        <v>0</v>
      </c>
      <c r="AS25" s="113">
        <f t="shared" si="11"/>
        <v>259.97398014330446</v>
      </c>
      <c r="AT25" s="863"/>
      <c r="AU25" s="113">
        <f>+'Max Topsheet'!N25</f>
        <v>55885.60092164356</v>
      </c>
      <c r="AV25" s="113">
        <v>0</v>
      </c>
      <c r="AW25" s="113">
        <f t="shared" si="12"/>
        <v>55885.60092164356</v>
      </c>
      <c r="AX25" s="113"/>
      <c r="AY25" s="113">
        <f>+'Max Topsheet'!O25</f>
        <v>94038.05700911475</v>
      </c>
      <c r="AZ25" s="113">
        <v>0</v>
      </c>
      <c r="BA25" s="113">
        <f t="shared" si="13"/>
        <v>94038.05700911475</v>
      </c>
      <c r="BB25" s="113"/>
      <c r="BC25" s="113">
        <f>+'Max Topsheet'!P25</f>
        <v>0</v>
      </c>
      <c r="BD25" s="113">
        <v>0</v>
      </c>
      <c r="BE25" s="113">
        <f t="shared" si="14"/>
        <v>0</v>
      </c>
    </row>
    <row r="26" spans="1:57" ht="12">
      <c r="A26" s="23" t="s">
        <v>1042</v>
      </c>
      <c r="B26" s="31" t="s">
        <v>1043</v>
      </c>
      <c r="C26" s="113">
        <f>+'KJB-2 p1'!F20</f>
        <v>18556164</v>
      </c>
      <c r="D26" s="113">
        <f>+'MPP-3 p2'!N21</f>
        <v>-2143626.6654959996</v>
      </c>
      <c r="E26" s="113">
        <f t="shared" si="0"/>
        <v>16412537.334504</v>
      </c>
      <c r="F26" s="113">
        <f>+'MPP-3 p3&amp;4'!U21</f>
        <v>532624.3833333334</v>
      </c>
      <c r="G26" s="113">
        <f t="shared" si="1"/>
        <v>16945161.717837334</v>
      </c>
      <c r="H26" s="113">
        <v>0</v>
      </c>
      <c r="I26" s="113">
        <f t="shared" si="2"/>
        <v>16945161.717837334</v>
      </c>
      <c r="J26" s="113"/>
      <c r="K26" s="113">
        <f>+'Max Topsheet'!E26</f>
        <v>9015693.308139373</v>
      </c>
      <c r="L26" s="113">
        <v>0</v>
      </c>
      <c r="M26" s="113">
        <f t="shared" si="3"/>
        <v>9015693.308139373</v>
      </c>
      <c r="N26" s="113"/>
      <c r="O26" s="113">
        <f>+'Max Topsheet'!F26</f>
        <v>98221.55177529757</v>
      </c>
      <c r="P26" s="113">
        <v>0</v>
      </c>
      <c r="Q26" s="113">
        <f t="shared" si="4"/>
        <v>98221.55177529757</v>
      </c>
      <c r="R26" s="863"/>
      <c r="S26" s="905">
        <f>+'Max Topsheet'!G26</f>
        <v>11681.125692428386</v>
      </c>
      <c r="T26" s="113">
        <v>0</v>
      </c>
      <c r="U26" s="906">
        <f t="shared" si="5"/>
        <v>11681.125692428386</v>
      </c>
      <c r="V26" s="863"/>
      <c r="W26" s="113">
        <f>+'Max Topsheet'!H26</f>
        <v>4023290.1806039913</v>
      </c>
      <c r="X26" s="113">
        <v>0</v>
      </c>
      <c r="Y26" s="113">
        <f t="shared" si="6"/>
        <v>4023290.1806039913</v>
      </c>
      <c r="Z26" s="113"/>
      <c r="AA26" s="113">
        <f>+'Max Topsheet'!I26</f>
        <v>1111.6766390584153</v>
      </c>
      <c r="AB26" s="113">
        <v>0</v>
      </c>
      <c r="AC26" s="113">
        <f t="shared" si="7"/>
        <v>1111.6766390584153</v>
      </c>
      <c r="AD26" s="113"/>
      <c r="AE26" s="113">
        <f>+'Max Topsheet'!J26</f>
        <v>174888.30720091565</v>
      </c>
      <c r="AF26" s="113">
        <v>0</v>
      </c>
      <c r="AG26" s="113">
        <f t="shared" si="8"/>
        <v>174888.30720091565</v>
      </c>
      <c r="AH26" s="863"/>
      <c r="AI26" s="113">
        <f>+'Max Topsheet'!K26</f>
        <v>420658.2662729836</v>
      </c>
      <c r="AJ26" s="113">
        <v>0</v>
      </c>
      <c r="AK26" s="113">
        <f t="shared" si="9"/>
        <v>420658.2662729836</v>
      </c>
      <c r="AL26" s="113"/>
      <c r="AM26" s="113">
        <f>+'Max Topsheet'!L26</f>
        <v>51454.32617777382</v>
      </c>
      <c r="AN26" s="113">
        <v>0</v>
      </c>
      <c r="AO26" s="113">
        <f t="shared" si="10"/>
        <v>51454.32617777382</v>
      </c>
      <c r="AP26" s="113"/>
      <c r="AQ26" s="113">
        <f>+'Max Topsheet'!M26</f>
        <v>9100.759825863484</v>
      </c>
      <c r="AR26" s="113">
        <v>0</v>
      </c>
      <c r="AS26" s="113">
        <f t="shared" si="11"/>
        <v>9100.759825863484</v>
      </c>
      <c r="AT26" s="863"/>
      <c r="AU26" s="113">
        <f>+'Max Topsheet'!N26</f>
        <v>1015563.4379288635</v>
      </c>
      <c r="AV26" s="113">
        <v>0</v>
      </c>
      <c r="AW26" s="113">
        <f t="shared" si="12"/>
        <v>1015563.4379288635</v>
      </c>
      <c r="AX26" s="113"/>
      <c r="AY26" s="113">
        <f>+'Max Topsheet'!O26</f>
        <v>1116639.6779098082</v>
      </c>
      <c r="AZ26" s="113">
        <v>0</v>
      </c>
      <c r="BA26" s="113">
        <f t="shared" si="13"/>
        <v>1116639.6779098082</v>
      </c>
      <c r="BB26" s="113"/>
      <c r="BC26" s="113">
        <f>+'Max Topsheet'!P26</f>
        <v>977679.7918336408</v>
      </c>
      <c r="BD26" s="113">
        <v>0</v>
      </c>
      <c r="BE26" s="113">
        <f t="shared" si="14"/>
        <v>977679.7918336408</v>
      </c>
    </row>
    <row r="27" spans="1:57" ht="12">
      <c r="A27" s="23" t="s">
        <v>1044</v>
      </c>
      <c r="B27" s="31" t="s">
        <v>1045</v>
      </c>
      <c r="C27" s="113">
        <v>0</v>
      </c>
      <c r="D27" s="113">
        <f>+'MPP-3 p2'!N22</f>
        <v>188561</v>
      </c>
      <c r="E27" s="113">
        <f t="shared" si="0"/>
        <v>188561</v>
      </c>
      <c r="F27" s="113">
        <f>+'MPP-3 p3&amp;4'!U22</f>
        <v>832522</v>
      </c>
      <c r="G27" s="113">
        <f t="shared" si="1"/>
        <v>1021083</v>
      </c>
      <c r="H27" s="113">
        <v>0</v>
      </c>
      <c r="I27" s="113">
        <f t="shared" si="2"/>
        <v>1021083</v>
      </c>
      <c r="J27" s="113"/>
      <c r="K27" s="113">
        <f>+'Max Topsheet'!E27</f>
        <v>686565.1097781976</v>
      </c>
      <c r="L27" s="113">
        <v>0</v>
      </c>
      <c r="M27" s="113">
        <f t="shared" si="3"/>
        <v>686565.1097781976</v>
      </c>
      <c r="N27" s="113"/>
      <c r="O27" s="113">
        <f>+'Max Topsheet'!F27</f>
        <v>7543.745874077718</v>
      </c>
      <c r="P27" s="113">
        <v>0</v>
      </c>
      <c r="Q27" s="113">
        <f t="shared" si="4"/>
        <v>7543.745874077718</v>
      </c>
      <c r="R27" s="863"/>
      <c r="S27" s="905">
        <f>+'Max Topsheet'!G27</f>
        <v>961.5215088094742</v>
      </c>
      <c r="T27" s="113">
        <v>0</v>
      </c>
      <c r="U27" s="906">
        <f t="shared" si="5"/>
        <v>961.5215088094742</v>
      </c>
      <c r="V27" s="863"/>
      <c r="W27" s="113">
        <f>+'Max Topsheet'!H27</f>
        <v>332817.75873774267</v>
      </c>
      <c r="X27" s="113">
        <v>0</v>
      </c>
      <c r="Y27" s="113">
        <f t="shared" si="6"/>
        <v>332817.75873774267</v>
      </c>
      <c r="Z27" s="113"/>
      <c r="AA27" s="113">
        <f>+'Max Topsheet'!I27</f>
        <v>92.76227909274317</v>
      </c>
      <c r="AB27" s="113">
        <v>0</v>
      </c>
      <c r="AC27" s="113">
        <f t="shared" si="7"/>
        <v>92.76227909274317</v>
      </c>
      <c r="AD27" s="113"/>
      <c r="AE27" s="113">
        <f>+'Max Topsheet'!J27</f>
        <v>15155.724566237106</v>
      </c>
      <c r="AF27" s="113">
        <v>0</v>
      </c>
      <c r="AG27" s="113">
        <f t="shared" si="8"/>
        <v>15155.724566237106</v>
      </c>
      <c r="AH27" s="863"/>
      <c r="AI27" s="113">
        <f>+'Max Topsheet'!K27</f>
        <v>35833.76039525008</v>
      </c>
      <c r="AJ27" s="113">
        <v>0</v>
      </c>
      <c r="AK27" s="113">
        <f t="shared" si="9"/>
        <v>35833.76039525008</v>
      </c>
      <c r="AL27" s="113"/>
      <c r="AM27" s="113">
        <f>+'Max Topsheet'!L27</f>
        <v>4001.105165641932</v>
      </c>
      <c r="AN27" s="113">
        <v>0</v>
      </c>
      <c r="AO27" s="113">
        <f t="shared" si="10"/>
        <v>4001.105165641932</v>
      </c>
      <c r="AP27" s="113"/>
      <c r="AQ27" s="113">
        <f>+'Max Topsheet'!M27</f>
        <v>703.521154757912</v>
      </c>
      <c r="AR27" s="113">
        <v>0</v>
      </c>
      <c r="AS27" s="113">
        <f t="shared" si="11"/>
        <v>703.521154757912</v>
      </c>
      <c r="AT27" s="863"/>
      <c r="AU27" s="113">
        <f>+'Max Topsheet'!N27</f>
        <v>94385.17532773186</v>
      </c>
      <c r="AV27" s="113">
        <v>0</v>
      </c>
      <c r="AW27" s="113">
        <f t="shared" si="12"/>
        <v>94385.17532773186</v>
      </c>
      <c r="AX27" s="113"/>
      <c r="AY27" s="113">
        <f>+'Max Topsheet'!O27</f>
        <v>109047.13548651326</v>
      </c>
      <c r="AZ27" s="113">
        <v>0</v>
      </c>
      <c r="BA27" s="113">
        <f t="shared" si="13"/>
        <v>109047.13548651326</v>
      </c>
      <c r="BB27" s="113"/>
      <c r="BC27" s="113">
        <f>+'Max Topsheet'!P27</f>
        <v>82453.67972594756</v>
      </c>
      <c r="BD27" s="113">
        <v>0</v>
      </c>
      <c r="BE27" s="113">
        <f t="shared" si="14"/>
        <v>82453.67972594756</v>
      </c>
    </row>
    <row r="28" spans="1:57" ht="12">
      <c r="A28" s="23" t="s">
        <v>1046</v>
      </c>
      <c r="B28" s="31" t="s">
        <v>1047</v>
      </c>
      <c r="C28" s="108">
        <f>+'KJB-2 p1'!F21</f>
        <v>13632109</v>
      </c>
      <c r="D28" s="108">
        <f>+'MPP-3 p2'!N23</f>
        <v>0</v>
      </c>
      <c r="E28" s="108">
        <f t="shared" si="0"/>
        <v>13632109</v>
      </c>
      <c r="F28" s="108">
        <f>+'MPP-3 p3&amp;4'!U23</f>
        <v>-35513.666666666664</v>
      </c>
      <c r="G28" s="108">
        <f t="shared" si="1"/>
        <v>13596595.333333334</v>
      </c>
      <c r="H28" s="108">
        <v>0</v>
      </c>
      <c r="I28" s="108">
        <f t="shared" si="2"/>
        <v>13596595.333333334</v>
      </c>
      <c r="J28" s="108"/>
      <c r="K28" s="108">
        <f>+'Max Topsheet'!E28</f>
        <v>5811130.828825565</v>
      </c>
      <c r="L28" s="108">
        <v>0</v>
      </c>
      <c r="M28" s="108">
        <f t="shared" si="3"/>
        <v>5811130.828825565</v>
      </c>
      <c r="N28" s="108"/>
      <c r="O28" s="108">
        <f>+'Max Topsheet'!F28</f>
        <v>65428.2536148713</v>
      </c>
      <c r="P28" s="108">
        <v>0</v>
      </c>
      <c r="Q28" s="108">
        <f t="shared" si="4"/>
        <v>65428.2536148713</v>
      </c>
      <c r="R28" s="882"/>
      <c r="S28" s="907">
        <f>+'Max Topsheet'!G28</f>
        <v>10608.688937753397</v>
      </c>
      <c r="T28" s="108">
        <v>0</v>
      </c>
      <c r="U28" s="908">
        <f t="shared" si="5"/>
        <v>10608.688937753397</v>
      </c>
      <c r="V28" s="863"/>
      <c r="W28" s="108">
        <f>+'Max Topsheet'!H28</f>
        <v>3685914.485586306</v>
      </c>
      <c r="X28" s="108">
        <v>0</v>
      </c>
      <c r="Y28" s="108">
        <f t="shared" si="6"/>
        <v>3685914.485586306</v>
      </c>
      <c r="Z28" s="108"/>
      <c r="AA28" s="108">
        <f>+'Max Topsheet'!I28</f>
        <v>1012.8702619533657</v>
      </c>
      <c r="AB28" s="108">
        <v>0</v>
      </c>
      <c r="AC28" s="108">
        <f t="shared" si="7"/>
        <v>1012.8702619533657</v>
      </c>
      <c r="AD28" s="108"/>
      <c r="AE28" s="108">
        <f>+'Max Topsheet'!J28</f>
        <v>178991.08720810656</v>
      </c>
      <c r="AF28" s="108">
        <v>0</v>
      </c>
      <c r="AG28" s="108">
        <f t="shared" si="8"/>
        <v>178991.08720810656</v>
      </c>
      <c r="AH28" s="863"/>
      <c r="AI28" s="108">
        <f>+'Max Topsheet'!K28</f>
        <v>429268.2826146155</v>
      </c>
      <c r="AJ28" s="108">
        <v>0</v>
      </c>
      <c r="AK28" s="108">
        <f t="shared" si="9"/>
        <v>429268.2826146155</v>
      </c>
      <c r="AL28" s="108"/>
      <c r="AM28" s="108">
        <f>+'Max Topsheet'!L28</f>
        <v>35469.47202460005</v>
      </c>
      <c r="AN28" s="108">
        <v>0</v>
      </c>
      <c r="AO28" s="108">
        <f t="shared" si="10"/>
        <v>35469.47202460005</v>
      </c>
      <c r="AP28" s="108"/>
      <c r="AQ28" s="108">
        <f>+'Max Topsheet'!M28</f>
        <v>6071.476316366849</v>
      </c>
      <c r="AR28" s="108">
        <v>0</v>
      </c>
      <c r="AS28" s="108">
        <f t="shared" si="11"/>
        <v>6071.476316366849</v>
      </c>
      <c r="AT28" s="863"/>
      <c r="AU28" s="108">
        <f>+'Max Topsheet'!N28</f>
        <v>1150116.6869158517</v>
      </c>
      <c r="AV28" s="108">
        <v>0</v>
      </c>
      <c r="AW28" s="108">
        <f t="shared" si="12"/>
        <v>1150116.6869158517</v>
      </c>
      <c r="AX28" s="108"/>
      <c r="AY28" s="108">
        <f>+'Max Topsheet'!O28</f>
        <v>1414304.5273223328</v>
      </c>
      <c r="AZ28" s="108">
        <v>0</v>
      </c>
      <c r="BA28" s="108">
        <f t="shared" si="13"/>
        <v>1414304.5273223328</v>
      </c>
      <c r="BB28" s="108"/>
      <c r="BC28" s="108">
        <f>+'Max Topsheet'!P28</f>
        <v>871593.3903716785</v>
      </c>
      <c r="BD28" s="108">
        <v>0</v>
      </c>
      <c r="BE28" s="108">
        <f t="shared" si="14"/>
        <v>871593.3903716785</v>
      </c>
    </row>
    <row r="29" spans="1:57" ht="12.75" thickBot="1">
      <c r="A29" s="23" t="s">
        <v>1048</v>
      </c>
      <c r="B29" s="31" t="s">
        <v>1049</v>
      </c>
      <c r="C29" s="109">
        <f>SUM(C20:C28)</f>
        <v>208836202</v>
      </c>
      <c r="D29" s="109">
        <f>+'MPP-3 p2'!N24</f>
        <v>33605895.54879449</v>
      </c>
      <c r="E29" s="109">
        <f t="shared" si="0"/>
        <v>242442097.5487945</v>
      </c>
      <c r="F29" s="109">
        <f>+'MPP-3 p3&amp;4'!U24</f>
        <v>1329651.7166666666</v>
      </c>
      <c r="G29" s="109">
        <f t="shared" si="1"/>
        <v>243771749.26546118</v>
      </c>
      <c r="H29" s="109">
        <f>SUM(H20:H28)</f>
        <v>16710</v>
      </c>
      <c r="I29" s="109">
        <f t="shared" si="2"/>
        <v>243788459.26546118</v>
      </c>
      <c r="J29" s="109"/>
      <c r="K29" s="109">
        <f>+'Max Topsheet'!E29</f>
        <v>110570773.78885388</v>
      </c>
      <c r="L29" s="109">
        <f>SUM(L20:L28)</f>
        <v>-372</v>
      </c>
      <c r="M29" s="109">
        <f t="shared" si="3"/>
        <v>110570401.78885388</v>
      </c>
      <c r="N29" s="109"/>
      <c r="O29" s="109">
        <f>+'Max Topsheet'!F29</f>
        <v>1412202.9191053966</v>
      </c>
      <c r="P29" s="109">
        <f>SUM(P20:P28)</f>
        <v>-4</v>
      </c>
      <c r="Q29" s="109">
        <f t="shared" si="4"/>
        <v>1412198.9191053966</v>
      </c>
      <c r="R29" s="878"/>
      <c r="S29" s="109">
        <f>+'Max Topsheet'!G29</f>
        <v>166417.32142750427</v>
      </c>
      <c r="T29" s="109">
        <f>SUM(T20:T28)</f>
        <v>0</v>
      </c>
      <c r="U29" s="109">
        <f t="shared" si="5"/>
        <v>166417.32142750427</v>
      </c>
      <c r="V29" s="881"/>
      <c r="W29" s="888">
        <f>+'Max Topsheet'!H29</f>
        <v>75174557.3255137</v>
      </c>
      <c r="X29" s="109">
        <f>SUM(X20:X28)</f>
        <v>-205</v>
      </c>
      <c r="Y29" s="109">
        <f t="shared" si="6"/>
        <v>75174352.3255137</v>
      </c>
      <c r="Z29" s="109"/>
      <c r="AA29" s="109">
        <f>+'Max Topsheet'!I29</f>
        <v>53126.36624490409</v>
      </c>
      <c r="AB29" s="109">
        <f>SUM(AB20:AB28)</f>
        <v>0</v>
      </c>
      <c r="AC29" s="109">
        <f t="shared" si="7"/>
        <v>53126.36624490409</v>
      </c>
      <c r="AD29" s="109"/>
      <c r="AE29" s="109">
        <f>+'Max Topsheet'!J29</f>
        <v>6832470.035450297</v>
      </c>
      <c r="AF29" s="109">
        <f>SUM(AF20:AF28)</f>
        <v>-12</v>
      </c>
      <c r="AG29" s="109">
        <f t="shared" si="8"/>
        <v>6832458.035450297</v>
      </c>
      <c r="AH29" s="881"/>
      <c r="AI29" s="109">
        <f>+'Max Topsheet'!K29</f>
        <v>9544216.21921816</v>
      </c>
      <c r="AJ29" s="109">
        <f>SUM(AJ20:AJ28)</f>
        <v>-17</v>
      </c>
      <c r="AK29" s="109">
        <f t="shared" si="9"/>
        <v>9544199.21921816</v>
      </c>
      <c r="AL29" s="109"/>
      <c r="AM29" s="109">
        <f>+'Max Topsheet'!L29</f>
        <v>2752157.5737085096</v>
      </c>
      <c r="AN29" s="109">
        <f>SUM(AN20:AN28)</f>
        <v>-2</v>
      </c>
      <c r="AO29" s="109">
        <f t="shared" si="10"/>
        <v>2752155.5737085096</v>
      </c>
      <c r="AP29" s="109"/>
      <c r="AQ29" s="109">
        <f>+'Max Topsheet'!M29</f>
        <v>350740.0060073767</v>
      </c>
      <c r="AR29" s="109">
        <f>SUM(AR20:AR28)</f>
        <v>0</v>
      </c>
      <c r="AS29" s="109">
        <f t="shared" si="11"/>
        <v>350740.0060073767</v>
      </c>
      <c r="AT29" s="881"/>
      <c r="AU29" s="109">
        <f>+'Max Topsheet'!N29</f>
        <v>3276881.8879688615</v>
      </c>
      <c r="AV29" s="109">
        <f>SUM(AV20:AV28)</f>
        <v>-104</v>
      </c>
      <c r="AW29" s="109">
        <f t="shared" si="12"/>
        <v>3276777.8879688615</v>
      </c>
      <c r="AX29" s="109"/>
      <c r="AY29" s="109">
        <f>+'Max Topsheet'!O29</f>
        <v>3895484.3818081906</v>
      </c>
      <c r="AZ29" s="109">
        <f>SUM(AZ20:AZ28)</f>
        <v>-71</v>
      </c>
      <c r="BA29" s="109">
        <f t="shared" si="13"/>
        <v>3895413.3818081906</v>
      </c>
      <c r="BB29" s="109"/>
      <c r="BC29" s="109">
        <f>+'Max Topsheet'!P29</f>
        <v>2704017.6246931693</v>
      </c>
      <c r="BD29" s="109">
        <f>SUM(BD20:BD28)</f>
        <v>0</v>
      </c>
      <c r="BE29" s="109">
        <f t="shared" si="14"/>
        <v>2704017.6246931693</v>
      </c>
    </row>
    <row r="30" spans="1:57" ht="12.75" thickTop="1">
      <c r="A30" s="23"/>
      <c r="B30" s="34"/>
      <c r="C30" s="108"/>
      <c r="D30" s="108"/>
      <c r="E30" s="108"/>
      <c r="F30" s="108"/>
      <c r="G30" s="108"/>
      <c r="H30" s="108"/>
      <c r="I30" s="108"/>
      <c r="J30" s="108"/>
      <c r="K30" s="108"/>
      <c r="L30" s="108"/>
      <c r="M30" s="108"/>
      <c r="N30" s="108"/>
      <c r="O30" s="108"/>
      <c r="P30" s="108"/>
      <c r="Q30" s="108"/>
      <c r="R30" s="882"/>
      <c r="S30" s="907"/>
      <c r="T30" s="108"/>
      <c r="U30" s="908"/>
      <c r="V30" s="863"/>
      <c r="W30" s="108"/>
      <c r="X30" s="108"/>
      <c r="Y30" s="108"/>
      <c r="Z30" s="108"/>
      <c r="AA30" s="108"/>
      <c r="AB30" s="108"/>
      <c r="AC30" s="108"/>
      <c r="AD30" s="108"/>
      <c r="AE30" s="108"/>
      <c r="AF30" s="108"/>
      <c r="AG30" s="108"/>
      <c r="AH30" s="863"/>
      <c r="AI30" s="108"/>
      <c r="AJ30" s="108"/>
      <c r="AK30" s="108"/>
      <c r="AL30" s="108"/>
      <c r="AM30" s="108"/>
      <c r="AN30" s="108"/>
      <c r="AO30" s="108"/>
      <c r="AP30" s="108"/>
      <c r="AQ30" s="108"/>
      <c r="AR30" s="108"/>
      <c r="AS30" s="108"/>
      <c r="AT30" s="863"/>
      <c r="AU30" s="108"/>
      <c r="AV30" s="108"/>
      <c r="AW30" s="108"/>
      <c r="AX30" s="108"/>
      <c r="AY30" s="108"/>
      <c r="AZ30" s="108"/>
      <c r="BA30" s="108"/>
      <c r="BB30" s="108"/>
      <c r="BC30" s="108"/>
      <c r="BD30" s="108"/>
      <c r="BE30" s="108"/>
    </row>
    <row r="31" spans="1:57" ht="12">
      <c r="A31" s="18"/>
      <c r="B31" s="30" t="s">
        <v>1050</v>
      </c>
      <c r="C31" s="113"/>
      <c r="D31" s="113"/>
      <c r="E31" s="113"/>
      <c r="F31" s="113"/>
      <c r="G31" s="113"/>
      <c r="H31" s="113"/>
      <c r="I31" s="113"/>
      <c r="J31" s="113"/>
      <c r="K31" s="113"/>
      <c r="L31" s="113"/>
      <c r="M31" s="113"/>
      <c r="N31" s="113"/>
      <c r="O31" s="113"/>
      <c r="P31" s="113"/>
      <c r="Q31" s="113"/>
      <c r="R31" s="863"/>
      <c r="S31" s="905"/>
      <c r="T31" s="113"/>
      <c r="U31" s="906"/>
      <c r="V31" s="863"/>
      <c r="W31" s="113"/>
      <c r="X31" s="113"/>
      <c r="Y31" s="113"/>
      <c r="Z31" s="113"/>
      <c r="AA31" s="113"/>
      <c r="AB31" s="113"/>
      <c r="AC31" s="113"/>
      <c r="AD31" s="113"/>
      <c r="AE31" s="113"/>
      <c r="AF31" s="113"/>
      <c r="AG31" s="113"/>
      <c r="AH31" s="863"/>
      <c r="AI31" s="113"/>
      <c r="AJ31" s="113"/>
      <c r="AK31" s="113"/>
      <c r="AL31" s="113"/>
      <c r="AM31" s="113"/>
      <c r="AN31" s="113"/>
      <c r="AO31" s="113"/>
      <c r="AP31" s="113"/>
      <c r="AQ31" s="113"/>
      <c r="AR31" s="113"/>
      <c r="AS31" s="113"/>
      <c r="AT31" s="863"/>
      <c r="AU31" s="113"/>
      <c r="AV31" s="113"/>
      <c r="AW31" s="113"/>
      <c r="AX31" s="113"/>
      <c r="AY31" s="113"/>
      <c r="AZ31" s="113"/>
      <c r="BA31" s="113"/>
      <c r="BB31" s="113"/>
      <c r="BC31" s="113"/>
      <c r="BD31" s="113"/>
      <c r="BE31" s="113"/>
    </row>
    <row r="32" spans="1:57" ht="12">
      <c r="A32" s="23" t="s">
        <v>1051</v>
      </c>
      <c r="B32" s="31" t="s">
        <v>1052</v>
      </c>
      <c r="C32" s="112">
        <f>+'KJB-2 p1'!F25</f>
        <v>23837552</v>
      </c>
      <c r="D32" s="112">
        <f>+'MPP-3 p2'!N27</f>
        <v>1205191</v>
      </c>
      <c r="E32" s="112">
        <f>C32+D32</f>
        <v>25042743</v>
      </c>
      <c r="F32" s="112">
        <f>+'MPP-3 p3&amp;4'!U27</f>
        <v>89069</v>
      </c>
      <c r="G32" s="112">
        <f>E32+F32</f>
        <v>25131812</v>
      </c>
      <c r="H32" s="112">
        <f>ROUND(H17*OTI,0)</f>
        <v>218702</v>
      </c>
      <c r="I32" s="112">
        <f>G32+H32</f>
        <v>25350514</v>
      </c>
      <c r="J32" s="112"/>
      <c r="K32" s="112">
        <f>+'Max Topsheet'!E32</f>
        <v>11846914.66245653</v>
      </c>
      <c r="L32" s="112">
        <f>ROUND(L17*OTI,0)</f>
        <v>-4871</v>
      </c>
      <c r="M32" s="112">
        <f>K32+L32</f>
        <v>11842043.66245653</v>
      </c>
      <c r="N32" s="112"/>
      <c r="O32" s="112">
        <f>+'Max Topsheet'!F32</f>
        <v>157700.97348189887</v>
      </c>
      <c r="P32" s="112">
        <f>ROUND(P17*OTI,0)</f>
        <v>-59</v>
      </c>
      <c r="Q32" s="112">
        <f>O32+P32</f>
        <v>157641.97348189887</v>
      </c>
      <c r="R32" s="881"/>
      <c r="S32" s="903">
        <f>+'Max Topsheet'!G32</f>
        <v>18476.31203239405</v>
      </c>
      <c r="T32" s="112">
        <f>ROUND(T17*OTI,0)</f>
        <v>-6</v>
      </c>
      <c r="U32" s="904">
        <f>S32+T32</f>
        <v>18470.31203239405</v>
      </c>
      <c r="V32" s="881"/>
      <c r="W32" s="112">
        <f>+'Max Topsheet'!H32</f>
        <v>8109847.0786726335</v>
      </c>
      <c r="X32" s="112">
        <f>ROUND(X17*OTI,0)</f>
        <v>-2678</v>
      </c>
      <c r="Y32" s="112">
        <f>W32+X32</f>
        <v>8107169.0786726335</v>
      </c>
      <c r="Z32" s="112"/>
      <c r="AA32" s="112">
        <f>+'Max Topsheet'!I32</f>
        <v>6002.495971302517</v>
      </c>
      <c r="AB32" s="112">
        <f>ROUND(AB17*OTI,0)</f>
        <v>-2</v>
      </c>
      <c r="AC32" s="112">
        <f>AA32+AB32</f>
        <v>6000.495971302517</v>
      </c>
      <c r="AD32" s="112"/>
      <c r="AE32" s="112">
        <f>+'Max Topsheet'!J32</f>
        <v>730903.2710735409</v>
      </c>
      <c r="AF32" s="112">
        <f>ROUND(AF17*OTI,0)</f>
        <v>-160</v>
      </c>
      <c r="AG32" s="112">
        <f>AE32+AF32</f>
        <v>730743.2710735409</v>
      </c>
      <c r="AH32" s="881"/>
      <c r="AI32" s="112">
        <f>+'Max Topsheet'!K32</f>
        <v>1018641.9660711761</v>
      </c>
      <c r="AJ32" s="112">
        <f>ROUND(AJ17*OTI,0)</f>
        <v>-222</v>
      </c>
      <c r="AK32" s="112">
        <f>AI32+AJ32</f>
        <v>1018419.9660711761</v>
      </c>
      <c r="AL32" s="112"/>
      <c r="AM32" s="112">
        <f>+'Max Topsheet'!L32</f>
        <v>271209.4883806468</v>
      </c>
      <c r="AN32" s="112">
        <f>ROUND(AN17*OTI,0)</f>
        <v>-30</v>
      </c>
      <c r="AO32" s="112">
        <f>AM32+AN32</f>
        <v>271179.4883806468</v>
      </c>
      <c r="AP32" s="112"/>
      <c r="AQ32" s="112">
        <f>+'Max Topsheet'!M32</f>
        <v>35633.70287332857</v>
      </c>
      <c r="AR32" s="112">
        <f>ROUND(AR17*OTI,0)</f>
        <v>-6</v>
      </c>
      <c r="AS32" s="112">
        <f>AQ32+AR32</f>
        <v>35627.70287332857</v>
      </c>
      <c r="AT32" s="881"/>
      <c r="AU32" s="112">
        <f>+'Max Topsheet'!N32</f>
        <v>542490.1424893939</v>
      </c>
      <c r="AV32" s="112">
        <f>ROUND(AV17*OTI,0)</f>
        <v>-1361</v>
      </c>
      <c r="AW32" s="112">
        <f>AU32+AV32</f>
        <v>541129.1424893939</v>
      </c>
      <c r="AX32" s="112"/>
      <c r="AY32" s="112">
        <f>+'Max Topsheet'!O32</f>
        <v>576750.7936478105</v>
      </c>
      <c r="AZ32" s="112">
        <f>ROUND(AZ17*OTI,0)</f>
        <v>-935</v>
      </c>
      <c r="BA32" s="112">
        <f>AY32+AZ32</f>
        <v>575815.7936478105</v>
      </c>
      <c r="BB32" s="112"/>
      <c r="BC32" s="112">
        <f>+'Max Topsheet'!P32</f>
        <v>413079.0328493418</v>
      </c>
      <c r="BD32" s="112">
        <f>ROUND(BD17*OTI,0)</f>
        <v>0</v>
      </c>
      <c r="BE32" s="112">
        <f>BC32+BD32</f>
        <v>413079.0328493418</v>
      </c>
    </row>
    <row r="33" spans="1:57" ht="12">
      <c r="A33" s="23" t="s">
        <v>1053</v>
      </c>
      <c r="B33" s="31" t="s">
        <v>1054</v>
      </c>
      <c r="C33" s="112">
        <f>+'KJB-2 p1'!F26</f>
        <v>0</v>
      </c>
      <c r="D33" s="113">
        <f>+'MPP-3 p2'!N28</f>
        <v>0</v>
      </c>
      <c r="E33" s="113">
        <f>C33+D33</f>
        <v>0</v>
      </c>
      <c r="F33" s="113">
        <f>+'MPP-3 p3&amp;4'!U28</f>
        <v>0</v>
      </c>
      <c r="G33" s="113">
        <f>E33+F33</f>
        <v>0</v>
      </c>
      <c r="H33" s="113">
        <v>0</v>
      </c>
      <c r="I33" s="113">
        <f>G33+H33</f>
        <v>0</v>
      </c>
      <c r="J33" s="113"/>
      <c r="K33" s="113">
        <f>+'Max Topsheet'!E33</f>
        <v>0</v>
      </c>
      <c r="L33" s="113">
        <v>0</v>
      </c>
      <c r="M33" s="113">
        <f>K33+L33</f>
        <v>0</v>
      </c>
      <c r="N33" s="113"/>
      <c r="O33" s="113">
        <f>+'Max Topsheet'!F33</f>
        <v>0</v>
      </c>
      <c r="P33" s="113">
        <v>0</v>
      </c>
      <c r="Q33" s="113">
        <f>O33+P33</f>
        <v>0</v>
      </c>
      <c r="R33" s="863"/>
      <c r="S33" s="905">
        <f>+'Max Topsheet'!G33</f>
        <v>0</v>
      </c>
      <c r="T33" s="113">
        <v>0</v>
      </c>
      <c r="U33" s="906">
        <f>S33+T33</f>
        <v>0</v>
      </c>
      <c r="V33" s="863"/>
      <c r="W33" s="113">
        <f>+'Max Topsheet'!H33</f>
        <v>0</v>
      </c>
      <c r="X33" s="113">
        <v>0</v>
      </c>
      <c r="Y33" s="113">
        <f>W33+X33</f>
        <v>0</v>
      </c>
      <c r="Z33" s="113"/>
      <c r="AA33" s="113">
        <f>+'Max Topsheet'!I33</f>
        <v>0</v>
      </c>
      <c r="AB33" s="113">
        <v>0</v>
      </c>
      <c r="AC33" s="113">
        <f>AA33+AB33</f>
        <v>0</v>
      </c>
      <c r="AD33" s="113"/>
      <c r="AE33" s="113">
        <f>+'Max Topsheet'!J33</f>
        <v>0</v>
      </c>
      <c r="AF33" s="113">
        <v>0</v>
      </c>
      <c r="AG33" s="113">
        <f>AE33+AF33</f>
        <v>0</v>
      </c>
      <c r="AH33" s="863"/>
      <c r="AI33" s="113">
        <f>+'Max Topsheet'!K33</f>
        <v>0</v>
      </c>
      <c r="AJ33" s="113">
        <v>0</v>
      </c>
      <c r="AK33" s="113">
        <f>AI33+AJ33</f>
        <v>0</v>
      </c>
      <c r="AL33" s="113"/>
      <c r="AM33" s="113">
        <f>+'Max Topsheet'!L33</f>
        <v>0</v>
      </c>
      <c r="AN33" s="113">
        <v>0</v>
      </c>
      <c r="AO33" s="113">
        <f>AM33+AN33</f>
        <v>0</v>
      </c>
      <c r="AP33" s="113"/>
      <c r="AQ33" s="113">
        <f>+'Max Topsheet'!M33</f>
        <v>0</v>
      </c>
      <c r="AR33" s="113">
        <v>0</v>
      </c>
      <c r="AS33" s="113">
        <f>AQ33+AR33</f>
        <v>0</v>
      </c>
      <c r="AT33" s="863"/>
      <c r="AU33" s="113">
        <f>+'Max Topsheet'!N33</f>
        <v>0</v>
      </c>
      <c r="AV33" s="113">
        <v>0</v>
      </c>
      <c r="AW33" s="113">
        <f>AU33+AV33</f>
        <v>0</v>
      </c>
      <c r="AX33" s="113"/>
      <c r="AY33" s="113">
        <f>+'Max Topsheet'!O33</f>
        <v>0</v>
      </c>
      <c r="AZ33" s="113">
        <v>0</v>
      </c>
      <c r="BA33" s="113">
        <f>AY33+AZ33</f>
        <v>0</v>
      </c>
      <c r="BB33" s="113"/>
      <c r="BC33" s="113">
        <f>+'Max Topsheet'!P33</f>
        <v>0</v>
      </c>
      <c r="BD33" s="113">
        <v>0</v>
      </c>
      <c r="BE33" s="113">
        <f>BC33+BD33</f>
        <v>0</v>
      </c>
    </row>
    <row r="34" spans="1:57" ht="12">
      <c r="A34" s="23" t="s">
        <v>1055</v>
      </c>
      <c r="B34" s="31" t="s">
        <v>1056</v>
      </c>
      <c r="C34" s="112">
        <f>+'KJB-2 p1'!F27</f>
        <v>3293908</v>
      </c>
      <c r="D34" s="108">
        <f>+'MPP-3 p2'!N29</f>
        <v>1774047</v>
      </c>
      <c r="E34" s="108">
        <f>C34+D34</f>
        <v>5067955</v>
      </c>
      <c r="F34" s="108">
        <f>+'MPP-3 p3&amp;4'!U29</f>
        <v>-457705.2194720004</v>
      </c>
      <c r="G34" s="108">
        <f>E34+F34</f>
        <v>4610249.780528</v>
      </c>
      <c r="H34" s="108">
        <f>ROUND((H17-H23-H32)*FIT,0)</f>
        <v>1765023</v>
      </c>
      <c r="I34" s="108">
        <f>G34+H34</f>
        <v>6375272.780528</v>
      </c>
      <c r="J34" s="108"/>
      <c r="K34" s="108">
        <f>+'Max Topsheet'!E34</f>
        <v>1312163.4766016733</v>
      </c>
      <c r="L34" s="108">
        <f>ROUND((L17-L29-L32-L33)*FIT,0)</f>
        <v>-39310</v>
      </c>
      <c r="M34" s="108">
        <f>K34+L34</f>
        <v>1272853.4766016733</v>
      </c>
      <c r="N34" s="108"/>
      <c r="O34" s="108">
        <f>+'Max Topsheet'!F34</f>
        <v>27242.33892863873</v>
      </c>
      <c r="P34" s="108">
        <f>ROUND((P17-P29-P32-P33)*FIT,0)</f>
        <v>-475</v>
      </c>
      <c r="Q34" s="108">
        <f>O34+P34</f>
        <v>26767.33892863873</v>
      </c>
      <c r="R34" s="882"/>
      <c r="S34" s="907">
        <f>+'Max Topsheet'!G34</f>
        <v>2137.622137797088</v>
      </c>
      <c r="T34" s="108">
        <f>ROUND((T17-T29-T32-T33)*FIT,0)</f>
        <v>-46</v>
      </c>
      <c r="U34" s="908">
        <f>S34+T34</f>
        <v>2091.622137797088</v>
      </c>
      <c r="V34" s="863"/>
      <c r="W34" s="108">
        <f>+'Max Topsheet'!H34</f>
        <v>1055942.3432267818</v>
      </c>
      <c r="X34" s="108">
        <f>ROUND((X17-X29-X32-X33)*FIT,0)</f>
        <v>-21610</v>
      </c>
      <c r="Y34" s="108">
        <f>W34+X34</f>
        <v>1034332.3432267818</v>
      </c>
      <c r="Z34" s="108"/>
      <c r="AA34" s="108">
        <f>+'Max Topsheet'!I34</f>
        <v>1533.087153095117</v>
      </c>
      <c r="AB34" s="108">
        <f>ROUND((AB17-AB29-AB32-AB33)*FIT,0)</f>
        <v>-16</v>
      </c>
      <c r="AC34" s="108">
        <f>AA34+AB34</f>
        <v>1517.087153095117</v>
      </c>
      <c r="AD34" s="108"/>
      <c r="AE34" s="108">
        <f>+'Max Topsheet'!J34</f>
        <v>126798.5212695805</v>
      </c>
      <c r="AF34" s="108">
        <f>ROUND((AF17-AF29-AF32-AF33)*FIT,0)</f>
        <v>-1293</v>
      </c>
      <c r="AG34" s="108">
        <f>AE34+AF34</f>
        <v>125505.5212695805</v>
      </c>
      <c r="AH34" s="863"/>
      <c r="AI34" s="108">
        <f>+'Max Topsheet'!K34</f>
        <v>123793.82418369252</v>
      </c>
      <c r="AJ34" s="108">
        <f>ROUND((AJ17-AJ29-AJ32-AJ33)*FIT,0)</f>
        <v>-1794</v>
      </c>
      <c r="AK34" s="108">
        <f>AI34+AJ34</f>
        <v>121999.82418369252</v>
      </c>
      <c r="AL34" s="108"/>
      <c r="AM34" s="108">
        <f>+'Max Topsheet'!L34</f>
        <v>34551.305846355295</v>
      </c>
      <c r="AN34" s="108">
        <f>ROUND((AN17-AN29-AN32-AN33)*FIT,0)</f>
        <v>-241</v>
      </c>
      <c r="AO34" s="108">
        <f>AM34+AN34</f>
        <v>34310.305846355295</v>
      </c>
      <c r="AP34" s="108"/>
      <c r="AQ34" s="108">
        <f>+'Max Topsheet'!M34</f>
        <v>5374.824952390066</v>
      </c>
      <c r="AR34" s="108">
        <f>ROUND((AR17-AR29-AR32-AR33)*FIT,0)</f>
        <v>-47</v>
      </c>
      <c r="AS34" s="108">
        <f>AQ34+AR34</f>
        <v>5327.824952390066</v>
      </c>
      <c r="AT34" s="863"/>
      <c r="AU34" s="108">
        <f>+'Max Topsheet'!N34</f>
        <v>493451.20940116077</v>
      </c>
      <c r="AV34" s="108">
        <f>ROUND((AV17-AV29-AV32-AV33)*FIT,0)</f>
        <v>-10983</v>
      </c>
      <c r="AW34" s="108">
        <f>AU34+AV34</f>
        <v>482468.20940116077</v>
      </c>
      <c r="AX34" s="108"/>
      <c r="AY34" s="108">
        <f>+'Max Topsheet'!O34</f>
        <v>219887.35995263618</v>
      </c>
      <c r="AZ34" s="108">
        <f>ROUND((AZ17-AZ29-AZ32-AZ33)*FIT,0)</f>
        <v>-7547</v>
      </c>
      <c r="BA34" s="108">
        <f>AY34+AZ34</f>
        <v>212340.35995263618</v>
      </c>
      <c r="BB34" s="108"/>
      <c r="BC34" s="108">
        <f>+'Max Topsheet'!P34</f>
        <v>278384.0863461992</v>
      </c>
      <c r="BD34" s="108">
        <f>ROUND((BD17-BD29-BD32-BD33)*FIT,0)</f>
        <v>0</v>
      </c>
      <c r="BE34" s="108">
        <f>BC34+BD34</f>
        <v>278384.0863461992</v>
      </c>
    </row>
    <row r="35" spans="1:57" ht="12.75" thickBot="1">
      <c r="A35" s="23" t="s">
        <v>1057</v>
      </c>
      <c r="B35" s="31" t="s">
        <v>1058</v>
      </c>
      <c r="C35" s="109">
        <f>C32+C33+C34</f>
        <v>27131460</v>
      </c>
      <c r="D35" s="109">
        <f>+'MPP-3 p2'!N30</f>
        <v>2979238</v>
      </c>
      <c r="E35" s="109">
        <f>C35+D35</f>
        <v>30110698</v>
      </c>
      <c r="F35" s="109">
        <f>+'MPP-3 p3&amp;4'!U30</f>
        <v>-368636.2194720004</v>
      </c>
      <c r="G35" s="109">
        <f>E35+F35</f>
        <v>29742061.780528</v>
      </c>
      <c r="H35" s="109">
        <f>H32+H33+H34</f>
        <v>1983725</v>
      </c>
      <c r="I35" s="109">
        <f>G35+H35</f>
        <v>31725786.780528</v>
      </c>
      <c r="J35" s="109"/>
      <c r="K35" s="109">
        <f>SUM(K32:K34)</f>
        <v>13159078.139058203</v>
      </c>
      <c r="L35" s="109">
        <f>L32+L33+L34</f>
        <v>-44181</v>
      </c>
      <c r="M35" s="109">
        <f>K35+L35</f>
        <v>13114897.139058203</v>
      </c>
      <c r="N35" s="109"/>
      <c r="O35" s="109">
        <f>SUM(O32:O34)</f>
        <v>184943.3124105376</v>
      </c>
      <c r="P35" s="109">
        <f>P32+P33+P34</f>
        <v>-534</v>
      </c>
      <c r="Q35" s="109">
        <f>O35+P35</f>
        <v>184409.3124105376</v>
      </c>
      <c r="R35" s="878"/>
      <c r="S35" s="109">
        <f>SUM(S32:S34)</f>
        <v>20613.934170191136</v>
      </c>
      <c r="T35" s="109">
        <f>T32+T33+T34</f>
        <v>-52</v>
      </c>
      <c r="U35" s="109">
        <f>S35+T35</f>
        <v>20561.934170191136</v>
      </c>
      <c r="V35" s="881"/>
      <c r="W35" s="888">
        <f>SUM(W32:W34)</f>
        <v>9165789.421899416</v>
      </c>
      <c r="X35" s="109">
        <f>X32+X33+X34</f>
        <v>-24288</v>
      </c>
      <c r="Y35" s="109">
        <f>W35+X35</f>
        <v>9141501.421899416</v>
      </c>
      <c r="Z35" s="109"/>
      <c r="AA35" s="109">
        <f>SUM(AA32:AA34)</f>
        <v>7535.5831243976345</v>
      </c>
      <c r="AB35" s="109">
        <f>AB32+AB33+AB34</f>
        <v>-18</v>
      </c>
      <c r="AC35" s="109">
        <f>AA35+AB35</f>
        <v>7517.5831243976345</v>
      </c>
      <c r="AD35" s="109"/>
      <c r="AE35" s="109">
        <f>SUM(AE32:AE34)</f>
        <v>857701.7923431214</v>
      </c>
      <c r="AF35" s="109">
        <f>AF32+AF33+AF34</f>
        <v>-1453</v>
      </c>
      <c r="AG35" s="109">
        <f>AE35+AF35</f>
        <v>856248.7923431214</v>
      </c>
      <c r="AH35" s="881"/>
      <c r="AI35" s="109">
        <f>SUM(AI32:AI34)</f>
        <v>1142435.7902548686</v>
      </c>
      <c r="AJ35" s="109">
        <f>AJ32+AJ33+AJ34</f>
        <v>-2016</v>
      </c>
      <c r="AK35" s="109">
        <f>AI35+AJ35</f>
        <v>1140419.7902548686</v>
      </c>
      <c r="AL35" s="109"/>
      <c r="AM35" s="109">
        <f>SUM(AM32:AM34)</f>
        <v>305760.7942270021</v>
      </c>
      <c r="AN35" s="109">
        <f>AN32+AN33+AN34</f>
        <v>-271</v>
      </c>
      <c r="AO35" s="109">
        <f>AM35+AN35</f>
        <v>305489.7942270021</v>
      </c>
      <c r="AP35" s="109"/>
      <c r="AQ35" s="109">
        <f>SUM(AQ32:AQ34)</f>
        <v>41008.52782571864</v>
      </c>
      <c r="AR35" s="109">
        <f>AR32+AR33+AR34</f>
        <v>-53</v>
      </c>
      <c r="AS35" s="109">
        <f>AQ35+AR35</f>
        <v>40955.52782571864</v>
      </c>
      <c r="AT35" s="881"/>
      <c r="AU35" s="109">
        <f>SUM(AU32:AU34)</f>
        <v>1035941.3518905547</v>
      </c>
      <c r="AV35" s="109">
        <f>AV32+AV33+AV34</f>
        <v>-12344</v>
      </c>
      <c r="AW35" s="109">
        <f>AU35+AV35</f>
        <v>1023597.3518905547</v>
      </c>
      <c r="AX35" s="109"/>
      <c r="AY35" s="109">
        <f>SUM(AY32:AY34)</f>
        <v>796638.1536004466</v>
      </c>
      <c r="AZ35" s="109">
        <f>AZ32+AZ33+AZ34</f>
        <v>-8482</v>
      </c>
      <c r="BA35" s="109">
        <f>AY35+AZ35</f>
        <v>788156.1536004466</v>
      </c>
      <c r="BB35" s="109"/>
      <c r="BC35" s="109">
        <f>SUM(BC32:BC34)</f>
        <v>691463.119195541</v>
      </c>
      <c r="BD35" s="109">
        <f>BD32+BD33+BD34</f>
        <v>0</v>
      </c>
      <c r="BE35" s="109">
        <f>BC35+BD35</f>
        <v>691463.119195541</v>
      </c>
    </row>
    <row r="36" spans="1:57" ht="12.75" thickTop="1">
      <c r="A36" s="34"/>
      <c r="B36" s="34"/>
      <c r="C36" s="108"/>
      <c r="D36" s="108"/>
      <c r="E36" s="108"/>
      <c r="F36" s="108"/>
      <c r="G36" s="108"/>
      <c r="H36" s="108"/>
      <c r="I36" s="108"/>
      <c r="J36" s="108"/>
      <c r="K36" s="108"/>
      <c r="L36" s="108"/>
      <c r="M36" s="108"/>
      <c r="N36" s="108"/>
      <c r="O36" s="108"/>
      <c r="P36" s="108"/>
      <c r="Q36" s="108"/>
      <c r="R36" s="882"/>
      <c r="S36" s="907"/>
      <c r="T36" s="108"/>
      <c r="U36" s="908"/>
      <c r="V36" s="863"/>
      <c r="W36" s="108"/>
      <c r="X36" s="108"/>
      <c r="Y36" s="108"/>
      <c r="Z36" s="108"/>
      <c r="AA36" s="108"/>
      <c r="AB36" s="108"/>
      <c r="AC36" s="108"/>
      <c r="AD36" s="108"/>
      <c r="AE36" s="108"/>
      <c r="AF36" s="108"/>
      <c r="AG36" s="108"/>
      <c r="AH36" s="863"/>
      <c r="AI36" s="108"/>
      <c r="AJ36" s="108"/>
      <c r="AK36" s="108"/>
      <c r="AL36" s="108"/>
      <c r="AM36" s="108"/>
      <c r="AN36" s="108"/>
      <c r="AO36" s="108"/>
      <c r="AP36" s="108"/>
      <c r="AQ36" s="108"/>
      <c r="AR36" s="108"/>
      <c r="AS36" s="108"/>
      <c r="AT36" s="863"/>
      <c r="AU36" s="108"/>
      <c r="AV36" s="108"/>
      <c r="AW36" s="108"/>
      <c r="AX36" s="108"/>
      <c r="AY36" s="108"/>
      <c r="AZ36" s="108"/>
      <c r="BA36" s="108"/>
      <c r="BB36" s="108"/>
      <c r="BC36" s="108"/>
      <c r="BD36" s="108"/>
      <c r="BE36" s="108"/>
    </row>
    <row r="37" spans="1:57" ht="12.75" thickBot="1">
      <c r="A37" s="23" t="s">
        <v>1059</v>
      </c>
      <c r="B37" s="33" t="s">
        <v>1060</v>
      </c>
      <c r="C37" s="109">
        <f>C29+C35</f>
        <v>235967662</v>
      </c>
      <c r="D37" s="109">
        <f>+'MPP-3 p2'!N32</f>
        <v>36585133.54879449</v>
      </c>
      <c r="E37" s="109">
        <f>C37+D37</f>
        <v>272552795.5487945</v>
      </c>
      <c r="F37" s="109">
        <f>+'MPP-3 p3&amp;4'!U32</f>
        <v>961015.4971946662</v>
      </c>
      <c r="G37" s="109">
        <f>E37+F37</f>
        <v>273513811.04598916</v>
      </c>
      <c r="H37" s="109">
        <f>H29+H35</f>
        <v>2000435</v>
      </c>
      <c r="I37" s="109">
        <f>G37+H37</f>
        <v>275514246.04598916</v>
      </c>
      <c r="J37" s="109"/>
      <c r="K37" s="109">
        <f>+K35+K29</f>
        <v>123729851.92791209</v>
      </c>
      <c r="L37" s="109">
        <f>L29+L35</f>
        <v>-44553</v>
      </c>
      <c r="M37" s="109">
        <f>K37+L37</f>
        <v>123685298.92791209</v>
      </c>
      <c r="N37" s="109"/>
      <c r="O37" s="109">
        <f>+O35+O29</f>
        <v>1597146.2315159342</v>
      </c>
      <c r="P37" s="109">
        <f>P29+P35</f>
        <v>-538</v>
      </c>
      <c r="Q37" s="109">
        <f>O37+P37</f>
        <v>1596608.2315159342</v>
      </c>
      <c r="R37" s="878"/>
      <c r="S37" s="109">
        <f>+S35+S29</f>
        <v>187031.25559769542</v>
      </c>
      <c r="T37" s="109">
        <f>T29+T35</f>
        <v>-52</v>
      </c>
      <c r="U37" s="109">
        <f>S37+T37</f>
        <v>186979.25559769542</v>
      </c>
      <c r="V37" s="881"/>
      <c r="W37" s="888">
        <f>+W35+W29</f>
        <v>84340346.74741313</v>
      </c>
      <c r="X37" s="109">
        <f>X29+X35</f>
        <v>-24493</v>
      </c>
      <c r="Y37" s="109">
        <f>W37+X37</f>
        <v>84315853.74741313</v>
      </c>
      <c r="Z37" s="109"/>
      <c r="AA37" s="109">
        <f>+AA35+AA29</f>
        <v>60661.94936930173</v>
      </c>
      <c r="AB37" s="109">
        <f>AB29+AB35</f>
        <v>-18</v>
      </c>
      <c r="AC37" s="109">
        <f>AA37+AB37</f>
        <v>60643.94936930173</v>
      </c>
      <c r="AD37" s="109"/>
      <c r="AE37" s="109">
        <f>+AE35+AE29</f>
        <v>7690171.827793418</v>
      </c>
      <c r="AF37" s="109">
        <f>AF29+AF35</f>
        <v>-1465</v>
      </c>
      <c r="AG37" s="109">
        <f>AE37+AF37</f>
        <v>7688706.827793418</v>
      </c>
      <c r="AH37" s="881"/>
      <c r="AI37" s="109">
        <f>+AI35+AI29</f>
        <v>10686652.009473028</v>
      </c>
      <c r="AJ37" s="109">
        <f>AJ29+AJ35</f>
        <v>-2033</v>
      </c>
      <c r="AK37" s="109">
        <f>AI37+AJ37</f>
        <v>10684619.009473028</v>
      </c>
      <c r="AL37" s="109"/>
      <c r="AM37" s="109">
        <f>+AM35+AM29</f>
        <v>3057918.3679355117</v>
      </c>
      <c r="AN37" s="109">
        <f>AN29+AN35</f>
        <v>-273</v>
      </c>
      <c r="AO37" s="109">
        <f>AM37+AN37</f>
        <v>3057645.3679355117</v>
      </c>
      <c r="AP37" s="109"/>
      <c r="AQ37" s="109">
        <f>+AQ35+AQ29</f>
        <v>391748.53383309534</v>
      </c>
      <c r="AR37" s="109">
        <f>AR29+AR35</f>
        <v>-53</v>
      </c>
      <c r="AS37" s="109">
        <f>AQ37+AR37</f>
        <v>391695.53383309534</v>
      </c>
      <c r="AT37" s="881"/>
      <c r="AU37" s="109">
        <f>+AU35+AU29</f>
        <v>4312823.239859416</v>
      </c>
      <c r="AV37" s="109">
        <f>AV29+AV35</f>
        <v>-12448</v>
      </c>
      <c r="AW37" s="109">
        <f>AU37+AV37</f>
        <v>4300375.239859416</v>
      </c>
      <c r="AX37" s="109"/>
      <c r="AY37" s="109">
        <f>+AY35+AY29</f>
        <v>4692122.5354086375</v>
      </c>
      <c r="AZ37" s="109">
        <f>AZ29+AZ35</f>
        <v>-8553</v>
      </c>
      <c r="BA37" s="109">
        <f>AY37+AZ37</f>
        <v>4683569.5354086375</v>
      </c>
      <c r="BB37" s="109"/>
      <c r="BC37" s="109">
        <f>+BC35+BC29</f>
        <v>3395480.74388871</v>
      </c>
      <c r="BD37" s="109">
        <f>BD29+BD35</f>
        <v>0</v>
      </c>
      <c r="BE37" s="109">
        <f>BC37+BD37</f>
        <v>3395480.74388871</v>
      </c>
    </row>
    <row r="38" spans="1:57" ht="12.75" thickTop="1">
      <c r="A38" s="34"/>
      <c r="B38" s="34"/>
      <c r="C38" s="108"/>
      <c r="D38" s="108"/>
      <c r="E38" s="108"/>
      <c r="F38" s="108"/>
      <c r="G38" s="108"/>
      <c r="H38" s="108"/>
      <c r="I38" s="108"/>
      <c r="J38" s="108"/>
      <c r="K38" s="108"/>
      <c r="L38" s="108"/>
      <c r="M38" s="108"/>
      <c r="N38" s="108"/>
      <c r="O38" s="108"/>
      <c r="P38" s="108"/>
      <c r="Q38" s="108"/>
      <c r="R38" s="882"/>
      <c r="S38" s="907"/>
      <c r="T38" s="108"/>
      <c r="U38" s="908"/>
      <c r="V38" s="863"/>
      <c r="W38" s="108"/>
      <c r="X38" s="108"/>
      <c r="Y38" s="108"/>
      <c r="Z38" s="108"/>
      <c r="AA38" s="108"/>
      <c r="AB38" s="108"/>
      <c r="AC38" s="108"/>
      <c r="AD38" s="108"/>
      <c r="AE38" s="108"/>
      <c r="AF38" s="108"/>
      <c r="AG38" s="108"/>
      <c r="AH38" s="863"/>
      <c r="AI38" s="108"/>
      <c r="AJ38" s="108"/>
      <c r="AK38" s="108"/>
      <c r="AL38" s="108"/>
      <c r="AM38" s="108"/>
      <c r="AN38" s="108"/>
      <c r="AO38" s="108"/>
      <c r="AP38" s="108"/>
      <c r="AQ38" s="108"/>
      <c r="AR38" s="108"/>
      <c r="AS38" s="108"/>
      <c r="AT38" s="863"/>
      <c r="AU38" s="108"/>
      <c r="AV38" s="108"/>
      <c r="AW38" s="108"/>
      <c r="AX38" s="108"/>
      <c r="AY38" s="108"/>
      <c r="AZ38" s="108"/>
      <c r="BA38" s="108"/>
      <c r="BB38" s="108"/>
      <c r="BC38" s="108"/>
      <c r="BD38" s="108"/>
      <c r="BE38" s="108"/>
    </row>
    <row r="39" spans="1:57" ht="12.75" thickBot="1">
      <c r="A39" s="35" t="s">
        <v>1061</v>
      </c>
      <c r="B39" s="29" t="s">
        <v>1062</v>
      </c>
      <c r="C39" s="109">
        <f>C17-C37</f>
        <v>15761208</v>
      </c>
      <c r="D39" s="109">
        <f>+'MPP-3 p2'!N34</f>
        <v>3443737.17562557</v>
      </c>
      <c r="E39" s="109">
        <f>C39+D39</f>
        <v>19204945.17562557</v>
      </c>
      <c r="F39" s="109">
        <f>+'MPP-3 p3&amp;4'!U34</f>
        <v>-954899.4950721018</v>
      </c>
      <c r="G39" s="109">
        <f>E39+F39</f>
        <v>18250045.68055347</v>
      </c>
      <c r="H39" s="109">
        <f>H17-H37</f>
        <v>3426220.9036638327</v>
      </c>
      <c r="I39" s="109">
        <f>+H39+G39</f>
        <v>21676266.584217303</v>
      </c>
      <c r="J39" s="109"/>
      <c r="K39" s="109">
        <f>+K17-K37</f>
        <v>1527390.7994954586</v>
      </c>
      <c r="L39" s="109">
        <f>L17-L37</f>
        <v>-76309</v>
      </c>
      <c r="M39" s="109">
        <f>+L39+K39</f>
        <v>1451081.7994954586</v>
      </c>
      <c r="N39" s="109"/>
      <c r="O39" s="109">
        <f>+O17-O37</f>
        <v>123849.38245906564</v>
      </c>
      <c r="P39" s="109">
        <f>P17-P37</f>
        <v>-923</v>
      </c>
      <c r="Q39" s="109">
        <f>+P39+O39</f>
        <v>122926.38245906564</v>
      </c>
      <c r="R39" s="878"/>
      <c r="S39" s="109">
        <f>+S17-S37</f>
        <v>3645.19356976205</v>
      </c>
      <c r="T39" s="109">
        <f>T17-T37</f>
        <v>-88</v>
      </c>
      <c r="U39" s="109">
        <f>+T39+S39</f>
        <v>3557.19356976205</v>
      </c>
      <c r="V39" s="881"/>
      <c r="W39" s="888">
        <f>+W17-W37</f>
        <v>2862176.7176758796</v>
      </c>
      <c r="X39" s="109">
        <f>X17-X37</f>
        <v>-41948</v>
      </c>
      <c r="Y39" s="109">
        <f>+X39+W39</f>
        <v>2820228.7176758796</v>
      </c>
      <c r="Z39" s="109"/>
      <c r="AA39" s="109">
        <f>+AA17-AA37</f>
        <v>10123.684783950797</v>
      </c>
      <c r="AB39" s="109">
        <f>AB17-AB37</f>
        <v>-31</v>
      </c>
      <c r="AC39" s="109">
        <f>+AB39+AA39</f>
        <v>10092.684783950797</v>
      </c>
      <c r="AD39" s="109"/>
      <c r="AE39" s="109">
        <f>+AE17-AE37</f>
        <v>598161.8712217538</v>
      </c>
      <c r="AF39" s="109">
        <f>AF17-AF37</f>
        <v>-2510</v>
      </c>
      <c r="AG39" s="109">
        <f>+AF39+AE39</f>
        <v>595651.8712217538</v>
      </c>
      <c r="AH39" s="881"/>
      <c r="AI39" s="109">
        <f>+AI17-AI37</f>
        <v>269681.0675206892</v>
      </c>
      <c r="AJ39" s="109">
        <f>AJ17-AJ37</f>
        <v>-3482</v>
      </c>
      <c r="AK39" s="109">
        <f>+AJ39+AI39</f>
        <v>266199.0675206892</v>
      </c>
      <c r="AL39" s="109"/>
      <c r="AM39" s="109">
        <f>+AM17-AM37</f>
        <v>90870.12903368985</v>
      </c>
      <c r="AN39" s="109">
        <f>AN17-AN37</f>
        <v>-468</v>
      </c>
      <c r="AO39" s="109">
        <f>+AN39+AM39</f>
        <v>90402.12903368985</v>
      </c>
      <c r="AP39" s="109"/>
      <c r="AQ39" s="109">
        <f>+AQ17-AQ37</f>
        <v>20699.693471295875</v>
      </c>
      <c r="AR39" s="109">
        <f>AR17-AR37</f>
        <v>-92</v>
      </c>
      <c r="AS39" s="109">
        <f>+AR39+AQ39</f>
        <v>20607.693471295875</v>
      </c>
      <c r="AT39" s="881"/>
      <c r="AU39" s="109">
        <f>+AU17-AU37</f>
        <v>4664982.217119726</v>
      </c>
      <c r="AV39" s="109">
        <f>AV17-AV37</f>
        <v>-21319</v>
      </c>
      <c r="AW39" s="109">
        <f>+AV39+AU39</f>
        <v>4643663.217119726</v>
      </c>
      <c r="AX39" s="109"/>
      <c r="AY39" s="109">
        <f>+AY17-AY37</f>
        <v>1743756.9432171686</v>
      </c>
      <c r="AZ39" s="109">
        <f>AZ17-AZ37</f>
        <v>-14649</v>
      </c>
      <c r="BA39" s="109">
        <f>+AZ39+AY39</f>
        <v>1729107.9432171686</v>
      </c>
      <c r="BB39" s="109"/>
      <c r="BC39" s="109">
        <f>+BC17-BC37</f>
        <v>2524754.3484127303</v>
      </c>
      <c r="BD39" s="109">
        <f>BD17-BD37</f>
        <v>0</v>
      </c>
      <c r="BE39" s="109">
        <f>+BD39+BC39</f>
        <v>2524754.3484127303</v>
      </c>
    </row>
    <row r="40" spans="1:57" ht="12.75" thickTop="1">
      <c r="A40" s="34"/>
      <c r="B40" s="34"/>
      <c r="C40" s="108"/>
      <c r="D40" s="108"/>
      <c r="E40" s="108"/>
      <c r="F40" s="108"/>
      <c r="G40" s="108"/>
      <c r="H40" s="108"/>
      <c r="I40" s="108"/>
      <c r="J40" s="108"/>
      <c r="K40" s="108"/>
      <c r="L40" s="108"/>
      <c r="M40" s="108"/>
      <c r="N40" s="108"/>
      <c r="O40" s="108"/>
      <c r="P40" s="108"/>
      <c r="Q40" s="108"/>
      <c r="R40" s="882"/>
      <c r="S40" s="907"/>
      <c r="T40" s="108"/>
      <c r="U40" s="908"/>
      <c r="V40" s="863"/>
      <c r="W40" s="108"/>
      <c r="X40" s="108"/>
      <c r="Y40" s="108"/>
      <c r="Z40" s="108"/>
      <c r="AA40" s="108"/>
      <c r="AB40" s="108"/>
      <c r="AC40" s="108"/>
      <c r="AD40" s="108"/>
      <c r="AE40" s="108"/>
      <c r="AF40" s="108"/>
      <c r="AG40" s="108"/>
      <c r="AH40" s="863"/>
      <c r="AI40" s="108"/>
      <c r="AJ40" s="108"/>
      <c r="AK40" s="108"/>
      <c r="AL40" s="108"/>
      <c r="AM40" s="108"/>
      <c r="AN40" s="108"/>
      <c r="AO40" s="108"/>
      <c r="AP40" s="108"/>
      <c r="AQ40" s="108"/>
      <c r="AR40" s="108"/>
      <c r="AS40" s="108"/>
      <c r="AT40" s="863"/>
      <c r="AU40" s="108"/>
      <c r="AV40" s="108"/>
      <c r="AW40" s="108"/>
      <c r="AX40" s="108"/>
      <c r="AY40" s="108"/>
      <c r="AZ40" s="108"/>
      <c r="BA40" s="108"/>
      <c r="BB40" s="108"/>
      <c r="BC40" s="108"/>
      <c r="BD40" s="108"/>
      <c r="BE40" s="108"/>
    </row>
    <row r="41" spans="1:57" ht="12.75" thickBot="1">
      <c r="A41" s="35" t="s">
        <v>1063</v>
      </c>
      <c r="B41" s="29" t="s">
        <v>1064</v>
      </c>
      <c r="C41" s="109">
        <f>+'KJB-2 p1'!F34</f>
        <v>231460401</v>
      </c>
      <c r="D41" s="109">
        <f>+'MPP-3 p2'!N36</f>
        <v>0</v>
      </c>
      <c r="E41" s="109">
        <f>C41+D41</f>
        <v>231460401</v>
      </c>
      <c r="F41" s="109">
        <f>+'MPP-3 p3&amp;4'!U36</f>
        <v>0</v>
      </c>
      <c r="G41" s="109">
        <f>E41+F41</f>
        <v>231460401</v>
      </c>
      <c r="H41" s="109">
        <v>0</v>
      </c>
      <c r="I41" s="109">
        <f>+H41+G41</f>
        <v>231460401</v>
      </c>
      <c r="J41" s="109"/>
      <c r="K41" s="109">
        <f>+'Max Topsheet'!E41</f>
        <v>90516530.7906589</v>
      </c>
      <c r="L41" s="867"/>
      <c r="M41" s="867">
        <f>+L41+K41</f>
        <v>90516530.7906589</v>
      </c>
      <c r="N41" s="867"/>
      <c r="O41" s="867">
        <f>+'Max Topsheet'!F41</f>
        <v>1057189.9977071115</v>
      </c>
      <c r="P41" s="867"/>
      <c r="Q41" s="867">
        <f>+P41+O41</f>
        <v>1057189.9977071115</v>
      </c>
      <c r="R41" s="883"/>
      <c r="S41" s="867">
        <f>+'Max Topsheet'!G41</f>
        <v>158751.3883881101</v>
      </c>
      <c r="T41" s="867"/>
      <c r="U41" s="867">
        <f>+T41+S41</f>
        <v>158751.3883881101</v>
      </c>
      <c r="V41" s="881"/>
      <c r="W41" s="890">
        <f>+'Max Topsheet'!H41</f>
        <v>57841600.11423513</v>
      </c>
      <c r="X41" s="867"/>
      <c r="Y41" s="867">
        <f>+X41+W41</f>
        <v>57841600.11423513</v>
      </c>
      <c r="Z41" s="867"/>
      <c r="AA41" s="867">
        <f>+'Max Topsheet'!I41</f>
        <v>20060.00461571824</v>
      </c>
      <c r="AB41" s="867"/>
      <c r="AC41" s="867">
        <f>+AB41+AA41</f>
        <v>20060.00461571824</v>
      </c>
      <c r="AD41" s="867"/>
      <c r="AE41" s="867">
        <f>+'Max Topsheet'!J41</f>
        <v>3438498.3814339717</v>
      </c>
      <c r="AF41" s="867"/>
      <c r="AG41" s="867">
        <f>+AF41+AE41</f>
        <v>3438498.3814339717</v>
      </c>
      <c r="AH41" s="881"/>
      <c r="AI41" s="867">
        <f>+'Max Topsheet'!K41</f>
        <v>6732867.689113429</v>
      </c>
      <c r="AJ41" s="867"/>
      <c r="AK41" s="867">
        <f>+AJ41+AI41</f>
        <v>6732867.689113429</v>
      </c>
      <c r="AL41" s="867"/>
      <c r="AM41" s="867">
        <f>+'Max Topsheet'!L41</f>
        <v>851629.7817053183</v>
      </c>
      <c r="AN41" s="867"/>
      <c r="AO41" s="867">
        <f>+AN41+AM41</f>
        <v>851629.7817053183</v>
      </c>
      <c r="AP41" s="867"/>
      <c r="AQ41" s="867">
        <f>+'Max Topsheet'!M41</f>
        <v>148695.01981468374</v>
      </c>
      <c r="AR41" s="867"/>
      <c r="AS41" s="867">
        <f>+AR41+AQ41</f>
        <v>148695.01981468374</v>
      </c>
      <c r="AT41" s="881"/>
      <c r="AU41" s="867">
        <f>+'Max Topsheet'!N41</f>
        <v>26372179.56147933</v>
      </c>
      <c r="AV41" s="867"/>
      <c r="AW41" s="867">
        <f>+AV41+AU41</f>
        <v>26372179.56147933</v>
      </c>
      <c r="AX41" s="867"/>
      <c r="AY41" s="867">
        <f>+'Max Topsheet'!O41</f>
        <v>31967650.56645284</v>
      </c>
      <c r="AZ41" s="867"/>
      <c r="BA41" s="867">
        <f>+AZ41+AY41</f>
        <v>31967650.56645284</v>
      </c>
      <c r="BB41" s="867"/>
      <c r="BC41" s="867">
        <f>+'Max Topsheet'!P41</f>
        <v>20226898.19522873</v>
      </c>
      <c r="BD41" s="867"/>
      <c r="BE41" s="867">
        <f>+BD41+BC41</f>
        <v>20226898.19522873</v>
      </c>
    </row>
    <row r="42" spans="1:57" ht="12.75" thickTop="1">
      <c r="A42" s="34"/>
      <c r="B42" s="34"/>
      <c r="C42" s="108"/>
      <c r="D42" s="108"/>
      <c r="E42" s="108"/>
      <c r="F42" s="108"/>
      <c r="G42" s="108"/>
      <c r="H42" s="108"/>
      <c r="I42" s="108"/>
      <c r="J42" s="108"/>
      <c r="K42" s="863"/>
      <c r="L42" s="868"/>
      <c r="M42" s="869"/>
      <c r="N42" s="869"/>
      <c r="O42" s="869"/>
      <c r="P42" s="869"/>
      <c r="Q42" s="869"/>
      <c r="R42" s="884"/>
      <c r="S42" s="868"/>
      <c r="T42" s="869"/>
      <c r="U42" s="870"/>
      <c r="V42" s="863"/>
      <c r="W42" s="869"/>
      <c r="X42" s="869"/>
      <c r="Y42" s="869"/>
      <c r="Z42" s="869"/>
      <c r="AA42" s="869"/>
      <c r="AB42" s="869"/>
      <c r="AC42" s="869"/>
      <c r="AD42" s="869"/>
      <c r="AE42" s="869"/>
      <c r="AF42" s="869"/>
      <c r="AG42" s="869"/>
      <c r="AH42" s="863"/>
      <c r="AI42" s="869"/>
      <c r="AJ42" s="869"/>
      <c r="AK42" s="869"/>
      <c r="AL42" s="869"/>
      <c r="AM42" s="869"/>
      <c r="AN42" s="869"/>
      <c r="AO42" s="869"/>
      <c r="AP42" s="869"/>
      <c r="AQ42" s="869"/>
      <c r="AR42" s="869"/>
      <c r="AS42" s="869"/>
      <c r="AT42" s="863"/>
      <c r="AU42" s="869"/>
      <c r="AV42" s="869"/>
      <c r="AW42" s="869"/>
      <c r="AX42" s="869"/>
      <c r="AY42" s="869"/>
      <c r="AZ42" s="869"/>
      <c r="BA42" s="869"/>
      <c r="BB42" s="869"/>
      <c r="BC42" s="869"/>
      <c r="BD42" s="869"/>
      <c r="BE42" s="870"/>
    </row>
    <row r="43" spans="1:57" ht="12">
      <c r="A43" s="35" t="s">
        <v>1065</v>
      </c>
      <c r="B43" s="29" t="s">
        <v>1066</v>
      </c>
      <c r="C43" s="117">
        <f>ROUND(C39/C41,4)</f>
        <v>0.0681</v>
      </c>
      <c r="D43" s="106"/>
      <c r="E43" s="117">
        <f>ROUND(E39/E41,4)</f>
        <v>0.083</v>
      </c>
      <c r="F43" s="106"/>
      <c r="G43" s="117">
        <f>ROUND(G39/G41,4)</f>
        <v>0.0788</v>
      </c>
      <c r="H43" s="106"/>
      <c r="I43" s="117">
        <f>+I39/I41</f>
        <v>0.09365000013206277</v>
      </c>
      <c r="J43" s="117"/>
      <c r="K43" s="117">
        <f>+K39/K41</f>
        <v>0.016874164157129647</v>
      </c>
      <c r="L43" s="866"/>
      <c r="M43" s="117">
        <f>+M39/M41</f>
        <v>0.016031124777102116</v>
      </c>
      <c r="N43" s="117"/>
      <c r="O43" s="117">
        <f>+O39/O41</f>
        <v>0.1171495972603568</v>
      </c>
      <c r="P43" s="866"/>
      <c r="Q43" s="117">
        <f>+Q39/Q41</f>
        <v>0.116276528084521</v>
      </c>
      <c r="R43" s="117"/>
      <c r="S43" s="117">
        <f>+S39/S41</f>
        <v>0.02296164844146372</v>
      </c>
      <c r="T43" s="866"/>
      <c r="U43" s="117">
        <f>+U39/U41</f>
        <v>0.02240732258079874</v>
      </c>
      <c r="V43" s="866"/>
      <c r="W43" s="891">
        <f>+W39/W41</f>
        <v>0.04948301416321784</v>
      </c>
      <c r="X43" s="866"/>
      <c r="Y43" s="117">
        <f>+Y39/Y41</f>
        <v>0.048757792179089564</v>
      </c>
      <c r="Z43" s="117"/>
      <c r="AA43" s="117">
        <f>+AA39/AA41</f>
        <v>0.5046701123896189</v>
      </c>
      <c r="AB43" s="866"/>
      <c r="AC43" s="117">
        <f>+AC39/AC41</f>
        <v>0.503124748836925</v>
      </c>
      <c r="AD43" s="117"/>
      <c r="AE43" s="117">
        <f>+AE39/AE41</f>
        <v>0.17396020147966443</v>
      </c>
      <c r="AF43" s="866"/>
      <c r="AG43" s="117">
        <f>+AG39/AG41</f>
        <v>0.17323023167262522</v>
      </c>
      <c r="AH43" s="866"/>
      <c r="AI43" s="117">
        <f>+AI39/AI41</f>
        <v>0.04005441365745898</v>
      </c>
      <c r="AJ43" s="866"/>
      <c r="AK43" s="117">
        <f>+AK39/AK41</f>
        <v>0.03953724918003577</v>
      </c>
      <c r="AL43" s="117"/>
      <c r="AM43" s="117">
        <f>+AM39/AM41</f>
        <v>0.1067014458462572</v>
      </c>
      <c r="AN43" s="866"/>
      <c r="AO43" s="117">
        <f>+AO39/AO41</f>
        <v>0.10615191128317174</v>
      </c>
      <c r="AP43" s="117"/>
      <c r="AQ43" s="117">
        <f>+AQ39/AQ41</f>
        <v>0.13920905688094717</v>
      </c>
      <c r="AR43" s="866"/>
      <c r="AS43" s="117">
        <f>+AS39/AS41</f>
        <v>0.13859034079943577</v>
      </c>
      <c r="AT43" s="866"/>
      <c r="AU43" s="117">
        <f>+AU39/AU41</f>
        <v>0.1768902796314059</v>
      </c>
      <c r="AV43" s="866"/>
      <c r="AW43" s="117">
        <f>+AW39/AW41</f>
        <v>0.176081889867856</v>
      </c>
      <c r="AX43" s="117"/>
      <c r="AY43" s="117">
        <f>+AY39/AY41</f>
        <v>0.05454754767142894</v>
      </c>
      <c r="AZ43" s="866"/>
      <c r="BA43" s="117">
        <f>+BA39/BA41</f>
        <v>0.054089303172992986</v>
      </c>
      <c r="BB43" s="117"/>
      <c r="BC43" s="117">
        <f>+BC39/BC41</f>
        <v>0.12482162732238837</v>
      </c>
      <c r="BD43" s="866"/>
      <c r="BE43" s="117">
        <f>+BE39/BE41</f>
        <v>0.12482162732238837</v>
      </c>
    </row>
    <row r="44" spans="1:57" ht="12">
      <c r="A44" s="34"/>
      <c r="B44" s="34"/>
      <c r="C44" s="118"/>
      <c r="D44" s="107"/>
      <c r="E44" s="119"/>
      <c r="F44" s="107"/>
      <c r="G44" s="119"/>
      <c r="H44" s="107"/>
      <c r="I44" s="119"/>
      <c r="J44" s="119"/>
      <c r="K44" s="119"/>
      <c r="L44" s="865"/>
      <c r="M44" s="119"/>
      <c r="N44" s="119"/>
      <c r="O44" s="118"/>
      <c r="P44" s="865"/>
      <c r="Q44" s="119"/>
      <c r="R44" s="119"/>
      <c r="S44" s="118"/>
      <c r="T44" s="865"/>
      <c r="U44" s="119"/>
      <c r="V44" s="865"/>
      <c r="W44" s="157"/>
      <c r="X44" s="865"/>
      <c r="Y44" s="119"/>
      <c r="Z44" s="119"/>
      <c r="AA44" s="118"/>
      <c r="AB44" s="865"/>
      <c r="AC44" s="119"/>
      <c r="AD44" s="119"/>
      <c r="AE44" s="118"/>
      <c r="AF44" s="865"/>
      <c r="AG44" s="119"/>
      <c r="AH44" s="865"/>
      <c r="AI44" s="118"/>
      <c r="AJ44" s="865"/>
      <c r="AK44" s="119"/>
      <c r="AL44" s="119"/>
      <c r="AM44" s="118"/>
      <c r="AN44" s="865"/>
      <c r="AO44" s="119"/>
      <c r="AP44" s="119"/>
      <c r="AQ44" s="118"/>
      <c r="AR44" s="865"/>
      <c r="AS44" s="119"/>
      <c r="AT44" s="865"/>
      <c r="AU44" s="118"/>
      <c r="AV44" s="865"/>
      <c r="AW44" s="119"/>
      <c r="AX44" s="119"/>
      <c r="AY44" s="118"/>
      <c r="AZ44" s="865"/>
      <c r="BA44" s="119"/>
      <c r="BB44" s="119"/>
      <c r="BC44" s="118"/>
      <c r="BD44" s="865"/>
      <c r="BE44" s="119"/>
    </row>
    <row r="45" spans="22:46" ht="11.25">
      <c r="V45" s="143"/>
      <c r="AH45" s="143"/>
      <c r="AT45" s="143"/>
    </row>
    <row r="47" spans="2:8" ht="11.25">
      <c r="B47" s="36"/>
      <c r="C47" s="8"/>
      <c r="D47" s="8"/>
      <c r="E47" s="8"/>
      <c r="F47" s="8"/>
      <c r="G47" s="8"/>
      <c r="H47" s="8"/>
    </row>
    <row r="48" spans="2:8" ht="11.25">
      <c r="B48" s="1"/>
      <c r="C48" s="6" t="s">
        <v>1082</v>
      </c>
      <c r="H48" s="6" t="s">
        <v>1484</v>
      </c>
    </row>
    <row r="49" spans="2:8" ht="11.25">
      <c r="B49" s="1"/>
      <c r="C49" s="6" t="s">
        <v>1021</v>
      </c>
      <c r="H49" s="6" t="s">
        <v>1021</v>
      </c>
    </row>
    <row r="50" spans="2:8" ht="11.25">
      <c r="B50" s="1"/>
      <c r="C50" s="6" t="s">
        <v>1021</v>
      </c>
      <c r="D50" s="6" t="s">
        <v>1069</v>
      </c>
      <c r="F50" s="6" t="s">
        <v>1070</v>
      </c>
      <c r="H50" s="6" t="s">
        <v>1021</v>
      </c>
    </row>
    <row r="51" spans="2:8" ht="11.25">
      <c r="B51" s="1"/>
      <c r="C51" s="6" t="s">
        <v>1013</v>
      </c>
      <c r="H51" s="6" t="s">
        <v>1014</v>
      </c>
    </row>
    <row r="52" spans="2:8" ht="11.25">
      <c r="B52" s="1"/>
      <c r="C52" s="815" t="s">
        <v>125</v>
      </c>
      <c r="H52" s="6">
        <v>7</v>
      </c>
    </row>
    <row r="54" ht="11.25">
      <c r="AS54" s="23" t="s">
        <v>1315</v>
      </c>
    </row>
    <row r="55" spans="23:46" ht="12">
      <c r="W55" s="18"/>
      <c r="X55" s="212" t="s">
        <v>1275</v>
      </c>
      <c r="AS55" s="20"/>
      <c r="AT55" s="186">
        <f>+'JTS-9 S3 P1'!I30</f>
        <v>-5515</v>
      </c>
    </row>
    <row r="56" spans="2:46" ht="12.75">
      <c r="B56" s="297" t="s">
        <v>369</v>
      </c>
      <c r="C56" s="298">
        <v>0.0400949094969726</v>
      </c>
      <c r="E56" s="298">
        <f>+C56</f>
        <v>0.0400949094969726</v>
      </c>
      <c r="G56" s="298">
        <f>+E69</f>
        <v>0.0379</v>
      </c>
      <c r="I56" s="298">
        <f>+G56</f>
        <v>0.0379</v>
      </c>
      <c r="J56" s="848"/>
      <c r="W56" s="23" t="s">
        <v>1277</v>
      </c>
      <c r="X56" s="213" t="s">
        <v>1279</v>
      </c>
      <c r="AS56" s="20"/>
      <c r="AT56" s="186">
        <f>+'JTS-9 S3 P1'!I31</f>
        <v>0</v>
      </c>
    </row>
    <row r="57" spans="2:45" ht="12.75">
      <c r="B57" s="298" t="s">
        <v>370</v>
      </c>
      <c r="C57" s="298">
        <v>0.00421145286026127</v>
      </c>
      <c r="E57" s="298">
        <f>+C57</f>
        <v>0.00421145286026127</v>
      </c>
      <c r="G57" s="298">
        <f>+E70</f>
        <v>0</v>
      </c>
      <c r="I57" s="298">
        <f>+G57</f>
        <v>0</v>
      </c>
      <c r="J57" s="848"/>
      <c r="W57" s="24" t="s">
        <v>1281</v>
      </c>
      <c r="X57" s="214" t="s">
        <v>1283</v>
      </c>
      <c r="AS57" s="23" t="s">
        <v>1320</v>
      </c>
    </row>
    <row r="58" spans="2:45" ht="12.75">
      <c r="B58" s="297" t="s">
        <v>371</v>
      </c>
      <c r="C58" s="298">
        <v>0.04300275711067541</v>
      </c>
      <c r="E58" s="298">
        <f>+E43-E56-E57</f>
        <v>0.038693637642766135</v>
      </c>
      <c r="G58" s="298">
        <f>+G43-G56-G57</f>
        <v>0.04089999999999999</v>
      </c>
      <c r="I58" s="298">
        <f>+I43-I56-I57</f>
        <v>0.05575000013206277</v>
      </c>
      <c r="J58" s="848"/>
      <c r="W58" s="27" t="s">
        <v>1013</v>
      </c>
      <c r="X58" s="215" t="s">
        <v>1075</v>
      </c>
      <c r="AS58" s="23" t="s">
        <v>1323</v>
      </c>
    </row>
    <row r="59" spans="2:46" ht="12.75">
      <c r="B59" s="297" t="s">
        <v>372</v>
      </c>
      <c r="C59" s="299">
        <v>0.40680228391778855</v>
      </c>
      <c r="E59" s="299">
        <f>+C59</f>
        <v>0.40680228391778855</v>
      </c>
      <c r="G59" s="299">
        <f>+C71</f>
        <v>0.5</v>
      </c>
      <c r="I59" s="299">
        <f>+G59</f>
        <v>0.5</v>
      </c>
      <c r="J59" s="849"/>
      <c r="W59" s="18"/>
      <c r="X59" s="228"/>
      <c r="AS59" s="20"/>
      <c r="AT59" s="186">
        <f>+'JTS-9 S3 P1'!I34</f>
        <v>-886</v>
      </c>
    </row>
    <row r="60" spans="2:46" ht="18.75">
      <c r="B60" s="211" t="s">
        <v>374</v>
      </c>
      <c r="C60" s="346">
        <v>0.09722331383828724</v>
      </c>
      <c r="E60" s="346">
        <f>ROUND(E58/E59,4)</f>
        <v>0.0951</v>
      </c>
      <c r="G60" s="346">
        <f>ROUND(G58/G59,4)</f>
        <v>0.0818</v>
      </c>
      <c r="I60" s="346">
        <f>ROUND(I58/I59,6)</f>
        <v>0.1115</v>
      </c>
      <c r="J60" s="850"/>
      <c r="W60" s="23" t="s">
        <v>1290</v>
      </c>
      <c r="AS60" s="20"/>
      <c r="AT60" s="186">
        <f>+'JTS-9 S3 P1'!I35</f>
        <v>-199280</v>
      </c>
    </row>
    <row r="61" spans="2:46" ht="19.5">
      <c r="B61" s="297" t="s">
        <v>49</v>
      </c>
      <c r="H61">
        <f>+G41*I61-G39</f>
        <v>3426220.873096533</v>
      </c>
      <c r="I61" s="346">
        <f>+E72</f>
        <v>0.09365000000000001</v>
      </c>
      <c r="J61" s="850"/>
      <c r="W61" s="20"/>
      <c r="X61" s="216">
        <f>+'JTS-9 S3 P1'!I16</f>
        <v>-120862</v>
      </c>
      <c r="AS61" s="20"/>
      <c r="AT61" s="186">
        <f>+'JTS-9 S3 P1'!I36</f>
        <v>0</v>
      </c>
    </row>
    <row r="62" spans="23:46" ht="14.25">
      <c r="W62" s="20"/>
      <c r="X62" s="216">
        <f>+'JTS-9 S3 P1'!I17</f>
        <v>0</v>
      </c>
      <c r="AS62" s="20"/>
      <c r="AT62" s="186">
        <f>+'JTS-9 S3 P1'!I37</f>
        <v>0</v>
      </c>
    </row>
    <row r="63" spans="2:45" ht="12.75">
      <c r="B63" s="391" t="s">
        <v>308</v>
      </c>
      <c r="C63" s="391"/>
      <c r="D63" s="391" t="s">
        <v>50</v>
      </c>
      <c r="E63" s="391" t="s">
        <v>51</v>
      </c>
      <c r="W63" s="23" t="s">
        <v>1296</v>
      </c>
      <c r="AS63" s="23" t="s">
        <v>1330</v>
      </c>
    </row>
    <row r="64" spans="2:45" ht="12.75">
      <c r="B64" s="391">
        <f>+'MDM 1LT Debt'!D32</f>
        <v>0</v>
      </c>
      <c r="C64" s="392">
        <f>B64/B$67</f>
        <v>0</v>
      </c>
      <c r="D64" s="392">
        <f>+'MDM 1LT Debt'!E32</f>
        <v>0</v>
      </c>
      <c r="E64" s="392">
        <f>D64*C64</f>
        <v>0</v>
      </c>
      <c r="W64" s="23" t="s">
        <v>1299</v>
      </c>
      <c r="AS64" s="23">
        <v>664</v>
      </c>
    </row>
    <row r="65" spans="2:24" ht="15">
      <c r="B65" s="391">
        <f>+'MDM 1ST Debt'!C16</f>
        <v>18900000</v>
      </c>
      <c r="C65" s="392">
        <f>B65/B$67</f>
        <v>0.12084056566405461</v>
      </c>
      <c r="D65" s="392">
        <f>+'MDM 1ST Debt'!D22</f>
        <v>1169309.81</v>
      </c>
      <c r="E65" s="392">
        <f>D65*C65</f>
        <v>141300.05887692823</v>
      </c>
      <c r="W65" s="20"/>
      <c r="X65" s="216">
        <f>+'JTS-9 S3 P1'!I20</f>
        <v>-1601</v>
      </c>
    </row>
    <row r="66" spans="2:24" ht="15">
      <c r="B66" s="391">
        <f>+'MdM 1 Cap Structure'!C18</f>
        <v>137504431.70833334</v>
      </c>
      <c r="C66" s="392">
        <f>B66/B$67</f>
        <v>0.8791594343359453</v>
      </c>
      <c r="D66" s="392">
        <v>0.1125</v>
      </c>
      <c r="E66" s="392">
        <f>D66*C66</f>
        <v>0.09890543636279385</v>
      </c>
      <c r="W66" s="20"/>
      <c r="X66" s="216">
        <f>+'JTS-9 S3 P1'!I21</f>
        <v>0</v>
      </c>
    </row>
    <row r="67" spans="2:23" ht="12.75">
      <c r="B67" s="393">
        <f>SUM(B64:B66)</f>
        <v>156404431.70833334</v>
      </c>
      <c r="C67" s="394">
        <f>SUM(C64:C66)</f>
        <v>1</v>
      </c>
      <c r="D67" s="393"/>
      <c r="E67" s="392">
        <f>SUM(E64:E66)</f>
        <v>141300.1577823646</v>
      </c>
      <c r="F67" s="526" t="s">
        <v>393</v>
      </c>
      <c r="H67" s="525">
        <f>+H13</f>
        <v>5426655.903663833</v>
      </c>
      <c r="W67" s="23" t="s">
        <v>1303</v>
      </c>
    </row>
    <row r="68" spans="2:24" ht="17.25">
      <c r="B68" s="527" t="s">
        <v>134</v>
      </c>
      <c r="C68" s="528"/>
      <c r="D68" s="527"/>
      <c r="E68" s="392"/>
      <c r="F68" s="526"/>
      <c r="H68" s="56">
        <v>10257893</v>
      </c>
      <c r="W68" s="20"/>
      <c r="X68" s="216">
        <f>+'JTS-9 S3 P1'!I23</f>
        <v>-66441</v>
      </c>
    </row>
    <row r="69" spans="2:24" ht="15">
      <c r="B69" s="391">
        <f>+B72*C69</f>
        <v>78202215.85416667</v>
      </c>
      <c r="C69" s="392">
        <v>0.5</v>
      </c>
      <c r="D69" s="392">
        <v>0.0758</v>
      </c>
      <c r="E69" s="392">
        <f>D69*C69</f>
        <v>0.0379</v>
      </c>
      <c r="F69" s="526"/>
      <c r="H69" s="525"/>
      <c r="W69" s="20"/>
      <c r="X69" s="216">
        <f>+'JTS-9 S3 P1'!I24</f>
        <v>0</v>
      </c>
    </row>
    <row r="70" spans="2:23" ht="12.75">
      <c r="B70" s="391">
        <f>+B72*C70</f>
        <v>0</v>
      </c>
      <c r="C70" s="392">
        <v>0</v>
      </c>
      <c r="D70" s="392">
        <f>+'MDM 1ST Debt'!F22</f>
        <v>0</v>
      </c>
      <c r="E70" s="392">
        <v>0</v>
      </c>
      <c r="F70" s="526"/>
      <c r="H70" s="525"/>
      <c r="W70" s="23" t="s">
        <v>1311</v>
      </c>
    </row>
    <row r="71" spans="2:24" ht="12.75">
      <c r="B71" s="391">
        <f>+B72*C71</f>
        <v>78202215.85416667</v>
      </c>
      <c r="C71" s="392">
        <v>0.5</v>
      </c>
      <c r="D71" s="392">
        <v>0.1115</v>
      </c>
      <c r="E71" s="392">
        <f>D71*C71</f>
        <v>0.05575</v>
      </c>
      <c r="F71" s="526"/>
      <c r="H71" s="525"/>
      <c r="W71" s="23" t="s">
        <v>1306</v>
      </c>
      <c r="X71" s="186"/>
    </row>
    <row r="72" spans="2:24" ht="12.75">
      <c r="B72" s="393">
        <f>+B67</f>
        <v>156404431.70833334</v>
      </c>
      <c r="C72" s="394">
        <f>SUM(C69:C71)</f>
        <v>1</v>
      </c>
      <c r="D72" s="393"/>
      <c r="E72" s="392">
        <f>SUM(E69:E71)</f>
        <v>0.09365000000000001</v>
      </c>
      <c r="F72" s="526"/>
      <c r="H72" s="525"/>
      <c r="W72" s="20"/>
      <c r="X72" s="186">
        <f>+'JTS-9 S3 P1'!I27</f>
        <v>-3975</v>
      </c>
    </row>
    <row r="73" spans="2:24" ht="12.75">
      <c r="B73" s="527"/>
      <c r="C73" s="528"/>
      <c r="D73" s="527"/>
      <c r="E73" s="392"/>
      <c r="F73" s="526"/>
      <c r="H73" s="525"/>
      <c r="W73" s="20"/>
      <c r="X73" s="186">
        <f>+'JTS-9 S3 P1'!I28</f>
        <v>0</v>
      </c>
    </row>
    <row r="74" spans="9:10" ht="11.25">
      <c r="I74" s="8"/>
      <c r="J74" s="8"/>
    </row>
    <row r="82" ht="11.25">
      <c r="E82" s="72"/>
    </row>
    <row r="83" ht="11.25">
      <c r="C83">
        <v>0.0034</v>
      </c>
    </row>
    <row r="84" ht="11.25">
      <c r="C84">
        <v>0.0398</v>
      </c>
    </row>
    <row r="85" spans="3:24" ht="13.5">
      <c r="C85">
        <v>0.0038</v>
      </c>
      <c r="W85" s="23" t="s">
        <v>1333</v>
      </c>
      <c r="X85" s="216">
        <f>+'JTS-9 S3 P1'!I40</f>
        <v>0</v>
      </c>
    </row>
    <row r="86" spans="3:24" ht="13.5">
      <c r="C86">
        <f>SUM(C83:C85)</f>
        <v>0.047</v>
      </c>
      <c r="I86">
        <f>+C86</f>
        <v>0.047</v>
      </c>
      <c r="W86" s="23" t="s">
        <v>1336</v>
      </c>
      <c r="X86" s="216">
        <f>+'JTS-9 S3 P1'!I41</f>
        <v>0</v>
      </c>
    </row>
    <row r="87" spans="3:24" ht="13.5">
      <c r="C87">
        <f>+C43-C86</f>
        <v>0.021099999999999994</v>
      </c>
      <c r="I87">
        <f>+I43-I86</f>
        <v>0.046650000132062774</v>
      </c>
      <c r="X87" s="216">
        <f>+'JTS-9 S3 P1'!I42</f>
        <v>0</v>
      </c>
    </row>
    <row r="88" spans="3:24" ht="13.5">
      <c r="C88">
        <f>+C87/0.45</f>
        <v>0.046888888888888876</v>
      </c>
      <c r="I88">
        <f>+I87/0.45</f>
        <v>0.1036666669601395</v>
      </c>
      <c r="X88" s="216">
        <f>+'JTS-9 S3 P1'!I43</f>
        <v>-56969</v>
      </c>
    </row>
    <row r="89" ht="13.5">
      <c r="X89" s="216">
        <f>+'JTS-9 S3 P1'!I44</f>
        <v>0</v>
      </c>
    </row>
    <row r="90" ht="13.5">
      <c r="X90" s="216">
        <f>+'JTS-9 S3 P1'!I45</f>
        <v>-256249</v>
      </c>
    </row>
    <row r="91" ht="13.5">
      <c r="X91" s="216">
        <f>+'JTS-9 S3 P1'!I46</f>
        <v>0</v>
      </c>
    </row>
    <row r="92" ht="13.5">
      <c r="X92" s="216">
        <f>+'JTS-9 S3 P1'!I47</f>
        <v>1885720</v>
      </c>
    </row>
    <row r="93" ht="13.5">
      <c r="X93" s="216">
        <f>+'JTS-9 S3 P1'!I48</f>
        <v>1629471</v>
      </c>
    </row>
  </sheetData>
  <mergeCells count="28">
    <mergeCell ref="BC6:BE6"/>
    <mergeCell ref="AM6:AO6"/>
    <mergeCell ref="AQ6:AS6"/>
    <mergeCell ref="AU6:AW6"/>
    <mergeCell ref="AY6:BA6"/>
    <mergeCell ref="W6:Y6"/>
    <mergeCell ref="AI6:AK6"/>
    <mergeCell ref="AE6:AG6"/>
    <mergeCell ref="AA6:AC6"/>
    <mergeCell ref="K6:M6"/>
    <mergeCell ref="K2:U2"/>
    <mergeCell ref="K3:U3"/>
    <mergeCell ref="K4:U4"/>
    <mergeCell ref="K5:U5"/>
    <mergeCell ref="O6:Q6"/>
    <mergeCell ref="S6:U6"/>
    <mergeCell ref="W2:AG2"/>
    <mergeCell ref="W3:AG3"/>
    <mergeCell ref="W4:AG4"/>
    <mergeCell ref="W5:AG5"/>
    <mergeCell ref="AU2:BE2"/>
    <mergeCell ref="AU3:BE3"/>
    <mergeCell ref="AU4:BE4"/>
    <mergeCell ref="AU5:BE5"/>
    <mergeCell ref="AI2:AS2"/>
    <mergeCell ref="AI3:AS3"/>
    <mergeCell ref="AI4:AS4"/>
    <mergeCell ref="AI5:AS5"/>
  </mergeCells>
  <printOptions/>
  <pageMargins left="0.31" right="0.18" top="0.71" bottom="0.28" header="0.25" footer="0.28"/>
  <pageSetup fitToWidth="0" fitToHeight="1" horizontalDpi="300" verticalDpi="300" orientation="landscape" scale="84" r:id="rId2"/>
  <colBreaks count="3" manualBreakCount="3">
    <brk id="22" max="51" man="1"/>
    <brk id="34" max="51" man="1"/>
    <brk id="46" max="51" man="1"/>
  </colBreaks>
  <drawing r:id="rId1"/>
</worksheet>
</file>

<file path=xl/worksheets/sheet38.xml><?xml version="1.0" encoding="utf-8"?>
<worksheet xmlns="http://schemas.openxmlformats.org/spreadsheetml/2006/main" xmlns:r="http://schemas.openxmlformats.org/officeDocument/2006/relationships">
  <sheetPr>
    <pageSetUpPr fitToPage="1"/>
  </sheetPr>
  <dimension ref="A1:AN74"/>
  <sheetViews>
    <sheetView zoomScale="75" zoomScaleNormal="75" workbookViewId="0" topLeftCell="AC49">
      <selection activeCell="G32" sqref="G32"/>
    </sheetView>
  </sheetViews>
  <sheetFormatPr defaultColWidth="9.33203125" defaultRowHeight="11.25"/>
  <cols>
    <col min="2" max="2" width="31.83203125" style="0" customWidth="1"/>
    <col min="4" max="4" width="14.33203125" style="0" customWidth="1"/>
    <col min="5" max="5" width="12" style="0" customWidth="1"/>
    <col min="6" max="6" width="13.16015625" style="0" customWidth="1"/>
    <col min="7" max="7" width="13" style="0" customWidth="1"/>
    <col min="8" max="8" width="14.5" style="0" customWidth="1"/>
    <col min="9" max="9" width="14.33203125" style="0" customWidth="1"/>
    <col min="10" max="10" width="11.5" style="0" customWidth="1"/>
    <col min="11" max="11" width="13.66015625" style="0" customWidth="1"/>
    <col min="12" max="12" width="14.33203125" style="0" customWidth="1"/>
    <col min="13" max="13" width="13.66015625" style="0" customWidth="1"/>
    <col min="14" max="14" width="14.83203125" style="0" customWidth="1"/>
    <col min="15" max="15" width="17" style="0" bestFit="1" customWidth="1"/>
    <col min="16" max="16" width="14.83203125" style="0" customWidth="1"/>
    <col min="17" max="17" width="4.66015625" style="138" customWidth="1"/>
    <col min="18" max="18" width="14.83203125" style="0" customWidth="1"/>
    <col min="19" max="19" width="18.33203125" style="0" bestFit="1" customWidth="1"/>
    <col min="20" max="20" width="13.66015625" style="0" customWidth="1"/>
    <col min="21" max="21" width="3.5" style="0" customWidth="1"/>
    <col min="22" max="22" width="15.5" style="0" bestFit="1" customWidth="1"/>
    <col min="23" max="23" width="15.5" style="0" customWidth="1"/>
    <col min="24" max="24" width="18.33203125" style="0" customWidth="1"/>
    <col min="25" max="25" width="15.5" style="0" customWidth="1"/>
    <col min="26" max="26" width="22.33203125" style="0" customWidth="1"/>
    <col min="27" max="27" width="8.5" style="0" customWidth="1"/>
    <col min="28" max="32" width="15.83203125" style="0" customWidth="1"/>
    <col min="33" max="33" width="18.5" style="0" customWidth="1"/>
    <col min="34" max="34" width="18.66015625" style="0" customWidth="1"/>
    <col min="35" max="36" width="15.83203125" style="0" customWidth="1"/>
    <col min="37" max="37" width="20.66015625" style="0" customWidth="1"/>
    <col min="38" max="38" width="20" style="0" customWidth="1"/>
    <col min="39" max="39" width="12.5" style="0" bestFit="1" customWidth="1"/>
    <col min="41" max="41" width="14.16015625" style="0" bestFit="1" customWidth="1"/>
  </cols>
  <sheetData>
    <row r="1" ht="15.75">
      <c r="M1" s="308" t="s">
        <v>1480</v>
      </c>
    </row>
    <row r="2" spans="11:13" ht="15.75">
      <c r="K2">
        <v>0.00183</v>
      </c>
      <c r="M2" s="308" t="s">
        <v>926</v>
      </c>
    </row>
    <row r="3" spans="11:13" ht="15.75">
      <c r="K3">
        <v>0.002</v>
      </c>
      <c r="M3" s="308" t="s">
        <v>368</v>
      </c>
    </row>
    <row r="4" spans="11:13" ht="15.75">
      <c r="K4">
        <v>0.002</v>
      </c>
      <c r="M4" s="308" t="s">
        <v>314</v>
      </c>
    </row>
    <row r="5" spans="11:12" ht="11.25">
      <c r="K5">
        <v>0.03845</v>
      </c>
      <c r="L5">
        <f>1/(1-K6)</f>
        <v>1.0463315615452224</v>
      </c>
    </row>
    <row r="6" ht="11.25">
      <c r="K6">
        <f>SUM(K2:K5)</f>
        <v>0.04428</v>
      </c>
    </row>
    <row r="7" spans="1:18" ht="15.75">
      <c r="A7" s="1335" t="s">
        <v>658</v>
      </c>
      <c r="B7" s="1335"/>
      <c r="C7" s="1335"/>
      <c r="D7" s="1335"/>
      <c r="E7" s="1335"/>
      <c r="F7" s="1335"/>
      <c r="G7" s="1335"/>
      <c r="H7" s="1335"/>
      <c r="I7" s="1335"/>
      <c r="J7" s="1335"/>
      <c r="K7" s="1335"/>
      <c r="L7" s="1335"/>
      <c r="M7" s="1335"/>
      <c r="N7" s="1335"/>
      <c r="O7" s="1335"/>
      <c r="P7" s="1335"/>
      <c r="Q7" s="1335"/>
      <c r="R7" s="1335"/>
    </row>
    <row r="8" spans="1:18" ht="18.75">
      <c r="A8" s="1324" t="s">
        <v>124</v>
      </c>
      <c r="B8" s="1324"/>
      <c r="C8" s="1324"/>
      <c r="D8" s="1324"/>
      <c r="E8" s="1324"/>
      <c r="F8" s="1324"/>
      <c r="G8" s="1324"/>
      <c r="H8" s="1324"/>
      <c r="I8" s="1324"/>
      <c r="J8" s="1324"/>
      <c r="K8" s="1324"/>
      <c r="L8" s="1324"/>
      <c r="M8" s="1324"/>
      <c r="N8" s="1324"/>
      <c r="O8" s="1324"/>
      <c r="P8" s="1324"/>
      <c r="Q8" s="1324"/>
      <c r="R8" s="1324"/>
    </row>
    <row r="9" spans="1:18" ht="15.75">
      <c r="A9" s="1336" t="s">
        <v>659</v>
      </c>
      <c r="B9" s="1336"/>
      <c r="C9" s="1336"/>
      <c r="D9" s="1336"/>
      <c r="E9" s="1336"/>
      <c r="F9" s="1336"/>
      <c r="G9" s="1336"/>
      <c r="H9" s="1336"/>
      <c r="I9" s="1336"/>
      <c r="J9" s="1336"/>
      <c r="K9" s="1336"/>
      <c r="L9" s="1336"/>
      <c r="M9" s="1336"/>
      <c r="N9" s="1336"/>
      <c r="O9" s="1336"/>
      <c r="P9" s="1336"/>
      <c r="Q9" s="1336"/>
      <c r="R9" s="1336"/>
    </row>
    <row r="10" spans="1:14" ht="11.25">
      <c r="A10" s="20"/>
      <c r="B10" s="20"/>
      <c r="C10" s="21"/>
      <c r="D10" s="1320" t="s">
        <v>360</v>
      </c>
      <c r="E10" s="1321"/>
      <c r="F10" s="1321"/>
      <c r="G10" s="1321"/>
      <c r="H10" s="1322"/>
      <c r="I10" s="1320" t="s">
        <v>362</v>
      </c>
      <c r="J10" s="1321"/>
      <c r="K10" s="1321"/>
      <c r="L10" s="1321"/>
      <c r="M10" s="1321"/>
      <c r="N10" s="1322"/>
    </row>
    <row r="11" spans="1:27" ht="11.25">
      <c r="A11" s="23" t="s">
        <v>1000</v>
      </c>
      <c r="B11" s="20"/>
      <c r="C11" s="32" t="s">
        <v>1277</v>
      </c>
      <c r="D11" s="129"/>
      <c r="E11" s="133" t="s">
        <v>80</v>
      </c>
      <c r="F11" s="129"/>
      <c r="G11" s="698" t="s">
        <v>358</v>
      </c>
      <c r="H11" s="133" t="s">
        <v>357</v>
      </c>
      <c r="I11" s="699" t="s">
        <v>364</v>
      </c>
      <c r="J11" s="699"/>
      <c r="K11" s="699"/>
      <c r="L11" s="698" t="s">
        <v>365</v>
      </c>
      <c r="M11" s="698" t="s">
        <v>363</v>
      </c>
      <c r="N11" s="133" t="s">
        <v>357</v>
      </c>
      <c r="O11" s="133"/>
      <c r="P11" s="133" t="s">
        <v>1356</v>
      </c>
      <c r="Q11" s="133"/>
      <c r="R11" s="133" t="s">
        <v>1004</v>
      </c>
      <c r="S11" s="800" t="s">
        <v>207</v>
      </c>
      <c r="T11" s="133" t="s">
        <v>1551</v>
      </c>
      <c r="U11" s="133"/>
      <c r="V11" s="133" t="s">
        <v>1004</v>
      </c>
      <c r="W11" s="751"/>
      <c r="X11" s="751"/>
      <c r="Y11" s="751"/>
      <c r="Z11" s="751"/>
      <c r="AA11" s="751"/>
    </row>
    <row r="12" spans="1:27" ht="11.25">
      <c r="A12" s="24" t="s">
        <v>1006</v>
      </c>
      <c r="B12" s="24" t="s">
        <v>1007</v>
      </c>
      <c r="C12" s="696" t="s">
        <v>1281</v>
      </c>
      <c r="D12" s="697" t="s">
        <v>361</v>
      </c>
      <c r="E12" s="697" t="s">
        <v>1009</v>
      </c>
      <c r="F12" s="697" t="s">
        <v>11</v>
      </c>
      <c r="G12" s="797">
        <f>+'JTS-5 S2'!L108</f>
        <v>0.004103485688579085</v>
      </c>
      <c r="H12" s="697" t="s">
        <v>359</v>
      </c>
      <c r="I12" s="697" t="s">
        <v>35</v>
      </c>
      <c r="J12" s="697" t="s">
        <v>1009</v>
      </c>
      <c r="K12" s="697" t="s">
        <v>11</v>
      </c>
      <c r="L12" s="697" t="s">
        <v>35</v>
      </c>
      <c r="M12" s="798">
        <v>0.77776</v>
      </c>
      <c r="N12" s="697" t="s">
        <v>359</v>
      </c>
      <c r="O12" s="697" t="s">
        <v>1356</v>
      </c>
      <c r="P12" s="697" t="s">
        <v>1009</v>
      </c>
      <c r="Q12" s="697"/>
      <c r="R12" s="697" t="s">
        <v>1356</v>
      </c>
      <c r="S12" s="800" t="s">
        <v>208</v>
      </c>
      <c r="T12" s="697" t="s">
        <v>1009</v>
      </c>
      <c r="U12" s="697"/>
      <c r="V12" s="697" t="s">
        <v>995</v>
      </c>
      <c r="W12" s="910"/>
      <c r="X12" s="910"/>
      <c r="Y12" s="910"/>
      <c r="Z12" s="910"/>
      <c r="AA12" s="910"/>
    </row>
    <row r="13" spans="1:39" ht="11.25">
      <c r="A13" s="18"/>
      <c r="B13" s="35" t="s">
        <v>1012</v>
      </c>
      <c r="C13" s="35" t="s">
        <v>1013</v>
      </c>
      <c r="D13" s="35" t="s">
        <v>1014</v>
      </c>
      <c r="E13" s="35"/>
      <c r="F13" s="35"/>
      <c r="G13" s="35" t="s">
        <v>1074</v>
      </c>
      <c r="H13" s="35" t="s">
        <v>1016</v>
      </c>
      <c r="I13" s="35" t="s">
        <v>1075</v>
      </c>
      <c r="J13" s="35"/>
      <c r="K13" s="35"/>
      <c r="L13" s="35" t="s">
        <v>1018</v>
      </c>
      <c r="M13" s="35" t="s">
        <v>1076</v>
      </c>
      <c r="N13" s="35" t="s">
        <v>1077</v>
      </c>
      <c r="O13" s="35" t="s">
        <v>1014</v>
      </c>
      <c r="P13" s="35" t="s">
        <v>1074</v>
      </c>
      <c r="Q13" s="35"/>
      <c r="R13" s="35" t="s">
        <v>1016</v>
      </c>
      <c r="S13" s="35"/>
      <c r="T13" s="35"/>
      <c r="U13" s="35"/>
      <c r="V13" s="35"/>
      <c r="W13" s="35"/>
      <c r="X13" s="35"/>
      <c r="Y13" s="35"/>
      <c r="Z13" s="35"/>
      <c r="AA13" s="35"/>
      <c r="AB13" s="35"/>
      <c r="AC13" s="35"/>
      <c r="AD13" s="35"/>
      <c r="AE13" s="35"/>
      <c r="AF13" s="35"/>
      <c r="AG13" s="35"/>
      <c r="AH13" s="35" t="s">
        <v>1004</v>
      </c>
      <c r="AI13" s="35"/>
      <c r="AJ13" s="35"/>
      <c r="AK13" s="35"/>
      <c r="AL13" s="35"/>
      <c r="AM13" s="35"/>
    </row>
    <row r="14" spans="1:38" ht="11.25">
      <c r="A14" s="129"/>
      <c r="B14" s="174" t="s">
        <v>92</v>
      </c>
      <c r="C14" s="179"/>
      <c r="D14" s="183"/>
      <c r="E14" s="183"/>
      <c r="F14" s="183"/>
      <c r="G14" s="702"/>
      <c r="H14" s="702"/>
      <c r="I14" s="702"/>
      <c r="J14" s="702"/>
      <c r="K14" s="702"/>
      <c r="L14" s="702"/>
      <c r="M14" s="702"/>
      <c r="N14" s="702"/>
      <c r="O14" s="702"/>
      <c r="P14" s="702"/>
      <c r="Q14" s="326"/>
      <c r="R14" s="702"/>
      <c r="S14" s="702"/>
      <c r="T14" s="702"/>
      <c r="U14" s="702"/>
      <c r="V14" s="702"/>
      <c r="W14" s="702"/>
      <c r="X14" s="702" t="s">
        <v>1515</v>
      </c>
      <c r="Y14" s="702" t="s">
        <v>1516</v>
      </c>
      <c r="Z14" s="702"/>
      <c r="AA14" s="702"/>
      <c r="AB14" s="326" t="s">
        <v>1514</v>
      </c>
      <c r="AC14" s="913" t="s">
        <v>1513</v>
      </c>
      <c r="AD14" s="913" t="s">
        <v>229</v>
      </c>
      <c r="AE14" s="913" t="s">
        <v>1517</v>
      </c>
      <c r="AF14" s="913" t="s">
        <v>1512</v>
      </c>
      <c r="AG14" s="326" t="s">
        <v>1516</v>
      </c>
      <c r="AH14" s="326" t="s">
        <v>1551</v>
      </c>
      <c r="AI14" s="326"/>
      <c r="AJ14" s="326"/>
      <c r="AK14" s="326"/>
      <c r="AL14" s="326"/>
    </row>
    <row r="15" spans="1:38" ht="11.25">
      <c r="A15" s="129"/>
      <c r="B15" s="701" t="s">
        <v>1285</v>
      </c>
      <c r="C15" s="132"/>
      <c r="D15" s="132"/>
      <c r="E15" s="132"/>
      <c r="F15" s="132"/>
      <c r="G15" s="132"/>
      <c r="H15" s="132"/>
      <c r="I15" s="132"/>
      <c r="J15" s="132"/>
      <c r="K15" s="132"/>
      <c r="L15" s="132"/>
      <c r="M15" s="132"/>
      <c r="N15" s="132"/>
      <c r="O15" s="132"/>
      <c r="P15" s="132"/>
      <c r="Q15" s="134"/>
      <c r="R15" s="132"/>
      <c r="S15" s="132"/>
      <c r="T15" s="132"/>
      <c r="U15" s="132"/>
      <c r="V15" s="132"/>
      <c r="W15" s="143"/>
      <c r="X15" s="143"/>
      <c r="Y15" s="143"/>
      <c r="Z15" s="30" t="s">
        <v>1285</v>
      </c>
      <c r="AA15" s="18"/>
      <c r="AB15" s="132"/>
      <c r="AC15" s="914"/>
      <c r="AD15" s="914"/>
      <c r="AE15" s="914"/>
      <c r="AF15" s="914"/>
      <c r="AG15" s="132"/>
      <c r="AH15" s="132"/>
      <c r="AI15" s="132"/>
      <c r="AJ15" s="132"/>
      <c r="AK15" s="132"/>
      <c r="AL15" s="132"/>
    </row>
    <row r="16" spans="1:38" ht="12.75">
      <c r="A16" s="115">
        <v>1</v>
      </c>
      <c r="B16" s="208" t="s">
        <v>1295</v>
      </c>
      <c r="C16" s="115" t="s">
        <v>1296</v>
      </c>
      <c r="D16" s="772">
        <f>+'MPP-3 p5'!E18</f>
        <v>1329808</v>
      </c>
      <c r="E16" s="772"/>
      <c r="F16" s="772">
        <f>+E16+D16</f>
        <v>1329808</v>
      </c>
      <c r="G16" s="772">
        <f>+F16*G$12</f>
        <v>5456.848096557976</v>
      </c>
      <c r="H16" s="772">
        <f>+G16+D16</f>
        <v>1335264.848096558</v>
      </c>
      <c r="I16" s="773">
        <f>+'MPP-3 p5'!L18</f>
        <v>1151064.3931332</v>
      </c>
      <c r="J16" s="772"/>
      <c r="K16" s="772">
        <f>+J16+I16</f>
        <v>1151064.3931332</v>
      </c>
      <c r="L16" s="773">
        <f>-'MPP-3 p5'!W18</f>
        <v>-65422.36992914349</v>
      </c>
      <c r="M16" s="773">
        <f>+G16*M$12</f>
        <v>4244.118175578931</v>
      </c>
      <c r="N16" s="773">
        <f>+M16+K16+L16</f>
        <v>1089886.1413796355</v>
      </c>
      <c r="O16" s="773">
        <f>+'MPP-3 p5'!N18</f>
        <v>352633.44999999995</v>
      </c>
      <c r="P16" s="773">
        <v>0</v>
      </c>
      <c r="Q16" s="804"/>
      <c r="R16" s="773">
        <f>+P16+O16</f>
        <v>352633.44999999995</v>
      </c>
      <c r="S16" s="773">
        <f>+'MPP-3 p5'!T18</f>
        <v>1559617.41</v>
      </c>
      <c r="T16" s="773">
        <v>0</v>
      </c>
      <c r="U16" s="773"/>
      <c r="V16" s="773">
        <f>+T16+S16</f>
        <v>1559617.41</v>
      </c>
      <c r="W16" s="564" t="s">
        <v>1295</v>
      </c>
      <c r="X16" s="563">
        <f>+'MPP-3 p5'!G18</f>
        <v>1307131.58</v>
      </c>
      <c r="Y16" s="563">
        <f>+'MPP-3 p5'!I18</f>
        <v>1559617.41</v>
      </c>
      <c r="Z16" s="31" t="s">
        <v>1289</v>
      </c>
      <c r="AA16" s="23" t="s">
        <v>1290</v>
      </c>
      <c r="AB16" s="773">
        <f>+X17</f>
        <v>101582760.38</v>
      </c>
      <c r="AC16" s="915"/>
      <c r="AD16" s="915"/>
      <c r="AE16" s="915"/>
      <c r="AF16" s="915">
        <v>4075324.75</v>
      </c>
      <c r="AG16" s="773">
        <f>+Y17</f>
        <v>120718620.62</v>
      </c>
      <c r="AH16" s="773">
        <f>+V17</f>
        <v>127437286.28</v>
      </c>
      <c r="AI16" s="911"/>
      <c r="AJ16" s="911"/>
      <c r="AK16" s="794">
        <v>116504012.71968736</v>
      </c>
      <c r="AL16" s="773">
        <f>+AH16-AK16</f>
        <v>10933273.560312644</v>
      </c>
    </row>
    <row r="17" spans="1:38" ht="12.75">
      <c r="A17" s="115">
        <v>2</v>
      </c>
      <c r="B17" s="208" t="s">
        <v>1287</v>
      </c>
      <c r="C17" s="115" t="s">
        <v>1290</v>
      </c>
      <c r="D17" s="772">
        <f>+'MPP-3 p5'!E19</f>
        <v>99122776</v>
      </c>
      <c r="E17" s="772">
        <f>+'MPP-3 p11'!E16</f>
        <v>5862710</v>
      </c>
      <c r="F17" s="772">
        <f>+E17+D17</f>
        <v>104985486</v>
      </c>
      <c r="G17" s="772">
        <f>+F17*G$12</f>
        <v>430806.4393095199</v>
      </c>
      <c r="H17" s="772">
        <f>+G17+D17</f>
        <v>99553582.43930952</v>
      </c>
      <c r="I17" s="772">
        <f>+'MPP-3 p5'!L19</f>
        <v>86969741.49709305</v>
      </c>
      <c r="J17" s="772">
        <v>0</v>
      </c>
      <c r="K17" s="772">
        <f>+J17+I17</f>
        <v>86969741.49709305</v>
      </c>
      <c r="L17" s="772">
        <f>-'MPP-3 p5'!W19</f>
        <v>-288426.8874960061</v>
      </c>
      <c r="M17" s="772">
        <f>+G17*M$12</f>
        <v>335064.0162373722</v>
      </c>
      <c r="N17" s="772">
        <f>+M17+K17+L17</f>
        <v>87016378.62583442</v>
      </c>
      <c r="O17" s="772">
        <f>+'MPP-3 p5'!N19</f>
        <v>29523824.205000013</v>
      </c>
      <c r="P17" s="772">
        <f>+'MPP-3 p11'!F18</f>
        <v>1328372.8317999993</v>
      </c>
      <c r="Q17" s="811" t="s">
        <v>295</v>
      </c>
      <c r="R17" s="772">
        <f>+P17+O17</f>
        <v>30852197.036800012</v>
      </c>
      <c r="S17" s="772">
        <f>+'MPP-3 p5'!T19</f>
        <v>120718620.62</v>
      </c>
      <c r="T17" s="772">
        <f>+'MPP-3 p11'!M19</f>
        <v>6718665.659999999</v>
      </c>
      <c r="U17" s="772"/>
      <c r="V17" s="772">
        <f>+T17+S17</f>
        <v>127437286.28</v>
      </c>
      <c r="W17" s="564" t="s">
        <v>1287</v>
      </c>
      <c r="X17" s="574">
        <f>+'MPP-3 p5'!G19</f>
        <v>101582760.38</v>
      </c>
      <c r="Y17" s="563">
        <f>+'MPP-3 p5'!I19</f>
        <v>120718620.62</v>
      </c>
      <c r="Z17" s="31" t="s">
        <v>1292</v>
      </c>
      <c r="AA17" s="20"/>
      <c r="AB17" s="772"/>
      <c r="AC17" s="916"/>
      <c r="AD17" s="916"/>
      <c r="AE17" s="916"/>
      <c r="AF17" s="916"/>
      <c r="AG17" s="772"/>
      <c r="AH17" s="772"/>
      <c r="AI17" s="772"/>
      <c r="AJ17" s="772"/>
      <c r="AK17" s="772"/>
      <c r="AL17" s="772"/>
    </row>
    <row r="18" spans="1:38" ht="12.75">
      <c r="A18" s="115">
        <v>3</v>
      </c>
      <c r="B18" s="208" t="s">
        <v>1305</v>
      </c>
      <c r="C18" s="115" t="s">
        <v>1306</v>
      </c>
      <c r="D18" s="772">
        <f>+'MPP-3 p5'!E20</f>
        <v>0</v>
      </c>
      <c r="E18" s="772">
        <v>0</v>
      </c>
      <c r="F18" s="772">
        <f>+E18+D18</f>
        <v>0</v>
      </c>
      <c r="G18" s="772">
        <f>+F18*G$12</f>
        <v>0</v>
      </c>
      <c r="H18" s="772">
        <f>+G18+D18</f>
        <v>0</v>
      </c>
      <c r="I18" s="772">
        <f>+'MPP-3 p5'!L20</f>
        <v>0</v>
      </c>
      <c r="J18" s="772">
        <v>0</v>
      </c>
      <c r="K18" s="772">
        <f>+J18+I18</f>
        <v>0</v>
      </c>
      <c r="L18" s="772">
        <f>-'MPP-3 p5'!W20</f>
        <v>0</v>
      </c>
      <c r="M18" s="772">
        <f>+G18*M$12</f>
        <v>0</v>
      </c>
      <c r="N18" s="772">
        <f>+M18+K18+L18</f>
        <v>0</v>
      </c>
      <c r="O18" s="772">
        <f>+'MPP-3 p5'!N20</f>
        <v>0</v>
      </c>
      <c r="P18" s="772">
        <v>0</v>
      </c>
      <c r="Q18" s="806"/>
      <c r="R18" s="772">
        <f>+P18+O18</f>
        <v>0</v>
      </c>
      <c r="S18" s="772">
        <f>+'MPP-3 p5'!T20</f>
        <v>0</v>
      </c>
      <c r="T18" s="772">
        <v>0</v>
      </c>
      <c r="U18" s="772"/>
      <c r="V18" s="772">
        <f>+T18+S18</f>
        <v>0</v>
      </c>
      <c r="W18" s="564" t="s">
        <v>1305</v>
      </c>
      <c r="X18" s="148">
        <f>+'MPP-3 p5'!G20</f>
        <v>0</v>
      </c>
      <c r="Y18" s="563">
        <f>+'MPP-3 p5'!I20</f>
        <v>0</v>
      </c>
      <c r="Z18" s="33" t="s">
        <v>1293</v>
      </c>
      <c r="AA18" s="20"/>
      <c r="AB18" s="772"/>
      <c r="AC18" s="916"/>
      <c r="AD18" s="916"/>
      <c r="AE18" s="916"/>
      <c r="AF18" s="916"/>
      <c r="AG18" s="772"/>
      <c r="AH18" s="772"/>
      <c r="AI18" s="772"/>
      <c r="AJ18" s="772"/>
      <c r="AK18" s="772"/>
      <c r="AL18" s="772"/>
    </row>
    <row r="19" spans="1:38" ht="15">
      <c r="A19" s="115">
        <v>4</v>
      </c>
      <c r="B19" s="208" t="s">
        <v>1298</v>
      </c>
      <c r="C19" s="115" t="s">
        <v>1299</v>
      </c>
      <c r="D19" s="194">
        <f>+'MPP-3 p5'!E21</f>
        <v>73433</v>
      </c>
      <c r="E19" s="194">
        <v>0</v>
      </c>
      <c r="F19" s="194">
        <f>+E19+D19</f>
        <v>73433</v>
      </c>
      <c r="G19" s="194">
        <f>+F19*G$12</f>
        <v>301.33126456942796</v>
      </c>
      <c r="H19" s="194">
        <f>+G19+D19</f>
        <v>73734.33126456942</v>
      </c>
      <c r="I19" s="194">
        <f>+'MPP-3 p5'!L21</f>
        <v>65903.2032261</v>
      </c>
      <c r="J19" s="194">
        <v>0</v>
      </c>
      <c r="K19" s="194">
        <f>+J19+I19</f>
        <v>65903.2032261</v>
      </c>
      <c r="L19" s="194">
        <f>-'MPP-3 p5'!W21</f>
        <v>-3612.672574542185</v>
      </c>
      <c r="M19" s="194">
        <f>+G19*M$12</f>
        <v>234.3634043315183</v>
      </c>
      <c r="N19" s="194">
        <f>+M19+K19+L19</f>
        <v>62524.89405588934</v>
      </c>
      <c r="O19" s="194">
        <f>+'MPP-3 p5'!N21</f>
        <v>16898.619999999995</v>
      </c>
      <c r="P19" s="194">
        <v>0</v>
      </c>
      <c r="Q19" s="807"/>
      <c r="R19" s="194">
        <f>+O19+P19</f>
        <v>16898.619999999995</v>
      </c>
      <c r="S19" s="194">
        <f>+'MPP-3 p5'!T21</f>
        <v>86003.45</v>
      </c>
      <c r="T19" s="194">
        <v>0</v>
      </c>
      <c r="U19" s="194"/>
      <c r="V19" s="194">
        <f>+S19+T19</f>
        <v>86003.45</v>
      </c>
      <c r="W19" s="564" t="s">
        <v>1298</v>
      </c>
      <c r="X19" s="148">
        <f>+'MPP-3 p5'!G21</f>
        <v>71447.87</v>
      </c>
      <c r="Y19" s="563">
        <f>+'MPP-3 p5'!I21</f>
        <v>86003.45</v>
      </c>
      <c r="Z19" s="31" t="s">
        <v>1295</v>
      </c>
      <c r="AA19" s="23" t="s">
        <v>1296</v>
      </c>
      <c r="AB19" s="772">
        <f>+X16+X22</f>
        <v>1400506.81</v>
      </c>
      <c r="AC19" s="916"/>
      <c r="AD19" s="916"/>
      <c r="AE19" s="916"/>
      <c r="AF19" s="916">
        <v>72579.62</v>
      </c>
      <c r="AG19" s="772">
        <f>+Y16+Y22</f>
        <v>1672956.21</v>
      </c>
      <c r="AH19" s="772">
        <f>+V16+V22</f>
        <v>1672956.21</v>
      </c>
      <c r="AI19" s="912"/>
      <c r="AJ19" s="912"/>
      <c r="AK19" s="794">
        <v>1622067.3138522059</v>
      </c>
      <c r="AL19" s="772">
        <f>+AH19-AK19</f>
        <v>50888.89614779409</v>
      </c>
    </row>
    <row r="20" spans="1:38" ht="12.75">
      <c r="A20" s="115">
        <v>5</v>
      </c>
      <c r="B20" s="208" t="s">
        <v>1292</v>
      </c>
      <c r="C20" s="132"/>
      <c r="D20" s="772">
        <f>SUM(D16:D19)</f>
        <v>100526017</v>
      </c>
      <c r="E20" s="772">
        <f>SUM(E17:E19)</f>
        <v>5862710</v>
      </c>
      <c r="F20" s="772">
        <f>+E20+D20</f>
        <v>106388727</v>
      </c>
      <c r="G20" s="772">
        <f>SUM(G16:G19)</f>
        <v>436564.61867064727</v>
      </c>
      <c r="H20" s="772">
        <f>SUM(H16:H19)</f>
        <v>100962581.61867066</v>
      </c>
      <c r="I20" s="773">
        <f>SUM(I16:I19)</f>
        <v>88186709.09345235</v>
      </c>
      <c r="J20" s="772">
        <f>SUM(J17:J19)</f>
        <v>0</v>
      </c>
      <c r="K20" s="772">
        <f>+J20+I20</f>
        <v>88186709.09345235</v>
      </c>
      <c r="L20" s="773">
        <f>SUM(L16:L19)</f>
        <v>-357461.9299996917</v>
      </c>
      <c r="M20" s="773">
        <f>SUM(M16:M19)</f>
        <v>339542.4978172826</v>
      </c>
      <c r="N20" s="773">
        <f>SUM(N16:N19)</f>
        <v>88168789.66126995</v>
      </c>
      <c r="O20" s="773">
        <f>SUM(O16:O19)</f>
        <v>29893356.275000013</v>
      </c>
      <c r="P20" s="773">
        <f>SUM(P16:P19)</f>
        <v>1328372.8317999993</v>
      </c>
      <c r="Q20" s="804"/>
      <c r="R20" s="773">
        <f>SUM(R16:R19)</f>
        <v>31221729.106800012</v>
      </c>
      <c r="S20" s="773">
        <f>SUM(S16:S19)</f>
        <v>122364241.48</v>
      </c>
      <c r="T20" s="773">
        <f>SUM(T16:T19)</f>
        <v>6718665.659999999</v>
      </c>
      <c r="U20" s="773"/>
      <c r="V20" s="773">
        <f>SUM(V16:V19)</f>
        <v>129082907.14</v>
      </c>
      <c r="W20" s="564" t="s">
        <v>1292</v>
      </c>
      <c r="X20" s="167">
        <f>+'MPP-3 p5'!G22</f>
        <v>102961339.83</v>
      </c>
      <c r="Y20" s="563">
        <f>+'MPP-3 p5'!I22</f>
        <v>122364241.48</v>
      </c>
      <c r="Z20" s="31" t="s">
        <v>1298</v>
      </c>
      <c r="AA20" s="23" t="s">
        <v>1299</v>
      </c>
      <c r="AB20" s="772">
        <f>+X19+X26</f>
        <v>154856.84</v>
      </c>
      <c r="AC20" s="916"/>
      <c r="AD20" s="916"/>
      <c r="AE20" s="916"/>
      <c r="AF20" s="916">
        <f>5187.45+1135.73</f>
        <v>6323.18</v>
      </c>
      <c r="AG20" s="772">
        <f>+Y19+Y26</f>
        <v>186813.71</v>
      </c>
      <c r="AH20" s="772">
        <f>+V19+V26</f>
        <v>186813.71</v>
      </c>
      <c r="AI20" s="912"/>
      <c r="AJ20" s="912"/>
      <c r="AK20" s="794">
        <v>177421.46007218957</v>
      </c>
      <c r="AL20" s="772">
        <f>+AH20-AK20</f>
        <v>9392.249927810422</v>
      </c>
    </row>
    <row r="21" spans="1:38" ht="12.75">
      <c r="A21" s="115"/>
      <c r="B21" s="701" t="s">
        <v>1301</v>
      </c>
      <c r="C21" s="132"/>
      <c r="D21" s="132"/>
      <c r="E21" s="772"/>
      <c r="F21" s="772"/>
      <c r="G21" s="772"/>
      <c r="H21" s="772"/>
      <c r="I21" s="772"/>
      <c r="J21" s="772"/>
      <c r="K21" s="772"/>
      <c r="L21" s="772"/>
      <c r="M21" s="772"/>
      <c r="N21" s="772"/>
      <c r="O21" s="772"/>
      <c r="P21" s="772"/>
      <c r="Q21" s="806"/>
      <c r="R21" s="772"/>
      <c r="S21" s="772"/>
      <c r="T21" s="772"/>
      <c r="U21" s="772"/>
      <c r="V21" s="772"/>
      <c r="W21" s="567" t="s">
        <v>1301</v>
      </c>
      <c r="X21" s="148">
        <f>+'MPP-3 p5'!G23</f>
        <v>0</v>
      </c>
      <c r="Y21" s="563">
        <f>+'MPP-3 p5'!I23</f>
        <v>0</v>
      </c>
      <c r="Z21" s="31" t="s">
        <v>1292</v>
      </c>
      <c r="AA21" s="20"/>
      <c r="AB21" s="772"/>
      <c r="AC21" s="916"/>
      <c r="AD21" s="916"/>
      <c r="AE21" s="916"/>
      <c r="AF21" s="916"/>
      <c r="AG21" s="772"/>
      <c r="AH21" s="772"/>
      <c r="AI21" s="772"/>
      <c r="AJ21" s="772"/>
      <c r="AK21" s="772"/>
      <c r="AL21" s="772"/>
    </row>
    <row r="22" spans="1:38" ht="12.75">
      <c r="A22" s="115">
        <v>6</v>
      </c>
      <c r="B22" s="208" t="s">
        <v>1295</v>
      </c>
      <c r="C22" s="115" t="s">
        <v>1296</v>
      </c>
      <c r="D22" s="772">
        <f>+'MPP-3 p5'!E24</f>
        <v>101667</v>
      </c>
      <c r="E22" s="772">
        <v>0</v>
      </c>
      <c r="F22" s="772">
        <f aca="true" t="shared" si="0" ref="F22:F27">+E22+D22</f>
        <v>101667</v>
      </c>
      <c r="G22" s="772">
        <f>+F22*G$12</f>
        <v>417.1890795007698</v>
      </c>
      <c r="H22" s="772">
        <f>+G22+D22</f>
        <v>102084.18907950076</v>
      </c>
      <c r="I22" s="773">
        <f>+'MPP-3 p5'!L24</f>
        <v>88806.1509414</v>
      </c>
      <c r="J22" s="772">
        <v>0</v>
      </c>
      <c r="K22" s="772">
        <f aca="true" t="shared" si="1" ref="K22:K27">+J22+I22</f>
        <v>88806.1509414</v>
      </c>
      <c r="L22" s="773">
        <f>-'MPP-3 p5'!W24</f>
        <v>-5001.696548363547</v>
      </c>
      <c r="M22" s="773">
        <f>+G22*M$12</f>
        <v>324.4729784725187</v>
      </c>
      <c r="N22" s="773">
        <f>+M22+K22+L22</f>
        <v>84128.92737150898</v>
      </c>
      <c r="O22" s="773">
        <f>+'MPP-3 p5'!N24</f>
        <v>20218.380000000005</v>
      </c>
      <c r="P22" s="773">
        <v>0</v>
      </c>
      <c r="Q22" s="804"/>
      <c r="R22" s="773">
        <f>+P22+O22</f>
        <v>20218.380000000005</v>
      </c>
      <c r="S22" s="773">
        <f>+'MPP-3 p5'!T24</f>
        <v>113338.8</v>
      </c>
      <c r="T22" s="773">
        <v>0</v>
      </c>
      <c r="U22" s="773"/>
      <c r="V22" s="773">
        <f>+T22+S22</f>
        <v>113338.8</v>
      </c>
      <c r="W22" s="564" t="s">
        <v>1295</v>
      </c>
      <c r="X22" s="563">
        <f>+'MPP-3 p5'!G24</f>
        <v>93375.23</v>
      </c>
      <c r="Y22" s="563">
        <f>+'MPP-3 p5'!I24</f>
        <v>113338.8</v>
      </c>
      <c r="Z22" s="33" t="s">
        <v>1301</v>
      </c>
      <c r="AA22" s="20"/>
      <c r="AB22" s="772"/>
      <c r="AC22" s="916"/>
      <c r="AD22" s="916"/>
      <c r="AE22" s="916"/>
      <c r="AF22" s="916"/>
      <c r="AG22" s="772"/>
      <c r="AH22" s="772"/>
      <c r="AI22" s="772"/>
      <c r="AJ22" s="772"/>
      <c r="AK22" s="773"/>
      <c r="AL22" s="773"/>
    </row>
    <row r="23" spans="1:38" ht="12.75">
      <c r="A23" s="115">
        <v>7</v>
      </c>
      <c r="B23" s="208" t="s">
        <v>1287</v>
      </c>
      <c r="C23" s="115" t="s">
        <v>1303</v>
      </c>
      <c r="D23" s="772">
        <f>+'MPP-3 p5'!E25</f>
        <v>73180576</v>
      </c>
      <c r="E23" s="772">
        <f>+'MPP-3 p11'!E25</f>
        <v>4439798</v>
      </c>
      <c r="F23" s="772">
        <f t="shared" si="0"/>
        <v>77620374</v>
      </c>
      <c r="G23" s="772">
        <f>+F23*G$12</f>
        <v>318514.09385115607</v>
      </c>
      <c r="H23" s="772">
        <f>+G23+D23</f>
        <v>73499090.09385115</v>
      </c>
      <c r="I23" s="772">
        <f>+'MPP-3 p5'!L25</f>
        <v>64046327.89985436</v>
      </c>
      <c r="J23" s="772">
        <v>0</v>
      </c>
      <c r="K23" s="772">
        <f t="shared" si="1"/>
        <v>64046327.89985436</v>
      </c>
      <c r="L23" s="772">
        <f>-'MPP-3 p5'!W25</f>
        <v>-218424.09367869</v>
      </c>
      <c r="M23" s="772">
        <f>+G23*M$12</f>
        <v>247727.52163367515</v>
      </c>
      <c r="N23" s="772">
        <f>+M23+K23+L23</f>
        <v>64075631.32780935</v>
      </c>
      <c r="O23" s="772">
        <f>+'MPP-3 p5'!N25</f>
        <v>16095898.824749991</v>
      </c>
      <c r="P23" s="772">
        <f>+'MPP-3 p11'!F27</f>
        <v>864384.2726199996</v>
      </c>
      <c r="Q23" s="811" t="s">
        <v>295</v>
      </c>
      <c r="R23" s="772">
        <f>+P23+O23</f>
        <v>16960283.09736999</v>
      </c>
      <c r="S23" s="772">
        <f>+'MPP-3 p5'!T25</f>
        <v>83253645.11</v>
      </c>
      <c r="T23" s="772">
        <f>+'MPP-3 p11'!M28</f>
        <v>4939364.07096</v>
      </c>
      <c r="U23" s="772"/>
      <c r="V23" s="772">
        <f>+T23+S23</f>
        <v>88193009.18096</v>
      </c>
      <c r="W23" s="564" t="s">
        <v>1287</v>
      </c>
      <c r="X23" s="148">
        <f>+'MPP-3 p5'!G25</f>
        <v>69207960.36</v>
      </c>
      <c r="Y23" s="563">
        <f>+'MPP-3 p5'!I25</f>
        <v>83253645.11</v>
      </c>
      <c r="Z23" s="31" t="s">
        <v>1287</v>
      </c>
      <c r="AA23" s="23" t="s">
        <v>1303</v>
      </c>
      <c r="AB23" s="772">
        <f>+X23</f>
        <v>69207960.36</v>
      </c>
      <c r="AC23" s="916"/>
      <c r="AD23" s="916"/>
      <c r="AE23" s="916"/>
      <c r="AF23" s="916">
        <v>3295061.84</v>
      </c>
      <c r="AG23" s="772">
        <f>+Y23</f>
        <v>83253645.11</v>
      </c>
      <c r="AH23" s="772">
        <f>+V23</f>
        <v>88193009.18096</v>
      </c>
      <c r="AI23" s="912"/>
      <c r="AJ23" s="912"/>
      <c r="AK23" s="794">
        <v>79741074.49428359</v>
      </c>
      <c r="AL23" s="772">
        <f>+AH23-AK23</f>
        <v>8451934.686676413</v>
      </c>
    </row>
    <row r="24" spans="1:38" ht="12.75">
      <c r="A24" s="115">
        <v>8</v>
      </c>
      <c r="B24" s="208" t="s">
        <v>1310</v>
      </c>
      <c r="C24" s="115" t="s">
        <v>1311</v>
      </c>
      <c r="D24" s="772">
        <f>+'MPP-3 p5'!E26</f>
        <v>6477837</v>
      </c>
      <c r="E24" s="772">
        <v>0</v>
      </c>
      <c r="F24" s="772">
        <f t="shared" si="0"/>
        <v>6477837</v>
      </c>
      <c r="G24" s="772">
        <f>+F24*G$12</f>
        <v>26581.711422448072</v>
      </c>
      <c r="H24" s="772">
        <f>+G24+D24</f>
        <v>6504418.711422448</v>
      </c>
      <c r="I24" s="772">
        <f>+'MPP-3 p5'!L26</f>
        <v>5625161.2217025</v>
      </c>
      <c r="J24" s="772">
        <v>0</v>
      </c>
      <c r="K24" s="772">
        <f t="shared" si="1"/>
        <v>5625161.2217025</v>
      </c>
      <c r="L24" s="772">
        <f>-'MPP-3 p5'!W26</f>
        <v>-318689.20066257165</v>
      </c>
      <c r="M24" s="772">
        <f>+G24*M$12</f>
        <v>20674.191875923214</v>
      </c>
      <c r="N24" s="772">
        <f>+M24+K24+L24</f>
        <v>5327146.212915852</v>
      </c>
      <c r="O24" s="772">
        <f>+'MPP-3 p5'!N26</f>
        <v>870754.0000000009</v>
      </c>
      <c r="P24" s="772">
        <v>0</v>
      </c>
      <c r="Q24" s="806"/>
      <c r="R24" s="772">
        <f>+P24+O24</f>
        <v>870754.0000000009</v>
      </c>
      <c r="S24" s="772">
        <f>+'MPP-3 p5'!T26</f>
        <v>6769189.750000001</v>
      </c>
      <c r="T24" s="772">
        <v>0</v>
      </c>
      <c r="U24" s="772"/>
      <c r="V24" s="772">
        <f>+T24+S24</f>
        <v>6769189.750000001</v>
      </c>
      <c r="W24" s="564" t="s">
        <v>1310</v>
      </c>
      <c r="X24" s="148">
        <f>+'MPP-3 p5'!G26</f>
        <v>5515045.94</v>
      </c>
      <c r="Y24" s="563">
        <f>+'MPP-3 p5'!I26</f>
        <v>6769189.750000001</v>
      </c>
      <c r="Z24" s="31" t="s">
        <v>1292</v>
      </c>
      <c r="AA24" s="20"/>
      <c r="AB24" s="772"/>
      <c r="AC24" s="916"/>
      <c r="AD24" s="916"/>
      <c r="AE24" s="916"/>
      <c r="AF24" s="916"/>
      <c r="AG24" s="772"/>
      <c r="AH24" s="772"/>
      <c r="AI24" s="772"/>
      <c r="AJ24" s="772"/>
      <c r="AK24" s="772"/>
      <c r="AL24" s="772"/>
    </row>
    <row r="25" spans="1:38" ht="12.75">
      <c r="A25" s="115">
        <v>9</v>
      </c>
      <c r="B25" s="208" t="s">
        <v>1305</v>
      </c>
      <c r="C25" s="115" t="s">
        <v>1306</v>
      </c>
      <c r="D25" s="772">
        <f>+'MPP-3 p5'!E27</f>
        <v>55917</v>
      </c>
      <c r="E25" s="772">
        <v>0</v>
      </c>
      <c r="F25" s="772">
        <f t="shared" si="0"/>
        <v>55917</v>
      </c>
      <c r="G25" s="772">
        <f>+F25*G$12</f>
        <v>229.45460924827668</v>
      </c>
      <c r="H25" s="772">
        <f>+G25+D25</f>
        <v>56146.45460924828</v>
      </c>
      <c r="I25" s="772">
        <f>+'MPP-3 p5'!L27</f>
        <v>48953.9982474</v>
      </c>
      <c r="J25" s="772">
        <v>0</v>
      </c>
      <c r="K25" s="772">
        <f t="shared" si="1"/>
        <v>48953.9982474</v>
      </c>
      <c r="L25" s="772">
        <f>-'MPP-3 p5'!W27</f>
        <v>-2750.9404811280397</v>
      </c>
      <c r="M25" s="772">
        <f>+G25*M$12</f>
        <v>178.46061688893968</v>
      </c>
      <c r="N25" s="772">
        <f>+M25+K25+L25</f>
        <v>46381.518383160896</v>
      </c>
      <c r="O25" s="772">
        <f>+'MPP-3 p5'!N27</f>
        <v>11288.830000000002</v>
      </c>
      <c r="P25" s="772">
        <v>0</v>
      </c>
      <c r="Q25" s="806"/>
      <c r="R25" s="772">
        <f>+P25+O25</f>
        <v>11288.830000000002</v>
      </c>
      <c r="S25" s="772">
        <f>+'MPP-3 p5'!T27</f>
        <v>62621.05</v>
      </c>
      <c r="T25" s="772">
        <v>0</v>
      </c>
      <c r="U25" s="772"/>
      <c r="V25" s="772">
        <f>+T25+S25</f>
        <v>62621.05</v>
      </c>
      <c r="W25" s="564" t="s">
        <v>1305</v>
      </c>
      <c r="X25" s="148">
        <f>+'MPP-3 p5'!G27</f>
        <v>51655.92</v>
      </c>
      <c r="Y25" s="563">
        <f>+'MPP-3 p5'!I27</f>
        <v>62621.05</v>
      </c>
      <c r="Z25" s="33" t="s">
        <v>1308</v>
      </c>
      <c r="AA25" s="20"/>
      <c r="AB25" s="772"/>
      <c r="AC25" s="916"/>
      <c r="AD25" s="916"/>
      <c r="AE25" s="916"/>
      <c r="AF25" s="916"/>
      <c r="AG25" s="772"/>
      <c r="AH25" s="772"/>
      <c r="AI25" s="772"/>
      <c r="AJ25" s="772"/>
      <c r="AK25" s="772"/>
      <c r="AL25" s="772"/>
    </row>
    <row r="26" spans="1:38" ht="15">
      <c r="A26" s="115">
        <v>10</v>
      </c>
      <c r="B26" s="208" t="s">
        <v>1298</v>
      </c>
      <c r="C26" s="115" t="s">
        <v>1299</v>
      </c>
      <c r="D26" s="194">
        <f>+'MPP-3 p5'!E28</f>
        <v>88291</v>
      </c>
      <c r="E26" s="194">
        <v>0</v>
      </c>
      <c r="F26" s="194">
        <f t="shared" si="0"/>
        <v>88291</v>
      </c>
      <c r="G26" s="194">
        <f>+F26*G$12</f>
        <v>362.30085493033596</v>
      </c>
      <c r="H26" s="194">
        <f>+G26+D26</f>
        <v>88653.30085493033</v>
      </c>
      <c r="I26" s="194">
        <f>+'MPP-3 p5'!L28</f>
        <v>78172.7781249</v>
      </c>
      <c r="J26" s="194">
        <v>0</v>
      </c>
      <c r="K26" s="194">
        <f t="shared" si="1"/>
        <v>78172.7781249</v>
      </c>
      <c r="L26" s="194">
        <f>-'MPP-3 p5'!W28</f>
        <v>-4343.639430213992</v>
      </c>
      <c r="M26" s="194">
        <f>+G26*M$12</f>
        <v>281.7831129306181</v>
      </c>
      <c r="N26" s="194">
        <f>+M26+K26+L26</f>
        <v>74110.92180761661</v>
      </c>
      <c r="O26" s="194">
        <f>+'MPP-3 p5'!N28</f>
        <v>18839.789999999994</v>
      </c>
      <c r="P26" s="194">
        <v>0</v>
      </c>
      <c r="Q26" s="807"/>
      <c r="R26" s="194">
        <f>+P26+O26</f>
        <v>18839.789999999994</v>
      </c>
      <c r="S26" s="194">
        <f>+'MPP-3 p5'!T28</f>
        <v>100810.26</v>
      </c>
      <c r="T26" s="194">
        <v>0</v>
      </c>
      <c r="U26" s="194"/>
      <c r="V26" s="194">
        <f>+T26+S26</f>
        <v>100810.26</v>
      </c>
      <c r="W26" s="564" t="s">
        <v>1298</v>
      </c>
      <c r="X26" s="148">
        <f>+'MPP-3 p5'!G28</f>
        <v>83408.97</v>
      </c>
      <c r="Y26" s="563">
        <f>+'MPP-3 p5'!I28</f>
        <v>100810.26</v>
      </c>
      <c r="Z26" s="31" t="s">
        <v>1310</v>
      </c>
      <c r="AA26" s="23" t="s">
        <v>1311</v>
      </c>
      <c r="AB26" s="772">
        <f>+X24+X30</f>
        <v>6636883.510000001</v>
      </c>
      <c r="AC26" s="916"/>
      <c r="AD26" s="916"/>
      <c r="AE26" s="916"/>
      <c r="AF26" s="916">
        <v>247353.17</v>
      </c>
      <c r="AG26" s="772">
        <f>+Y24+Y30</f>
        <v>8143793.790000001</v>
      </c>
      <c r="AH26" s="772">
        <f>+V24+V30</f>
        <v>8143793.790000001</v>
      </c>
      <c r="AI26" s="912"/>
      <c r="AJ26" s="912"/>
      <c r="AK26" s="794">
        <v>7576387.064177111</v>
      </c>
      <c r="AL26" s="772">
        <f>+AH26-AK26</f>
        <v>567406.7258228902</v>
      </c>
    </row>
    <row r="27" spans="1:38" ht="12.75">
      <c r="A27" s="115">
        <v>11</v>
      </c>
      <c r="B27" s="208" t="s">
        <v>1292</v>
      </c>
      <c r="C27" s="132"/>
      <c r="D27" s="772">
        <f>SUM(D22:D26)</f>
        <v>79904288</v>
      </c>
      <c r="E27" s="772">
        <f>SUM(E23:E26)</f>
        <v>4439798</v>
      </c>
      <c r="F27" s="772">
        <f t="shared" si="0"/>
        <v>84344086</v>
      </c>
      <c r="G27" s="772">
        <f>SUM(G22:G26)</f>
        <v>346104.74981728353</v>
      </c>
      <c r="H27" s="772">
        <f>SUM(H22:H26)</f>
        <v>80250392.74981728</v>
      </c>
      <c r="I27" s="773">
        <f>SUM(I22:I26)</f>
        <v>69887422.04887056</v>
      </c>
      <c r="J27" s="772">
        <f>SUM(J23:J26)</f>
        <v>0</v>
      </c>
      <c r="K27" s="772">
        <f t="shared" si="1"/>
        <v>69887422.04887056</v>
      </c>
      <c r="L27" s="773">
        <f>SUM(L22:L26)</f>
        <v>-549209.5708009672</v>
      </c>
      <c r="M27" s="773">
        <f>SUM(M22:M26)</f>
        <v>269186.4302178904</v>
      </c>
      <c r="N27" s="773">
        <f>SUM(N22:N26)</f>
        <v>69607398.90828748</v>
      </c>
      <c r="O27" s="773">
        <f>SUM(O22:O26)</f>
        <v>17016999.82474999</v>
      </c>
      <c r="P27" s="773">
        <f>SUM(P22:P26)</f>
        <v>864384.2726199996</v>
      </c>
      <c r="Q27" s="804"/>
      <c r="R27" s="773">
        <f>SUM(R22:R26)</f>
        <v>17881384.097369988</v>
      </c>
      <c r="S27" s="773">
        <f>SUM(S22:S26)</f>
        <v>90299604.97</v>
      </c>
      <c r="T27" s="773">
        <f>SUM(T22:T26)</f>
        <v>4939364.07096</v>
      </c>
      <c r="U27" s="773"/>
      <c r="V27" s="773">
        <f>SUM(V22:V26)</f>
        <v>95238969.04096</v>
      </c>
      <c r="W27" s="564" t="s">
        <v>1292</v>
      </c>
      <c r="X27" s="167">
        <f>+'MPP-3 p5'!G29</f>
        <v>74951446.42</v>
      </c>
      <c r="Y27" s="563">
        <f>+'MPP-3 p5'!I29</f>
        <v>90299604.97</v>
      </c>
      <c r="Z27" s="31" t="s">
        <v>1305</v>
      </c>
      <c r="AA27" s="23" t="s">
        <v>1306</v>
      </c>
      <c r="AB27" s="772">
        <f>+X18+X25+X31</f>
        <v>56687.21</v>
      </c>
      <c r="AC27" s="916"/>
      <c r="AD27" s="916"/>
      <c r="AE27" s="916"/>
      <c r="AF27" s="916">
        <v>3089.89</v>
      </c>
      <c r="AG27" s="772">
        <f>+Y18+Y25+Y31</f>
        <v>68720.84</v>
      </c>
      <c r="AH27" s="772">
        <f>+V31+V25</f>
        <v>68720.84</v>
      </c>
      <c r="AI27" s="912"/>
      <c r="AJ27" s="912"/>
      <c r="AK27" s="794">
        <v>65626.09798396281</v>
      </c>
      <c r="AL27" s="772">
        <f>+AH27-AK27</f>
        <v>3094.742016037184</v>
      </c>
    </row>
    <row r="28" spans="1:38" ht="12.75">
      <c r="A28" s="115"/>
      <c r="B28" s="701" t="s">
        <v>1313</v>
      </c>
      <c r="C28" s="132"/>
      <c r="D28" s="132"/>
      <c r="E28" s="772"/>
      <c r="F28" s="772"/>
      <c r="G28" s="772"/>
      <c r="H28" s="772"/>
      <c r="I28" s="772"/>
      <c r="J28" s="772"/>
      <c r="K28" s="772"/>
      <c r="L28" s="772"/>
      <c r="M28" s="772"/>
      <c r="N28" s="772"/>
      <c r="O28" s="772"/>
      <c r="P28" s="772"/>
      <c r="Q28" s="806"/>
      <c r="R28" s="772"/>
      <c r="S28" s="772"/>
      <c r="T28" s="772"/>
      <c r="U28" s="772"/>
      <c r="V28" s="772"/>
      <c r="W28" s="567" t="s">
        <v>1313</v>
      </c>
      <c r="X28" s="148">
        <f>+'MPP-3 p5'!G30</f>
        <v>0</v>
      </c>
      <c r="Y28" s="563">
        <f>+'MPP-3 p5'!I30</f>
        <v>0</v>
      </c>
      <c r="Z28" s="31" t="s">
        <v>1292</v>
      </c>
      <c r="AA28" s="20"/>
      <c r="AB28" s="772"/>
      <c r="AC28" s="916"/>
      <c r="AD28" s="916"/>
      <c r="AE28" s="916"/>
      <c r="AF28" s="916"/>
      <c r="AG28" s="772"/>
      <c r="AH28" s="772"/>
      <c r="AI28" s="912"/>
      <c r="AJ28" s="912"/>
      <c r="AL28" s="772"/>
    </row>
    <row r="29" spans="1:38" ht="12.75">
      <c r="A29" s="115">
        <v>12</v>
      </c>
      <c r="B29" s="208" t="s">
        <v>1287</v>
      </c>
      <c r="C29" s="115" t="s">
        <v>1315</v>
      </c>
      <c r="D29" s="772">
        <f>+'MPP-3 p5'!E31</f>
        <v>10198314</v>
      </c>
      <c r="E29" s="772">
        <v>0</v>
      </c>
      <c r="F29" s="772">
        <f>+E29+D29</f>
        <v>10198314</v>
      </c>
      <c r="G29" s="772">
        <f>+F29*G$12</f>
        <v>41848.63554663572</v>
      </c>
      <c r="H29" s="772">
        <f>+G29+D29</f>
        <v>10240162.635546636</v>
      </c>
      <c r="I29" s="773">
        <f>+'MPP-3 p5'!L31</f>
        <v>8970559.421616301</v>
      </c>
      <c r="J29" s="772">
        <v>0</v>
      </c>
      <c r="K29" s="772">
        <f>+J29+I29</f>
        <v>8970559.421616301</v>
      </c>
      <c r="L29" s="773">
        <f>-'MPP-3 p5'!W31</f>
        <v>-501724.9641764548</v>
      </c>
      <c r="M29" s="773">
        <f>+G29*M$12</f>
        <v>32548.194782751398</v>
      </c>
      <c r="N29" s="773">
        <f>+M29+K29+L29</f>
        <v>8501382.652222596</v>
      </c>
      <c r="O29" s="773">
        <f>+'MPP-3 p5'!N31</f>
        <v>1407925.379999999</v>
      </c>
      <c r="P29" s="773">
        <v>0</v>
      </c>
      <c r="Q29" s="804"/>
      <c r="R29" s="773">
        <f>+P29+O29</f>
        <v>1407925.379999999</v>
      </c>
      <c r="S29" s="773">
        <f>+'MPP-3 p5'!T31</f>
        <v>10814281.27</v>
      </c>
      <c r="T29" s="773">
        <v>0</v>
      </c>
      <c r="U29" s="773"/>
      <c r="V29" s="773">
        <f>+T29+S29</f>
        <v>10814281.27</v>
      </c>
      <c r="W29" s="564" t="s">
        <v>1287</v>
      </c>
      <c r="X29" s="563">
        <f>+'MPP-3 p5'!G31</f>
        <v>8776625.129999999</v>
      </c>
      <c r="Y29" s="563">
        <f>+'MPP-3 p5'!I31</f>
        <v>10814281.27</v>
      </c>
      <c r="Z29" s="33" t="s">
        <v>1313</v>
      </c>
      <c r="AA29" s="20"/>
      <c r="AB29" s="772"/>
      <c r="AC29" s="916"/>
      <c r="AD29" s="916"/>
      <c r="AE29" s="916"/>
      <c r="AF29" s="916"/>
      <c r="AG29" s="772"/>
      <c r="AH29" s="772"/>
      <c r="AI29" s="912"/>
      <c r="AJ29" s="912"/>
      <c r="AL29" s="773"/>
    </row>
    <row r="30" spans="1:38" ht="12.75">
      <c r="A30" s="115">
        <v>13</v>
      </c>
      <c r="B30" s="208" t="s">
        <v>1310</v>
      </c>
      <c r="C30" s="115" t="s">
        <v>1311</v>
      </c>
      <c r="D30" s="772">
        <f>+'MPP-3 p5'!E32</f>
        <v>1351604</v>
      </c>
      <c r="E30" s="772">
        <v>0</v>
      </c>
      <c r="F30" s="772">
        <f>+E30+D30</f>
        <v>1351604</v>
      </c>
      <c r="G30" s="772">
        <f>+F30*G$12</f>
        <v>5546.287670626245</v>
      </c>
      <c r="H30" s="772">
        <f>+G30+D30</f>
        <v>1357150.2876706263</v>
      </c>
      <c r="I30" s="772">
        <f>+'MPP-3 p5'!L32</f>
        <v>1173628.3683837</v>
      </c>
      <c r="J30" s="772">
        <v>0</v>
      </c>
      <c r="K30" s="772">
        <f>+J30+I30</f>
        <v>1173628.3683837</v>
      </c>
      <c r="L30" s="772">
        <f>-'MPP-3 p5'!W32</f>
        <v>-66494.66455737223</v>
      </c>
      <c r="M30" s="772">
        <f>+G30*M$12</f>
        <v>4313.680698706268</v>
      </c>
      <c r="N30" s="772">
        <f>+M30+K30+L30</f>
        <v>1111447.384525034</v>
      </c>
      <c r="O30" s="772">
        <f>+'MPP-3 p5'!N32</f>
        <v>143959.92999999993</v>
      </c>
      <c r="P30" s="772">
        <v>0</v>
      </c>
      <c r="Q30" s="806"/>
      <c r="R30" s="772">
        <f>+P30+O30</f>
        <v>143959.92999999993</v>
      </c>
      <c r="S30" s="772">
        <f>+'MPP-3 p5'!T32</f>
        <v>1374604.04</v>
      </c>
      <c r="T30" s="772">
        <v>0</v>
      </c>
      <c r="U30" s="772"/>
      <c r="V30" s="772">
        <f>+T30+S30</f>
        <v>1374604.04</v>
      </c>
      <c r="W30" s="564" t="s">
        <v>1310</v>
      </c>
      <c r="X30" s="148">
        <f>+'MPP-3 p5'!G32</f>
        <v>1121837.57</v>
      </c>
      <c r="Y30" s="563">
        <f>+'MPP-3 p5'!I32</f>
        <v>1374604.04</v>
      </c>
      <c r="Z30" s="31" t="s">
        <v>1287</v>
      </c>
      <c r="AA30" s="23" t="s">
        <v>1315</v>
      </c>
      <c r="AB30" s="772">
        <f>+X29</f>
        <v>8776625.129999999</v>
      </c>
      <c r="AC30" s="916"/>
      <c r="AD30" s="916"/>
      <c r="AE30" s="916"/>
      <c r="AF30" s="916">
        <v>269281.51</v>
      </c>
      <c r="AG30" s="772">
        <f>+Y29</f>
        <v>10814281.27</v>
      </c>
      <c r="AH30" s="772">
        <f>+V29</f>
        <v>10814281.27</v>
      </c>
      <c r="AI30" s="912"/>
      <c r="AJ30" s="912"/>
      <c r="AK30" s="794">
        <v>9960331.270402364</v>
      </c>
      <c r="AL30" s="772">
        <f>+AH30-AK30</f>
        <v>853949.9995976351</v>
      </c>
    </row>
    <row r="31" spans="1:38" ht="15">
      <c r="A31" s="115">
        <v>14</v>
      </c>
      <c r="B31" s="208" t="s">
        <v>1305</v>
      </c>
      <c r="C31" s="115" t="s">
        <v>1306</v>
      </c>
      <c r="D31" s="194">
        <f>+'MPP-3 p5'!E33</f>
        <v>5379</v>
      </c>
      <c r="E31" s="194">
        <v>0</v>
      </c>
      <c r="F31" s="194">
        <f>+E31+D31</f>
        <v>5379</v>
      </c>
      <c r="G31" s="194">
        <f>+F31*G$12</f>
        <v>22.072649518866896</v>
      </c>
      <c r="H31" s="194">
        <f>+G31+D31</f>
        <v>5401.0726495188665</v>
      </c>
      <c r="I31" s="194">
        <f>+'MPP-3 p5'!L33</f>
        <v>4708.26879</v>
      </c>
      <c r="J31" s="194">
        <v>0</v>
      </c>
      <c r="K31" s="194">
        <f>+J31+I31</f>
        <v>4708.26879</v>
      </c>
      <c r="L31" s="194">
        <f>-'MPP-3 p5'!W33</f>
        <v>-264.6298772821812</v>
      </c>
      <c r="M31" s="194">
        <f>+G31*M$12</f>
        <v>17.167223889793917</v>
      </c>
      <c r="N31" s="194">
        <f>+M31+K31+L31</f>
        <v>4460.806136607613</v>
      </c>
      <c r="O31" s="194">
        <f>+'MPP-3 p5'!N33</f>
        <v>1162.79</v>
      </c>
      <c r="P31" s="194">
        <v>0</v>
      </c>
      <c r="Q31" s="807"/>
      <c r="R31" s="194">
        <f>+P31+O31</f>
        <v>1162.79</v>
      </c>
      <c r="S31" s="194">
        <f>+'MPP-3 p5'!T33</f>
        <v>6099.79</v>
      </c>
      <c r="T31" s="194">
        <v>0</v>
      </c>
      <c r="U31" s="194"/>
      <c r="V31" s="194">
        <f>+T31+S31</f>
        <v>6099.79</v>
      </c>
      <c r="W31" s="564" t="s">
        <v>1305</v>
      </c>
      <c r="X31" s="151">
        <f>+'MPP-3 p5'!G33</f>
        <v>5031.29</v>
      </c>
      <c r="Y31" s="563">
        <f>+'MPP-3 p5'!I33</f>
        <v>6099.79</v>
      </c>
      <c r="Z31" s="31" t="s">
        <v>1292</v>
      </c>
      <c r="AA31" s="20"/>
      <c r="AB31" s="772"/>
      <c r="AC31" s="916"/>
      <c r="AD31" s="916"/>
      <c r="AE31" s="916"/>
      <c r="AF31" s="916"/>
      <c r="AG31" s="772"/>
      <c r="AH31" s="772"/>
      <c r="AI31" s="912"/>
      <c r="AJ31" s="912"/>
      <c r="AL31" s="772"/>
    </row>
    <row r="32" spans="1:38" ht="12.75">
      <c r="A32" s="115">
        <v>15</v>
      </c>
      <c r="B32" s="208" t="s">
        <v>1292</v>
      </c>
      <c r="C32" s="132"/>
      <c r="D32" s="772">
        <f>SUM(D29:D31)</f>
        <v>11555297</v>
      </c>
      <c r="E32" s="772">
        <f>SUM(E29:E31)</f>
        <v>0</v>
      </c>
      <c r="F32" s="772">
        <f>+E32+D32</f>
        <v>11555297</v>
      </c>
      <c r="G32" s="772">
        <f>SUM(G29:G31)</f>
        <v>47416.99586678083</v>
      </c>
      <c r="H32" s="772">
        <f>SUM(H29:H31)</f>
        <v>11602713.995866781</v>
      </c>
      <c r="I32" s="773">
        <f>SUM(I29:I31)</f>
        <v>10148896.05879</v>
      </c>
      <c r="J32" s="772">
        <f>SUM(J29:J31)</f>
        <v>0</v>
      </c>
      <c r="K32" s="772">
        <f>+J32+I32</f>
        <v>10148896.05879</v>
      </c>
      <c r="L32" s="773">
        <f>SUM(L29:L31)</f>
        <v>-568484.2586111092</v>
      </c>
      <c r="M32" s="773">
        <f>SUM(M29:M31)</f>
        <v>36879.04270534746</v>
      </c>
      <c r="N32" s="773">
        <f>SUM(N29:N31)</f>
        <v>9617290.842884239</v>
      </c>
      <c r="O32" s="773">
        <f>SUM(O29:O31)</f>
        <v>1553048.099999999</v>
      </c>
      <c r="P32" s="773">
        <f>SUM(P29:P31)</f>
        <v>0</v>
      </c>
      <c r="Q32" s="804"/>
      <c r="R32" s="773">
        <f>SUM(R29:R31)</f>
        <v>1553048.099999999</v>
      </c>
      <c r="S32" s="773">
        <f>SUM(S29:S31)</f>
        <v>12194985.099999998</v>
      </c>
      <c r="T32" s="773">
        <f>SUM(T29:T31)</f>
        <v>0</v>
      </c>
      <c r="U32" s="773"/>
      <c r="V32" s="773">
        <f>SUM(V29:V31)</f>
        <v>12194985.099999998</v>
      </c>
      <c r="W32" s="564" t="s">
        <v>1292</v>
      </c>
      <c r="X32" s="167">
        <f>+'MPP-3 p5'!G34</f>
        <v>9903493.989999998</v>
      </c>
      <c r="Y32" s="563">
        <f>+'MPP-3 p5'!I34</f>
        <v>12194985.099999998</v>
      </c>
      <c r="Z32" s="33" t="s">
        <v>1317</v>
      </c>
      <c r="AA32" s="20"/>
      <c r="AB32" s="772"/>
      <c r="AC32" s="916"/>
      <c r="AD32" s="916"/>
      <c r="AE32" s="916"/>
      <c r="AF32" s="916"/>
      <c r="AG32" s="772"/>
      <c r="AH32" s="772"/>
      <c r="AI32" s="912"/>
      <c r="AJ32" s="912"/>
      <c r="AL32" s="773"/>
    </row>
    <row r="33" spans="1:38" ht="12.75">
      <c r="A33" s="115"/>
      <c r="B33" s="701" t="s">
        <v>103</v>
      </c>
      <c r="C33" s="132"/>
      <c r="D33" s="132"/>
      <c r="E33" s="772"/>
      <c r="F33" s="772"/>
      <c r="G33" s="772"/>
      <c r="H33" s="772"/>
      <c r="I33" s="772"/>
      <c r="J33" s="772"/>
      <c r="K33" s="772"/>
      <c r="L33" s="772"/>
      <c r="M33" s="772"/>
      <c r="N33" s="772"/>
      <c r="O33" s="772"/>
      <c r="P33" s="772"/>
      <c r="Q33" s="806"/>
      <c r="R33" s="772"/>
      <c r="S33" s="772"/>
      <c r="T33" s="772"/>
      <c r="U33" s="772"/>
      <c r="V33" s="772"/>
      <c r="W33" s="567" t="s">
        <v>103</v>
      </c>
      <c r="X33" s="148">
        <f>+'MPP-3 p5'!G35</f>
        <v>0</v>
      </c>
      <c r="Y33" s="563">
        <f>+'MPP-3 p5'!I35</f>
        <v>0</v>
      </c>
      <c r="Z33" s="31" t="s">
        <v>1319</v>
      </c>
      <c r="AA33" s="23" t="s">
        <v>1320</v>
      </c>
      <c r="AB33" s="772">
        <f>+X34+X37</f>
        <v>2508841.46</v>
      </c>
      <c r="AC33" s="916"/>
      <c r="AD33" s="916"/>
      <c r="AE33" s="916"/>
      <c r="AF33" s="916">
        <v>47148.17</v>
      </c>
      <c r="AG33" s="772">
        <f>+Y34+Y37</f>
        <v>3133656.1399999997</v>
      </c>
      <c r="AH33" s="772">
        <f>+V34+V37</f>
        <v>3133656.1399999997</v>
      </c>
      <c r="AI33" s="912"/>
      <c r="AJ33" s="912"/>
      <c r="AK33" s="794">
        <v>2817317.15223634</v>
      </c>
      <c r="AL33" s="772">
        <f>+AH33-AK33</f>
        <v>316338.98776365956</v>
      </c>
    </row>
    <row r="34" spans="1:38" ht="15">
      <c r="A34" s="115">
        <v>16</v>
      </c>
      <c r="B34" s="208" t="s">
        <v>1319</v>
      </c>
      <c r="C34" s="115" t="s">
        <v>1320</v>
      </c>
      <c r="D34" s="194">
        <f>+'MPP-3 p5'!E36</f>
        <v>877330</v>
      </c>
      <c r="E34" s="194">
        <v>0</v>
      </c>
      <c r="F34" s="194">
        <f>+E34+D34</f>
        <v>877330</v>
      </c>
      <c r="G34" s="194">
        <f>+F34*G$12</f>
        <v>3600.1110991610885</v>
      </c>
      <c r="H34" s="194">
        <f>+G34+D34</f>
        <v>880930.1110991611</v>
      </c>
      <c r="I34" s="711">
        <f>+'MPP-3 p5'!L36</f>
        <v>754733.3222061</v>
      </c>
      <c r="J34" s="194">
        <v>0</v>
      </c>
      <c r="K34" s="194">
        <f>+J34+I34</f>
        <v>754733.3222061</v>
      </c>
      <c r="L34" s="711">
        <f>-'MPP-3 p5'!W36</f>
        <v>-43161.875857218074</v>
      </c>
      <c r="M34" s="711">
        <f>+G34*M$12</f>
        <v>2800.022408483528</v>
      </c>
      <c r="N34" s="711">
        <f>+M34+K34+L34</f>
        <v>714371.4687573655</v>
      </c>
      <c r="O34" s="711">
        <f>+'MPP-3 p5'!N36</f>
        <v>63728.18000000005</v>
      </c>
      <c r="P34" s="711">
        <v>0</v>
      </c>
      <c r="Q34" s="808"/>
      <c r="R34" s="711">
        <f>+P34+O34</f>
        <v>63728.18000000005</v>
      </c>
      <c r="S34" s="711">
        <f>+'MPP-3 p5'!T36</f>
        <v>855127.01</v>
      </c>
      <c r="T34" s="711">
        <v>0</v>
      </c>
      <c r="U34" s="711"/>
      <c r="V34" s="711">
        <f>+T34+S34</f>
        <v>855127.01</v>
      </c>
      <c r="W34" s="564" t="s">
        <v>1319</v>
      </c>
      <c r="X34" s="563">
        <f>+'MPP-3 p5'!G36</f>
        <v>687698.88</v>
      </c>
      <c r="Y34" s="563">
        <f>+'MPP-3 p5'!I36</f>
        <v>855127.01</v>
      </c>
      <c r="Z34" s="31" t="s">
        <v>1322</v>
      </c>
      <c r="AA34" s="23" t="s">
        <v>1323</v>
      </c>
      <c r="AB34" s="772">
        <f>+X38</f>
        <v>326699.4</v>
      </c>
      <c r="AC34" s="916"/>
      <c r="AD34" s="916"/>
      <c r="AE34" s="916"/>
      <c r="AF34" s="916">
        <v>12836.25</v>
      </c>
      <c r="AG34" s="772">
        <f>+Y38</f>
        <v>404807.55</v>
      </c>
      <c r="AH34" s="772">
        <f>+V38</f>
        <v>404807.55</v>
      </c>
      <c r="AI34" s="912"/>
      <c r="AJ34" s="912"/>
      <c r="AK34" s="794">
        <v>373724.62428716867</v>
      </c>
      <c r="AL34" s="772">
        <f>+AH34-AK34</f>
        <v>31082.92571283132</v>
      </c>
    </row>
    <row r="35" spans="1:38" ht="12.75">
      <c r="A35" s="115">
        <v>17</v>
      </c>
      <c r="B35" s="208" t="s">
        <v>1292</v>
      </c>
      <c r="C35" s="132"/>
      <c r="D35" s="772">
        <f>SUM(D34)</f>
        <v>877330</v>
      </c>
      <c r="E35" s="772">
        <f>+E34</f>
        <v>0</v>
      </c>
      <c r="F35" s="772">
        <f>+E35+D35</f>
        <v>877330</v>
      </c>
      <c r="G35" s="772">
        <f>SUM(G34)</f>
        <v>3600.1110991610885</v>
      </c>
      <c r="H35" s="772">
        <f>SUM(H34)</f>
        <v>880930.1110991611</v>
      </c>
      <c r="I35" s="773">
        <f>SUM(I34)</f>
        <v>754733.3222061</v>
      </c>
      <c r="J35" s="772">
        <f>+J34</f>
        <v>0</v>
      </c>
      <c r="K35" s="772">
        <f>+J35+I35</f>
        <v>754733.3222061</v>
      </c>
      <c r="L35" s="773">
        <f>SUM(L34)</f>
        <v>-43161.875857218074</v>
      </c>
      <c r="M35" s="773">
        <f>SUM(M34)</f>
        <v>2800.022408483528</v>
      </c>
      <c r="N35" s="773">
        <f>+N34</f>
        <v>714371.4687573655</v>
      </c>
      <c r="O35" s="773">
        <f>+O34</f>
        <v>63728.18000000005</v>
      </c>
      <c r="P35" s="773">
        <f>+P34</f>
        <v>0</v>
      </c>
      <c r="Q35" s="804"/>
      <c r="R35" s="773">
        <f>+R34</f>
        <v>63728.18000000005</v>
      </c>
      <c r="S35" s="773">
        <f>+S34</f>
        <v>855127.01</v>
      </c>
      <c r="T35" s="773">
        <f>+T34</f>
        <v>0</v>
      </c>
      <c r="U35" s="773"/>
      <c r="V35" s="773">
        <f>+V34</f>
        <v>855127.01</v>
      </c>
      <c r="W35" s="564" t="s">
        <v>1292</v>
      </c>
      <c r="X35" s="167">
        <f>+'MPP-3 p5'!G37</f>
        <v>687698.88</v>
      </c>
      <c r="Y35" s="563">
        <f>+'MPP-3 p5'!I37</f>
        <v>855127.01</v>
      </c>
      <c r="Z35" s="31" t="s">
        <v>1292</v>
      </c>
      <c r="AA35" s="20"/>
      <c r="AB35" s="772"/>
      <c r="AC35" s="916"/>
      <c r="AD35" s="916"/>
      <c r="AE35" s="916"/>
      <c r="AF35" s="916"/>
      <c r="AG35" s="772"/>
      <c r="AH35" s="772"/>
      <c r="AI35" s="912"/>
      <c r="AJ35" s="912"/>
      <c r="AL35" s="773"/>
    </row>
    <row r="36" spans="1:38" ht="12.75">
      <c r="A36" s="115"/>
      <c r="B36" s="701" t="s">
        <v>1459</v>
      </c>
      <c r="C36" s="132"/>
      <c r="D36" s="132"/>
      <c r="E36" s="772"/>
      <c r="F36" s="772"/>
      <c r="G36" s="772"/>
      <c r="H36" s="772"/>
      <c r="I36" s="772"/>
      <c r="J36" s="772"/>
      <c r="K36" s="772"/>
      <c r="L36" s="772"/>
      <c r="M36" s="772"/>
      <c r="N36" s="772"/>
      <c r="O36" s="772"/>
      <c r="P36" s="772"/>
      <c r="Q36" s="806"/>
      <c r="R36" s="772"/>
      <c r="S36" s="772"/>
      <c r="T36" s="772"/>
      <c r="U36" s="772"/>
      <c r="V36" s="772"/>
      <c r="W36" s="567" t="s">
        <v>1459</v>
      </c>
      <c r="X36" s="148">
        <f>+'MPP-3 p5'!G38</f>
        <v>0</v>
      </c>
      <c r="Y36" s="563">
        <f>+'MPP-3 p5'!I38</f>
        <v>0</v>
      </c>
      <c r="Z36" s="33" t="s">
        <v>1326</v>
      </c>
      <c r="AA36" s="20"/>
      <c r="AB36" s="772"/>
      <c r="AC36" s="916"/>
      <c r="AD36" s="916"/>
      <c r="AE36" s="916"/>
      <c r="AF36" s="916"/>
      <c r="AG36" s="772"/>
      <c r="AH36" s="772"/>
      <c r="AI36" s="912"/>
      <c r="AJ36" s="912"/>
      <c r="AL36" s="772"/>
    </row>
    <row r="37" spans="1:38" ht="12.75">
      <c r="A37" s="115">
        <v>18</v>
      </c>
      <c r="B37" s="208" t="s">
        <v>104</v>
      </c>
      <c r="C37" s="115" t="s">
        <v>1320</v>
      </c>
      <c r="D37" s="772">
        <f>+'MPP-3 p5'!E39</f>
        <v>2386834</v>
      </c>
      <c r="E37" s="772">
        <v>0</v>
      </c>
      <c r="F37" s="772">
        <f>+E37+D37</f>
        <v>2386834</v>
      </c>
      <c r="G37" s="772">
        <f>+F37*G$12</f>
        <v>9794.339160013971</v>
      </c>
      <c r="H37" s="772">
        <f>+G37+D37</f>
        <v>2396628.339160014</v>
      </c>
      <c r="I37" s="773">
        <f>+'MPP-3 p5'!L39</f>
        <v>2053361.3823207</v>
      </c>
      <c r="J37" s="772">
        <v>0</v>
      </c>
      <c r="K37" s="772">
        <f>+J37+I37</f>
        <v>2053361.3823207</v>
      </c>
      <c r="L37" s="773">
        <f>-'MPP-3 p5'!W39</f>
        <v>-117424.72364992334</v>
      </c>
      <c r="M37" s="773">
        <f>+G37*M$12</f>
        <v>7617.645225092467</v>
      </c>
      <c r="N37" s="773">
        <f>+M37+K37+L37</f>
        <v>1943554.3038958693</v>
      </c>
      <c r="O37" s="773">
        <f>+'MPP-3 p5'!N39</f>
        <v>125413.91999999993</v>
      </c>
      <c r="P37" s="773">
        <v>0</v>
      </c>
      <c r="Q37" s="804"/>
      <c r="R37" s="773">
        <f>+P37+O37</f>
        <v>125413.91999999993</v>
      </c>
      <c r="S37" s="773">
        <f>+'MPP-3 p5'!T39</f>
        <v>2278529.13</v>
      </c>
      <c r="T37" s="773">
        <v>0</v>
      </c>
      <c r="U37" s="773"/>
      <c r="V37" s="773">
        <f>+T37+S37</f>
        <v>2278529.13</v>
      </c>
      <c r="W37" s="564" t="s">
        <v>104</v>
      </c>
      <c r="X37" s="563">
        <f>+'MPP-3 p5'!G39</f>
        <v>1821142.58</v>
      </c>
      <c r="Y37" s="563">
        <f>+'MPP-3 p5'!I39</f>
        <v>2278529.13</v>
      </c>
      <c r="Z37" s="20"/>
      <c r="AA37" s="20"/>
      <c r="AB37" s="772"/>
      <c r="AC37" s="916"/>
      <c r="AD37" s="916"/>
      <c r="AE37" s="916"/>
      <c r="AF37" s="916"/>
      <c r="AG37" s="772"/>
      <c r="AH37" s="772"/>
      <c r="AI37" s="912"/>
      <c r="AJ37" s="912"/>
      <c r="AL37" s="773"/>
    </row>
    <row r="38" spans="1:38" ht="15">
      <c r="A38" s="115">
        <v>19</v>
      </c>
      <c r="B38" s="208" t="s">
        <v>1322</v>
      </c>
      <c r="C38" s="115" t="s">
        <v>1323</v>
      </c>
      <c r="D38" s="194">
        <f>+'MPP-3 p5'!E40</f>
        <v>407759</v>
      </c>
      <c r="E38" s="194">
        <v>0</v>
      </c>
      <c r="F38" s="194">
        <f>+E38+D38</f>
        <v>407759</v>
      </c>
      <c r="G38" s="194">
        <f>+F38*G$12</f>
        <v>1673.233220889319</v>
      </c>
      <c r="H38" s="194">
        <f>+G38+D38</f>
        <v>409432.2332208893</v>
      </c>
      <c r="I38" s="194">
        <f>+'MPP-3 p5'!L40</f>
        <v>350789.6186508</v>
      </c>
      <c r="J38" s="194">
        <v>0</v>
      </c>
      <c r="K38" s="194">
        <f>+J38+I38</f>
        <v>350789.6186508</v>
      </c>
      <c r="L38" s="194">
        <f>-'MPP-3 p5'!W40</f>
        <v>-20060.45996109034</v>
      </c>
      <c r="M38" s="194">
        <f>+G38*M$12</f>
        <v>1301.3738698788768</v>
      </c>
      <c r="N38" s="194">
        <f>+M38+K38+L38</f>
        <v>332030.53255958855</v>
      </c>
      <c r="O38" s="194">
        <f>+'MPP-3 p5'!N40</f>
        <v>36976.31</v>
      </c>
      <c r="P38" s="194">
        <v>0</v>
      </c>
      <c r="Q38" s="807"/>
      <c r="R38" s="194">
        <f>+P38+O38</f>
        <v>36976.31</v>
      </c>
      <c r="S38" s="194">
        <f>+'MPP-3 p5'!T40</f>
        <v>404807.55</v>
      </c>
      <c r="T38" s="194">
        <v>0</v>
      </c>
      <c r="U38" s="194"/>
      <c r="V38" s="194">
        <f>+T38+S38</f>
        <v>404807.55</v>
      </c>
      <c r="W38" s="564" t="s">
        <v>1322</v>
      </c>
      <c r="X38" s="151">
        <f>+'MPP-3 p5'!G40</f>
        <v>326699.4</v>
      </c>
      <c r="Y38" s="563">
        <f>+'MPP-3 p5'!I40</f>
        <v>404807.55</v>
      </c>
      <c r="Z38" s="33" t="s">
        <v>1327</v>
      </c>
      <c r="AA38" s="20"/>
      <c r="AB38" s="772"/>
      <c r="AC38" s="916"/>
      <c r="AD38" s="916"/>
      <c r="AE38" s="916"/>
      <c r="AF38" s="916"/>
      <c r="AG38" s="772"/>
      <c r="AH38" s="772"/>
      <c r="AI38" s="912"/>
      <c r="AJ38" s="912"/>
      <c r="AL38" s="194"/>
    </row>
    <row r="39" spans="1:38" ht="12.75">
      <c r="A39" s="115">
        <v>20</v>
      </c>
      <c r="B39" s="208" t="s">
        <v>1292</v>
      </c>
      <c r="C39" s="132"/>
      <c r="D39" s="772">
        <f>SUM(D37:D38)</f>
        <v>2794593</v>
      </c>
      <c r="E39" s="772">
        <f>SUM(E37:E38)</f>
        <v>0</v>
      </c>
      <c r="F39" s="772">
        <f>+E39+D39</f>
        <v>2794593</v>
      </c>
      <c r="G39" s="772">
        <f>+D39*G$12</f>
        <v>11467.57238090329</v>
      </c>
      <c r="H39" s="772">
        <f>+G39+D39</f>
        <v>2806060.572380903</v>
      </c>
      <c r="I39" s="773">
        <f>+'MPP-3 p5'!L41</f>
        <v>2404151.0009715</v>
      </c>
      <c r="J39" s="773">
        <f>SUM(J37:J38)</f>
        <v>0</v>
      </c>
      <c r="K39" s="773">
        <f>+J39+I39</f>
        <v>2404151.0009715</v>
      </c>
      <c r="L39" s="773">
        <f>+L38+L37</f>
        <v>-137485.1836110137</v>
      </c>
      <c r="M39" s="773">
        <f>+M38+M37</f>
        <v>8919.019094971343</v>
      </c>
      <c r="N39" s="773">
        <f>+M39+I39+L39</f>
        <v>2275584.836455458</v>
      </c>
      <c r="O39" s="773">
        <f>SUM(O37:O38)</f>
        <v>162390.22999999992</v>
      </c>
      <c r="P39" s="773">
        <f>SUM(P37:P38)</f>
        <v>0</v>
      </c>
      <c r="Q39" s="806"/>
      <c r="R39" s="772">
        <f>SUM(R37:R38)</f>
        <v>162390.22999999992</v>
      </c>
      <c r="S39" s="773">
        <f>SUM(S37:S38)</f>
        <v>2683336.6799999997</v>
      </c>
      <c r="T39" s="773">
        <f>SUM(T37:T38)</f>
        <v>0</v>
      </c>
      <c r="U39" s="773"/>
      <c r="V39" s="772">
        <f>SUM(V37:V38)</f>
        <v>2683336.6799999997</v>
      </c>
      <c r="W39" s="564" t="s">
        <v>1292</v>
      </c>
      <c r="X39" s="167">
        <f>+'MPP-3 p5'!G41</f>
        <v>2147841.98</v>
      </c>
      <c r="Y39" s="563">
        <f>+'MPP-3 p5'!I41</f>
        <v>2683336.6799999997</v>
      </c>
      <c r="Z39" s="31" t="s">
        <v>1329</v>
      </c>
      <c r="AA39" s="23" t="s">
        <v>1330</v>
      </c>
      <c r="AB39" s="772">
        <f>+X45-AC39</f>
        <v>3125032.990000002</v>
      </c>
      <c r="AC39" s="916">
        <v>7376309.74</v>
      </c>
      <c r="AD39" s="916"/>
      <c r="AE39" s="916"/>
      <c r="AF39" s="916">
        <v>353420.44</v>
      </c>
      <c r="AG39" s="772">
        <f>+Y45-AC39</f>
        <v>1324605.7200000007</v>
      </c>
      <c r="AH39" s="772">
        <f>+V46-AC39</f>
        <v>1243309.802122565</v>
      </c>
      <c r="AI39" s="912"/>
      <c r="AJ39" s="912"/>
      <c r="AK39" s="794">
        <v>15735749.276726667</v>
      </c>
      <c r="AL39" s="772">
        <f>+AH39-AK39</f>
        <v>-14492439.474604102</v>
      </c>
    </row>
    <row r="40" spans="1:38" ht="12.75">
      <c r="A40" s="115"/>
      <c r="B40" s="208"/>
      <c r="C40" s="132"/>
      <c r="D40" s="772"/>
      <c r="E40" s="772"/>
      <c r="F40" s="772"/>
      <c r="G40" s="772"/>
      <c r="H40" s="772"/>
      <c r="I40" s="772"/>
      <c r="J40" s="772"/>
      <c r="K40" s="772"/>
      <c r="L40" s="772"/>
      <c r="M40" s="772"/>
      <c r="N40" s="772"/>
      <c r="O40" s="772"/>
      <c r="P40" s="772"/>
      <c r="Q40" s="806"/>
      <c r="R40" s="772"/>
      <c r="S40" s="772"/>
      <c r="T40" s="772"/>
      <c r="U40" s="772"/>
      <c r="V40" s="772"/>
      <c r="W40" s="567" t="s">
        <v>105</v>
      </c>
      <c r="X40" s="168">
        <f>+'MPP-3 p5'!G42</f>
        <v>190651821.1</v>
      </c>
      <c r="Y40" s="563">
        <f>+'MPP-3 p5'!I42</f>
        <v>228397295.24</v>
      </c>
      <c r="Z40" s="31" t="s">
        <v>126</v>
      </c>
      <c r="AA40" s="23">
        <v>664</v>
      </c>
      <c r="AB40" s="772">
        <f>+X46-AC40</f>
        <v>271227.13999999966</v>
      </c>
      <c r="AC40" s="916">
        <v>5461224.260000001</v>
      </c>
      <c r="AD40" s="916"/>
      <c r="AE40" s="916"/>
      <c r="AF40" s="916">
        <f>+AN43-AF39</f>
        <v>513279.62000000005</v>
      </c>
      <c r="AG40" s="772">
        <f>+Y46-AC40</f>
        <v>536811.6099999994</v>
      </c>
      <c r="AH40" s="772">
        <f>+V47-AC40</f>
        <v>461475.8499999996</v>
      </c>
      <c r="AI40" s="912"/>
      <c r="AJ40" s="912"/>
      <c r="AK40" s="794">
        <v>12085758.084783401</v>
      </c>
      <c r="AL40" s="772">
        <f>+AH40-AK40</f>
        <v>-11624282.234783402</v>
      </c>
    </row>
    <row r="41" spans="1:38" ht="15">
      <c r="A41" s="115">
        <v>21</v>
      </c>
      <c r="B41" s="701" t="s">
        <v>105</v>
      </c>
      <c r="C41" s="132"/>
      <c r="D41" s="707">
        <f>+D39+D35+D32+D27+D20</f>
        <v>195657525</v>
      </c>
      <c r="E41" s="707">
        <f>+E39+E35+E32+E27+E20</f>
        <v>10302508</v>
      </c>
      <c r="F41" s="707">
        <f>+E41+D41</f>
        <v>205960033</v>
      </c>
      <c r="G41" s="707">
        <f>+G39+G35+G32+G27+G20</f>
        <v>845154.047834776</v>
      </c>
      <c r="H41" s="707">
        <f>+H39+H35+H32+H27+H20</f>
        <v>196502679.04783478</v>
      </c>
      <c r="I41" s="195">
        <f>+I39+I35+I32+I27+I20</f>
        <v>171381911.5242905</v>
      </c>
      <c r="J41" s="707">
        <f>+J39+J35+J32+J27+J20</f>
        <v>0</v>
      </c>
      <c r="K41" s="707">
        <f>+J41+I41</f>
        <v>171381911.5242905</v>
      </c>
      <c r="L41" s="195">
        <f>+L39+L35+L32+L27+L20</f>
        <v>-1655802.81888</v>
      </c>
      <c r="M41" s="195">
        <f>+M39+M35+M32+M27+M20</f>
        <v>657327.0122439754</v>
      </c>
      <c r="N41" s="195">
        <f>+N39+N35+N32+N27+N20</f>
        <v>170383435.7176545</v>
      </c>
      <c r="O41" s="195">
        <f>+O39+O35+O32+O27+O20</f>
        <v>48689522.60975</v>
      </c>
      <c r="P41" s="195">
        <f>+P39+P35+P32+P27+P20</f>
        <v>2192757.104419999</v>
      </c>
      <c r="Q41" s="809"/>
      <c r="R41" s="195">
        <f>+R39+R35+R32+R27+R20</f>
        <v>50882279.714169994</v>
      </c>
      <c r="S41" s="195">
        <f>+S39+S35+S32+S27+S20</f>
        <v>228397295.24</v>
      </c>
      <c r="T41" s="195">
        <f>+T39+T35+T32+T27+T20</f>
        <v>11658029.73096</v>
      </c>
      <c r="U41" s="195"/>
      <c r="V41" s="195">
        <f>+V39+V35+V32+V27+V20</f>
        <v>240055324.97096</v>
      </c>
      <c r="W41" s="15" t="s">
        <v>38</v>
      </c>
      <c r="X41" s="154">
        <f>+'MPP-3 p5'!G43</f>
        <v>0</v>
      </c>
      <c r="Y41" s="563">
        <f>+'MPP-3 p5'!I43</f>
        <v>0</v>
      </c>
      <c r="Z41" s="31" t="s">
        <v>1332</v>
      </c>
      <c r="AA41" s="23" t="s">
        <v>1333</v>
      </c>
      <c r="AB41" s="772">
        <f>+X47</f>
        <v>0</v>
      </c>
      <c r="AC41" s="916"/>
      <c r="AD41" s="916"/>
      <c r="AE41" s="916"/>
      <c r="AF41" s="916"/>
      <c r="AG41" s="772">
        <f>+Y47</f>
        <v>0</v>
      </c>
      <c r="AH41" s="772">
        <f>+V48</f>
        <v>0</v>
      </c>
      <c r="AI41" s="912"/>
      <c r="AJ41" s="912"/>
      <c r="AL41" s="195"/>
    </row>
    <row r="42" spans="1:38" ht="12.75">
      <c r="A42" s="132"/>
      <c r="B42" s="143"/>
      <c r="C42" s="132"/>
      <c r="D42" s="132"/>
      <c r="E42" s="772"/>
      <c r="F42" s="772"/>
      <c r="G42" s="772"/>
      <c r="H42" s="772"/>
      <c r="I42" s="772"/>
      <c r="J42" s="772"/>
      <c r="K42" s="772"/>
      <c r="L42" s="772"/>
      <c r="M42" s="772"/>
      <c r="N42" s="772"/>
      <c r="O42" s="772"/>
      <c r="P42" s="772"/>
      <c r="Q42" s="806"/>
      <c r="R42" s="772"/>
      <c r="S42" s="772"/>
      <c r="T42" s="772"/>
      <c r="U42" s="772"/>
      <c r="V42" s="772"/>
      <c r="W42" s="174" t="s">
        <v>106</v>
      </c>
      <c r="X42" s="178">
        <f>+'MPP-3 p5'!G44</f>
        <v>0</v>
      </c>
      <c r="Y42" s="563">
        <f>+'MPP-3 p5'!I44</f>
        <v>0</v>
      </c>
      <c r="Z42" s="31" t="s">
        <v>1335</v>
      </c>
      <c r="AA42" s="23" t="s">
        <v>1336</v>
      </c>
      <c r="AB42" s="772">
        <f>+X48-AC42</f>
        <v>-0.17999999970197678</v>
      </c>
      <c r="AC42" s="916">
        <v>5573927</v>
      </c>
      <c r="AD42" s="916"/>
      <c r="AE42" s="916"/>
      <c r="AF42" s="916">
        <v>42966</v>
      </c>
      <c r="AG42" s="772">
        <f>+Y48-AC42</f>
        <v>258239.84999999963</v>
      </c>
      <c r="AH42" s="772">
        <f>+V49-AC42</f>
        <v>258239.84999999963</v>
      </c>
      <c r="AI42" s="912"/>
      <c r="AJ42" s="912"/>
      <c r="AK42" s="794">
        <v>15778189.261507656</v>
      </c>
      <c r="AL42" s="772">
        <f>+AH42-AK42</f>
        <v>-15519949.411507657</v>
      </c>
    </row>
    <row r="43" spans="1:40" ht="12.75">
      <c r="A43" s="132"/>
      <c r="B43" s="182" t="s">
        <v>106</v>
      </c>
      <c r="C43" s="175"/>
      <c r="D43" s="183"/>
      <c r="E43" s="799"/>
      <c r="F43" s="799"/>
      <c r="G43" s="799"/>
      <c r="H43" s="799"/>
      <c r="I43" s="799"/>
      <c r="J43" s="799"/>
      <c r="K43" s="799"/>
      <c r="L43" s="799"/>
      <c r="M43" s="799"/>
      <c r="N43" s="799"/>
      <c r="O43" s="799"/>
      <c r="P43" s="799"/>
      <c r="Q43" s="810"/>
      <c r="R43" s="799"/>
      <c r="S43" s="799"/>
      <c r="T43" s="799"/>
      <c r="U43" s="799"/>
      <c r="V43" s="799"/>
      <c r="W43" s="764"/>
      <c r="X43" s="760">
        <f>+'MPP-3 p5'!G45</f>
        <v>0</v>
      </c>
      <c r="Y43" s="563">
        <f>+'MPP-3 p5'!I45</f>
        <v>0</v>
      </c>
      <c r="Z43" s="31" t="s">
        <v>1345</v>
      </c>
      <c r="AA43" s="20"/>
      <c r="AB43" s="772"/>
      <c r="AC43" s="916"/>
      <c r="AD43" s="916"/>
      <c r="AE43" s="916"/>
      <c r="AF43" s="916"/>
      <c r="AG43" s="772"/>
      <c r="AH43" s="772"/>
      <c r="AI43" s="772"/>
      <c r="AJ43" s="772"/>
      <c r="AK43" s="799"/>
      <c r="AL43" s="799"/>
      <c r="AN43">
        <v>866700.06</v>
      </c>
    </row>
    <row r="44" spans="1:38" ht="12.75">
      <c r="A44" s="132"/>
      <c r="B44" s="704"/>
      <c r="C44" s="132"/>
      <c r="D44" s="132"/>
      <c r="E44" s="772"/>
      <c r="F44" s="772"/>
      <c r="G44" s="772"/>
      <c r="H44" s="772"/>
      <c r="I44" s="772"/>
      <c r="J44" s="772"/>
      <c r="K44" s="772"/>
      <c r="L44" s="772"/>
      <c r="M44" s="772"/>
      <c r="N44" s="772"/>
      <c r="O44" s="772"/>
      <c r="P44" s="772"/>
      <c r="Q44" s="806"/>
      <c r="R44" s="772"/>
      <c r="S44" s="772"/>
      <c r="T44" s="772"/>
      <c r="U44" s="772"/>
      <c r="V44" s="772"/>
      <c r="W44" s="207" t="s">
        <v>107</v>
      </c>
      <c r="X44" s="572">
        <f>+'MPP-3 p5'!G46</f>
        <v>0</v>
      </c>
      <c r="Y44" s="563">
        <f>+'MPP-3 p5'!I46</f>
        <v>0</v>
      </c>
      <c r="Z44" s="33" t="s">
        <v>1347</v>
      </c>
      <c r="AA44" s="20"/>
      <c r="AB44" s="772"/>
      <c r="AC44" s="916"/>
      <c r="AD44" s="916"/>
      <c r="AE44" s="916"/>
      <c r="AF44" s="916"/>
      <c r="AG44" s="772"/>
      <c r="AH44" s="772"/>
      <c r="AI44" s="772"/>
      <c r="AJ44" s="772"/>
      <c r="AK44" s="772"/>
      <c r="AL44" s="772"/>
    </row>
    <row r="45" spans="1:38" ht="12.75">
      <c r="A45" s="115">
        <v>24</v>
      </c>
      <c r="B45" s="705" t="s">
        <v>107</v>
      </c>
      <c r="C45" s="132"/>
      <c r="D45" s="132"/>
      <c r="E45" s="772"/>
      <c r="F45" s="772"/>
      <c r="G45" s="772"/>
      <c r="H45" s="772"/>
      <c r="I45" s="772"/>
      <c r="J45" s="772"/>
      <c r="K45" s="772"/>
      <c r="L45" s="772"/>
      <c r="M45" s="772"/>
      <c r="N45" s="772"/>
      <c r="O45" s="772"/>
      <c r="P45" s="772"/>
      <c r="Q45" s="806"/>
      <c r="R45" s="772"/>
      <c r="S45" s="772"/>
      <c r="T45" s="772"/>
      <c r="U45" s="772"/>
      <c r="V45" s="772"/>
      <c r="W45" s="207" t="s">
        <v>46</v>
      </c>
      <c r="X45" s="563">
        <f>+'MPP-3 p5'!G47</f>
        <v>10501342.730000002</v>
      </c>
      <c r="Y45" s="563">
        <f>+'MPP-3 p5'!I47</f>
        <v>8700915.46</v>
      </c>
      <c r="Z45" s="20"/>
      <c r="AA45" s="20"/>
      <c r="AB45" s="772"/>
      <c r="AC45" s="916"/>
      <c r="AD45" s="916"/>
      <c r="AE45" s="916"/>
      <c r="AF45" s="916"/>
      <c r="AG45" s="772"/>
      <c r="AH45" s="772"/>
      <c r="AI45" s="772"/>
      <c r="AJ45" s="772"/>
      <c r="AK45" s="772"/>
      <c r="AL45" s="772"/>
    </row>
    <row r="46" spans="1:38" ht="12.75">
      <c r="A46" s="115">
        <v>25</v>
      </c>
      <c r="B46" s="705" t="s">
        <v>46</v>
      </c>
      <c r="C46" s="115" t="s">
        <v>1330</v>
      </c>
      <c r="D46" s="772">
        <f>+'MPP-3 p5'!E47</f>
        <v>90046672</v>
      </c>
      <c r="E46" s="772">
        <f>+'MPP-3 p15'!D16</f>
        <v>-694414</v>
      </c>
      <c r="F46" s="772">
        <f>+E46+D46</f>
        <v>89352258</v>
      </c>
      <c r="G46" s="772">
        <f>+F46*G$12</f>
        <v>366655.71194522607</v>
      </c>
      <c r="H46" s="772">
        <f>+G46+D46</f>
        <v>90413327.71194522</v>
      </c>
      <c r="I46" s="773">
        <f>+'MPP-3 p5'!L47</f>
        <v>0</v>
      </c>
      <c r="J46" s="772">
        <f>+'MPP-3 p15'!I16</f>
        <v>0</v>
      </c>
      <c r="K46" s="772">
        <f>+J46+I46</f>
        <v>0</v>
      </c>
      <c r="L46" s="773">
        <f>-'MPP-3 p5'!W47</f>
        <v>0</v>
      </c>
      <c r="M46" s="773">
        <f>+G46*M$12</f>
        <v>285170.146522519</v>
      </c>
      <c r="N46" s="773">
        <f>+M46+K46+L46</f>
        <v>285170.146522519</v>
      </c>
      <c r="O46" s="773">
        <f>+'MPP-3 p5'!N47</f>
        <v>8700915.46</v>
      </c>
      <c r="P46" s="773">
        <f>+'MPP-3 p15'!D17</f>
        <v>-81295.91787743561</v>
      </c>
      <c r="Q46" s="805" t="s">
        <v>915</v>
      </c>
      <c r="R46" s="773">
        <f>+P46+O46</f>
        <v>8619619.542122565</v>
      </c>
      <c r="S46" s="773">
        <f>+'MPP-3 p5'!T47</f>
        <v>8700915.46</v>
      </c>
      <c r="T46" s="773">
        <f>+P46</f>
        <v>-81295.91787743561</v>
      </c>
      <c r="U46" s="773"/>
      <c r="V46" s="773">
        <f>+T46+S46</f>
        <v>8619619.542122565</v>
      </c>
      <c r="W46" s="207" t="s">
        <v>1310</v>
      </c>
      <c r="X46" s="615">
        <f>+'MPP-3 p5'!G48</f>
        <v>5732451.4</v>
      </c>
      <c r="Y46" s="563">
        <f>+'MPP-3 p5'!I48</f>
        <v>5998035.87</v>
      </c>
      <c r="Z46" s="33" t="s">
        <v>1349</v>
      </c>
      <c r="AA46" s="20"/>
      <c r="AB46" s="772"/>
      <c r="AC46" s="916"/>
      <c r="AD46" s="916"/>
      <c r="AE46" s="916"/>
      <c r="AF46" s="916"/>
      <c r="AG46" s="772"/>
      <c r="AH46" s="772"/>
      <c r="AI46" s="772"/>
      <c r="AJ46" s="772"/>
      <c r="AK46" s="773"/>
      <c r="AL46" s="773"/>
    </row>
    <row r="47" spans="1:38" ht="12.75">
      <c r="A47" s="115">
        <v>26</v>
      </c>
      <c r="B47" s="705" t="s">
        <v>1310</v>
      </c>
      <c r="C47" s="115">
        <v>664</v>
      </c>
      <c r="D47" s="772">
        <f>+'MPP-3 p5'!E48</f>
        <v>155323148</v>
      </c>
      <c r="E47" s="772">
        <v>0</v>
      </c>
      <c r="F47" s="772">
        <f>+E47+D47</f>
        <v>155323148</v>
      </c>
      <c r="G47" s="772">
        <f>+F47*G$12</f>
        <v>637366.3149230512</v>
      </c>
      <c r="H47" s="772">
        <f>+G47+D47</f>
        <v>155960514.31492305</v>
      </c>
      <c r="I47" s="772">
        <f>+'MPP-3 p5'!L48</f>
        <v>0</v>
      </c>
      <c r="J47" s="772">
        <v>0</v>
      </c>
      <c r="K47" s="772">
        <f>+J47+I47</f>
        <v>0</v>
      </c>
      <c r="L47" s="772">
        <f>-'MPP-3 p5'!W48</f>
        <v>0</v>
      </c>
      <c r="M47" s="772">
        <f>+G47*M$12</f>
        <v>495718.02509455226</v>
      </c>
      <c r="N47" s="772">
        <f>+M47+K47+L47</f>
        <v>495718.02509455226</v>
      </c>
      <c r="O47" s="772">
        <f>+'MPP-3 p5'!N48</f>
        <v>5998035.87</v>
      </c>
      <c r="P47" s="772">
        <f>+'MPP-3 p15'!D21</f>
        <v>-75335.76</v>
      </c>
      <c r="Q47" s="811" t="s">
        <v>915</v>
      </c>
      <c r="R47" s="772">
        <f>+P47+O47</f>
        <v>5922700.11</v>
      </c>
      <c r="S47" s="772">
        <f>+'MPP-3 p5'!T48</f>
        <v>5998035.87</v>
      </c>
      <c r="T47" s="772">
        <f>+P47</f>
        <v>-75335.76</v>
      </c>
      <c r="U47" s="772"/>
      <c r="V47" s="772">
        <f>+T47+S47</f>
        <v>5922700.11</v>
      </c>
      <c r="W47" s="207" t="s">
        <v>1332</v>
      </c>
      <c r="X47" s="615">
        <f>+'MPP-3 p5'!G49</f>
        <v>0</v>
      </c>
      <c r="Y47" s="563">
        <f>+'MPP-3 p5'!I49</f>
        <v>0</v>
      </c>
      <c r="Z47" s="31" t="s">
        <v>1009</v>
      </c>
      <c r="AA47" s="20"/>
      <c r="AB47" s="772"/>
      <c r="AC47" s="916"/>
      <c r="AD47" s="916"/>
      <c r="AE47" s="916"/>
      <c r="AF47" s="916"/>
      <c r="AG47" s="772"/>
      <c r="AH47" s="772"/>
      <c r="AI47" s="772"/>
      <c r="AJ47" s="772"/>
      <c r="AK47" s="772"/>
      <c r="AL47" s="772"/>
    </row>
    <row r="48" spans="1:38" ht="12.75">
      <c r="A48" s="115">
        <v>27</v>
      </c>
      <c r="B48" s="705" t="s">
        <v>1332</v>
      </c>
      <c r="C48" s="115" t="s">
        <v>1333</v>
      </c>
      <c r="D48" s="772">
        <f>+'MPP-3 p5'!E49</f>
        <v>0</v>
      </c>
      <c r="E48" s="772">
        <v>0</v>
      </c>
      <c r="F48" s="772">
        <f>+E48+D48</f>
        <v>0</v>
      </c>
      <c r="G48" s="772">
        <f>+F48*G$12</f>
        <v>0</v>
      </c>
      <c r="H48" s="772">
        <f>+G48+D48</f>
        <v>0</v>
      </c>
      <c r="I48" s="772">
        <f>+'MPP-3 p5'!L49</f>
        <v>0</v>
      </c>
      <c r="J48" s="772">
        <v>0</v>
      </c>
      <c r="K48" s="772">
        <f>+J48+I48</f>
        <v>0</v>
      </c>
      <c r="L48" s="772">
        <f>-'MPP-3 p5'!W49</f>
        <v>0</v>
      </c>
      <c r="M48" s="772">
        <f>+G48*M$12</f>
        <v>0</v>
      </c>
      <c r="N48" s="772">
        <f>+M48+K48+L48</f>
        <v>0</v>
      </c>
      <c r="O48" s="772">
        <f>+'MPP-3 p5'!N49</f>
        <v>0</v>
      </c>
      <c r="P48" s="772">
        <v>0</v>
      </c>
      <c r="Q48" s="806"/>
      <c r="R48" s="772">
        <f>+P48+O48</f>
        <v>0</v>
      </c>
      <c r="S48" s="772">
        <f>+'MPP-3 p5'!T49</f>
        <v>0</v>
      </c>
      <c r="T48" s="772">
        <v>0</v>
      </c>
      <c r="U48" s="772"/>
      <c r="V48" s="772">
        <f>+T48+S48</f>
        <v>0</v>
      </c>
      <c r="W48" s="207" t="s">
        <v>1335</v>
      </c>
      <c r="X48" s="615">
        <f>+'MPP-3 p5'!G50</f>
        <v>5573926.82</v>
      </c>
      <c r="Y48" s="563">
        <f>+'MPP-3 p5'!I50</f>
        <v>5832166.85</v>
      </c>
      <c r="Z48" s="156" t="s">
        <v>123</v>
      </c>
      <c r="AA48" s="20"/>
      <c r="AB48" s="772"/>
      <c r="AC48" s="916"/>
      <c r="AD48" s="916"/>
      <c r="AE48" s="916"/>
      <c r="AF48" s="916"/>
      <c r="AG48" s="772"/>
      <c r="AH48" s="772"/>
      <c r="AI48" s="772"/>
      <c r="AJ48" s="772"/>
      <c r="AK48" s="772">
        <v>0</v>
      </c>
      <c r="AL48" s="772">
        <f>+AH48-AK48</f>
        <v>0</v>
      </c>
    </row>
    <row r="49" spans="1:38" ht="14.25">
      <c r="A49" s="115">
        <v>28</v>
      </c>
      <c r="B49" s="705" t="s">
        <v>1335</v>
      </c>
      <c r="C49" s="115" t="s">
        <v>1336</v>
      </c>
      <c r="D49" s="772">
        <f>+'MPP-3 p5'!E50</f>
        <v>257718509</v>
      </c>
      <c r="E49" s="772">
        <v>0</v>
      </c>
      <c r="F49" s="772">
        <f>+E49+D49</f>
        <v>257718509</v>
      </c>
      <c r="G49" s="772">
        <v>0</v>
      </c>
      <c r="H49" s="772">
        <f>+G49+D49</f>
        <v>257718509</v>
      </c>
      <c r="I49" s="772">
        <f>+'MPP-3 p5'!L50</f>
        <v>0</v>
      </c>
      <c r="J49" s="772">
        <v>0</v>
      </c>
      <c r="K49" s="772">
        <f>+J49+I49</f>
        <v>0</v>
      </c>
      <c r="L49" s="772">
        <f>-'MPP-3 p5'!W50</f>
        <v>0</v>
      </c>
      <c r="M49" s="772">
        <f>+G49*M$12</f>
        <v>0</v>
      </c>
      <c r="N49" s="772">
        <f>+M49+K49+L49</f>
        <v>0</v>
      </c>
      <c r="O49" s="772">
        <f>+'MPP-3 p5'!N50</f>
        <v>5832166.85</v>
      </c>
      <c r="P49" s="772">
        <v>0</v>
      </c>
      <c r="Q49" s="806"/>
      <c r="R49" s="772">
        <f>+P49+O49</f>
        <v>5832166.85</v>
      </c>
      <c r="S49" s="772">
        <f>+'MPP-3 p5'!T50</f>
        <v>5832166.85</v>
      </c>
      <c r="T49" s="772">
        <v>0</v>
      </c>
      <c r="U49" s="772"/>
      <c r="V49" s="772">
        <f>+T49+S49</f>
        <v>5832166.85</v>
      </c>
      <c r="W49" s="207"/>
      <c r="X49" s="762">
        <f>+'MPP-3 p5'!G51</f>
        <v>0</v>
      </c>
      <c r="Y49" s="563">
        <f>+'MPP-3 p5'!I51</f>
        <v>0</v>
      </c>
      <c r="Z49" s="142" t="s">
        <v>1352</v>
      </c>
      <c r="AA49" s="26"/>
      <c r="AB49" s="803">
        <f>SUM(AB16:AB48)</f>
        <v>194048081.04999998</v>
      </c>
      <c r="AC49" s="917">
        <f>SUM(AC16:AC48)</f>
        <v>18411461</v>
      </c>
      <c r="AD49" s="917">
        <v>889298</v>
      </c>
      <c r="AE49" s="917">
        <f>-69457.93-133</f>
        <v>-69590.93</v>
      </c>
      <c r="AF49" s="917">
        <f>SUM(AF16:AF48)</f>
        <v>8938664.44</v>
      </c>
      <c r="AG49" s="803">
        <f>SUM(AG16:AG48)</f>
        <v>230516952.42</v>
      </c>
      <c r="AH49" s="803">
        <f>SUM(AH16:AH48)</f>
        <v>242018350.47308254</v>
      </c>
      <c r="AI49" s="803"/>
      <c r="AJ49" s="803"/>
      <c r="AK49" s="803">
        <f>SUM(AK16:AK48)</f>
        <v>262437658.82000002</v>
      </c>
      <c r="AL49" s="803">
        <f>SUM(AL16:AL48)</f>
        <v>-20419308.34691745</v>
      </c>
    </row>
    <row r="50" spans="1:39" ht="12.75">
      <c r="A50" s="132"/>
      <c r="B50" s="706"/>
      <c r="C50" s="134"/>
      <c r="D50" s="132"/>
      <c r="E50" s="772"/>
      <c r="F50" s="772"/>
      <c r="G50" s="772"/>
      <c r="H50" s="772"/>
      <c r="I50" s="772"/>
      <c r="J50" s="772"/>
      <c r="K50" s="772"/>
      <c r="L50" s="772"/>
      <c r="M50" s="772"/>
      <c r="N50" s="772"/>
      <c r="O50" s="772"/>
      <c r="P50" s="772"/>
      <c r="Q50" s="806"/>
      <c r="R50" s="772"/>
      <c r="S50" s="772"/>
      <c r="T50" s="772"/>
      <c r="U50" s="772"/>
      <c r="V50" s="772"/>
      <c r="W50" s="206" t="s">
        <v>39</v>
      </c>
      <c r="X50" s="168">
        <f>+'MPP-3 p5'!G52</f>
        <v>21807720.950000003</v>
      </c>
      <c r="Y50" s="563">
        <f>+'MPP-3 p5'!I52</f>
        <v>20531118.18</v>
      </c>
      <c r="Z50" s="772"/>
      <c r="AA50" s="772"/>
      <c r="AB50" s="772"/>
      <c r="AC50" s="772"/>
      <c r="AD50" s="772"/>
      <c r="AE50" s="772"/>
      <c r="AF50" s="772"/>
      <c r="AG50" s="772"/>
      <c r="AH50" s="772"/>
      <c r="AI50" s="772"/>
      <c r="AJ50" s="772"/>
      <c r="AK50" s="772"/>
      <c r="AL50" s="772"/>
      <c r="AM50" s="772"/>
    </row>
    <row r="51" spans="1:39" ht="15">
      <c r="A51" s="115">
        <v>29</v>
      </c>
      <c r="B51" s="182" t="s">
        <v>39</v>
      </c>
      <c r="C51" s="175"/>
      <c r="D51" s="708">
        <f>SUM(D46:D50)</f>
        <v>503088329</v>
      </c>
      <c r="E51" s="709">
        <f>SUM(E46:E50)</f>
        <v>-694414</v>
      </c>
      <c r="F51" s="709">
        <f>+E51+D51</f>
        <v>502393915</v>
      </c>
      <c r="G51" s="709">
        <f>SUM(G46:G50)</f>
        <v>1004022.0268682772</v>
      </c>
      <c r="H51" s="709">
        <f>SUM(H46:H50)</f>
        <v>504092351.0268683</v>
      </c>
      <c r="I51" s="710">
        <f>SUM(I46:I50)</f>
        <v>0</v>
      </c>
      <c r="J51" s="709">
        <f>SUM(J46:J50)</f>
        <v>0</v>
      </c>
      <c r="K51" s="709">
        <f>+J51+I51</f>
        <v>0</v>
      </c>
      <c r="L51" s="710">
        <f>SUM(L46:L50)</f>
        <v>0</v>
      </c>
      <c r="M51" s="710">
        <f>SUM(M46:M50)</f>
        <v>780888.1716170713</v>
      </c>
      <c r="N51" s="710">
        <f>SUM(N46:N50)</f>
        <v>780888.1716170713</v>
      </c>
      <c r="O51" s="710">
        <f>SUM(O46:O50)</f>
        <v>20531118.18</v>
      </c>
      <c r="P51" s="710">
        <f>SUM(P46:P50)</f>
        <v>-156631.6778774356</v>
      </c>
      <c r="Q51" s="812"/>
      <c r="R51" s="710">
        <f>SUM(R46:R50)</f>
        <v>20374486.502122566</v>
      </c>
      <c r="S51" s="710">
        <f>SUM(S46:S50)</f>
        <v>20531118.18</v>
      </c>
      <c r="T51" s="710">
        <f>SUM(T46:T50)</f>
        <v>-156631.6778774356</v>
      </c>
      <c r="U51" s="710"/>
      <c r="V51" s="710">
        <f>SUM(V46:V50)</f>
        <v>20374486.502122566</v>
      </c>
      <c r="W51" s="174" t="s">
        <v>40</v>
      </c>
      <c r="X51" s="577">
        <f>+'MPP-3 p5'!G53</f>
        <v>0</v>
      </c>
      <c r="Y51" s="563">
        <f>+'MPP-3 p5'!I53</f>
        <v>0</v>
      </c>
      <c r="Z51" s="710" t="s">
        <v>1513</v>
      </c>
      <c r="AA51" s="710"/>
      <c r="AB51" s="710">
        <f>+AC49</f>
        <v>18411461</v>
      </c>
      <c r="AC51" s="710"/>
      <c r="AD51" s="710"/>
      <c r="AE51" s="710"/>
      <c r="AF51" s="710"/>
      <c r="AG51" s="710">
        <f>+AB51</f>
        <v>18411461</v>
      </c>
      <c r="AH51" s="710">
        <f>+AG51</f>
        <v>18411461</v>
      </c>
      <c r="AI51" s="710"/>
      <c r="AJ51" s="710"/>
      <c r="AK51" s="710"/>
      <c r="AL51" s="710"/>
      <c r="AM51" s="710"/>
    </row>
    <row r="52" spans="1:39" ht="12.75">
      <c r="A52" s="132"/>
      <c r="B52" s="701"/>
      <c r="C52" s="154"/>
      <c r="D52" s="129"/>
      <c r="E52" s="129"/>
      <c r="F52" s="129"/>
      <c r="G52" s="129"/>
      <c r="H52" s="129"/>
      <c r="I52" s="802"/>
      <c r="J52" s="802"/>
      <c r="K52" s="802"/>
      <c r="L52" s="802"/>
      <c r="M52" s="802"/>
      <c r="N52" s="802"/>
      <c r="O52" s="802"/>
      <c r="P52" s="802"/>
      <c r="Q52" s="813"/>
      <c r="R52" s="802"/>
      <c r="S52" s="802"/>
      <c r="T52" s="802"/>
      <c r="U52" s="802"/>
      <c r="V52" s="802"/>
      <c r="W52" s="579"/>
      <c r="X52" s="580">
        <f>+'MPP-3 p5'!G54</f>
        <v>0</v>
      </c>
      <c r="Y52" s="563">
        <f>+'MPP-3 p5'!I54</f>
        <v>0</v>
      </c>
      <c r="Z52" s="918" t="s">
        <v>1353</v>
      </c>
      <c r="AA52" s="802"/>
      <c r="AB52" s="802">
        <f>SUM(AD49:AF49)</f>
        <v>9758371.51</v>
      </c>
      <c r="AC52" s="802"/>
      <c r="AD52" s="802"/>
      <c r="AE52" s="802"/>
      <c r="AF52" s="802"/>
      <c r="AG52" s="802">
        <f>+AB52</f>
        <v>9758371.51</v>
      </c>
      <c r="AH52" s="802">
        <f>+AG52</f>
        <v>9758371.51</v>
      </c>
      <c r="AI52" s="802"/>
      <c r="AJ52" s="802"/>
      <c r="AK52" s="802"/>
      <c r="AL52" s="802"/>
      <c r="AM52" s="802"/>
    </row>
    <row r="53" spans="1:39" ht="12.75">
      <c r="A53" s="132"/>
      <c r="B53" s="701"/>
      <c r="C53" s="143"/>
      <c r="D53" s="129"/>
      <c r="E53" s="129"/>
      <c r="F53" s="129"/>
      <c r="G53" s="129"/>
      <c r="H53" s="129"/>
      <c r="I53" s="802"/>
      <c r="J53" s="802"/>
      <c r="K53" s="802"/>
      <c r="L53" s="802"/>
      <c r="M53" s="802"/>
      <c r="N53" s="802"/>
      <c r="O53" s="802"/>
      <c r="P53" s="802"/>
      <c r="Q53" s="813"/>
      <c r="R53" s="802"/>
      <c r="S53" s="802"/>
      <c r="T53" s="802"/>
      <c r="U53" s="802"/>
      <c r="V53" s="802"/>
      <c r="W53" s="579"/>
      <c r="X53" s="580"/>
      <c r="Y53" s="563"/>
      <c r="Z53" s="918" t="s">
        <v>1518</v>
      </c>
      <c r="AA53" s="802"/>
      <c r="AB53" s="802">
        <v>29510956.31</v>
      </c>
      <c r="AC53" s="802"/>
      <c r="AD53" s="802"/>
      <c r="AE53" s="802"/>
      <c r="AF53" s="802"/>
      <c r="AG53" s="802">
        <v>0</v>
      </c>
      <c r="AH53" s="802">
        <f>+AG53</f>
        <v>0</v>
      </c>
      <c r="AI53" s="802"/>
      <c r="AJ53" s="802"/>
      <c r="AK53" s="802"/>
      <c r="AL53" s="802"/>
      <c r="AM53" s="802"/>
    </row>
    <row r="54" spans="1:39" ht="15">
      <c r="A54" s="115">
        <v>32</v>
      </c>
      <c r="B54" s="182" t="s">
        <v>108</v>
      </c>
      <c r="C54" s="175"/>
      <c r="D54" s="709">
        <f>+D51+D41</f>
        <v>698745854</v>
      </c>
      <c r="E54" s="709">
        <f>+E51+E41</f>
        <v>9608094</v>
      </c>
      <c r="F54" s="709">
        <f>+E54+D54</f>
        <v>708353948</v>
      </c>
      <c r="G54" s="709">
        <f>+G51+G41</f>
        <v>1849176.074703053</v>
      </c>
      <c r="H54" s="709">
        <f>+H51+H41</f>
        <v>700595030.0747031</v>
      </c>
      <c r="I54" s="710">
        <f>+I51+I41</f>
        <v>171381911.5242905</v>
      </c>
      <c r="J54" s="710">
        <f>+J51+J41</f>
        <v>0</v>
      </c>
      <c r="K54" s="710">
        <f>+J54+I54</f>
        <v>171381911.5242905</v>
      </c>
      <c r="L54" s="710">
        <f>+L51+L41</f>
        <v>-1655802.81888</v>
      </c>
      <c r="M54" s="710">
        <f>+M51+M41</f>
        <v>1438215.1838610466</v>
      </c>
      <c r="N54" s="710">
        <f>+N51+N41</f>
        <v>171164323.88927156</v>
      </c>
      <c r="O54" s="710">
        <f>+O51+O41</f>
        <v>69220640.78975001</v>
      </c>
      <c r="P54" s="710">
        <f>+P51+P41</f>
        <v>2036125.4265425631</v>
      </c>
      <c r="Q54" s="812"/>
      <c r="R54" s="710">
        <f>+R51+R41</f>
        <v>71256766.21629256</v>
      </c>
      <c r="S54" s="710">
        <f>+S51+S41</f>
        <v>248928413.42000002</v>
      </c>
      <c r="T54" s="710">
        <f>+T51+T41</f>
        <v>11501398.053082565</v>
      </c>
      <c r="U54" s="710"/>
      <c r="V54" s="710">
        <f>+V51+V41</f>
        <v>260429811.47308254</v>
      </c>
      <c r="W54" s="174" t="s">
        <v>40</v>
      </c>
      <c r="X54" s="582">
        <f>+'MPP-3 p5'!G55</f>
        <v>29510824.31</v>
      </c>
      <c r="Y54" s="563">
        <f>+'MPP-3 p5'!I55</f>
        <v>30875879.16</v>
      </c>
      <c r="Z54" s="710" t="s">
        <v>997</v>
      </c>
      <c r="AA54" s="710"/>
      <c r="AB54" s="710">
        <f>+AB49+AB51+AB52+AB53</f>
        <v>251728869.86999997</v>
      </c>
      <c r="AC54" s="710"/>
      <c r="AD54" s="710"/>
      <c r="AE54" s="710"/>
      <c r="AF54" s="710"/>
      <c r="AG54" s="710">
        <f>+AG49+AG51+AG52+AG53</f>
        <v>258686784.92999998</v>
      </c>
      <c r="AH54" s="710">
        <f>+AH49+AH51+AH52+AH53</f>
        <v>270188182.98308253</v>
      </c>
      <c r="AI54" s="710"/>
      <c r="AJ54" s="710"/>
      <c r="AK54" s="710"/>
      <c r="AL54" s="710"/>
      <c r="AM54" s="710"/>
    </row>
    <row r="55" spans="1:39" ht="12.75">
      <c r="A55" s="132"/>
      <c r="B55" s="146"/>
      <c r="C55" s="165"/>
      <c r="D55" s="129"/>
      <c r="E55" s="129"/>
      <c r="F55" s="129"/>
      <c r="G55" s="129"/>
      <c r="H55" s="129"/>
      <c r="I55" s="129"/>
      <c r="J55" s="129"/>
      <c r="K55" s="129"/>
      <c r="L55" s="129"/>
      <c r="M55" s="129"/>
      <c r="N55" s="129"/>
      <c r="O55" s="129"/>
      <c r="P55" s="129"/>
      <c r="Q55" s="133"/>
      <c r="R55" s="129"/>
      <c r="S55" s="129"/>
      <c r="T55" s="129"/>
      <c r="U55" s="129"/>
      <c r="V55" s="129"/>
      <c r="W55" s="174"/>
      <c r="X55" s="176">
        <f>+'MPP-3 p5'!G56</f>
        <v>0</v>
      </c>
      <c r="Y55" s="563">
        <f>+'MPP-3 p5'!I56</f>
        <v>0</v>
      </c>
      <c r="Z55" s="129"/>
      <c r="AA55" s="129"/>
      <c r="AB55" s="129">
        <v>251728870</v>
      </c>
      <c r="AC55" s="129"/>
      <c r="AD55" s="129"/>
      <c r="AE55" s="129"/>
      <c r="AF55" s="129"/>
      <c r="AG55" s="129"/>
      <c r="AH55" s="129"/>
      <c r="AI55" s="129"/>
      <c r="AJ55" s="129"/>
      <c r="AK55" s="129"/>
      <c r="AL55" s="129"/>
      <c r="AM55" s="129"/>
    </row>
    <row r="56" spans="1:39" ht="15">
      <c r="A56" s="132"/>
      <c r="B56" s="156" t="s">
        <v>123</v>
      </c>
      <c r="C56" s="166"/>
      <c r="D56" s="118"/>
      <c r="E56" s="118"/>
      <c r="F56" s="118"/>
      <c r="G56" s="118"/>
      <c r="H56" s="118"/>
      <c r="I56" s="118"/>
      <c r="J56" s="118"/>
      <c r="K56" s="118"/>
      <c r="L56" s="118"/>
      <c r="M56" s="118"/>
      <c r="N56" s="118"/>
      <c r="O56" s="196">
        <f>+'MPP-3 p5'!N62</f>
        <v>9760691.47</v>
      </c>
      <c r="P56" s="196">
        <v>0</v>
      </c>
      <c r="Q56" s="809"/>
      <c r="R56" s="196">
        <f>+P56+O56</f>
        <v>9760691.47</v>
      </c>
      <c r="S56" s="196">
        <f>+'MPP-3 p5'!T62</f>
        <v>9760691.47</v>
      </c>
      <c r="T56" s="196">
        <v>0</v>
      </c>
      <c r="U56" s="196"/>
      <c r="V56" s="196">
        <f>+T56+S56</f>
        <v>9760691.47</v>
      </c>
      <c r="W56" s="174" t="s">
        <v>108</v>
      </c>
      <c r="X56" s="173">
        <f>+'MPP-3 p5'!G57</f>
        <v>241970366.36</v>
      </c>
      <c r="Y56" s="563">
        <f>+'MPP-3 p5'!I57</f>
        <v>279804292.58000004</v>
      </c>
      <c r="Z56" s="196"/>
      <c r="AA56" s="196"/>
      <c r="AB56" s="196">
        <f>+AB54-AB55</f>
        <v>-0.1300000250339508</v>
      </c>
      <c r="AC56" s="196"/>
      <c r="AD56" s="196"/>
      <c r="AE56" s="196"/>
      <c r="AF56" s="196"/>
      <c r="AG56" s="196"/>
      <c r="AH56" s="196">
        <v>262439978.8588177</v>
      </c>
      <c r="AI56" s="196"/>
      <c r="AJ56" s="196"/>
      <c r="AK56" s="196"/>
      <c r="AL56" s="196"/>
      <c r="AM56" s="196"/>
    </row>
    <row r="57" spans="1:39" ht="12.75">
      <c r="A57" s="132"/>
      <c r="B57" s="146"/>
      <c r="C57" s="165"/>
      <c r="D57" s="132"/>
      <c r="E57" s="132"/>
      <c r="F57" s="132"/>
      <c r="G57" s="132"/>
      <c r="H57" s="132"/>
      <c r="I57" s="132"/>
      <c r="J57" s="132"/>
      <c r="K57" s="132"/>
      <c r="L57" s="132"/>
      <c r="M57" s="132"/>
      <c r="N57" s="132"/>
      <c r="O57" s="132"/>
      <c r="P57" s="132"/>
      <c r="Q57" s="134"/>
      <c r="R57" s="132"/>
      <c r="S57" s="132"/>
      <c r="T57" s="132"/>
      <c r="U57" s="132"/>
      <c r="V57" s="132"/>
      <c r="W57" s="174" t="s">
        <v>109</v>
      </c>
      <c r="X57" s="175">
        <f>+'MPP-3 p5'!G58</f>
        <v>0</v>
      </c>
      <c r="Y57" s="563">
        <f>+'MPP-3 p5'!I58</f>
        <v>0</v>
      </c>
      <c r="Z57" s="132"/>
      <c r="AA57" s="132"/>
      <c r="AB57" s="132"/>
      <c r="AC57" s="132"/>
      <c r="AD57" s="132"/>
      <c r="AE57" s="132"/>
      <c r="AF57" s="132"/>
      <c r="AG57" s="132"/>
      <c r="AH57" s="132"/>
      <c r="AI57" s="132"/>
      <c r="AJ57" s="132"/>
      <c r="AK57" s="132"/>
      <c r="AL57" s="132"/>
      <c r="AM57" s="132"/>
    </row>
    <row r="58" spans="1:39" ht="14.25">
      <c r="A58" s="118"/>
      <c r="B58" s="801" t="s">
        <v>209</v>
      </c>
      <c r="C58" s="166"/>
      <c r="D58" s="118"/>
      <c r="E58" s="118"/>
      <c r="F58" s="118"/>
      <c r="G58" s="118"/>
      <c r="H58" s="118"/>
      <c r="I58" s="118"/>
      <c r="J58" s="118"/>
      <c r="K58" s="118"/>
      <c r="L58" s="118"/>
      <c r="M58" s="118"/>
      <c r="N58" s="118"/>
      <c r="O58" s="803">
        <f>+O56+O54</f>
        <v>78981332.25975001</v>
      </c>
      <c r="P58" s="803">
        <f>+P56+P54</f>
        <v>2036125.4265425631</v>
      </c>
      <c r="Q58" s="814"/>
      <c r="R58" s="803">
        <f>+R56+R54</f>
        <v>81017457.68629256</v>
      </c>
      <c r="S58" s="803">
        <f>+S56+S54</f>
        <v>258689104.89000002</v>
      </c>
      <c r="T58" s="803">
        <f>+T56+T54</f>
        <v>11501398.053082565</v>
      </c>
      <c r="U58" s="803"/>
      <c r="V58" s="803">
        <f>+V56+V54</f>
        <v>270190502.9430826</v>
      </c>
      <c r="W58" s="146" t="s">
        <v>1351</v>
      </c>
      <c r="X58" s="563">
        <f>+'MPP-3 p5'!G59</f>
        <v>8938664</v>
      </c>
      <c r="Y58" s="563">
        <f>+'MPP-3 p5'!I59</f>
        <v>8938664</v>
      </c>
      <c r="Z58" s="803"/>
      <c r="AA58" s="803"/>
      <c r="AH58" s="120">
        <f>+AH54-AH56</f>
        <v>7748204.124264836</v>
      </c>
      <c r="AM58" s="803"/>
    </row>
    <row r="59" spans="14:25" ht="12.75">
      <c r="N59" s="794">
        <f>+'MPP-3 p1'!G17</f>
        <v>199649921.8142905</v>
      </c>
      <c r="W59" s="765" t="s">
        <v>41</v>
      </c>
      <c r="X59" s="615">
        <f>+'MPP-3 p5'!G60</f>
        <v>889298</v>
      </c>
      <c r="Y59" s="563">
        <f>+'MPP-3 p5'!I60</f>
        <v>891485.4</v>
      </c>
    </row>
    <row r="60" spans="1:34" ht="13.5" thickBot="1">
      <c r="A60" s="750"/>
      <c r="V60" s="109"/>
      <c r="W60" s="766" t="s">
        <v>42</v>
      </c>
      <c r="X60" s="615">
        <f>+'MPP-3 p5'!G61</f>
        <v>-69457.92999999993</v>
      </c>
      <c r="Y60" s="563">
        <f>+'MPP-3 p5'!I61</f>
        <v>-69457.92999999993</v>
      </c>
      <c r="Z60" s="881"/>
      <c r="AA60" s="881"/>
      <c r="AH60">
        <v>1</v>
      </c>
    </row>
    <row r="61" spans="1:34" ht="13.5" thickTop="1">
      <c r="A61" s="750"/>
      <c r="M61">
        <f>+E41*G12*M12</f>
        <v>32880.732750026575</v>
      </c>
      <c r="N61" s="364">
        <f>+N54-N59</f>
        <v>-28485597.925018936</v>
      </c>
      <c r="V61" s="220"/>
      <c r="W61" s="154" t="s">
        <v>43</v>
      </c>
      <c r="X61" s="167">
        <f>+'MPP-3 p5'!G62</f>
        <v>9758504.07</v>
      </c>
      <c r="Y61" s="563">
        <f>+'MPP-3 p5'!I62</f>
        <v>9760691.47</v>
      </c>
      <c r="Z61" s="220"/>
      <c r="AA61" s="220"/>
      <c r="AH61">
        <f>+AH60+1</f>
        <v>2</v>
      </c>
    </row>
    <row r="62" spans="1:34" ht="12.75">
      <c r="A62" s="750"/>
      <c r="W62" s="202" t="s">
        <v>1352</v>
      </c>
      <c r="X62" s="201">
        <f>+'MPP-3 p5'!G63</f>
        <v>251728870.43</v>
      </c>
      <c r="Y62" s="563">
        <f>+'MPP-3 p5'!I63</f>
        <v>289564984.0500001</v>
      </c>
      <c r="AH62">
        <f aca="true" t="shared" si="2" ref="AH62:AH70">+AH61+1</f>
        <v>3</v>
      </c>
    </row>
    <row r="63" spans="24:34" ht="11.25">
      <c r="X63" s="168">
        <f>+'MPP-3 p5'!G64</f>
        <v>0</v>
      </c>
      <c r="Y63" s="568"/>
      <c r="AH63">
        <f t="shared" si="2"/>
        <v>4</v>
      </c>
    </row>
    <row r="64" spans="24:34" ht="11.25">
      <c r="X64" s="168">
        <f>+'MPP-3 p5'!G65</f>
        <v>0</v>
      </c>
      <c r="Y64" s="568"/>
      <c r="AH64">
        <f t="shared" si="2"/>
        <v>5</v>
      </c>
    </row>
    <row r="65" spans="24:34" ht="11.25">
      <c r="X65" s="168">
        <f>+'MPP-3 p5'!G66</f>
        <v>0</v>
      </c>
      <c r="Y65" s="568"/>
      <c r="AH65">
        <f t="shared" si="2"/>
        <v>6</v>
      </c>
    </row>
    <row r="66" spans="24:34" ht="12.75">
      <c r="X66" s="584">
        <f>+'MPP-3 p5'!G67</f>
        <v>0</v>
      </c>
      <c r="Y66" s="586"/>
      <c r="AH66">
        <f t="shared" si="2"/>
        <v>7</v>
      </c>
    </row>
    <row r="67" spans="24:34" ht="11.25">
      <c r="X67" s="911">
        <f>+'MPP-3 p5'!G68</f>
        <v>0</v>
      </c>
      <c r="Y67" s="911"/>
      <c r="AH67">
        <f t="shared" si="2"/>
        <v>8</v>
      </c>
    </row>
    <row r="68" spans="24:34" ht="11.25">
      <c r="X68" s="911">
        <f>+'MPP-3 p5'!G69</f>
        <v>0</v>
      </c>
      <c r="Y68" s="911"/>
      <c r="AH68">
        <f t="shared" si="2"/>
        <v>9</v>
      </c>
    </row>
    <row r="69" spans="24:34" ht="11.25">
      <c r="X69" s="911">
        <f>+'MPP-3 p5'!G70</f>
        <v>0</v>
      </c>
      <c r="Y69" s="911"/>
      <c r="AH69">
        <f t="shared" si="2"/>
        <v>10</v>
      </c>
    </row>
    <row r="70" spans="24:34" ht="11.25">
      <c r="X70" s="911">
        <f>+'MPP-3 p5'!G71</f>
        <v>0</v>
      </c>
      <c r="Y70" s="911"/>
      <c r="AH70">
        <f t="shared" si="2"/>
        <v>11</v>
      </c>
    </row>
    <row r="71" spans="24:34" ht="11.25">
      <c r="X71" s="911">
        <f>+'MPP-3 p5'!G72</f>
        <v>0</v>
      </c>
      <c r="Y71" s="911"/>
      <c r="AH71">
        <f>+AH70+1</f>
        <v>12</v>
      </c>
    </row>
    <row r="72" spans="24:25" ht="11.25">
      <c r="X72" s="911">
        <f>+'MPP-3 p5'!G73</f>
        <v>0</v>
      </c>
      <c r="Y72" s="911"/>
    </row>
    <row r="73" spans="24:25" ht="11.25">
      <c r="X73" s="911">
        <f>+'MPP-3 p5'!G74</f>
        <v>0</v>
      </c>
      <c r="Y73" s="911"/>
    </row>
    <row r="74" spans="24:25" ht="11.25">
      <c r="X74" s="911">
        <f>+'MPP-3 p5'!G75</f>
        <v>441027345</v>
      </c>
      <c r="Y74" s="911"/>
    </row>
  </sheetData>
  <mergeCells count="5">
    <mergeCell ref="D10:H10"/>
    <mergeCell ref="I10:N10"/>
    <mergeCell ref="A7:R7"/>
    <mergeCell ref="A8:R8"/>
    <mergeCell ref="A9:R9"/>
  </mergeCells>
  <printOptions/>
  <pageMargins left="0.62" right="0.29" top="1" bottom="0.31" header="0.18" footer="0.18"/>
  <pageSetup fitToHeight="1" fitToWidth="1" horizontalDpi="600" verticalDpi="600" orientation="landscape" scale="83" r:id="rId2"/>
  <drawing r:id="rId1"/>
</worksheet>
</file>

<file path=xl/worksheets/sheet39.xml><?xml version="1.0" encoding="utf-8"?>
<worksheet xmlns="http://schemas.openxmlformats.org/spreadsheetml/2006/main" xmlns:r="http://schemas.openxmlformats.org/officeDocument/2006/relationships">
  <sheetPr>
    <pageSetUpPr fitToPage="1"/>
  </sheetPr>
  <dimension ref="A5:R61"/>
  <sheetViews>
    <sheetView workbookViewId="0" topLeftCell="A1">
      <pane xSplit="3" ySplit="11" topLeftCell="O12" activePane="bottomRight" state="frozen"/>
      <selection pane="topLeft" activeCell="G32" sqref="G32"/>
      <selection pane="topRight" activeCell="G32" sqref="G32"/>
      <selection pane="bottomLeft" activeCell="G32" sqref="G32"/>
      <selection pane="bottomRight" activeCell="G32" sqref="G32"/>
    </sheetView>
  </sheetViews>
  <sheetFormatPr defaultColWidth="9.33203125" defaultRowHeight="11.25"/>
  <cols>
    <col min="2" max="2" width="47" style="0" customWidth="1"/>
    <col min="3" max="3" width="17.33203125" style="0" customWidth="1"/>
    <col min="4" max="4" width="15.5" style="0" bestFit="1" customWidth="1"/>
    <col min="5" max="5" width="12.66015625" style="0" bestFit="1" customWidth="1"/>
    <col min="6" max="6" width="10.33203125" style="0" bestFit="1" customWidth="1"/>
    <col min="7" max="7" width="8.66015625" style="0" bestFit="1" customWidth="1"/>
    <col min="8" max="8" width="12.33203125" style="0" bestFit="1" customWidth="1"/>
    <col min="9" max="9" width="8.83203125" style="0" bestFit="1" customWidth="1"/>
    <col min="10" max="10" width="10.33203125" style="0" bestFit="1" customWidth="1"/>
    <col min="11" max="11" width="11.5" style="0" bestFit="1" customWidth="1"/>
    <col min="12" max="12" width="10.33203125" style="0" bestFit="1" customWidth="1"/>
    <col min="13" max="13" width="11.66015625" style="0" bestFit="1" customWidth="1"/>
    <col min="14" max="14" width="12.16015625" style="0" bestFit="1" customWidth="1"/>
    <col min="15" max="16" width="12.66015625" style="0" bestFit="1" customWidth="1"/>
    <col min="18" max="18" width="13" style="0" bestFit="1" customWidth="1"/>
  </cols>
  <sheetData>
    <row r="5" spans="1:17" ht="18.75">
      <c r="A5" s="851"/>
      <c r="B5" s="852"/>
      <c r="C5" s="852"/>
      <c r="D5" s="852"/>
      <c r="E5" s="852"/>
      <c r="F5" s="853"/>
      <c r="G5" s="853" t="s">
        <v>658</v>
      </c>
      <c r="H5" s="853"/>
      <c r="I5" s="853"/>
      <c r="J5" s="853"/>
      <c r="K5" s="852"/>
      <c r="L5" s="852"/>
      <c r="M5" s="852"/>
      <c r="N5" s="852"/>
      <c r="O5" s="852"/>
      <c r="P5" s="852"/>
      <c r="Q5" s="852"/>
    </row>
    <row r="6" spans="1:17" ht="18.75">
      <c r="A6" s="851"/>
      <c r="B6" s="854"/>
      <c r="C6" s="854"/>
      <c r="D6" s="852"/>
      <c r="E6" s="852"/>
      <c r="F6" s="853"/>
      <c r="G6" s="853" t="s">
        <v>210</v>
      </c>
      <c r="H6" s="853"/>
      <c r="I6" s="853"/>
      <c r="J6" s="853"/>
      <c r="K6" s="854"/>
      <c r="L6" s="854"/>
      <c r="M6" s="854"/>
      <c r="N6" s="854"/>
      <c r="O6" s="854"/>
      <c r="P6" s="854"/>
      <c r="Q6" s="854"/>
    </row>
    <row r="7" spans="1:17" ht="18.75">
      <c r="A7" s="851"/>
      <c r="B7" s="854"/>
      <c r="C7" s="854"/>
      <c r="D7" s="852"/>
      <c r="E7" s="852"/>
      <c r="F7" s="853"/>
      <c r="G7" s="853" t="s">
        <v>659</v>
      </c>
      <c r="H7" s="853"/>
      <c r="I7" s="853"/>
      <c r="J7" s="853"/>
      <c r="K7" s="854"/>
      <c r="L7" s="854"/>
      <c r="M7" s="854"/>
      <c r="N7" s="854"/>
      <c r="O7" s="854"/>
      <c r="P7" s="854"/>
      <c r="Q7" s="854"/>
    </row>
    <row r="8" spans="1:17" ht="18.75">
      <c r="A8" s="851"/>
      <c r="B8" s="854"/>
      <c r="C8" s="854"/>
      <c r="D8" s="852"/>
      <c r="E8" s="852"/>
      <c r="F8" s="853"/>
      <c r="G8" s="853" t="s">
        <v>211</v>
      </c>
      <c r="H8" s="853"/>
      <c r="I8" s="853"/>
      <c r="J8" s="853"/>
      <c r="K8" s="854"/>
      <c r="L8" s="854"/>
      <c r="M8" s="854"/>
      <c r="N8" s="854"/>
      <c r="O8" s="854"/>
      <c r="P8" s="854"/>
      <c r="Q8" s="854"/>
    </row>
    <row r="9" spans="1:17" ht="12.75">
      <c r="A9" s="855"/>
      <c r="B9" s="856"/>
      <c r="C9" s="856"/>
      <c r="D9" s="794"/>
      <c r="E9" s="857"/>
      <c r="F9" s="857"/>
      <c r="G9" s="857"/>
      <c r="H9" s="857"/>
      <c r="I9" s="857"/>
      <c r="J9" s="857"/>
      <c r="K9" s="856"/>
      <c r="L9" s="856"/>
      <c r="M9" s="856"/>
      <c r="N9" s="856"/>
      <c r="O9" s="856"/>
      <c r="P9" s="856"/>
      <c r="Q9" s="856"/>
    </row>
    <row r="10" spans="1:17" ht="12.75">
      <c r="A10" s="855" t="s">
        <v>1000</v>
      </c>
      <c r="B10" s="794"/>
      <c r="C10" s="794"/>
      <c r="D10" s="794"/>
      <c r="E10" s="794"/>
      <c r="F10" s="794"/>
      <c r="G10" s="794"/>
      <c r="H10" s="794"/>
      <c r="I10" s="794"/>
      <c r="J10" s="794"/>
      <c r="K10" s="794"/>
      <c r="L10" s="794"/>
      <c r="M10" s="794"/>
      <c r="N10" s="794"/>
      <c r="O10" s="794"/>
      <c r="P10" s="794"/>
      <c r="Q10" s="794"/>
    </row>
    <row r="11" spans="1:17" ht="12.75">
      <c r="A11" s="855" t="s">
        <v>1006</v>
      </c>
      <c r="B11" s="794" t="s">
        <v>1007</v>
      </c>
      <c r="C11" s="794" t="s">
        <v>212</v>
      </c>
      <c r="D11" s="794" t="s">
        <v>213</v>
      </c>
      <c r="E11" s="794" t="s">
        <v>676</v>
      </c>
      <c r="F11" s="794" t="s">
        <v>214</v>
      </c>
      <c r="G11" s="794" t="s">
        <v>215</v>
      </c>
      <c r="H11" s="794" t="s">
        <v>216</v>
      </c>
      <c r="I11" s="794" t="s">
        <v>217</v>
      </c>
      <c r="J11" s="794" t="s">
        <v>218</v>
      </c>
      <c r="K11" s="794" t="s">
        <v>219</v>
      </c>
      <c r="L11" s="794" t="s">
        <v>220</v>
      </c>
      <c r="M11" s="794" t="s">
        <v>221</v>
      </c>
      <c r="N11" s="794" t="s">
        <v>222</v>
      </c>
      <c r="O11" s="794" t="s">
        <v>223</v>
      </c>
      <c r="P11" s="794" t="s">
        <v>224</v>
      </c>
      <c r="Q11" s="794"/>
    </row>
    <row r="12" spans="1:17" ht="12.75">
      <c r="A12" s="855"/>
      <c r="B12" s="794"/>
      <c r="C12" s="794"/>
      <c r="D12" s="794"/>
      <c r="E12" s="794"/>
      <c r="F12" s="794"/>
      <c r="G12" s="794"/>
      <c r="H12" s="794"/>
      <c r="I12" s="794"/>
      <c r="J12" s="794"/>
      <c r="K12" s="794"/>
      <c r="L12" s="794"/>
      <c r="M12" s="794"/>
      <c r="N12" s="794"/>
      <c r="O12" s="794"/>
      <c r="P12" s="794"/>
      <c r="Q12" s="794"/>
    </row>
    <row r="13" spans="1:17" ht="12.75">
      <c r="A13" s="855"/>
      <c r="B13" s="858" t="s">
        <v>1020</v>
      </c>
      <c r="C13" s="794"/>
      <c r="D13" s="794"/>
      <c r="E13" s="794"/>
      <c r="F13" s="794"/>
      <c r="G13" s="794"/>
      <c r="H13" s="794"/>
      <c r="I13" s="794"/>
      <c r="J13" s="794"/>
      <c r="K13" s="794"/>
      <c r="L13" s="794"/>
      <c r="M13" s="794"/>
      <c r="N13" s="794"/>
      <c r="O13" s="794"/>
      <c r="P13" s="794"/>
      <c r="Q13" s="794"/>
    </row>
    <row r="14" spans="1:17" ht="12.75">
      <c r="A14" s="855">
        <v>1</v>
      </c>
      <c r="B14" s="794" t="s">
        <v>225</v>
      </c>
      <c r="C14" s="794" t="s">
        <v>226</v>
      </c>
      <c r="D14" s="794">
        <v>258373953.80999997</v>
      </c>
      <c r="E14" s="794">
        <v>125257242.72740754</v>
      </c>
      <c r="F14" s="794">
        <v>1720995.6139749999</v>
      </c>
      <c r="G14" s="794">
        <v>190676.44916745747</v>
      </c>
      <c r="H14" s="794">
        <v>87202523.46508901</v>
      </c>
      <c r="I14" s="794">
        <v>70785.63415325253</v>
      </c>
      <c r="J14" s="794">
        <v>8288333.699015172</v>
      </c>
      <c r="K14" s="794">
        <v>10956333.076993717</v>
      </c>
      <c r="L14" s="794">
        <v>3148788.4969692016</v>
      </c>
      <c r="M14" s="794">
        <v>412448.2273043912</v>
      </c>
      <c r="N14" s="794">
        <v>8907753.133491788</v>
      </c>
      <c r="O14" s="794">
        <v>6351718.4524967875</v>
      </c>
      <c r="P14" s="794">
        <v>5866354.83393666</v>
      </c>
      <c r="Q14" s="794"/>
    </row>
    <row r="15" spans="1:17" ht="12.75">
      <c r="A15" s="855">
        <v>2</v>
      </c>
      <c r="B15" s="794" t="s">
        <v>227</v>
      </c>
      <c r="C15" s="794" t="s">
        <v>228</v>
      </c>
      <c r="D15" s="794">
        <v>0</v>
      </c>
      <c r="E15" s="794">
        <v>0</v>
      </c>
      <c r="F15" s="794">
        <v>0</v>
      </c>
      <c r="G15" s="794">
        <v>0</v>
      </c>
      <c r="H15" s="794">
        <v>0</v>
      </c>
      <c r="I15" s="794">
        <v>0</v>
      </c>
      <c r="J15" s="794">
        <v>0</v>
      </c>
      <c r="K15" s="794">
        <v>0</v>
      </c>
      <c r="L15" s="794">
        <v>0</v>
      </c>
      <c r="M15" s="794">
        <v>0</v>
      </c>
      <c r="N15" s="794">
        <v>0</v>
      </c>
      <c r="O15" s="794">
        <v>0</v>
      </c>
      <c r="P15" s="794">
        <v>0</v>
      </c>
      <c r="Q15" s="794"/>
    </row>
    <row r="16" spans="1:17" ht="12.75">
      <c r="A16" s="855">
        <v>3</v>
      </c>
      <c r="B16" s="794" t="s">
        <v>229</v>
      </c>
      <c r="C16" s="794" t="s">
        <v>230</v>
      </c>
      <c r="D16" s="794">
        <v>889298.27</v>
      </c>
      <c r="E16" s="794">
        <v>473173.08407129336</v>
      </c>
      <c r="F16" s="794">
        <v>5942.55983109688</v>
      </c>
      <c r="G16" s="794">
        <v>437.1749437400151</v>
      </c>
      <c r="H16" s="794">
        <v>171510.6827087538</v>
      </c>
      <c r="I16" s="794">
        <v>52.74194776980784</v>
      </c>
      <c r="J16" s="794">
        <v>9060.658535089658</v>
      </c>
      <c r="K16" s="794">
        <v>18093.701122845607</v>
      </c>
      <c r="L16" s="794">
        <v>2546.0370686030083</v>
      </c>
      <c r="M16" s="794">
        <v>388.0217896540752</v>
      </c>
      <c r="N16" s="794">
        <v>70052.3234873546</v>
      </c>
      <c r="O16" s="794">
        <v>84161.02612901814</v>
      </c>
      <c r="P16" s="794">
        <v>53880.25836478095</v>
      </c>
      <c r="Q16" s="794"/>
    </row>
    <row r="17" spans="1:17" ht="12.75">
      <c r="A17" s="855">
        <v>4</v>
      </c>
      <c r="B17" s="794" t="s">
        <v>231</v>
      </c>
      <c r="C17" s="794" t="s">
        <v>232</v>
      </c>
      <c r="D17" s="794">
        <v>259263252.07999992</v>
      </c>
      <c r="E17" s="794">
        <v>125730415.81147882</v>
      </c>
      <c r="F17" s="794">
        <v>1726938.173806097</v>
      </c>
      <c r="G17" s="794">
        <v>191113.62411119748</v>
      </c>
      <c r="H17" s="794">
        <v>87374034.14779776</v>
      </c>
      <c r="I17" s="794">
        <v>70838.37610102232</v>
      </c>
      <c r="J17" s="794">
        <v>8297394.357550261</v>
      </c>
      <c r="K17" s="794">
        <v>10974426.778116561</v>
      </c>
      <c r="L17" s="794">
        <v>3151334.5340378047</v>
      </c>
      <c r="M17" s="794">
        <v>412836.2490940453</v>
      </c>
      <c r="N17" s="794">
        <v>8977805.456979144</v>
      </c>
      <c r="O17" s="794">
        <v>6435879.478625806</v>
      </c>
      <c r="P17" s="794">
        <v>5920235.09230144</v>
      </c>
      <c r="Q17" s="794"/>
    </row>
    <row r="18" spans="1:17" ht="12.75">
      <c r="A18" s="855">
        <v>5</v>
      </c>
      <c r="B18" s="794"/>
      <c r="C18" s="794"/>
      <c r="D18" s="794"/>
      <c r="E18" s="794"/>
      <c r="F18" s="794"/>
      <c r="G18" s="794"/>
      <c r="H18" s="794"/>
      <c r="I18" s="794"/>
      <c r="J18" s="794"/>
      <c r="K18" s="794"/>
      <c r="L18" s="794"/>
      <c r="M18" s="794"/>
      <c r="N18" s="794"/>
      <c r="O18" s="794"/>
      <c r="P18" s="794"/>
      <c r="Q18" s="794"/>
    </row>
    <row r="19" spans="1:17" ht="12.75">
      <c r="A19" s="855">
        <v>6</v>
      </c>
      <c r="B19" s="858" t="s">
        <v>1029</v>
      </c>
      <c r="C19" s="794"/>
      <c r="D19" s="794"/>
      <c r="E19" s="794"/>
      <c r="F19" s="794"/>
      <c r="G19" s="794"/>
      <c r="H19" s="794"/>
      <c r="I19" s="794"/>
      <c r="J19" s="794"/>
      <c r="K19" s="794"/>
      <c r="L19" s="794"/>
      <c r="M19" s="794"/>
      <c r="N19" s="794"/>
      <c r="O19" s="794"/>
      <c r="P19" s="794"/>
      <c r="Q19" s="859"/>
    </row>
    <row r="20" spans="1:17" ht="12.75">
      <c r="A20" s="855">
        <v>7</v>
      </c>
      <c r="B20" s="794" t="s">
        <v>233</v>
      </c>
      <c r="C20" s="794" t="s">
        <v>234</v>
      </c>
      <c r="D20" s="794">
        <v>171142478.99999997</v>
      </c>
      <c r="E20" s="794">
        <v>87180423.97452986</v>
      </c>
      <c r="F20" s="794">
        <v>1156037.4896622584</v>
      </c>
      <c r="G20" s="794">
        <v>134604.7599606746</v>
      </c>
      <c r="H20" s="794">
        <v>64183040.98124863</v>
      </c>
      <c r="I20" s="794">
        <v>50072.51998537109</v>
      </c>
      <c r="J20" s="794">
        <v>6340265.378147664</v>
      </c>
      <c r="K20" s="794">
        <v>8373304.277553702</v>
      </c>
      <c r="L20" s="794">
        <v>2616931.8592354516</v>
      </c>
      <c r="M20" s="794">
        <v>326909.5799044919</v>
      </c>
      <c r="N20" s="794">
        <v>285170.14991668635</v>
      </c>
      <c r="O20" s="794">
        <v>495718.02985517384</v>
      </c>
      <c r="P20" s="794">
        <v>0</v>
      </c>
      <c r="Q20" s="859"/>
    </row>
    <row r="21" spans="1:17" ht="12.75">
      <c r="A21" s="855">
        <v>8</v>
      </c>
      <c r="B21" s="794" t="s">
        <v>235</v>
      </c>
      <c r="C21" s="794" t="s">
        <v>236</v>
      </c>
      <c r="D21" s="794">
        <v>0</v>
      </c>
      <c r="E21" s="794">
        <v>0</v>
      </c>
      <c r="F21" s="794">
        <v>0</v>
      </c>
      <c r="G21" s="794">
        <v>0</v>
      </c>
      <c r="H21" s="794">
        <v>0</v>
      </c>
      <c r="I21" s="794">
        <v>0</v>
      </c>
      <c r="J21" s="794">
        <v>0</v>
      </c>
      <c r="K21" s="794">
        <v>0</v>
      </c>
      <c r="L21" s="794">
        <v>0</v>
      </c>
      <c r="M21" s="794">
        <v>0</v>
      </c>
      <c r="N21" s="794">
        <v>0</v>
      </c>
      <c r="O21" s="794">
        <v>0</v>
      </c>
      <c r="P21" s="794">
        <v>0</v>
      </c>
      <c r="Q21" s="859"/>
    </row>
    <row r="22" spans="1:17" ht="12.75">
      <c r="A22" s="855">
        <v>9</v>
      </c>
      <c r="B22" s="794" t="s">
        <v>237</v>
      </c>
      <c r="C22" s="794" t="s">
        <v>238</v>
      </c>
      <c r="D22" s="794">
        <v>7682851.790000002</v>
      </c>
      <c r="E22" s="794">
        <v>3271525.720380055</v>
      </c>
      <c r="F22" s="794">
        <v>35866.66525242017</v>
      </c>
      <c r="G22" s="794">
        <v>5711.128765848083</v>
      </c>
      <c r="H22" s="794">
        <v>1931727.9486089838</v>
      </c>
      <c r="I22" s="794">
        <v>449.26931622595123</v>
      </c>
      <c r="J22" s="794">
        <v>80745.36724838897</v>
      </c>
      <c r="K22" s="794">
        <v>220922.33041140297</v>
      </c>
      <c r="L22" s="794">
        <v>28686.507714962478</v>
      </c>
      <c r="M22" s="794">
        <v>5883.2026028985165</v>
      </c>
      <c r="N22" s="794">
        <v>666965.2881437482</v>
      </c>
      <c r="O22" s="794">
        <v>663498.683655108</v>
      </c>
      <c r="P22" s="794">
        <v>770869.6778999586</v>
      </c>
      <c r="Q22" s="859"/>
    </row>
    <row r="23" spans="1:17" ht="12.75">
      <c r="A23" s="855">
        <v>10</v>
      </c>
      <c r="B23" s="794" t="s">
        <v>354</v>
      </c>
      <c r="C23" s="794" t="s">
        <v>239</v>
      </c>
      <c r="D23" s="794">
        <v>4181215.18</v>
      </c>
      <c r="E23" s="794">
        <v>3254547.329749807</v>
      </c>
      <c r="F23" s="794">
        <v>35029.47112901484</v>
      </c>
      <c r="G23" s="794">
        <v>2114.310896190326</v>
      </c>
      <c r="H23" s="794">
        <v>772546.2095897797</v>
      </c>
      <c r="I23" s="794">
        <v>331.1531445711612</v>
      </c>
      <c r="J23" s="794">
        <v>36187.799254292964</v>
      </c>
      <c r="K23" s="794">
        <v>53783.636071896515</v>
      </c>
      <c r="L23" s="794">
        <v>13633.906712202606</v>
      </c>
      <c r="M23" s="794">
        <v>1788.0839486439909</v>
      </c>
      <c r="N23" s="794">
        <v>7765.584749063108</v>
      </c>
      <c r="O23" s="794">
        <v>2160.242989438196</v>
      </c>
      <c r="P23" s="794">
        <v>1327.451765099748</v>
      </c>
      <c r="Q23" s="859"/>
    </row>
    <row r="24" spans="1:17" ht="12.75">
      <c r="A24" s="855">
        <v>11</v>
      </c>
      <c r="B24" s="794" t="s">
        <v>240</v>
      </c>
      <c r="C24" s="794" t="s">
        <v>241</v>
      </c>
      <c r="D24" s="794">
        <v>1339335.62</v>
      </c>
      <c r="E24" s="794">
        <v>1149915.8650866593</v>
      </c>
      <c r="F24" s="794">
        <v>11743.15089572325</v>
      </c>
      <c r="G24" s="794">
        <v>553.9958229876084</v>
      </c>
      <c r="H24" s="794">
        <v>172066.42096510902</v>
      </c>
      <c r="I24" s="794">
        <v>15.605516140496013</v>
      </c>
      <c r="J24" s="794">
        <v>561.7985810578564</v>
      </c>
      <c r="K24" s="794">
        <v>3160.117018450442</v>
      </c>
      <c r="L24" s="794">
        <v>93.63309684297606</v>
      </c>
      <c r="M24" s="794">
        <v>23.408274210744015</v>
      </c>
      <c r="N24" s="794">
        <v>1029.964065272737</v>
      </c>
      <c r="O24" s="794">
        <v>78.02758070248007</v>
      </c>
      <c r="P24" s="794">
        <v>93.63309684297606</v>
      </c>
      <c r="Q24" s="859"/>
    </row>
    <row r="25" spans="1:17" ht="12.75">
      <c r="A25" s="855">
        <v>12</v>
      </c>
      <c r="B25" s="794" t="s">
        <v>242</v>
      </c>
      <c r="C25" s="794" t="s">
        <v>243</v>
      </c>
      <c r="D25" s="794">
        <v>441710.4</v>
      </c>
      <c r="E25" s="794">
        <v>200971.65236436646</v>
      </c>
      <c r="F25" s="794">
        <v>2332.590901732883</v>
      </c>
      <c r="G25" s="794">
        <v>181.78984281244556</v>
      </c>
      <c r="H25" s="794">
        <v>73153.34017316918</v>
      </c>
      <c r="I25" s="794">
        <v>40.509102490872195</v>
      </c>
      <c r="J25" s="794">
        <v>5674.573243634263</v>
      </c>
      <c r="K25" s="794">
        <v>7285.548879858233</v>
      </c>
      <c r="L25" s="794">
        <v>1886.7635810341417</v>
      </c>
      <c r="M25" s="794">
        <v>259.97398014330446</v>
      </c>
      <c r="N25" s="794">
        <v>55885.60092164356</v>
      </c>
      <c r="O25" s="794">
        <v>94038.05700911475</v>
      </c>
      <c r="P25" s="794">
        <v>0</v>
      </c>
      <c r="Q25" s="859"/>
    </row>
    <row r="26" spans="1:17" ht="12.75">
      <c r="A26" s="855">
        <v>13</v>
      </c>
      <c r="B26" s="794" t="s">
        <v>244</v>
      </c>
      <c r="C26" s="794" t="s">
        <v>245</v>
      </c>
      <c r="D26" s="794">
        <v>16915982.409999996</v>
      </c>
      <c r="E26" s="794">
        <v>9015693.308139373</v>
      </c>
      <c r="F26" s="794">
        <v>98221.55177529757</v>
      </c>
      <c r="G26" s="794">
        <v>11681.125692428386</v>
      </c>
      <c r="H26" s="794">
        <v>4023290.1806039913</v>
      </c>
      <c r="I26" s="794">
        <v>1111.6766390584153</v>
      </c>
      <c r="J26" s="794">
        <v>174888.30720091565</v>
      </c>
      <c r="K26" s="794">
        <v>420658.2662729836</v>
      </c>
      <c r="L26" s="794">
        <v>51454.32617777382</v>
      </c>
      <c r="M26" s="794">
        <v>9100.759825863484</v>
      </c>
      <c r="N26" s="794">
        <v>1015563.4379288635</v>
      </c>
      <c r="O26" s="794">
        <v>1116639.6779098082</v>
      </c>
      <c r="P26" s="794">
        <v>977679.7918336408</v>
      </c>
      <c r="Q26" s="859"/>
    </row>
    <row r="27" spans="1:17" ht="12.75">
      <c r="A27" s="855">
        <v>14</v>
      </c>
      <c r="B27" s="794" t="s">
        <v>246</v>
      </c>
      <c r="C27" s="794" t="s">
        <v>247</v>
      </c>
      <c r="D27" s="794">
        <v>1369561</v>
      </c>
      <c r="E27" s="794">
        <v>686565.1097781976</v>
      </c>
      <c r="F27" s="794">
        <v>7543.745874077718</v>
      </c>
      <c r="G27" s="794">
        <v>961.5215088094742</v>
      </c>
      <c r="H27" s="794">
        <v>332817.75873774267</v>
      </c>
      <c r="I27" s="794">
        <v>92.76227909274317</v>
      </c>
      <c r="J27" s="794">
        <v>15155.724566237106</v>
      </c>
      <c r="K27" s="794">
        <v>35833.76039525008</v>
      </c>
      <c r="L27" s="794">
        <v>4001.105165641932</v>
      </c>
      <c r="M27" s="794">
        <v>703.521154757912</v>
      </c>
      <c r="N27" s="794">
        <v>94385.17532773186</v>
      </c>
      <c r="O27" s="794">
        <v>109047.13548651326</v>
      </c>
      <c r="P27" s="794">
        <v>82453.67972594756</v>
      </c>
      <c r="Q27" s="859"/>
    </row>
    <row r="28" spans="1:17" ht="12.75">
      <c r="A28" s="855">
        <v>15</v>
      </c>
      <c r="B28" s="794" t="s">
        <v>248</v>
      </c>
      <c r="C28" s="794" t="s">
        <v>249</v>
      </c>
      <c r="D28" s="794">
        <v>13659910.050000003</v>
      </c>
      <c r="E28" s="794">
        <v>5811130.828825565</v>
      </c>
      <c r="F28" s="794">
        <v>65428.2536148713</v>
      </c>
      <c r="G28" s="794">
        <v>10608.688937753397</v>
      </c>
      <c r="H28" s="794">
        <v>3685914.485586306</v>
      </c>
      <c r="I28" s="794">
        <v>1012.8702619533657</v>
      </c>
      <c r="J28" s="794">
        <v>178991.08720810656</v>
      </c>
      <c r="K28" s="794">
        <v>429268.2826146155</v>
      </c>
      <c r="L28" s="794">
        <v>35469.47202460005</v>
      </c>
      <c r="M28" s="794">
        <v>6071.476316366849</v>
      </c>
      <c r="N28" s="794">
        <v>1150116.6869158517</v>
      </c>
      <c r="O28" s="794">
        <v>1414304.5273223328</v>
      </c>
      <c r="P28" s="794">
        <v>871593.3903716785</v>
      </c>
      <c r="Q28" s="859"/>
    </row>
    <row r="29" spans="1:17" ht="12.75">
      <c r="A29" s="855">
        <v>16</v>
      </c>
      <c r="B29" s="794" t="s">
        <v>250</v>
      </c>
      <c r="C29" s="794" t="s">
        <v>251</v>
      </c>
      <c r="D29" s="794">
        <v>216733045.44999996</v>
      </c>
      <c r="E29" s="794">
        <v>110570773.78885388</v>
      </c>
      <c r="F29" s="794">
        <v>1412202.9191053966</v>
      </c>
      <c r="G29" s="794">
        <v>166417.32142750427</v>
      </c>
      <c r="H29" s="794">
        <v>75174557.3255137</v>
      </c>
      <c r="I29" s="794">
        <v>53126.36624490409</v>
      </c>
      <c r="J29" s="794">
        <v>6832470.035450297</v>
      </c>
      <c r="K29" s="794">
        <v>9544216.21921816</v>
      </c>
      <c r="L29" s="794">
        <v>2752157.5737085096</v>
      </c>
      <c r="M29" s="794">
        <v>350740.0060073767</v>
      </c>
      <c r="N29" s="794">
        <v>3276881.8879688615</v>
      </c>
      <c r="O29" s="794">
        <v>3895484.3818081906</v>
      </c>
      <c r="P29" s="794">
        <v>2704017.6246931693</v>
      </c>
      <c r="Q29" s="859"/>
    </row>
    <row r="30" spans="1:17" ht="12.75">
      <c r="A30" s="855">
        <v>17</v>
      </c>
      <c r="B30" s="794"/>
      <c r="C30" s="794"/>
      <c r="D30" s="794"/>
      <c r="E30" s="794"/>
      <c r="F30" s="794"/>
      <c r="G30" s="794"/>
      <c r="H30" s="794"/>
      <c r="I30" s="794"/>
      <c r="J30" s="794"/>
      <c r="K30" s="794"/>
      <c r="L30" s="794"/>
      <c r="M30" s="794"/>
      <c r="N30" s="794"/>
      <c r="O30" s="794"/>
      <c r="P30" s="794"/>
      <c r="Q30" s="859"/>
    </row>
    <row r="31" spans="1:17" ht="12.75">
      <c r="A31" s="855">
        <v>18</v>
      </c>
      <c r="B31" s="858" t="s">
        <v>1050</v>
      </c>
      <c r="C31" s="794"/>
      <c r="D31" s="794"/>
      <c r="E31" s="794"/>
      <c r="F31" s="794"/>
      <c r="G31" s="794"/>
      <c r="H31" s="794"/>
      <c r="I31" s="794"/>
      <c r="J31" s="794"/>
      <c r="K31" s="794"/>
      <c r="L31" s="794"/>
      <c r="M31" s="794"/>
      <c r="N31" s="794"/>
      <c r="O31" s="794"/>
      <c r="P31" s="794"/>
      <c r="Q31" s="859"/>
    </row>
    <row r="32" spans="1:17" ht="12.75">
      <c r="A32" s="855">
        <v>19</v>
      </c>
      <c r="B32" s="794" t="s">
        <v>252</v>
      </c>
      <c r="C32" s="794" t="s">
        <v>253</v>
      </c>
      <c r="D32" s="794">
        <v>23727649.919999998</v>
      </c>
      <c r="E32" s="794">
        <v>11846914.66245653</v>
      </c>
      <c r="F32" s="794">
        <v>157700.97348189887</v>
      </c>
      <c r="G32" s="794">
        <v>18476.31203239405</v>
      </c>
      <c r="H32" s="794">
        <v>8109847.0786726335</v>
      </c>
      <c r="I32" s="794">
        <v>6002.495971302517</v>
      </c>
      <c r="J32" s="794">
        <v>730903.2710735409</v>
      </c>
      <c r="K32" s="794">
        <v>1018641.9660711761</v>
      </c>
      <c r="L32" s="794">
        <v>271209.4883806468</v>
      </c>
      <c r="M32" s="794">
        <v>35633.70287332857</v>
      </c>
      <c r="N32" s="794">
        <v>542490.1424893939</v>
      </c>
      <c r="O32" s="794">
        <v>576750.7936478105</v>
      </c>
      <c r="P32" s="794">
        <v>413079.0328493418</v>
      </c>
      <c r="Q32" s="859"/>
    </row>
    <row r="33" spans="1:17" ht="12.75">
      <c r="A33" s="855">
        <v>20</v>
      </c>
      <c r="B33" s="794" t="s">
        <v>254</v>
      </c>
      <c r="C33" s="794" t="s">
        <v>255</v>
      </c>
      <c r="D33" s="794">
        <v>0</v>
      </c>
      <c r="E33" s="794">
        <v>0</v>
      </c>
      <c r="F33" s="794">
        <v>0</v>
      </c>
      <c r="G33" s="794">
        <v>0</v>
      </c>
      <c r="H33" s="794">
        <v>0</v>
      </c>
      <c r="I33" s="794">
        <v>0</v>
      </c>
      <c r="J33" s="794">
        <v>0</v>
      </c>
      <c r="K33" s="794">
        <v>0</v>
      </c>
      <c r="L33" s="794">
        <v>0</v>
      </c>
      <c r="M33" s="794">
        <v>0</v>
      </c>
      <c r="N33" s="794">
        <v>0</v>
      </c>
      <c r="O33" s="794">
        <v>0</v>
      </c>
      <c r="P33" s="794">
        <v>0</v>
      </c>
      <c r="Q33" s="859"/>
    </row>
    <row r="34" spans="1:17" ht="12.75">
      <c r="A34" s="855">
        <v>21</v>
      </c>
      <c r="B34" s="794" t="s">
        <v>256</v>
      </c>
      <c r="C34" s="794" t="s">
        <v>257</v>
      </c>
      <c r="D34" s="794">
        <v>3681260</v>
      </c>
      <c r="E34" s="794">
        <v>1312163.4766016733</v>
      </c>
      <c r="F34" s="794">
        <v>27242.33892863873</v>
      </c>
      <c r="G34" s="794">
        <v>2137.622137797088</v>
      </c>
      <c r="H34" s="794">
        <v>1055942.3432267818</v>
      </c>
      <c r="I34" s="794">
        <v>1533.087153095117</v>
      </c>
      <c r="J34" s="794">
        <v>126798.5212695805</v>
      </c>
      <c r="K34" s="794">
        <v>123793.82418369252</v>
      </c>
      <c r="L34" s="794">
        <v>34551.305846355295</v>
      </c>
      <c r="M34" s="794">
        <v>5374.824952390066</v>
      </c>
      <c r="N34" s="794">
        <v>493451.20940116077</v>
      </c>
      <c r="O34" s="794">
        <v>219887.35995263618</v>
      </c>
      <c r="P34" s="794">
        <v>278384.0863461992</v>
      </c>
      <c r="Q34" s="859"/>
    </row>
    <row r="35" spans="1:17" ht="12.75">
      <c r="A35" s="855">
        <v>22</v>
      </c>
      <c r="B35" s="794" t="s">
        <v>258</v>
      </c>
      <c r="C35" s="794" t="s">
        <v>259</v>
      </c>
      <c r="D35" s="794">
        <v>27408909.91999999</v>
      </c>
      <c r="E35" s="794">
        <v>13159078.139058203</v>
      </c>
      <c r="F35" s="794">
        <v>184943.31241053765</v>
      </c>
      <c r="G35" s="794">
        <v>20613.934170191136</v>
      </c>
      <c r="H35" s="794">
        <v>9165789.421899416</v>
      </c>
      <c r="I35" s="794">
        <v>7535.5831243976345</v>
      </c>
      <c r="J35" s="794">
        <v>857701.7923431217</v>
      </c>
      <c r="K35" s="794">
        <v>1142435.7902548683</v>
      </c>
      <c r="L35" s="794">
        <v>305760.79422700213</v>
      </c>
      <c r="M35" s="794">
        <v>41008.52782571864</v>
      </c>
      <c r="N35" s="794">
        <v>1035941.3518905545</v>
      </c>
      <c r="O35" s="794">
        <v>796638.1536004466</v>
      </c>
      <c r="P35" s="794">
        <v>691463.1191955409</v>
      </c>
      <c r="Q35" s="859"/>
    </row>
    <row r="36" spans="1:17" ht="12.75">
      <c r="A36" s="855">
        <v>23</v>
      </c>
      <c r="B36" s="794"/>
      <c r="C36" s="794"/>
      <c r="D36" s="794"/>
      <c r="E36" s="794"/>
      <c r="F36" s="794"/>
      <c r="G36" s="794"/>
      <c r="H36" s="794"/>
      <c r="I36" s="794"/>
      <c r="J36" s="794"/>
      <c r="K36" s="794"/>
      <c r="L36" s="794"/>
      <c r="M36" s="794"/>
      <c r="N36" s="794"/>
      <c r="O36" s="794"/>
      <c r="P36" s="794"/>
      <c r="Q36" s="859"/>
    </row>
    <row r="37" spans="1:17" ht="12.75">
      <c r="A37" s="855">
        <v>24</v>
      </c>
      <c r="B37" s="794" t="s">
        <v>260</v>
      </c>
      <c r="C37" s="794" t="s">
        <v>261</v>
      </c>
      <c r="D37" s="794">
        <v>244141955.36999992</v>
      </c>
      <c r="E37" s="794">
        <v>123729851.92791209</v>
      </c>
      <c r="F37" s="794">
        <v>1597146.2315159347</v>
      </c>
      <c r="G37" s="794">
        <v>187031.25559769536</v>
      </c>
      <c r="H37" s="794">
        <v>84340346.74741311</v>
      </c>
      <c r="I37" s="794">
        <v>60661.94936930173</v>
      </c>
      <c r="J37" s="794">
        <v>7690171.827793419</v>
      </c>
      <c r="K37" s="794">
        <v>10686652.009473026</v>
      </c>
      <c r="L37" s="794">
        <v>3057918.3679355117</v>
      </c>
      <c r="M37" s="794">
        <v>391748.53383309534</v>
      </c>
      <c r="N37" s="794">
        <v>4312823.239859416</v>
      </c>
      <c r="O37" s="794">
        <v>4692122.5354086375</v>
      </c>
      <c r="P37" s="794">
        <v>3395480.74388871</v>
      </c>
      <c r="Q37" s="859"/>
    </row>
    <row r="38" spans="1:17" ht="12.75">
      <c r="A38" s="855">
        <v>25</v>
      </c>
      <c r="B38" s="794"/>
      <c r="C38" s="794"/>
      <c r="D38" s="794"/>
      <c r="E38" s="794"/>
      <c r="F38" s="794"/>
      <c r="G38" s="794"/>
      <c r="H38" s="794"/>
      <c r="I38" s="794"/>
      <c r="J38" s="794"/>
      <c r="K38" s="794"/>
      <c r="L38" s="794"/>
      <c r="M38" s="794"/>
      <c r="N38" s="794"/>
      <c r="O38" s="794"/>
      <c r="P38" s="794"/>
      <c r="Q38" s="859"/>
    </row>
    <row r="39" spans="1:17" ht="12.75">
      <c r="A39" s="855">
        <v>26</v>
      </c>
      <c r="B39" s="794" t="s">
        <v>1062</v>
      </c>
      <c r="C39" s="794" t="s">
        <v>552</v>
      </c>
      <c r="D39" s="794">
        <v>15121296.710000046</v>
      </c>
      <c r="E39" s="794">
        <v>2000563.8835667556</v>
      </c>
      <c r="F39" s="794">
        <v>129791.94229016229</v>
      </c>
      <c r="G39" s="794">
        <v>4082.368513502122</v>
      </c>
      <c r="H39" s="794">
        <v>3033687.400384658</v>
      </c>
      <c r="I39" s="794">
        <v>10176.42673172061</v>
      </c>
      <c r="J39" s="794">
        <v>607222.529756842</v>
      </c>
      <c r="K39" s="794">
        <v>287774.7686435358</v>
      </c>
      <c r="L39" s="794">
        <v>93416.16610229292</v>
      </c>
      <c r="M39" s="794">
        <v>21087.715260949964</v>
      </c>
      <c r="N39" s="794">
        <v>4664982.217119727</v>
      </c>
      <c r="O39" s="794">
        <v>1743756.943217168</v>
      </c>
      <c r="P39" s="794">
        <v>2524754.3484127307</v>
      </c>
      <c r="Q39" s="859"/>
    </row>
    <row r="40" spans="1:17" ht="12.75">
      <c r="A40" s="855">
        <v>27</v>
      </c>
      <c r="B40" s="794"/>
      <c r="C40" s="794"/>
      <c r="D40" s="794"/>
      <c r="E40" s="794"/>
      <c r="F40" s="794"/>
      <c r="G40" s="794"/>
      <c r="H40" s="794"/>
      <c r="I40" s="794"/>
      <c r="J40" s="794"/>
      <c r="K40" s="794"/>
      <c r="L40" s="794"/>
      <c r="M40" s="794"/>
      <c r="N40" s="794"/>
      <c r="O40" s="794"/>
      <c r="P40" s="794"/>
      <c r="Q40" s="859"/>
    </row>
    <row r="41" spans="1:17" ht="12.75">
      <c r="A41" s="855">
        <v>28</v>
      </c>
      <c r="B41" s="794" t="s">
        <v>1064</v>
      </c>
      <c r="C41" s="794" t="s">
        <v>262</v>
      </c>
      <c r="D41" s="794">
        <v>239332551.49083328</v>
      </c>
      <c r="E41" s="794">
        <v>90516530.7906589</v>
      </c>
      <c r="F41" s="794">
        <v>1057189.9977071115</v>
      </c>
      <c r="G41" s="794">
        <v>158751.3883881101</v>
      </c>
      <c r="H41" s="794">
        <v>57841600.11423513</v>
      </c>
      <c r="I41" s="794">
        <v>20060.00461571824</v>
      </c>
      <c r="J41" s="794">
        <v>3438498.3814339717</v>
      </c>
      <c r="K41" s="794">
        <v>6732867.689113429</v>
      </c>
      <c r="L41" s="794">
        <v>851629.7817053183</v>
      </c>
      <c r="M41" s="794">
        <v>148695.01981468374</v>
      </c>
      <c r="N41" s="794">
        <v>26372179.56147933</v>
      </c>
      <c r="O41" s="794">
        <v>31967650.56645284</v>
      </c>
      <c r="P41" s="794">
        <v>20226898.19522873</v>
      </c>
      <c r="Q41" s="859"/>
    </row>
    <row r="42" spans="1:17" ht="12.75">
      <c r="A42" s="855">
        <v>29</v>
      </c>
      <c r="B42" s="794"/>
      <c r="C42" s="794"/>
      <c r="D42" s="794"/>
      <c r="E42" s="794"/>
      <c r="F42" s="794"/>
      <c r="G42" s="794"/>
      <c r="H42" s="794"/>
      <c r="I42" s="794"/>
      <c r="J42" s="794"/>
      <c r="K42" s="794"/>
      <c r="L42" s="794"/>
      <c r="M42" s="794"/>
      <c r="N42" s="794"/>
      <c r="O42" s="794"/>
      <c r="P42" s="794"/>
      <c r="Q42" s="859"/>
    </row>
    <row r="43" spans="1:17" ht="12.75">
      <c r="A43" s="855">
        <v>30</v>
      </c>
      <c r="B43" s="794" t="s">
        <v>1066</v>
      </c>
      <c r="C43" s="794"/>
      <c r="D43" s="860">
        <f aca="true" t="shared" si="0" ref="D43:P43">D39/D41</f>
        <v>0.06318111187052301</v>
      </c>
      <c r="E43" s="860">
        <f t="shared" si="0"/>
        <v>0.022101641170865653</v>
      </c>
      <c r="F43" s="860">
        <f t="shared" si="0"/>
        <v>0.12277068698309838</v>
      </c>
      <c r="G43" s="860">
        <f t="shared" si="0"/>
        <v>0.025715482270439637</v>
      </c>
      <c r="H43" s="860">
        <f t="shared" si="0"/>
        <v>0.05244819289911122</v>
      </c>
      <c r="I43" s="860">
        <f t="shared" si="0"/>
        <v>0.5072993215438624</v>
      </c>
      <c r="J43" s="860">
        <f t="shared" si="0"/>
        <v>0.17659526409420886</v>
      </c>
      <c r="K43" s="860">
        <f t="shared" si="0"/>
        <v>0.04274178283777168</v>
      </c>
      <c r="L43" s="860">
        <f t="shared" si="0"/>
        <v>0.10969105133363792</v>
      </c>
      <c r="M43" s="860">
        <f t="shared" si="0"/>
        <v>0.14181857124220604</v>
      </c>
      <c r="N43" s="860">
        <f t="shared" si="0"/>
        <v>0.17689027963140594</v>
      </c>
      <c r="O43" s="860">
        <f t="shared" si="0"/>
        <v>0.05454754767142893</v>
      </c>
      <c r="P43" s="860">
        <f t="shared" si="0"/>
        <v>0.12482162732238838</v>
      </c>
      <c r="Q43" s="859"/>
    </row>
    <row r="44" spans="1:17" ht="12.75">
      <c r="A44" s="855">
        <v>31</v>
      </c>
      <c r="B44" s="794"/>
      <c r="C44" s="794"/>
      <c r="D44" s="794"/>
      <c r="E44" s="794"/>
      <c r="F44" s="794"/>
      <c r="G44" s="794"/>
      <c r="H44" s="794"/>
      <c r="I44" s="794"/>
      <c r="J44" s="794"/>
      <c r="K44" s="794"/>
      <c r="L44" s="794"/>
      <c r="M44" s="794"/>
      <c r="N44" s="794"/>
      <c r="O44" s="794"/>
      <c r="P44" s="794"/>
      <c r="Q44" s="859"/>
    </row>
    <row r="45" spans="1:17" ht="12.75">
      <c r="A45" s="855">
        <v>32</v>
      </c>
      <c r="B45" s="794" t="s">
        <v>892</v>
      </c>
      <c r="C45" s="794" t="s">
        <v>263</v>
      </c>
      <c r="D45" s="794">
        <v>22413493.463665422</v>
      </c>
      <c r="E45" s="794">
        <v>8476873.114804063</v>
      </c>
      <c r="F45" s="794">
        <v>99005.84335837147</v>
      </c>
      <c r="G45" s="794">
        <v>14867.067533523532</v>
      </c>
      <c r="H45" s="794">
        <v>5416865.854697635</v>
      </c>
      <c r="I45" s="794">
        <v>1878.6194336490826</v>
      </c>
      <c r="J45" s="794">
        <v>322015.37365904986</v>
      </c>
      <c r="K45" s="794">
        <v>630533.0595510236</v>
      </c>
      <c r="L45" s="794">
        <v>79755.12911558985</v>
      </c>
      <c r="M45" s="794">
        <v>13925.288615926798</v>
      </c>
      <c r="N45" s="794">
        <v>2469754.61775607</v>
      </c>
      <c r="O45" s="794">
        <v>2993770.477758744</v>
      </c>
      <c r="P45" s="794">
        <v>1894249.0173817796</v>
      </c>
      <c r="Q45" s="794"/>
    </row>
    <row r="46" spans="1:17" ht="12.75">
      <c r="A46" s="855">
        <v>33</v>
      </c>
      <c r="B46" s="794"/>
      <c r="C46" s="794"/>
      <c r="D46" s="794"/>
      <c r="E46" s="794"/>
      <c r="F46" s="794"/>
      <c r="G46" s="794"/>
      <c r="H46" s="794"/>
      <c r="I46" s="794"/>
      <c r="J46" s="794"/>
      <c r="K46" s="794"/>
      <c r="L46" s="794"/>
      <c r="M46" s="794"/>
      <c r="N46" s="794"/>
      <c r="O46" s="794"/>
      <c r="P46" s="794"/>
      <c r="Q46" s="794"/>
    </row>
    <row r="47" spans="1:17" ht="12.75">
      <c r="A47" s="855">
        <v>34</v>
      </c>
      <c r="B47" s="794" t="s">
        <v>264</v>
      </c>
      <c r="C47" s="794"/>
      <c r="D47" s="794"/>
      <c r="E47" s="794"/>
      <c r="F47" s="794"/>
      <c r="G47" s="794"/>
      <c r="H47" s="794"/>
      <c r="I47" s="794"/>
      <c r="J47" s="794"/>
      <c r="K47" s="794"/>
      <c r="L47" s="794"/>
      <c r="M47" s="794"/>
      <c r="N47" s="794"/>
      <c r="O47" s="794"/>
      <c r="P47" s="794"/>
      <c r="Q47" s="794"/>
    </row>
    <row r="48" spans="1:17" ht="12.75">
      <c r="A48" s="855">
        <v>35</v>
      </c>
      <c r="B48" s="794" t="s">
        <v>264</v>
      </c>
      <c r="C48" s="794" t="s">
        <v>265</v>
      </c>
      <c r="D48" s="794">
        <v>36001579.78251565</v>
      </c>
      <c r="E48" s="794">
        <v>23767155.107342195</v>
      </c>
      <c r="F48" s="794">
        <v>238417.89118920566</v>
      </c>
      <c r="G48" s="794">
        <v>31654.388940563073</v>
      </c>
      <c r="H48" s="794">
        <v>9808455.987577436</v>
      </c>
      <c r="I48" s="794">
        <v>1365.0397643959332</v>
      </c>
      <c r="J48" s="794">
        <v>230146.5412672101</v>
      </c>
      <c r="K48" s="794">
        <v>996949.009101086</v>
      </c>
      <c r="L48" s="794">
        <v>75076.42268902785</v>
      </c>
      <c r="M48" s="794">
        <v>15138.832616620453</v>
      </c>
      <c r="N48" s="794">
        <v>720911.7583235565</v>
      </c>
      <c r="O48" s="794">
        <v>78264.70848428906</v>
      </c>
      <c r="P48" s="794">
        <v>38044.09522006531</v>
      </c>
      <c r="Q48" s="794"/>
    </row>
    <row r="49" spans="1:17" ht="12.75">
      <c r="A49" s="855">
        <v>36</v>
      </c>
      <c r="B49" s="794" t="s">
        <v>266</v>
      </c>
      <c r="C49" s="794" t="s">
        <v>267</v>
      </c>
      <c r="D49" s="794">
        <v>208900815.3077785</v>
      </c>
      <c r="E49" s="794">
        <v>107035286.61883414</v>
      </c>
      <c r="F49" s="794">
        <v>1369165.9808800474</v>
      </c>
      <c r="G49" s="794">
        <v>168360.06204834173</v>
      </c>
      <c r="H49" s="794">
        <v>77770644.42278126</v>
      </c>
      <c r="I49" s="794">
        <v>54173.40062281107</v>
      </c>
      <c r="J49" s="794">
        <v>7270269.6593249915</v>
      </c>
      <c r="K49" s="794">
        <v>10102164.56619753</v>
      </c>
      <c r="L49" s="794">
        <v>2975108.0401822366</v>
      </c>
      <c r="M49" s="794">
        <v>373930.78286165016</v>
      </c>
      <c r="N49" s="794">
        <v>544622.7691185565</v>
      </c>
      <c r="O49" s="794">
        <v>1237089.0049269644</v>
      </c>
      <c r="P49" s="794">
        <v>0</v>
      </c>
      <c r="Q49" s="794"/>
    </row>
    <row r="50" spans="1:17" ht="12.75">
      <c r="A50" s="855">
        <v>37</v>
      </c>
      <c r="B50" s="794" t="s">
        <v>268</v>
      </c>
      <c r="C50" s="794" t="s">
        <v>269</v>
      </c>
      <c r="D50" s="794">
        <v>25199070.688131534</v>
      </c>
      <c r="E50" s="794">
        <v>4870180.150509546</v>
      </c>
      <c r="F50" s="794">
        <v>63900.688394713135</v>
      </c>
      <c r="G50" s="794">
        <v>8006.248629501756</v>
      </c>
      <c r="H50" s="794">
        <v>3456116.382951539</v>
      </c>
      <c r="I50" s="794">
        <v>1902.431181175523</v>
      </c>
      <c r="J50" s="794">
        <v>329239.4827843642</v>
      </c>
      <c r="K50" s="794">
        <v>408452.8398348364</v>
      </c>
      <c r="L50" s="794">
        <v>76633.97758758027</v>
      </c>
      <c r="M50" s="794">
        <v>11859.799726013756</v>
      </c>
      <c r="N50" s="794">
        <v>4111793.0272259247</v>
      </c>
      <c r="O50" s="794">
        <v>7046670.98591876</v>
      </c>
      <c r="P50" s="794">
        <v>4814314.67338758</v>
      </c>
      <c r="Q50" s="794"/>
    </row>
    <row r="51" spans="1:17" ht="12.75">
      <c r="A51" s="855">
        <v>38</v>
      </c>
      <c r="B51" s="794" t="s">
        <v>270</v>
      </c>
      <c r="C51" s="794" t="s">
        <v>995</v>
      </c>
      <c r="D51" s="794">
        <v>0</v>
      </c>
      <c r="E51" s="794">
        <v>0</v>
      </c>
      <c r="F51" s="794">
        <v>0</v>
      </c>
      <c r="G51" s="794">
        <v>0</v>
      </c>
      <c r="H51" s="794">
        <v>0</v>
      </c>
      <c r="I51" s="794">
        <v>0</v>
      </c>
      <c r="J51" s="794">
        <v>0</v>
      </c>
      <c r="K51" s="794">
        <v>0</v>
      </c>
      <c r="L51" s="794">
        <v>0</v>
      </c>
      <c r="M51" s="794">
        <v>0</v>
      </c>
      <c r="N51" s="794">
        <v>0</v>
      </c>
      <c r="O51" s="794">
        <v>0</v>
      </c>
      <c r="P51" s="794">
        <v>0</v>
      </c>
      <c r="Q51" s="794"/>
    </row>
    <row r="52" spans="1:18" ht="12.75">
      <c r="A52" s="855">
        <v>39</v>
      </c>
      <c r="B52" s="794" t="s">
        <v>893</v>
      </c>
      <c r="C52" s="794" t="s">
        <v>997</v>
      </c>
      <c r="D52" s="794">
        <v>270101465.7784257</v>
      </c>
      <c r="E52" s="794">
        <v>135672621.8766859</v>
      </c>
      <c r="F52" s="794">
        <v>1671484.5604639663</v>
      </c>
      <c r="G52" s="794">
        <v>208020.69961840656</v>
      </c>
      <c r="H52" s="794">
        <v>91035216.79331024</v>
      </c>
      <c r="I52" s="794">
        <v>57440.87156838252</v>
      </c>
      <c r="J52" s="794">
        <v>7829655.683376566</v>
      </c>
      <c r="K52" s="794">
        <v>11507566.415133452</v>
      </c>
      <c r="L52" s="794">
        <v>3126818.440458845</v>
      </c>
      <c r="M52" s="794">
        <v>400929.41520428436</v>
      </c>
      <c r="N52" s="794">
        <v>5377327.554668037</v>
      </c>
      <c r="O52" s="794">
        <v>8362024.699330013</v>
      </c>
      <c r="P52" s="794">
        <v>4852358.768607645</v>
      </c>
      <c r="Q52" s="794"/>
      <c r="R52">
        <f>SUM(E52:Q52)</f>
        <v>270101465.7784257</v>
      </c>
    </row>
    <row r="53" spans="1:18" ht="12.75">
      <c r="A53" s="855">
        <v>40</v>
      </c>
      <c r="B53" s="794"/>
      <c r="C53" s="794"/>
      <c r="D53" s="794">
        <f>+D52-D14</f>
        <v>11727511.96842572</v>
      </c>
      <c r="E53" s="794">
        <f aca="true" t="shared" si="1" ref="E53:M53">+E52-E14-E15</f>
        <v>10415379.149278343</v>
      </c>
      <c r="F53" s="794">
        <f t="shared" si="1"/>
        <v>-49511.05351103353</v>
      </c>
      <c r="G53" s="794">
        <f t="shared" si="1"/>
        <v>17344.250450949097</v>
      </c>
      <c r="H53" s="794">
        <f t="shared" si="1"/>
        <v>3832693.3282212317</v>
      </c>
      <c r="I53" s="794">
        <f t="shared" si="1"/>
        <v>-13344.762584870005</v>
      </c>
      <c r="J53" s="794">
        <f t="shared" si="1"/>
        <v>-458678.0156386066</v>
      </c>
      <c r="K53" s="794">
        <f t="shared" si="1"/>
        <v>551233.3381397352</v>
      </c>
      <c r="L53" s="794">
        <f t="shared" si="1"/>
        <v>-21970.05651035672</v>
      </c>
      <c r="M53" s="794">
        <f t="shared" si="1"/>
        <v>-11518.81210010685</v>
      </c>
      <c r="N53" s="794">
        <f>+N52-N14</f>
        <v>-3530425.578823751</v>
      </c>
      <c r="O53" s="794">
        <f>+O52-O14</f>
        <v>2010306.2468332257</v>
      </c>
      <c r="P53" s="794">
        <f>+P52-P14</f>
        <v>-1013996.0653290143</v>
      </c>
      <c r="Q53" s="794"/>
      <c r="R53">
        <f>SUM(E53:Q53)</f>
        <v>11727511.968425743</v>
      </c>
    </row>
    <row r="54" spans="1:17" ht="12.75">
      <c r="A54" s="855">
        <v>41</v>
      </c>
      <c r="B54" s="794" t="s">
        <v>271</v>
      </c>
      <c r="C54" s="794" t="s">
        <v>272</v>
      </c>
      <c r="D54" s="794">
        <v>171649</v>
      </c>
      <c r="E54" s="794">
        <v>147373</v>
      </c>
      <c r="F54" s="794">
        <v>1505</v>
      </c>
      <c r="G54" s="794">
        <v>71</v>
      </c>
      <c r="H54" s="794">
        <v>22052</v>
      </c>
      <c r="I54" s="794">
        <v>2</v>
      </c>
      <c r="J54" s="794">
        <v>72</v>
      </c>
      <c r="K54" s="794">
        <v>405</v>
      </c>
      <c r="L54" s="794">
        <v>12</v>
      </c>
      <c r="M54" s="794">
        <v>3</v>
      </c>
      <c r="N54" s="794">
        <v>132</v>
      </c>
      <c r="O54" s="794">
        <v>10</v>
      </c>
      <c r="P54" s="794">
        <v>12</v>
      </c>
      <c r="Q54" s="794"/>
    </row>
    <row r="55" spans="1:17" ht="12.75">
      <c r="A55" s="855">
        <v>42</v>
      </c>
      <c r="B55" s="794" t="s">
        <v>273</v>
      </c>
      <c r="C55" s="794" t="s">
        <v>272</v>
      </c>
      <c r="D55" s="794">
        <v>700566944</v>
      </c>
      <c r="E55" s="794">
        <v>99536929</v>
      </c>
      <c r="F55" s="794">
        <v>1437349</v>
      </c>
      <c r="G55" s="794">
        <v>162388</v>
      </c>
      <c r="H55" s="794">
        <v>73487657</v>
      </c>
      <c r="I55" s="794">
        <v>61548</v>
      </c>
      <c r="J55" s="794">
        <v>7861569</v>
      </c>
      <c r="K55" s="794">
        <v>10240163</v>
      </c>
      <c r="L55" s="794">
        <v>3277558</v>
      </c>
      <c r="M55" s="794">
        <v>409432</v>
      </c>
      <c r="N55" s="794">
        <v>90413328.00000001</v>
      </c>
      <c r="O55" s="794">
        <v>155960514</v>
      </c>
      <c r="P55" s="794">
        <v>257718509</v>
      </c>
      <c r="Q55" s="794"/>
    </row>
    <row r="56" spans="1:17" ht="12.75">
      <c r="A56" s="855">
        <v>43</v>
      </c>
      <c r="B56" s="794"/>
      <c r="C56" s="794"/>
      <c r="D56" s="794"/>
      <c r="E56" s="794"/>
      <c r="F56" s="794"/>
      <c r="G56" s="794"/>
      <c r="H56" s="794"/>
      <c r="I56" s="794"/>
      <c r="J56" s="794"/>
      <c r="K56" s="794"/>
      <c r="L56" s="794"/>
      <c r="M56" s="794"/>
      <c r="N56" s="794"/>
      <c r="O56" s="794"/>
      <c r="P56" s="794"/>
      <c r="Q56" s="794"/>
    </row>
    <row r="57" spans="1:17" ht="12.75">
      <c r="A57" s="855">
        <v>44</v>
      </c>
      <c r="B57" s="794" t="s">
        <v>274</v>
      </c>
      <c r="C57" s="794"/>
      <c r="D57" s="861">
        <f aca="true" t="shared" si="2" ref="D57:P57">D48/D54/12</f>
        <v>17.47829377708563</v>
      </c>
      <c r="E57" s="861">
        <f t="shared" si="2"/>
        <v>13.439342748978326</v>
      </c>
      <c r="F57" s="861">
        <f t="shared" si="2"/>
        <v>13.201433620664766</v>
      </c>
      <c r="G57" s="861">
        <f t="shared" si="2"/>
        <v>37.15303866263272</v>
      </c>
      <c r="H57" s="861">
        <f t="shared" si="2"/>
        <v>37.0656326998966</v>
      </c>
      <c r="I57" s="861">
        <f t="shared" si="2"/>
        <v>56.876656849830546</v>
      </c>
      <c r="J57" s="861">
        <f t="shared" si="2"/>
        <v>266.3733116518635</v>
      </c>
      <c r="K57" s="861">
        <f t="shared" si="2"/>
        <v>205.13354096730163</v>
      </c>
      <c r="L57" s="861">
        <f t="shared" si="2"/>
        <v>521.3640464515823</v>
      </c>
      <c r="M57" s="861">
        <f t="shared" si="2"/>
        <v>420.52312823945704</v>
      </c>
      <c r="N57" s="861">
        <f t="shared" si="2"/>
        <v>455.1210595476998</v>
      </c>
      <c r="O57" s="861">
        <f t="shared" si="2"/>
        <v>652.2059040357422</v>
      </c>
      <c r="P57" s="861">
        <f t="shared" si="2"/>
        <v>264.195105694898</v>
      </c>
      <c r="Q57" s="794"/>
    </row>
    <row r="58" spans="1:17" ht="12.75">
      <c r="A58" s="855">
        <v>45</v>
      </c>
      <c r="B58" s="862" t="s">
        <v>275</v>
      </c>
      <c r="C58" s="862"/>
      <c r="D58" s="862">
        <f aca="true" t="shared" si="3" ref="D58:P58">(D49+D50)/D55</f>
        <v>0.33415776750652687</v>
      </c>
      <c r="E58" s="862">
        <f t="shared" si="3"/>
        <v>1.1242607933920052</v>
      </c>
      <c r="F58" s="862">
        <f t="shared" si="3"/>
        <v>0.9970206743628448</v>
      </c>
      <c r="G58" s="862">
        <f t="shared" si="3"/>
        <v>1.0860797021814634</v>
      </c>
      <c r="H58" s="862">
        <f t="shared" si="3"/>
        <v>1.1053116145168813</v>
      </c>
      <c r="I58" s="862">
        <f t="shared" si="3"/>
        <v>0.9110910477023882</v>
      </c>
      <c r="J58" s="862">
        <f t="shared" si="3"/>
        <v>0.9666657052948789</v>
      </c>
      <c r="K58" s="862">
        <f t="shared" si="3"/>
        <v>1.0264111426773546</v>
      </c>
      <c r="L58" s="862">
        <f t="shared" si="3"/>
        <v>0.9311023688275896</v>
      </c>
      <c r="M58" s="862">
        <f t="shared" si="3"/>
        <v>0.9422580125336171</v>
      </c>
      <c r="N58" s="862">
        <f t="shared" si="3"/>
        <v>0.051501431252972796</v>
      </c>
      <c r="O58" s="862">
        <f t="shared" si="3"/>
        <v>0.053114469671764</v>
      </c>
      <c r="P58" s="862">
        <f t="shared" si="3"/>
        <v>0.018680515776954072</v>
      </c>
      <c r="Q58" s="862"/>
    </row>
    <row r="61" spans="4:16" ht="12.75">
      <c r="D61" s="794"/>
      <c r="E61" s="794"/>
      <c r="F61" s="794"/>
      <c r="G61" s="794"/>
      <c r="H61" s="794"/>
      <c r="I61" s="794"/>
      <c r="J61" s="794"/>
      <c r="K61" s="794"/>
      <c r="L61" s="794"/>
      <c r="M61" s="794"/>
      <c r="N61" s="794"/>
      <c r="O61" s="794"/>
      <c r="P61" s="794"/>
    </row>
  </sheetData>
  <printOptions/>
  <pageMargins left="0.3" right="0.19" top="0.37" bottom="0.18" header="0.5" footer="0.5"/>
  <pageSetup fitToHeight="1" fitToWidth="1" horizontalDpi="600" verticalDpi="600" orientation="landscape" scale="71" r:id="rId1"/>
</worksheet>
</file>

<file path=xl/worksheets/sheet4.xml><?xml version="1.0" encoding="utf-8"?>
<worksheet xmlns="http://schemas.openxmlformats.org/spreadsheetml/2006/main" xmlns:r="http://schemas.openxmlformats.org/officeDocument/2006/relationships">
  <sheetPr>
    <pageSetUpPr fitToPage="1"/>
  </sheetPr>
  <dimension ref="A1:Y55"/>
  <sheetViews>
    <sheetView showGridLines="0" view="pageBreakPreview" zoomScale="75" zoomScaleNormal="75" zoomScaleSheetLayoutView="75" workbookViewId="0" topLeftCell="A1">
      <pane xSplit="2" ySplit="7" topLeftCell="P29" activePane="bottomRight" state="frozen"/>
      <selection pane="topLeft" activeCell="A1" sqref="A1"/>
      <selection pane="topRight" activeCell="C1" sqref="C1"/>
      <selection pane="bottomLeft" activeCell="A8" sqref="A8"/>
      <selection pane="bottomRight" activeCell="K46" sqref="K46"/>
    </sheetView>
  </sheetViews>
  <sheetFormatPr defaultColWidth="9.33203125" defaultRowHeight="11.25"/>
  <cols>
    <col min="1" max="1" width="5.83203125" style="0" customWidth="1"/>
    <col min="2" max="2" width="26.83203125" style="0" customWidth="1"/>
    <col min="3" max="3" width="14" style="0" customWidth="1"/>
    <col min="4" max="6" width="12.83203125" style="0" customWidth="1"/>
    <col min="7" max="11" width="14.83203125" style="0" customWidth="1"/>
    <col min="12" max="12" width="20.5" style="0" customWidth="1"/>
    <col min="13" max="15" width="14.83203125" style="0" customWidth="1"/>
    <col min="16" max="16" width="18" style="0" customWidth="1"/>
    <col min="17" max="18" width="14.83203125" style="0" customWidth="1"/>
    <col min="19" max="20" width="13.66015625" style="0" customWidth="1"/>
    <col min="21" max="21" width="14" style="0" customWidth="1"/>
    <col min="22" max="22" width="19.16015625" style="0" customWidth="1"/>
    <col min="24" max="24" width="12.33203125" style="0" bestFit="1" customWidth="1"/>
    <col min="25" max="25" width="13.33203125" style="0" customWidth="1"/>
  </cols>
  <sheetData>
    <row r="1" spans="1:2" ht="11.25">
      <c r="A1" s="1"/>
      <c r="B1" s="2"/>
    </row>
    <row r="2" spans="2:3" ht="11.25">
      <c r="B2" s="3"/>
      <c r="C2" s="4"/>
    </row>
    <row r="3" spans="3:21" ht="15.75">
      <c r="C3" s="1243" t="s">
        <v>658</v>
      </c>
      <c r="D3" s="1244"/>
      <c r="E3" s="1244"/>
      <c r="F3" s="1244"/>
      <c r="G3" s="1244"/>
      <c r="H3" s="1244"/>
      <c r="I3" s="1244"/>
      <c r="J3" s="1244"/>
      <c r="K3" s="1245"/>
      <c r="M3" s="1243" t="s">
        <v>658</v>
      </c>
      <c r="N3" s="1244"/>
      <c r="O3" s="1244"/>
      <c r="P3" s="1244"/>
      <c r="Q3" s="1244"/>
      <c r="R3" s="1244"/>
      <c r="S3" s="1245"/>
      <c r="T3" s="1157"/>
      <c r="U3" s="73"/>
    </row>
    <row r="4" spans="3:21" ht="18.75">
      <c r="C4" s="1258" t="s">
        <v>1157</v>
      </c>
      <c r="D4" s="1259"/>
      <c r="E4" s="1259"/>
      <c r="F4" s="1259"/>
      <c r="G4" s="1259"/>
      <c r="H4" s="1259"/>
      <c r="I4" s="1259"/>
      <c r="J4" s="1259"/>
      <c r="K4" s="1260"/>
      <c r="L4" s="2"/>
      <c r="M4" s="1258" t="s">
        <v>1157</v>
      </c>
      <c r="N4" s="1259"/>
      <c r="O4" s="1259"/>
      <c r="P4" s="1259"/>
      <c r="Q4" s="1259"/>
      <c r="R4" s="1259"/>
      <c r="S4" s="1260"/>
      <c r="T4" s="1156"/>
      <c r="U4" s="73"/>
    </row>
    <row r="5" spans="3:21" ht="15.75">
      <c r="C5" s="1249" t="s">
        <v>659</v>
      </c>
      <c r="D5" s="1250"/>
      <c r="E5" s="1250"/>
      <c r="F5" s="1250"/>
      <c r="G5" s="1250"/>
      <c r="H5" s="1250"/>
      <c r="I5" s="1250"/>
      <c r="J5" s="1250"/>
      <c r="K5" s="1251"/>
      <c r="L5" s="2"/>
      <c r="M5" s="1249" t="s">
        <v>659</v>
      </c>
      <c r="N5" s="1250"/>
      <c r="O5" s="1250"/>
      <c r="P5" s="1250"/>
      <c r="Q5" s="1250"/>
      <c r="R5" s="1250"/>
      <c r="S5" s="1251"/>
      <c r="T5" s="871"/>
      <c r="U5" s="73"/>
    </row>
    <row r="6" spans="1:21" ht="56.25">
      <c r="A6" s="344" t="s">
        <v>377</v>
      </c>
      <c r="B6" s="323" t="s">
        <v>1007</v>
      </c>
      <c r="C6" s="524" t="s">
        <v>994</v>
      </c>
      <c r="D6" s="524" t="s">
        <v>1165</v>
      </c>
      <c r="E6" s="524" t="s">
        <v>1164</v>
      </c>
      <c r="F6" s="524" t="s">
        <v>383</v>
      </c>
      <c r="G6" s="524" t="s">
        <v>1100</v>
      </c>
      <c r="H6" s="524" t="s">
        <v>508</v>
      </c>
      <c r="I6" s="524" t="s">
        <v>397</v>
      </c>
      <c r="J6" s="524" t="s">
        <v>73</v>
      </c>
      <c r="K6" s="524" t="s">
        <v>1163</v>
      </c>
      <c r="L6" s="2"/>
      <c r="M6" s="941" t="s">
        <v>1158</v>
      </c>
      <c r="N6" s="524" t="s">
        <v>1159</v>
      </c>
      <c r="O6" s="524" t="s">
        <v>1160</v>
      </c>
      <c r="P6" s="524" t="s">
        <v>1161</v>
      </c>
      <c r="Q6" s="524" t="s">
        <v>1162</v>
      </c>
      <c r="R6" s="524" t="s">
        <v>1099</v>
      </c>
      <c r="S6" s="524" t="s">
        <v>1067</v>
      </c>
      <c r="T6" s="1158" t="s">
        <v>936</v>
      </c>
      <c r="U6" s="323" t="s">
        <v>933</v>
      </c>
    </row>
    <row r="7" spans="1:21" ht="11.25">
      <c r="A7" s="34"/>
      <c r="B7" s="27" t="s">
        <v>1012</v>
      </c>
      <c r="C7" s="777" t="s">
        <v>1013</v>
      </c>
      <c r="D7" s="777" t="s">
        <v>1014</v>
      </c>
      <c r="E7" s="777" t="s">
        <v>1074</v>
      </c>
      <c r="F7" s="777" t="s">
        <v>1016</v>
      </c>
      <c r="G7" s="777" t="s">
        <v>1075</v>
      </c>
      <c r="H7" s="777" t="s">
        <v>1018</v>
      </c>
      <c r="I7" s="777" t="s">
        <v>1076</v>
      </c>
      <c r="J7" s="777" t="s">
        <v>1077</v>
      </c>
      <c r="K7" s="777" t="s">
        <v>1078</v>
      </c>
      <c r="L7" s="2"/>
      <c r="M7" s="932" t="s">
        <v>1079</v>
      </c>
      <c r="N7" s="931" t="s">
        <v>1080</v>
      </c>
      <c r="O7" s="777" t="s">
        <v>89</v>
      </c>
      <c r="P7" s="777" t="s">
        <v>90</v>
      </c>
      <c r="Q7" s="777" t="s">
        <v>91</v>
      </c>
      <c r="R7" s="777" t="s">
        <v>355</v>
      </c>
      <c r="S7" s="777" t="s">
        <v>356</v>
      </c>
      <c r="T7" s="777" t="s">
        <v>937</v>
      </c>
      <c r="U7" s="89" t="s">
        <v>938</v>
      </c>
    </row>
    <row r="8" spans="1:21" ht="11.25">
      <c r="A8" s="18"/>
      <c r="B8" s="29" t="s">
        <v>1020</v>
      </c>
      <c r="C8" s="59"/>
      <c r="D8" s="84"/>
      <c r="E8" s="59"/>
      <c r="F8" s="59"/>
      <c r="G8" s="59"/>
      <c r="H8" s="59"/>
      <c r="I8" s="59"/>
      <c r="J8" s="59"/>
      <c r="K8" s="59"/>
      <c r="L8" s="2"/>
      <c r="M8" s="933"/>
      <c r="N8" s="59"/>
      <c r="O8" s="59"/>
      <c r="P8" s="59"/>
      <c r="Q8" s="59"/>
      <c r="R8" s="59"/>
      <c r="S8" s="59"/>
      <c r="T8" s="59"/>
      <c r="U8" s="14"/>
    </row>
    <row r="9" spans="1:21" ht="12">
      <c r="A9" s="23" t="s">
        <v>1021</v>
      </c>
      <c r="B9" s="31" t="s">
        <v>1022</v>
      </c>
      <c r="C9" s="106">
        <v>0</v>
      </c>
      <c r="D9" s="106">
        <v>0</v>
      </c>
      <c r="E9" s="106">
        <f>-'MPP-3 p15'!H59-'MPP-3 p15'!H79</f>
        <v>-156631.6778774356</v>
      </c>
      <c r="F9" s="106">
        <v>0</v>
      </c>
      <c r="G9" s="106">
        <v>0</v>
      </c>
      <c r="H9" s="106">
        <v>0</v>
      </c>
      <c r="I9" s="106">
        <v>0</v>
      </c>
      <c r="J9" s="106">
        <v>0</v>
      </c>
      <c r="K9" s="106">
        <v>0</v>
      </c>
      <c r="L9" s="2"/>
      <c r="M9" s="934">
        <v>0</v>
      </c>
      <c r="N9" s="106">
        <v>0</v>
      </c>
      <c r="O9" s="106">
        <v>0</v>
      </c>
      <c r="P9" s="106">
        <v>0</v>
      </c>
      <c r="Q9" s="106">
        <v>0</v>
      </c>
      <c r="R9" s="106">
        <v>0</v>
      </c>
      <c r="S9" s="106">
        <v>0</v>
      </c>
      <c r="T9" s="106">
        <f>+'MPP-3 p24'!D17</f>
        <v>162747.68</v>
      </c>
      <c r="U9" s="106">
        <f>SUM(C9:T9)</f>
        <v>6116.002122564387</v>
      </c>
    </row>
    <row r="10" spans="1:21" ht="12">
      <c r="A10" s="23" t="s">
        <v>1023</v>
      </c>
      <c r="B10" s="31" t="s">
        <v>1024</v>
      </c>
      <c r="C10" s="107">
        <v>0</v>
      </c>
      <c r="D10" s="107">
        <v>0</v>
      </c>
      <c r="E10" s="107">
        <v>0</v>
      </c>
      <c r="F10" s="107">
        <v>0</v>
      </c>
      <c r="G10" s="107">
        <v>0</v>
      </c>
      <c r="H10" s="107">
        <v>0</v>
      </c>
      <c r="I10" s="107">
        <v>0</v>
      </c>
      <c r="J10" s="107">
        <v>0</v>
      </c>
      <c r="K10" s="107">
        <v>0</v>
      </c>
      <c r="L10" s="2"/>
      <c r="M10" s="935">
        <v>0</v>
      </c>
      <c r="N10" s="107">
        <v>0</v>
      </c>
      <c r="O10" s="107">
        <v>0</v>
      </c>
      <c r="P10" s="107">
        <v>0</v>
      </c>
      <c r="Q10" s="107">
        <v>0</v>
      </c>
      <c r="R10" s="107">
        <v>0</v>
      </c>
      <c r="S10" s="107">
        <v>0</v>
      </c>
      <c r="T10" s="107">
        <v>0</v>
      </c>
      <c r="U10" s="113">
        <f>SUM(C10:T10)</f>
        <v>0</v>
      </c>
    </row>
    <row r="11" spans="1:21" ht="12">
      <c r="A11" s="23" t="s">
        <v>1025</v>
      </c>
      <c r="B11" s="31" t="s">
        <v>1026</v>
      </c>
      <c r="C11" s="108">
        <v>0</v>
      </c>
      <c r="D11" s="108">
        <v>0</v>
      </c>
      <c r="E11" s="108">
        <v>0</v>
      </c>
      <c r="F11" s="108">
        <v>0</v>
      </c>
      <c r="G11" s="108">
        <v>0</v>
      </c>
      <c r="H11" s="108">
        <v>0</v>
      </c>
      <c r="I11" s="108">
        <v>0</v>
      </c>
      <c r="J11" s="108">
        <v>0</v>
      </c>
      <c r="K11" s="108">
        <v>0</v>
      </c>
      <c r="L11" s="2"/>
      <c r="M11" s="936">
        <v>0</v>
      </c>
      <c r="N11" s="108">
        <v>0</v>
      </c>
      <c r="O11" s="108">
        <v>0</v>
      </c>
      <c r="P11" s="108">
        <v>0</v>
      </c>
      <c r="Q11" s="108">
        <v>0</v>
      </c>
      <c r="R11" s="108">
        <v>0</v>
      </c>
      <c r="S11" s="108">
        <v>0</v>
      </c>
      <c r="T11" s="108">
        <v>0</v>
      </c>
      <c r="U11" s="113">
        <f>SUM(C11:T11)</f>
        <v>0</v>
      </c>
    </row>
    <row r="12" spans="1:21" ht="12.75" thickBot="1">
      <c r="A12" s="23" t="s">
        <v>1027</v>
      </c>
      <c r="B12" s="31" t="s">
        <v>1081</v>
      </c>
      <c r="C12" s="109">
        <f aca="true" t="shared" si="0" ref="C12:U12">C9+C10+C11</f>
        <v>0</v>
      </c>
      <c r="D12" s="109">
        <f t="shared" si="0"/>
        <v>0</v>
      </c>
      <c r="E12" s="109">
        <f t="shared" si="0"/>
        <v>-156631.6778774356</v>
      </c>
      <c r="F12" s="109">
        <f t="shared" si="0"/>
        <v>0</v>
      </c>
      <c r="G12" s="109">
        <f t="shared" si="0"/>
        <v>0</v>
      </c>
      <c r="H12" s="109">
        <f t="shared" si="0"/>
        <v>0</v>
      </c>
      <c r="I12" s="109">
        <f t="shared" si="0"/>
        <v>0</v>
      </c>
      <c r="J12" s="109">
        <f t="shared" si="0"/>
        <v>0</v>
      </c>
      <c r="K12" s="109">
        <f t="shared" si="0"/>
        <v>0</v>
      </c>
      <c r="L12" s="2"/>
      <c r="M12" s="109">
        <f t="shared" si="0"/>
        <v>0</v>
      </c>
      <c r="N12" s="888">
        <f t="shared" si="0"/>
        <v>0</v>
      </c>
      <c r="O12" s="109">
        <f>O9+O10+O11</f>
        <v>0</v>
      </c>
      <c r="P12" s="109">
        <f>P9+P10+P11</f>
        <v>0</v>
      </c>
      <c r="Q12" s="109">
        <f>Q9+Q10+Q11</f>
        <v>0</v>
      </c>
      <c r="R12" s="109">
        <f t="shared" si="0"/>
        <v>0</v>
      </c>
      <c r="S12" s="109">
        <f t="shared" si="0"/>
        <v>0</v>
      </c>
      <c r="T12" s="109">
        <f t="shared" si="0"/>
        <v>162747.68</v>
      </c>
      <c r="U12" s="109">
        <f t="shared" si="0"/>
        <v>6116.002122564387</v>
      </c>
    </row>
    <row r="13" spans="1:21" ht="12.75" thickTop="1">
      <c r="A13" s="34"/>
      <c r="B13" s="34"/>
      <c r="C13" s="110"/>
      <c r="D13" s="110"/>
      <c r="E13" s="110"/>
      <c r="F13" s="110"/>
      <c r="G13" s="110"/>
      <c r="H13" s="110"/>
      <c r="I13" s="110"/>
      <c r="J13" s="110"/>
      <c r="K13" s="110"/>
      <c r="L13" s="2"/>
      <c r="M13" s="110"/>
      <c r="N13" s="889"/>
      <c r="O13" s="110"/>
      <c r="P13" s="110"/>
      <c r="Q13" s="110"/>
      <c r="R13" s="110"/>
      <c r="S13" s="110"/>
      <c r="T13" s="110"/>
      <c r="U13" s="110"/>
    </row>
    <row r="14" spans="1:21" ht="12">
      <c r="A14" s="18"/>
      <c r="B14" s="29" t="s">
        <v>1029</v>
      </c>
      <c r="C14" s="111"/>
      <c r="D14" s="111"/>
      <c r="E14" s="111"/>
      <c r="F14" s="111"/>
      <c r="G14" s="111"/>
      <c r="H14" s="111"/>
      <c r="I14" s="111"/>
      <c r="J14" s="111"/>
      <c r="K14" s="111"/>
      <c r="L14" s="2"/>
      <c r="M14" s="937"/>
      <c r="N14" s="111"/>
      <c r="O14" s="111"/>
      <c r="P14" s="111"/>
      <c r="Q14" s="111"/>
      <c r="R14" s="111"/>
      <c r="S14" s="111"/>
      <c r="T14" s="111"/>
      <c r="U14" s="111"/>
    </row>
    <row r="15" spans="1:21" ht="12">
      <c r="A15" s="23" t="s">
        <v>1030</v>
      </c>
      <c r="B15" s="31" t="s">
        <v>1031</v>
      </c>
      <c r="C15" s="112">
        <v>0</v>
      </c>
      <c r="D15" s="112">
        <v>0</v>
      </c>
      <c r="E15" s="112">
        <v>0</v>
      </c>
      <c r="F15" s="112">
        <v>0</v>
      </c>
      <c r="G15" s="112">
        <v>0</v>
      </c>
      <c r="H15" s="112">
        <v>0</v>
      </c>
      <c r="I15" s="112">
        <v>0</v>
      </c>
      <c r="J15" s="112">
        <v>0</v>
      </c>
      <c r="K15" s="112">
        <v>0</v>
      </c>
      <c r="L15" s="2"/>
      <c r="M15" s="938">
        <v>0</v>
      </c>
      <c r="N15" s="112">
        <v>0</v>
      </c>
      <c r="O15" s="112">
        <v>0</v>
      </c>
      <c r="P15" s="112">
        <v>0</v>
      </c>
      <c r="Q15" s="112">
        <v>0</v>
      </c>
      <c r="R15" s="112">
        <v>0</v>
      </c>
      <c r="S15" s="112">
        <v>0</v>
      </c>
      <c r="T15" s="112">
        <v>0</v>
      </c>
      <c r="U15" s="106">
        <f aca="true" t="shared" si="1" ref="U15:U23">SUM(C15:T15)</f>
        <v>0</v>
      </c>
    </row>
    <row r="16" spans="1:25" ht="12">
      <c r="A16" s="23" t="s">
        <v>1032</v>
      </c>
      <c r="B16" s="31" t="s">
        <v>1033</v>
      </c>
      <c r="C16" s="113">
        <v>0</v>
      </c>
      <c r="D16" s="113">
        <v>0</v>
      </c>
      <c r="E16" s="113">
        <v>0</v>
      </c>
      <c r="F16" s="113">
        <v>0</v>
      </c>
      <c r="G16" s="113">
        <v>0</v>
      </c>
      <c r="H16" s="113">
        <v>0</v>
      </c>
      <c r="I16" s="113">
        <v>0</v>
      </c>
      <c r="J16" s="113">
        <v>0</v>
      </c>
      <c r="K16" s="113">
        <v>0</v>
      </c>
      <c r="L16" s="2"/>
      <c r="M16" s="939">
        <v>0</v>
      </c>
      <c r="N16" s="113">
        <v>0</v>
      </c>
      <c r="O16" s="113">
        <v>0</v>
      </c>
      <c r="P16" s="113">
        <v>0</v>
      </c>
      <c r="Q16" s="113">
        <v>0</v>
      </c>
      <c r="R16" s="113">
        <v>0</v>
      </c>
      <c r="S16" s="113">
        <v>0</v>
      </c>
      <c r="T16" s="113">
        <v>0</v>
      </c>
      <c r="U16" s="113">
        <f t="shared" si="1"/>
        <v>0</v>
      </c>
      <c r="Y16">
        <f>+PFU</f>
        <v>0.003079319973151928</v>
      </c>
    </row>
    <row r="17" spans="1:25" ht="12">
      <c r="A17" s="23" t="s">
        <v>1034</v>
      </c>
      <c r="B17" s="31" t="s">
        <v>1035</v>
      </c>
      <c r="C17" s="113">
        <v>0</v>
      </c>
      <c r="D17" s="113">
        <v>0</v>
      </c>
      <c r="E17" s="113">
        <v>0</v>
      </c>
      <c r="F17" s="113">
        <v>0</v>
      </c>
      <c r="G17" s="113">
        <v>0</v>
      </c>
      <c r="H17" s="113">
        <v>0</v>
      </c>
      <c r="I17" s="113">
        <v>0</v>
      </c>
      <c r="J17" s="113">
        <v>0</v>
      </c>
      <c r="K17" s="113">
        <v>0</v>
      </c>
      <c r="L17" s="2"/>
      <c r="M17" s="939">
        <v>0</v>
      </c>
      <c r="N17" s="113">
        <v>0</v>
      </c>
      <c r="O17" s="113">
        <v>0</v>
      </c>
      <c r="P17" s="113">
        <v>0</v>
      </c>
      <c r="Q17" s="113">
        <v>0</v>
      </c>
      <c r="R17" s="113">
        <v>0</v>
      </c>
      <c r="S17" s="113">
        <v>0</v>
      </c>
      <c r="T17" s="113">
        <v>0</v>
      </c>
      <c r="U17" s="113">
        <f t="shared" si="1"/>
        <v>0</v>
      </c>
      <c r="Y17">
        <f>+OTI</f>
        <v>0.040301384594634185</v>
      </c>
    </row>
    <row r="18" spans="1:25" ht="12">
      <c r="A18" s="23" t="s">
        <v>1036</v>
      </c>
      <c r="B18" s="31" t="s">
        <v>1037</v>
      </c>
      <c r="C18" s="113">
        <f aca="true" t="shared" si="2" ref="C18:J18">ROUND(C12*PFU,0)</f>
        <v>0</v>
      </c>
      <c r="D18" s="113">
        <f t="shared" si="2"/>
        <v>0</v>
      </c>
      <c r="E18" s="113">
        <f t="shared" si="2"/>
        <v>-482</v>
      </c>
      <c r="F18" s="113">
        <f t="shared" si="2"/>
        <v>0</v>
      </c>
      <c r="G18" s="113">
        <f t="shared" si="2"/>
        <v>0</v>
      </c>
      <c r="H18" s="113">
        <f t="shared" si="2"/>
        <v>0</v>
      </c>
      <c r="I18" s="113">
        <f t="shared" si="2"/>
        <v>0</v>
      </c>
      <c r="J18" s="113">
        <f t="shared" si="2"/>
        <v>0</v>
      </c>
      <c r="K18" s="113">
        <f aca="true" t="shared" si="3" ref="K18:R18">ROUND(K12*PFU,0)</f>
        <v>0</v>
      </c>
      <c r="L18" s="2"/>
      <c r="M18" s="939">
        <f t="shared" si="3"/>
        <v>0</v>
      </c>
      <c r="N18" s="113">
        <f t="shared" si="3"/>
        <v>0</v>
      </c>
      <c r="O18" s="113">
        <f t="shared" si="3"/>
        <v>0</v>
      </c>
      <c r="P18" s="113">
        <f t="shared" si="3"/>
        <v>0</v>
      </c>
      <c r="Q18" s="113">
        <f t="shared" si="3"/>
        <v>0</v>
      </c>
      <c r="R18" s="113">
        <f t="shared" si="3"/>
        <v>0</v>
      </c>
      <c r="S18" s="113">
        <f>ROUND(S12*PFU,0)</f>
        <v>0</v>
      </c>
      <c r="T18" s="113">
        <f>ROUND(T12*PFU,0)</f>
        <v>501</v>
      </c>
      <c r="U18" s="113">
        <f t="shared" si="1"/>
        <v>19</v>
      </c>
      <c r="Y18">
        <f>SUM(Y16:Y17)</f>
        <v>0.043380704567786116</v>
      </c>
    </row>
    <row r="19" spans="1:25" ht="12">
      <c r="A19" s="23" t="s">
        <v>1038</v>
      </c>
      <c r="B19" s="31" t="s">
        <v>1039</v>
      </c>
      <c r="C19" s="113">
        <v>0</v>
      </c>
      <c r="D19" s="113">
        <v>0</v>
      </c>
      <c r="E19" s="113">
        <v>0</v>
      </c>
      <c r="F19" s="113">
        <v>0</v>
      </c>
      <c r="G19" s="113">
        <v>0</v>
      </c>
      <c r="H19" s="113">
        <v>0</v>
      </c>
      <c r="I19" s="113">
        <v>0</v>
      </c>
      <c r="J19" s="113">
        <v>0</v>
      </c>
      <c r="K19" s="113">
        <v>0</v>
      </c>
      <c r="L19" s="2"/>
      <c r="M19" s="939">
        <v>0</v>
      </c>
      <c r="N19" s="113">
        <v>0</v>
      </c>
      <c r="O19" s="113">
        <v>0</v>
      </c>
      <c r="P19" s="113">
        <f>+'KJB -17 IRP'!E33</f>
        <v>0</v>
      </c>
      <c r="Q19" s="113">
        <v>0</v>
      </c>
      <c r="R19" s="113">
        <v>0</v>
      </c>
      <c r="S19" s="113">
        <v>0</v>
      </c>
      <c r="T19" s="113">
        <v>0</v>
      </c>
      <c r="U19" s="113">
        <f t="shared" si="1"/>
        <v>0</v>
      </c>
      <c r="Y19">
        <f>1/(1-Y18)-1</f>
        <v>0.04534792970926449</v>
      </c>
    </row>
    <row r="20" spans="1:21" ht="12">
      <c r="A20" s="23" t="s">
        <v>1040</v>
      </c>
      <c r="B20" s="31" t="s">
        <v>1041</v>
      </c>
      <c r="C20" s="113">
        <v>0</v>
      </c>
      <c r="D20" s="113">
        <v>0</v>
      </c>
      <c r="E20" s="113">
        <v>0</v>
      </c>
      <c r="F20" s="113">
        <v>0</v>
      </c>
      <c r="G20" s="113">
        <v>0</v>
      </c>
      <c r="H20" s="113">
        <v>0</v>
      </c>
      <c r="I20" s="113">
        <v>0</v>
      </c>
      <c r="J20" s="113">
        <v>0</v>
      </c>
      <c r="K20" s="113">
        <v>0</v>
      </c>
      <c r="L20" s="2"/>
      <c r="M20" s="939">
        <v>0</v>
      </c>
      <c r="N20" s="113">
        <v>0</v>
      </c>
      <c r="O20" s="113">
        <v>0</v>
      </c>
      <c r="P20" s="113">
        <v>0</v>
      </c>
      <c r="Q20" s="113">
        <v>0</v>
      </c>
      <c r="R20" s="113">
        <v>0</v>
      </c>
      <c r="S20" s="113">
        <v>0</v>
      </c>
      <c r="T20" s="113">
        <v>0</v>
      </c>
      <c r="U20" s="113">
        <f t="shared" si="1"/>
        <v>0</v>
      </c>
    </row>
    <row r="21" spans="1:21" ht="12">
      <c r="A21" s="23" t="s">
        <v>1042</v>
      </c>
      <c r="B21" s="31" t="s">
        <v>1043</v>
      </c>
      <c r="C21" s="113">
        <f>+'MPP-3 p13'!E24</f>
        <v>92472</v>
      </c>
      <c r="D21" s="113">
        <v>0</v>
      </c>
      <c r="E21" s="113">
        <v>0</v>
      </c>
      <c r="F21" s="113">
        <f>+'MPP-3 p16'!G30</f>
        <v>173333.33333333334</v>
      </c>
      <c r="G21" s="113">
        <v>0</v>
      </c>
      <c r="H21" s="113">
        <v>0</v>
      </c>
      <c r="I21" s="113">
        <f>+'MPP-3 p19'!E23</f>
        <v>117438</v>
      </c>
      <c r="J21" s="113">
        <f>+'MPP-3 p20'!E18</f>
        <v>43525</v>
      </c>
      <c r="K21" s="113">
        <v>0</v>
      </c>
      <c r="L21" s="2"/>
      <c r="M21" s="939">
        <f>+'MPP-3 p22'!F27</f>
        <v>105856.05</v>
      </c>
      <c r="N21" s="600">
        <v>0</v>
      </c>
      <c r="O21" s="113">
        <f>+'KJB 16'!E24</f>
        <v>0</v>
      </c>
      <c r="P21" s="113">
        <f>+'KJB -17 IRP'!E24</f>
        <v>0</v>
      </c>
      <c r="Q21" s="113">
        <f>+'KJB 18'!E23</f>
        <v>0</v>
      </c>
      <c r="R21" s="113">
        <v>0</v>
      </c>
      <c r="S21" s="113">
        <v>0</v>
      </c>
      <c r="T21" s="113">
        <v>0</v>
      </c>
      <c r="U21" s="113">
        <f t="shared" si="1"/>
        <v>532624.3833333334</v>
      </c>
    </row>
    <row r="22" spans="1:21" ht="12">
      <c r="A22" s="23" t="s">
        <v>1044</v>
      </c>
      <c r="B22" s="31" t="s">
        <v>1045</v>
      </c>
      <c r="C22" s="113">
        <v>0</v>
      </c>
      <c r="D22" s="113">
        <f>+'MPP-3 p14'!E21</f>
        <v>832522</v>
      </c>
      <c r="E22" s="113">
        <v>0</v>
      </c>
      <c r="F22" s="113">
        <v>0</v>
      </c>
      <c r="G22" s="113">
        <v>0</v>
      </c>
      <c r="H22" s="113">
        <v>0</v>
      </c>
      <c r="I22" s="113">
        <v>0</v>
      </c>
      <c r="J22" s="113">
        <v>0</v>
      </c>
      <c r="K22" s="113">
        <v>0</v>
      </c>
      <c r="L22" s="2"/>
      <c r="M22" s="939">
        <v>0</v>
      </c>
      <c r="N22" s="113">
        <v>0</v>
      </c>
      <c r="O22" s="113">
        <v>0</v>
      </c>
      <c r="P22" s="113">
        <v>0</v>
      </c>
      <c r="Q22" s="113">
        <v>0</v>
      </c>
      <c r="R22" s="113">
        <v>0</v>
      </c>
      <c r="S22" s="113">
        <v>0</v>
      </c>
      <c r="T22" s="113">
        <v>0</v>
      </c>
      <c r="U22" s="113">
        <f t="shared" si="1"/>
        <v>832522</v>
      </c>
    </row>
    <row r="23" spans="1:21" ht="12">
      <c r="A23" s="23" t="s">
        <v>1046</v>
      </c>
      <c r="B23" s="31" t="s">
        <v>1047</v>
      </c>
      <c r="C23" s="108">
        <v>0</v>
      </c>
      <c r="D23" s="108">
        <v>0</v>
      </c>
      <c r="E23" s="108">
        <v>0</v>
      </c>
      <c r="F23" s="108">
        <v>0</v>
      </c>
      <c r="G23" s="108">
        <v>0</v>
      </c>
      <c r="H23" s="108">
        <v>0</v>
      </c>
      <c r="I23" s="108">
        <v>0</v>
      </c>
      <c r="J23" s="108">
        <v>0</v>
      </c>
      <c r="K23" s="108">
        <v>0</v>
      </c>
      <c r="L23" s="2"/>
      <c r="M23" s="936">
        <v>0</v>
      </c>
      <c r="N23" s="113">
        <f>+'MPP-3 p23'!E21</f>
        <v>-35513.666666666664</v>
      </c>
      <c r="O23" s="108">
        <f>+'KJB 16'!E19</f>
        <v>0</v>
      </c>
      <c r="P23" s="108">
        <f>+'KJB -17 IRP'!E19</f>
        <v>0</v>
      </c>
      <c r="Q23" s="108">
        <v>0</v>
      </c>
      <c r="R23" s="108">
        <v>0</v>
      </c>
      <c r="S23" s="108">
        <v>0</v>
      </c>
      <c r="T23" s="108">
        <v>0</v>
      </c>
      <c r="U23" s="113">
        <f t="shared" si="1"/>
        <v>-35513.666666666664</v>
      </c>
    </row>
    <row r="24" spans="1:21" ht="12.75" thickBot="1">
      <c r="A24" s="23" t="s">
        <v>1048</v>
      </c>
      <c r="B24" s="31" t="s">
        <v>1049</v>
      </c>
      <c r="C24" s="109">
        <f aca="true" t="shared" si="4" ref="C24:T24">SUM(C15:C23)</f>
        <v>92472</v>
      </c>
      <c r="D24" s="109">
        <f t="shared" si="4"/>
        <v>832522</v>
      </c>
      <c r="E24" s="109">
        <f t="shared" si="4"/>
        <v>-482</v>
      </c>
      <c r="F24" s="109">
        <f t="shared" si="4"/>
        <v>173333.33333333334</v>
      </c>
      <c r="G24" s="109">
        <f t="shared" si="4"/>
        <v>0</v>
      </c>
      <c r="H24" s="109">
        <f t="shared" si="4"/>
        <v>0</v>
      </c>
      <c r="I24" s="109">
        <f t="shared" si="4"/>
        <v>117438</v>
      </c>
      <c r="J24" s="109">
        <f t="shared" si="4"/>
        <v>43525</v>
      </c>
      <c r="K24" s="109">
        <f t="shared" si="4"/>
        <v>0</v>
      </c>
      <c r="L24" s="2"/>
      <c r="M24" s="109">
        <f t="shared" si="4"/>
        <v>105856.05</v>
      </c>
      <c r="N24" s="888">
        <f>SUM(N15:N23)</f>
        <v>-35513.666666666664</v>
      </c>
      <c r="O24" s="109">
        <f>SUM(O15:O23)</f>
        <v>0</v>
      </c>
      <c r="P24" s="109">
        <f>SUM(P15:P23)</f>
        <v>0</v>
      </c>
      <c r="Q24" s="109">
        <f>SUM(Q15:Q23)</f>
        <v>0</v>
      </c>
      <c r="R24" s="109">
        <f t="shared" si="4"/>
        <v>0</v>
      </c>
      <c r="S24" s="109">
        <f t="shared" si="4"/>
        <v>0</v>
      </c>
      <c r="T24" s="109">
        <f t="shared" si="4"/>
        <v>501</v>
      </c>
      <c r="U24" s="109">
        <f>SUM(C24:T24)</f>
        <v>1329651.7166666666</v>
      </c>
    </row>
    <row r="25" spans="1:21" ht="12.75" thickTop="1">
      <c r="A25" s="34"/>
      <c r="B25" s="34"/>
      <c r="C25" s="108"/>
      <c r="D25" s="108"/>
      <c r="E25" s="108"/>
      <c r="F25" s="108"/>
      <c r="G25" s="108"/>
      <c r="H25" s="108"/>
      <c r="I25" s="108"/>
      <c r="J25" s="108"/>
      <c r="K25" s="108"/>
      <c r="L25" s="2"/>
      <c r="M25" s="936"/>
      <c r="N25" s="108"/>
      <c r="O25" s="108"/>
      <c r="P25" s="108"/>
      <c r="Q25" s="108"/>
      <c r="R25" s="108"/>
      <c r="S25" s="108"/>
      <c r="T25" s="108"/>
      <c r="U25" s="108"/>
    </row>
    <row r="26" spans="1:21" ht="12">
      <c r="A26" s="18"/>
      <c r="B26" s="30" t="s">
        <v>1050</v>
      </c>
      <c r="C26" s="113"/>
      <c r="D26" s="113"/>
      <c r="E26" s="113"/>
      <c r="F26" s="113"/>
      <c r="G26" s="113"/>
      <c r="H26" s="113"/>
      <c r="I26" s="113"/>
      <c r="J26" s="113"/>
      <c r="K26" s="113"/>
      <c r="L26" s="2"/>
      <c r="M26" s="939"/>
      <c r="N26" s="113"/>
      <c r="O26" s="113"/>
      <c r="P26" s="113"/>
      <c r="Q26" s="113"/>
      <c r="R26" s="113"/>
      <c r="S26" s="113"/>
      <c r="T26" s="113"/>
      <c r="U26" s="113"/>
    </row>
    <row r="27" spans="1:21" ht="12">
      <c r="A27" s="23" t="s">
        <v>1051</v>
      </c>
      <c r="B27" s="31" t="s">
        <v>1052</v>
      </c>
      <c r="C27" s="112">
        <f aca="true" t="shared" si="5" ref="C27:J27">ROUND(C12*OTI,0)</f>
        <v>0</v>
      </c>
      <c r="D27" s="112">
        <f t="shared" si="5"/>
        <v>0</v>
      </c>
      <c r="E27" s="112">
        <f t="shared" si="5"/>
        <v>-6312</v>
      </c>
      <c r="F27" s="112">
        <f t="shared" si="5"/>
        <v>0</v>
      </c>
      <c r="G27" s="112">
        <f t="shared" si="5"/>
        <v>0</v>
      </c>
      <c r="H27" s="112">
        <f t="shared" si="5"/>
        <v>0</v>
      </c>
      <c r="I27" s="112">
        <f t="shared" si="5"/>
        <v>0</v>
      </c>
      <c r="J27" s="112">
        <f t="shared" si="5"/>
        <v>0</v>
      </c>
      <c r="K27" s="112">
        <f>+'MPP-3 p21'!E18</f>
        <v>95381</v>
      </c>
      <c r="L27" s="2"/>
      <c r="M27" s="938">
        <f>ROUND(M12*OTI,0)</f>
        <v>0</v>
      </c>
      <c r="N27" s="112">
        <f>ROUND(N12*OTI,0)</f>
        <v>0</v>
      </c>
      <c r="O27" s="112">
        <f>+'KJB 16'!E22</f>
        <v>0</v>
      </c>
      <c r="P27" s="112">
        <f>+'KJB -17 IRP'!E22</f>
        <v>0</v>
      </c>
      <c r="Q27" s="112">
        <v>0</v>
      </c>
      <c r="R27" s="112">
        <f>ROUND(R12*OTI,0)</f>
        <v>0</v>
      </c>
      <c r="S27" s="112">
        <v>0</v>
      </c>
      <c r="T27" s="112">
        <v>0</v>
      </c>
      <c r="U27" s="106">
        <f>SUM(C27:T27)</f>
        <v>89069</v>
      </c>
    </row>
    <row r="28" spans="1:21" ht="12">
      <c r="A28" s="23" t="s">
        <v>1053</v>
      </c>
      <c r="B28" s="31" t="s">
        <v>1054</v>
      </c>
      <c r="C28" s="113">
        <v>0</v>
      </c>
      <c r="D28" s="113">
        <v>0</v>
      </c>
      <c r="E28" s="113">
        <v>0</v>
      </c>
      <c r="F28" s="113">
        <v>0</v>
      </c>
      <c r="G28" s="113">
        <v>0</v>
      </c>
      <c r="H28" s="113">
        <v>0</v>
      </c>
      <c r="I28" s="113">
        <v>0</v>
      </c>
      <c r="J28" s="113">
        <v>0</v>
      </c>
      <c r="K28" s="113">
        <v>0</v>
      </c>
      <c r="L28" s="2"/>
      <c r="M28" s="939">
        <v>0</v>
      </c>
      <c r="N28" s="113">
        <v>0</v>
      </c>
      <c r="O28" s="113">
        <v>0</v>
      </c>
      <c r="P28" s="113">
        <v>0</v>
      </c>
      <c r="Q28" s="113">
        <v>0</v>
      </c>
      <c r="R28" s="113">
        <v>0</v>
      </c>
      <c r="S28" s="113">
        <v>0</v>
      </c>
      <c r="T28" s="113">
        <v>0</v>
      </c>
      <c r="U28" s="113">
        <f>SUM(C28:T28)</f>
        <v>0</v>
      </c>
    </row>
    <row r="29" spans="1:21" ht="12">
      <c r="A29" s="23" t="s">
        <v>1055</v>
      </c>
      <c r="B29" s="31" t="s">
        <v>1056</v>
      </c>
      <c r="C29" s="108">
        <f>ROUND((C12-C24-C27-C28)*FIT,0)</f>
        <v>-31440</v>
      </c>
      <c r="D29" s="108">
        <f>ROUND((D12-D24-D27-D28)*FIT,0)</f>
        <v>-283057</v>
      </c>
      <c r="E29" s="108">
        <f>ROUND((E12-E24-E27-E28)*FIT,0)</f>
        <v>-50945</v>
      </c>
      <c r="F29" s="108">
        <f>ROUND((F12-F24-F27-F28)*FIT,0)</f>
        <v>-58933</v>
      </c>
      <c r="G29" s="108">
        <f>+'MPP-3 p17'!E24</f>
        <v>171461.266756</v>
      </c>
      <c r="H29" s="595">
        <f>'MPP-3 p18'!E26</f>
        <v>-148881.48622800034</v>
      </c>
      <c r="I29" s="108">
        <f aca="true" t="shared" si="6" ref="I29:T29">ROUND((I12-I24-I27-I28)*FIT,0)</f>
        <v>-39929</v>
      </c>
      <c r="J29" s="108">
        <f t="shared" si="6"/>
        <v>-14799</v>
      </c>
      <c r="K29" s="108">
        <f t="shared" si="6"/>
        <v>-32430</v>
      </c>
      <c r="L29" s="2"/>
      <c r="M29" s="936">
        <f t="shared" si="6"/>
        <v>-35991</v>
      </c>
      <c r="N29" s="108">
        <f t="shared" si="6"/>
        <v>12075</v>
      </c>
      <c r="O29" s="108">
        <f>ROUND((O12-O24-O27-O28)*FIT,0)</f>
        <v>0</v>
      </c>
      <c r="P29" s="108">
        <f>ROUND((P12-P24-P27-P28)*FIT,0)</f>
        <v>0</v>
      </c>
      <c r="Q29" s="108">
        <f>ROUND((Q12-Q24-Q27-Q28)*FIT,0)</f>
        <v>0</v>
      </c>
      <c r="R29" s="108">
        <f t="shared" si="6"/>
        <v>0</v>
      </c>
      <c r="S29" s="108">
        <f t="shared" si="6"/>
        <v>0</v>
      </c>
      <c r="T29" s="108">
        <f t="shared" si="6"/>
        <v>55164</v>
      </c>
      <c r="U29" s="113">
        <f>SUM(C29:T29)</f>
        <v>-457705.2194720004</v>
      </c>
    </row>
    <row r="30" spans="1:21" ht="12.75" thickBot="1">
      <c r="A30" s="23" t="s">
        <v>1057</v>
      </c>
      <c r="B30" s="31" t="s">
        <v>1058</v>
      </c>
      <c r="C30" s="109">
        <f aca="true" t="shared" si="7" ref="C30:U30">C27+C28+C29</f>
        <v>-31440</v>
      </c>
      <c r="D30" s="109">
        <f t="shared" si="7"/>
        <v>-283057</v>
      </c>
      <c r="E30" s="109">
        <f t="shared" si="7"/>
        <v>-57257</v>
      </c>
      <c r="F30" s="109">
        <f t="shared" si="7"/>
        <v>-58933</v>
      </c>
      <c r="G30" s="109">
        <f t="shared" si="7"/>
        <v>171461.266756</v>
      </c>
      <c r="H30" s="109">
        <f t="shared" si="7"/>
        <v>-148881.48622800034</v>
      </c>
      <c r="I30" s="109">
        <f t="shared" si="7"/>
        <v>-39929</v>
      </c>
      <c r="J30" s="109">
        <f t="shared" si="7"/>
        <v>-14799</v>
      </c>
      <c r="K30" s="109">
        <f t="shared" si="7"/>
        <v>62951</v>
      </c>
      <c r="L30" s="2"/>
      <c r="M30" s="109">
        <f t="shared" si="7"/>
        <v>-35991</v>
      </c>
      <c r="N30" s="888">
        <f t="shared" si="7"/>
        <v>12075</v>
      </c>
      <c r="O30" s="109">
        <f>O27+O28+O29</f>
        <v>0</v>
      </c>
      <c r="P30" s="109">
        <f>P27+P28+P29</f>
        <v>0</v>
      </c>
      <c r="Q30" s="109">
        <f>Q27+Q28+Q29</f>
        <v>0</v>
      </c>
      <c r="R30" s="109">
        <f t="shared" si="7"/>
        <v>0</v>
      </c>
      <c r="S30" s="109">
        <f t="shared" si="7"/>
        <v>0</v>
      </c>
      <c r="T30" s="109">
        <f t="shared" si="7"/>
        <v>55164</v>
      </c>
      <c r="U30" s="109">
        <f t="shared" si="7"/>
        <v>-368636.2194720004</v>
      </c>
    </row>
    <row r="31" spans="1:21" ht="12.75" thickTop="1">
      <c r="A31" s="34"/>
      <c r="B31" s="34"/>
      <c r="C31" s="108"/>
      <c r="D31" s="108"/>
      <c r="E31" s="108"/>
      <c r="F31" s="108"/>
      <c r="G31" s="108"/>
      <c r="H31" s="108"/>
      <c r="I31" s="108"/>
      <c r="J31" s="108"/>
      <c r="K31" s="108"/>
      <c r="L31" s="2"/>
      <c r="M31" s="936"/>
      <c r="N31" s="108"/>
      <c r="O31" s="108"/>
      <c r="P31" s="108"/>
      <c r="Q31" s="108"/>
      <c r="R31" s="108"/>
      <c r="S31" s="108"/>
      <c r="T31" s="108"/>
      <c r="U31" s="108"/>
    </row>
    <row r="32" spans="1:21" ht="12.75" thickBot="1">
      <c r="A32" s="23" t="s">
        <v>1059</v>
      </c>
      <c r="B32" s="33" t="s">
        <v>1060</v>
      </c>
      <c r="C32" s="109">
        <f aca="true" t="shared" si="8" ref="C32:U32">C24+C30</f>
        <v>61032</v>
      </c>
      <c r="D32" s="109">
        <f t="shared" si="8"/>
        <v>549465</v>
      </c>
      <c r="E32" s="109">
        <f t="shared" si="8"/>
        <v>-57739</v>
      </c>
      <c r="F32" s="109">
        <f t="shared" si="8"/>
        <v>114400.33333333334</v>
      </c>
      <c r="G32" s="109">
        <f t="shared" si="8"/>
        <v>171461.266756</v>
      </c>
      <c r="H32" s="109">
        <f t="shared" si="8"/>
        <v>-148881.48622800034</v>
      </c>
      <c r="I32" s="109">
        <f t="shared" si="8"/>
        <v>77509</v>
      </c>
      <c r="J32" s="109">
        <f aca="true" t="shared" si="9" ref="J32:R32">J24+J30</f>
        <v>28726</v>
      </c>
      <c r="K32" s="109">
        <f t="shared" si="9"/>
        <v>62951</v>
      </c>
      <c r="L32" s="2"/>
      <c r="M32" s="109">
        <f t="shared" si="9"/>
        <v>69865.05</v>
      </c>
      <c r="N32" s="888">
        <f t="shared" si="9"/>
        <v>-23438.666666666664</v>
      </c>
      <c r="O32" s="109">
        <f t="shared" si="9"/>
        <v>0</v>
      </c>
      <c r="P32" s="109">
        <f t="shared" si="9"/>
        <v>0</v>
      </c>
      <c r="Q32" s="109">
        <f t="shared" si="9"/>
        <v>0</v>
      </c>
      <c r="R32" s="109">
        <f t="shared" si="9"/>
        <v>0</v>
      </c>
      <c r="S32" s="109">
        <f t="shared" si="8"/>
        <v>0</v>
      </c>
      <c r="T32" s="109">
        <f>T24+T30</f>
        <v>55665</v>
      </c>
      <c r="U32" s="109">
        <f t="shared" si="8"/>
        <v>961015.4971946662</v>
      </c>
    </row>
    <row r="33" spans="1:21" ht="12.75" thickTop="1">
      <c r="A33" s="34"/>
      <c r="B33" s="34"/>
      <c r="C33" s="108"/>
      <c r="D33" s="108"/>
      <c r="E33" s="108"/>
      <c r="F33" s="108"/>
      <c r="G33" s="108"/>
      <c r="H33" s="108"/>
      <c r="I33" s="108"/>
      <c r="J33" s="108"/>
      <c r="K33" s="108"/>
      <c r="L33" s="2"/>
      <c r="M33" s="936"/>
      <c r="N33" s="108"/>
      <c r="O33" s="108"/>
      <c r="P33" s="108"/>
      <c r="Q33" s="108"/>
      <c r="R33" s="108"/>
      <c r="S33" s="108"/>
      <c r="T33" s="108"/>
      <c r="U33" s="108"/>
    </row>
    <row r="34" spans="1:24" ht="12.75" thickBot="1">
      <c r="A34" s="35" t="s">
        <v>1061</v>
      </c>
      <c r="B34" s="29" t="s">
        <v>1062</v>
      </c>
      <c r="C34" s="109">
        <f aca="true" t="shared" si="10" ref="C34:U34">C12-C32</f>
        <v>-61032</v>
      </c>
      <c r="D34" s="109">
        <f t="shared" si="10"/>
        <v>-549465</v>
      </c>
      <c r="E34" s="109">
        <f t="shared" si="10"/>
        <v>-98892.6778774356</v>
      </c>
      <c r="F34" s="109">
        <f t="shared" si="10"/>
        <v>-114400.33333333334</v>
      </c>
      <c r="G34" s="109">
        <f t="shared" si="10"/>
        <v>-171461.266756</v>
      </c>
      <c r="H34" s="109">
        <f t="shared" si="10"/>
        <v>148881.48622800034</v>
      </c>
      <c r="I34" s="109">
        <f t="shared" si="10"/>
        <v>-77509</v>
      </c>
      <c r="J34" s="109">
        <f aca="true" t="shared" si="11" ref="J34:R34">J12-J32</f>
        <v>-28726</v>
      </c>
      <c r="K34" s="109">
        <f t="shared" si="11"/>
        <v>-62951</v>
      </c>
      <c r="L34" s="2"/>
      <c r="M34" s="109">
        <f t="shared" si="11"/>
        <v>-69865.05</v>
      </c>
      <c r="N34" s="888">
        <f t="shared" si="11"/>
        <v>23438.666666666664</v>
      </c>
      <c r="O34" s="109">
        <f t="shared" si="11"/>
        <v>0</v>
      </c>
      <c r="P34" s="109">
        <f t="shared" si="11"/>
        <v>0</v>
      </c>
      <c r="Q34" s="109">
        <f t="shared" si="11"/>
        <v>0</v>
      </c>
      <c r="R34" s="109">
        <f t="shared" si="11"/>
        <v>0</v>
      </c>
      <c r="S34" s="109">
        <f t="shared" si="10"/>
        <v>0</v>
      </c>
      <c r="T34" s="109">
        <f>T12-T32</f>
        <v>107082.68</v>
      </c>
      <c r="U34" s="109">
        <f t="shared" si="10"/>
        <v>-954899.4950721018</v>
      </c>
      <c r="X34">
        <f>SUM(C34:T34)</f>
        <v>-954899.4950721019</v>
      </c>
    </row>
    <row r="35" spans="1:24" ht="12.75" thickTop="1">
      <c r="A35" s="34"/>
      <c r="B35" s="34"/>
      <c r="C35" s="108"/>
      <c r="D35" s="108"/>
      <c r="E35" s="108"/>
      <c r="F35" s="108"/>
      <c r="G35" s="108"/>
      <c r="H35" s="108"/>
      <c r="I35" s="108"/>
      <c r="J35" s="108"/>
      <c r="K35" s="108"/>
      <c r="L35" s="2"/>
      <c r="M35" s="936"/>
      <c r="N35" s="108"/>
      <c r="O35" s="108"/>
      <c r="P35" s="108"/>
      <c r="Q35" s="108"/>
      <c r="R35" s="108"/>
      <c r="S35" s="108"/>
      <c r="T35" s="108"/>
      <c r="U35" s="108"/>
      <c r="X35">
        <f>+X34-U34</f>
        <v>0</v>
      </c>
    </row>
    <row r="36" spans="1:21" ht="12.75" thickBot="1">
      <c r="A36" s="35" t="s">
        <v>1063</v>
      </c>
      <c r="B36" s="29" t="s">
        <v>1064</v>
      </c>
      <c r="C36" s="109">
        <f>FITRBADJ</f>
        <v>0</v>
      </c>
      <c r="D36" s="109">
        <v>0</v>
      </c>
      <c r="E36" s="109">
        <v>0</v>
      </c>
      <c r="F36" s="109">
        <v>0</v>
      </c>
      <c r="G36" s="109">
        <v>0</v>
      </c>
      <c r="H36" s="109">
        <v>0</v>
      </c>
      <c r="I36" s="109">
        <v>0</v>
      </c>
      <c r="J36" s="109">
        <v>0</v>
      </c>
      <c r="K36" s="109">
        <v>0</v>
      </c>
      <c r="L36" s="2"/>
      <c r="M36" s="109">
        <v>0</v>
      </c>
      <c r="N36" s="888">
        <v>0</v>
      </c>
      <c r="O36" s="109">
        <f>+'KJB 16'!E30</f>
        <v>0</v>
      </c>
      <c r="P36" s="109">
        <f>+'KJB -17 IRP'!E30</f>
        <v>0</v>
      </c>
      <c r="Q36" s="109">
        <f>+'KJB 18'!E29</f>
        <v>0</v>
      </c>
      <c r="R36" s="109">
        <v>0</v>
      </c>
      <c r="S36" s="109">
        <v>0</v>
      </c>
      <c r="T36" s="109">
        <v>0</v>
      </c>
      <c r="U36" s="109">
        <f>SUM(C36:S36)</f>
        <v>0</v>
      </c>
    </row>
    <row r="37" spans="1:21" ht="12" thickTop="1">
      <c r="A37" s="34"/>
      <c r="B37" s="34"/>
      <c r="C37" s="64"/>
      <c r="D37" s="64"/>
      <c r="E37" s="64"/>
      <c r="F37" s="64"/>
      <c r="G37" s="64"/>
      <c r="H37" s="64"/>
      <c r="I37" s="64"/>
      <c r="J37" s="64"/>
      <c r="K37" s="64"/>
      <c r="L37" s="2"/>
      <c r="M37" s="940"/>
      <c r="N37" s="64"/>
      <c r="O37" s="64"/>
      <c r="P37" s="64"/>
      <c r="Q37" s="64"/>
      <c r="R37" s="64"/>
      <c r="S37" s="64"/>
      <c r="T37" s="64"/>
      <c r="U37" s="17"/>
    </row>
    <row r="38" spans="2:18" ht="11.25">
      <c r="B38" t="s">
        <v>1147</v>
      </c>
      <c r="C38" s="8"/>
      <c r="D38" s="8"/>
      <c r="E38" s="8"/>
      <c r="F38" s="8"/>
      <c r="G38" s="8"/>
      <c r="H38" s="8"/>
      <c r="I38" s="8"/>
      <c r="J38" s="8"/>
      <c r="K38" s="8"/>
      <c r="L38" s="2"/>
      <c r="M38" s="8"/>
      <c r="N38" s="8"/>
      <c r="O38" s="8"/>
      <c r="P38" s="8"/>
      <c r="Q38" s="8"/>
      <c r="R38" s="8"/>
    </row>
    <row r="39" spans="2:21" ht="11.25">
      <c r="B39" t="s">
        <v>1239</v>
      </c>
      <c r="U39" s="8"/>
    </row>
    <row r="40" spans="2:20" ht="11.25">
      <c r="B40" t="s">
        <v>1240</v>
      </c>
      <c r="C40" s="138" t="s">
        <v>1249</v>
      </c>
      <c r="D40" s="138" t="s">
        <v>1250</v>
      </c>
      <c r="E40" s="138" t="s">
        <v>1251</v>
      </c>
      <c r="F40" s="138" t="s">
        <v>1252</v>
      </c>
      <c r="G40" s="138" t="s">
        <v>1253</v>
      </c>
      <c r="H40" s="138" t="s">
        <v>1254</v>
      </c>
      <c r="I40" s="138" t="s">
        <v>1255</v>
      </c>
      <c r="J40" s="138" t="s">
        <v>1256</v>
      </c>
      <c r="K40" s="138" t="s">
        <v>1257</v>
      </c>
      <c r="M40" s="138" t="s">
        <v>1258</v>
      </c>
      <c r="N40" s="138" t="s">
        <v>1259</v>
      </c>
      <c r="O40" s="138"/>
      <c r="P40" s="138"/>
      <c r="Q40" s="138"/>
      <c r="R40" s="138"/>
      <c r="S40" s="138"/>
      <c r="T40" s="138" t="s">
        <v>1260</v>
      </c>
    </row>
    <row r="41" spans="5:18" ht="11.25">
      <c r="E41" s="2"/>
      <c r="F41" s="2"/>
      <c r="G41" s="2"/>
      <c r="H41" s="2"/>
      <c r="I41" s="2"/>
      <c r="J41" s="2"/>
      <c r="K41" s="2"/>
      <c r="L41" s="2"/>
      <c r="M41" s="2"/>
      <c r="N41" s="2"/>
      <c r="O41" s="2"/>
      <c r="P41" s="2"/>
      <c r="Q41" s="2"/>
      <c r="R41" s="2"/>
    </row>
    <row r="42" spans="5:6" ht="11.25">
      <c r="E42" s="2"/>
      <c r="F42" s="2"/>
    </row>
    <row r="43" spans="5:6" ht="11.25">
      <c r="E43" s="2"/>
      <c r="F43" s="2"/>
    </row>
    <row r="44" spans="2:18" ht="11.25">
      <c r="B44" s="36"/>
      <c r="C44" s="8"/>
      <c r="D44" s="8"/>
      <c r="E44" s="8"/>
      <c r="F44" s="8"/>
      <c r="G44" s="8"/>
      <c r="H44" s="8"/>
      <c r="I44" s="8"/>
      <c r="J44" s="8"/>
      <c r="K44" s="8"/>
      <c r="L44" s="8"/>
      <c r="M44" s="8"/>
      <c r="N44" s="8"/>
      <c r="O44" s="8"/>
      <c r="P44" s="8"/>
      <c r="Q44" s="8"/>
      <c r="R44" s="8"/>
    </row>
    <row r="45" spans="2:21" ht="12.75">
      <c r="B45" s="1"/>
      <c r="C45" s="1022"/>
      <c r="D45" s="1022"/>
      <c r="E45" s="1022"/>
      <c r="F45" s="1022"/>
      <c r="G45" s="1022"/>
      <c r="H45" s="1022"/>
      <c r="I45" s="1022"/>
      <c r="J45" s="1022"/>
      <c r="K45" s="1022"/>
      <c r="L45" s="65"/>
      <c r="M45" s="1022"/>
      <c r="N45" s="1022"/>
      <c r="O45" s="1022"/>
      <c r="P45" s="1022"/>
      <c r="Q45" s="1022"/>
      <c r="R45" s="1022"/>
      <c r="S45" s="1022"/>
      <c r="T45" s="1022"/>
      <c r="U45" s="65"/>
    </row>
    <row r="46" spans="2:20" ht="12.75">
      <c r="B46" s="1"/>
      <c r="C46" s="1022"/>
      <c r="D46" s="1022"/>
      <c r="E46" s="1022"/>
      <c r="F46" s="1022"/>
      <c r="G46" s="1022"/>
      <c r="H46" s="1022"/>
      <c r="I46" s="1022"/>
      <c r="J46" s="1022"/>
      <c r="K46" s="1022"/>
      <c r="L46" s="65"/>
      <c r="M46" s="1022"/>
      <c r="N46" s="1022"/>
      <c r="O46" s="1022"/>
      <c r="P46" s="1022"/>
      <c r="Q46" s="1022"/>
      <c r="R46" s="1022"/>
      <c r="S46" s="1022"/>
      <c r="T46" s="1022"/>
    </row>
    <row r="47" spans="2:20" ht="12.75">
      <c r="B47" s="1"/>
      <c r="C47" s="1022"/>
      <c r="D47" s="1022"/>
      <c r="E47" s="1022"/>
      <c r="F47" s="1022"/>
      <c r="G47" s="1022"/>
      <c r="H47" s="1022"/>
      <c r="I47" s="1022"/>
      <c r="J47" s="1022"/>
      <c r="K47" s="1022"/>
      <c r="L47" s="65"/>
      <c r="M47" s="1022"/>
      <c r="N47" s="1022"/>
      <c r="O47" s="1022"/>
      <c r="P47" s="1022"/>
      <c r="Q47" s="1022"/>
      <c r="R47" s="1022"/>
      <c r="S47" s="1022"/>
      <c r="T47" s="1022"/>
    </row>
    <row r="48" spans="2:20" ht="12.75">
      <c r="B48" s="1"/>
      <c r="C48" s="1022"/>
      <c r="D48" s="1022"/>
      <c r="E48" s="1022"/>
      <c r="F48" s="1022"/>
      <c r="G48" s="1022"/>
      <c r="H48" s="1022"/>
      <c r="I48" s="1022"/>
      <c r="J48" s="1022"/>
      <c r="K48" s="1022"/>
      <c r="L48" s="65"/>
      <c r="M48" s="1022"/>
      <c r="N48" s="1022"/>
      <c r="O48" s="1022"/>
      <c r="P48" s="1022"/>
      <c r="Q48" s="1022"/>
      <c r="R48" s="1022"/>
      <c r="S48" s="1022"/>
      <c r="T48" s="1022"/>
    </row>
    <row r="49" spans="2:20" ht="12.75">
      <c r="B49" s="1"/>
      <c r="C49" s="1022"/>
      <c r="D49" s="1022"/>
      <c r="E49" s="1022"/>
      <c r="F49" s="1022"/>
      <c r="G49" s="1022"/>
      <c r="H49" s="1022"/>
      <c r="I49" s="1022"/>
      <c r="J49" s="1022"/>
      <c r="K49" s="1022"/>
      <c r="L49" s="65"/>
      <c r="M49" s="1022"/>
      <c r="N49" s="1022"/>
      <c r="O49" s="1022"/>
      <c r="P49" s="1022"/>
      <c r="Q49" s="1022"/>
      <c r="R49" s="1022"/>
      <c r="S49" s="1022"/>
      <c r="T49" s="1022"/>
    </row>
    <row r="51" spans="5:6" ht="11.25">
      <c r="E51" s="2"/>
      <c r="F51" s="2"/>
    </row>
    <row r="52" spans="5:8" ht="11.25">
      <c r="E52" s="2"/>
      <c r="F52" s="2"/>
      <c r="H52">
        <f>+H34/NTG*2</f>
        <v>471615.0103044804</v>
      </c>
    </row>
    <row r="53" spans="5:6" ht="11.25">
      <c r="E53" s="2"/>
      <c r="F53" s="2"/>
    </row>
    <row r="54" spans="5:6" ht="11.25">
      <c r="E54" s="2"/>
      <c r="F54" s="2"/>
    </row>
    <row r="55" spans="5:6" ht="11.25">
      <c r="E55" s="2"/>
      <c r="F55" s="2"/>
    </row>
  </sheetData>
  <mergeCells count="6">
    <mergeCell ref="C3:K3"/>
    <mergeCell ref="C4:K4"/>
    <mergeCell ref="C5:K5"/>
    <mergeCell ref="M3:S3"/>
    <mergeCell ref="M4:S4"/>
    <mergeCell ref="M5:S5"/>
  </mergeCells>
  <printOptions/>
  <pageMargins left="1.45" right="0.25" top="0.87" bottom="0.28" header="0.25" footer="0.28"/>
  <pageSetup fitToWidth="2" fitToHeight="1" horizontalDpi="1200" verticalDpi="1200" orientation="landscape" scale="83" r:id="rId2"/>
  <colBreaks count="1" manualBreakCount="1">
    <brk id="12" min="2" max="49" man="1"/>
  </colBreaks>
  <drawing r:id="rId1"/>
</worksheet>
</file>

<file path=xl/worksheets/sheet40.xml><?xml version="1.0" encoding="utf-8"?>
<worksheet xmlns="http://schemas.openxmlformats.org/spreadsheetml/2006/main" xmlns:r="http://schemas.openxmlformats.org/officeDocument/2006/relationships">
  <sheetPr>
    <pageSetUpPr fitToPage="1"/>
  </sheetPr>
  <dimension ref="A1:U47"/>
  <sheetViews>
    <sheetView showGridLines="0" zoomScale="75" zoomScaleNormal="75" workbookViewId="0" topLeftCell="A6">
      <pane xSplit="1" ySplit="7" topLeftCell="B13" activePane="bottomRight" state="frozen"/>
      <selection pane="topLeft" activeCell="G32" sqref="G32"/>
      <selection pane="topRight" activeCell="G32" sqref="G32"/>
      <selection pane="bottomLeft" activeCell="G32" sqref="G32"/>
      <selection pane="bottomRight" activeCell="G32" sqref="G32"/>
    </sheetView>
  </sheetViews>
  <sheetFormatPr defaultColWidth="9.33203125" defaultRowHeight="11.25"/>
  <cols>
    <col min="2" max="2" width="28" style="0" customWidth="1"/>
    <col min="3" max="3" width="9.5" style="0" bestFit="1" customWidth="1"/>
    <col min="4" max="4" width="16.16015625" style="0" customWidth="1"/>
    <col min="5" max="5" width="2.33203125" style="0" customWidth="1"/>
    <col min="6" max="6" width="16.66015625" style="0" customWidth="1"/>
    <col min="7" max="7" width="13.16015625" style="0" customWidth="1"/>
    <col min="8" max="9" width="16.16015625" style="0" customWidth="1"/>
    <col min="10" max="10" width="17.5" style="0" customWidth="1"/>
    <col min="11" max="11" width="12.83203125" style="0" bestFit="1" customWidth="1"/>
    <col min="12" max="12" width="25.33203125" style="0" customWidth="1"/>
    <col min="13" max="13" width="6.83203125" style="0" customWidth="1"/>
    <col min="14" max="14" width="28" style="0" customWidth="1"/>
    <col min="15" max="17" width="14" style="0" customWidth="1"/>
    <col min="21" max="21" width="13.5" style="0" customWidth="1"/>
  </cols>
  <sheetData>
    <row r="1" spans="9:10" ht="15.75">
      <c r="I1" s="37"/>
      <c r="J1" s="37" t="s">
        <v>384</v>
      </c>
    </row>
    <row r="2" spans="9:10" ht="15.75">
      <c r="I2" s="37"/>
      <c r="J2" s="37" t="s">
        <v>86</v>
      </c>
    </row>
    <row r="3" spans="9:10" ht="15.75">
      <c r="I3" s="37"/>
      <c r="J3" s="37" t="s">
        <v>876</v>
      </c>
    </row>
    <row r="4" spans="9:10" ht="15.75">
      <c r="I4" s="37"/>
      <c r="J4" s="37" t="s">
        <v>353</v>
      </c>
    </row>
    <row r="5" spans="8:9" ht="15.75">
      <c r="H5" s="37"/>
      <c r="I5" s="37"/>
    </row>
    <row r="6" spans="1:11" ht="15.75">
      <c r="A6" s="1243" t="s">
        <v>658</v>
      </c>
      <c r="B6" s="1244"/>
      <c r="C6" s="1244"/>
      <c r="D6" s="1244"/>
      <c r="E6" s="1244"/>
      <c r="F6" s="1244"/>
      <c r="G6" s="1244"/>
      <c r="H6" s="1244"/>
      <c r="I6" s="1244"/>
      <c r="J6" s="1244"/>
      <c r="K6" s="1245"/>
    </row>
    <row r="7" spans="1:11" ht="18.75">
      <c r="A7" s="1258" t="s">
        <v>1511</v>
      </c>
      <c r="B7" s="1259"/>
      <c r="C7" s="1259"/>
      <c r="D7" s="1259"/>
      <c r="E7" s="1259"/>
      <c r="F7" s="1259"/>
      <c r="G7" s="1259"/>
      <c r="H7" s="1259"/>
      <c r="I7" s="1259"/>
      <c r="J7" s="1259"/>
      <c r="K7" s="1260"/>
    </row>
    <row r="8" spans="1:11" ht="15.75">
      <c r="A8" s="1249" t="s">
        <v>659</v>
      </c>
      <c r="B8" s="1250"/>
      <c r="C8" s="1250"/>
      <c r="D8" s="1250"/>
      <c r="E8" s="1250"/>
      <c r="F8" s="1250"/>
      <c r="G8" s="1250"/>
      <c r="H8" s="1250"/>
      <c r="I8" s="1250"/>
      <c r="J8" s="1250"/>
      <c r="K8" s="1251"/>
    </row>
    <row r="9" spans="1:21" ht="11.25">
      <c r="A9" s="20"/>
      <c r="B9" s="20"/>
      <c r="C9" s="20"/>
      <c r="D9" s="15"/>
      <c r="E9" s="15"/>
      <c r="F9" s="22" t="s">
        <v>1273</v>
      </c>
      <c r="G9" s="22" t="s">
        <v>1478</v>
      </c>
      <c r="H9" s="213" t="s">
        <v>1275</v>
      </c>
      <c r="I9" s="213"/>
      <c r="J9" s="213"/>
      <c r="K9" s="22" t="s">
        <v>79</v>
      </c>
      <c r="U9" s="212" t="s">
        <v>1276</v>
      </c>
    </row>
    <row r="10" spans="1:21" ht="11.25">
      <c r="A10" s="23" t="s">
        <v>1000</v>
      </c>
      <c r="B10" s="20"/>
      <c r="C10" s="23" t="s">
        <v>1277</v>
      </c>
      <c r="D10" s="22" t="s">
        <v>1273</v>
      </c>
      <c r="E10" s="22"/>
      <c r="F10" s="22" t="s">
        <v>1276</v>
      </c>
      <c r="G10" s="22" t="s">
        <v>1509</v>
      </c>
      <c r="H10" s="213" t="s">
        <v>1279</v>
      </c>
      <c r="I10" s="213" t="s">
        <v>1278</v>
      </c>
      <c r="J10" s="213" t="s">
        <v>997</v>
      </c>
      <c r="K10" s="22" t="s">
        <v>1509</v>
      </c>
      <c r="U10" s="213" t="s">
        <v>1280</v>
      </c>
    </row>
    <row r="11" spans="1:21" ht="11.25">
      <c r="A11" s="24" t="s">
        <v>1006</v>
      </c>
      <c r="B11" s="24" t="s">
        <v>1007</v>
      </c>
      <c r="C11" s="24" t="s">
        <v>1281</v>
      </c>
      <c r="D11" s="25" t="s">
        <v>1282</v>
      </c>
      <c r="E11" s="25"/>
      <c r="F11" s="24" t="s">
        <v>34</v>
      </c>
      <c r="G11" s="25" t="s">
        <v>1510</v>
      </c>
      <c r="H11" s="214" t="s">
        <v>1283</v>
      </c>
      <c r="I11" s="214" t="s">
        <v>998</v>
      </c>
      <c r="J11" s="214" t="s">
        <v>1356</v>
      </c>
      <c r="K11" s="25" t="s">
        <v>1510</v>
      </c>
      <c r="U11" s="214" t="s">
        <v>1284</v>
      </c>
    </row>
    <row r="12" spans="1:11" ht="11.25">
      <c r="A12" s="26"/>
      <c r="B12" s="27" t="s">
        <v>1012</v>
      </c>
      <c r="C12" s="27" t="s">
        <v>1013</v>
      </c>
      <c r="D12" s="28" t="s">
        <v>1014</v>
      </c>
      <c r="E12" s="19"/>
      <c r="F12" s="28" t="s">
        <v>1074</v>
      </c>
      <c r="G12" s="212" t="s">
        <v>1075</v>
      </c>
      <c r="H12" s="215" t="s">
        <v>1016</v>
      </c>
      <c r="I12" s="215" t="s">
        <v>1018</v>
      </c>
      <c r="J12" s="215" t="s">
        <v>1076</v>
      </c>
      <c r="K12" s="19" t="s">
        <v>1077</v>
      </c>
    </row>
    <row r="13" spans="1:21" ht="11.25">
      <c r="A13" s="136"/>
      <c r="B13" s="30" t="s">
        <v>1285</v>
      </c>
      <c r="C13" s="18"/>
      <c r="D13" s="165"/>
      <c r="E13" s="129"/>
      <c r="F13" s="197"/>
      <c r="G13" s="197"/>
      <c r="H13" s="228"/>
      <c r="I13" s="228"/>
      <c r="J13" s="909"/>
      <c r="K13" s="198"/>
      <c r="U13">
        <f>+J14/'MPP-3 p5'!D19/12</f>
        <v>22.864087695548402</v>
      </c>
    </row>
    <row r="14" spans="1:20" ht="17.25">
      <c r="A14" s="23" t="s">
        <v>1286</v>
      </c>
      <c r="B14" s="31" t="s">
        <v>1289</v>
      </c>
      <c r="C14" s="1021" t="s">
        <v>1290</v>
      </c>
      <c r="D14" s="1033">
        <f>+'JTS-9 S3 WP1'!F17</f>
        <v>104985486</v>
      </c>
      <c r="E14" s="1034"/>
      <c r="F14" s="1035">
        <f>+'JTS-9 S3 WP1'!R17</f>
        <v>30852197.036800012</v>
      </c>
      <c r="G14" s="1036">
        <f>+'WP =% ROR '!K43</f>
        <v>0.016874164157129647</v>
      </c>
      <c r="H14" s="1037">
        <f>+'WP Level ROR'!L16</f>
        <v>9582301.858321857</v>
      </c>
      <c r="I14" s="1036">
        <f>+H14/F14</f>
        <v>0.3105873415398015</v>
      </c>
      <c r="J14" s="1038">
        <f>+H14+F14</f>
        <v>40434498.89512187</v>
      </c>
      <c r="K14" s="1036">
        <f>+'WP Level ROR'!M43</f>
        <v>0.08371240691207844</v>
      </c>
      <c r="R14">
        <f>+H14/D14</f>
        <v>0.0912726341841372</v>
      </c>
      <c r="S14">
        <f>+J14/'MPP-3 p5'!D19</f>
        <v>274.3690523465808</v>
      </c>
      <c r="T14">
        <f>+S14/12</f>
        <v>22.864087695548402</v>
      </c>
    </row>
    <row r="15" spans="1:19" ht="17.25">
      <c r="A15" s="23" t="s">
        <v>1288</v>
      </c>
      <c r="B15" s="31" t="s">
        <v>1292</v>
      </c>
      <c r="C15" s="93"/>
      <c r="D15" s="952">
        <f>+D14</f>
        <v>104985486</v>
      </c>
      <c r="E15" s="1039"/>
      <c r="F15" s="1040">
        <f>+F14</f>
        <v>30852197.036800012</v>
      </c>
      <c r="G15" s="1040"/>
      <c r="H15" s="1041">
        <f>+H14</f>
        <v>9582301.858321857</v>
      </c>
      <c r="I15" s="1036"/>
      <c r="J15" s="1042">
        <f>+J14</f>
        <v>40434498.89512187</v>
      </c>
      <c r="K15" s="1041"/>
      <c r="S15">
        <f>+S14-84</f>
        <v>190.36905234658082</v>
      </c>
    </row>
    <row r="16" spans="1:19" ht="15">
      <c r="A16" s="23"/>
      <c r="B16" s="33" t="s">
        <v>1293</v>
      </c>
      <c r="C16" s="93"/>
      <c r="D16" s="943"/>
      <c r="E16" s="1034"/>
      <c r="F16" s="950"/>
      <c r="G16" s="950"/>
      <c r="H16" s="1034"/>
      <c r="I16" s="1036"/>
      <c r="J16" s="943"/>
      <c r="K16" s="1034"/>
      <c r="S16">
        <f>84/S14</f>
        <v>0.3061569782800863</v>
      </c>
    </row>
    <row r="17" spans="1:11" ht="15">
      <c r="A17" s="23" t="s">
        <v>1291</v>
      </c>
      <c r="B17" s="31" t="s">
        <v>1295</v>
      </c>
      <c r="C17" s="1021" t="s">
        <v>1296</v>
      </c>
      <c r="D17" s="943">
        <f>+'JTS-9 S3 WP1'!D16+'JTS-9 S3 WP1'!D22</f>
        <v>1431475</v>
      </c>
      <c r="E17" s="1034"/>
      <c r="F17" s="945">
        <f>+'JTS-9 S3 WP1'!R16+'JTS-9 S3 WP1'!R22</f>
        <v>372851.82999999996</v>
      </c>
      <c r="G17" s="1036">
        <f>+'WP =% ROR '!O43</f>
        <v>0.1171495972603568</v>
      </c>
      <c r="H17" s="980">
        <f>+'WP Level ROR'!P16</f>
        <v>-55988.619455492895</v>
      </c>
      <c r="I17" s="1036">
        <f>+H17/F17</f>
        <v>-0.1501631880296602</v>
      </c>
      <c r="J17" s="946">
        <f>+H17+F17</f>
        <v>316863.2105445071</v>
      </c>
      <c r="K17" s="1036">
        <f>+'WP Level ROR'!Q43</f>
        <v>0.08371225909771718</v>
      </c>
    </row>
    <row r="18" spans="1:11" ht="17.25">
      <c r="A18" s="23" t="s">
        <v>1294</v>
      </c>
      <c r="B18" s="31" t="s">
        <v>1298</v>
      </c>
      <c r="C18" s="1021" t="s">
        <v>1299</v>
      </c>
      <c r="D18" s="1033">
        <f>+'JTS-9 S3 WP1'!F19+'JTS-9 S3 WP1'!F26</f>
        <v>161724</v>
      </c>
      <c r="E18" s="1034"/>
      <c r="F18" s="1043">
        <f>+'JTS-9 S3 WP1'!R19+'JTS-9 S3 WP1'!R26</f>
        <v>35738.40999999999</v>
      </c>
      <c r="G18" s="1036">
        <f>+'WP =% ROR '!S43</f>
        <v>0.02296164844146372</v>
      </c>
      <c r="H18" s="1044">
        <f>+'WP Level ROR'!T16</f>
        <v>15275.173794004626</v>
      </c>
      <c r="I18" s="1036">
        <f>+H18/F18</f>
        <v>0.42741615516763704</v>
      </c>
      <c r="J18" s="1033">
        <f>+H18+F18</f>
        <v>51013.58379400462</v>
      </c>
      <c r="K18" s="1036">
        <f>+'WP Level ROR'!U43</f>
        <v>0.08371181820014874</v>
      </c>
    </row>
    <row r="19" spans="1:11" ht="17.25">
      <c r="A19" s="23" t="s">
        <v>1297</v>
      </c>
      <c r="B19" s="31" t="s">
        <v>1292</v>
      </c>
      <c r="C19" s="93"/>
      <c r="D19" s="952">
        <f>D18+D17</f>
        <v>1593199</v>
      </c>
      <c r="E19" s="1039"/>
      <c r="F19" s="1040">
        <f>F18+F17</f>
        <v>408590.23999999993</v>
      </c>
      <c r="G19" s="1036"/>
      <c r="H19" s="1041">
        <f>H17+H18</f>
        <v>-40713.445661488266</v>
      </c>
      <c r="I19" s="1036"/>
      <c r="J19" s="1042">
        <f>J17+J18</f>
        <v>367876.7943385117</v>
      </c>
      <c r="K19" s="1036"/>
    </row>
    <row r="20" spans="1:11" ht="15">
      <c r="A20" s="23"/>
      <c r="B20" s="33" t="s">
        <v>1301</v>
      </c>
      <c r="C20" s="93"/>
      <c r="D20" s="943"/>
      <c r="E20" s="1034"/>
      <c r="F20" s="950"/>
      <c r="G20" s="1036"/>
      <c r="H20" s="1034"/>
      <c r="I20" s="1036"/>
      <c r="J20" s="943"/>
      <c r="K20" s="1036"/>
    </row>
    <row r="21" spans="1:21" ht="17.25">
      <c r="A21" s="23" t="s">
        <v>1300</v>
      </c>
      <c r="B21" s="31" t="s">
        <v>1287</v>
      </c>
      <c r="C21" s="1021" t="s">
        <v>1303</v>
      </c>
      <c r="D21" s="943">
        <f>+'JTS-9 S3 WP1'!F23</f>
        <v>77620374</v>
      </c>
      <c r="E21" s="1034"/>
      <c r="F21" s="1035">
        <f>+'JTS-9 S3 WP1'!R23</f>
        <v>16960283.09736999</v>
      </c>
      <c r="G21" s="1036">
        <f>+'WP =% ROR '!W43</f>
        <v>0.04948301416321784</v>
      </c>
      <c r="H21" s="1037">
        <f>+'WP Level ROR'!X16</f>
        <v>3135858.179500352</v>
      </c>
      <c r="I21" s="1036">
        <f>+H21/F21</f>
        <v>0.18489421205396186</v>
      </c>
      <c r="J21" s="1038">
        <f>+H21+F21</f>
        <v>20096141.276870344</v>
      </c>
      <c r="K21" s="1036">
        <f>+'WP Level ROR'!Y43</f>
        <v>0.08371241265133283</v>
      </c>
      <c r="S21">
        <f>+J21/'MPP-3 p5'!D25</f>
        <v>912.2377392528357</v>
      </c>
      <c r="T21">
        <f>+S21/12</f>
        <v>76.01981160440297</v>
      </c>
      <c r="U21">
        <f>+J22/'MPP-3 p5'!D25/12</f>
        <v>76.01981160440297</v>
      </c>
    </row>
    <row r="22" spans="1:19" ht="17.25">
      <c r="A22" s="23" t="s">
        <v>1302</v>
      </c>
      <c r="B22" s="31" t="s">
        <v>1292</v>
      </c>
      <c r="C22" s="93"/>
      <c r="D22" s="952">
        <f>+D21</f>
        <v>77620374</v>
      </c>
      <c r="E22" s="1039"/>
      <c r="F22" s="1040">
        <f>+F21</f>
        <v>16960283.09736999</v>
      </c>
      <c r="G22" s="1036"/>
      <c r="H22" s="1041">
        <f>+H21</f>
        <v>3135858.179500352</v>
      </c>
      <c r="I22" s="1036"/>
      <c r="J22" s="1042">
        <f>+J21</f>
        <v>20096141.276870344</v>
      </c>
      <c r="K22" s="1036"/>
      <c r="S22">
        <f>14*12</f>
        <v>168</v>
      </c>
    </row>
    <row r="23" spans="1:19" ht="15">
      <c r="A23" s="23"/>
      <c r="B23" s="33" t="s">
        <v>1308</v>
      </c>
      <c r="C23" s="93"/>
      <c r="D23" s="943"/>
      <c r="E23" s="1034"/>
      <c r="F23" s="950"/>
      <c r="G23" s="1036"/>
      <c r="H23" s="1034"/>
      <c r="I23" s="1036"/>
      <c r="J23" s="943"/>
      <c r="K23" s="1036"/>
      <c r="M23" t="s">
        <v>1520</v>
      </c>
      <c r="S23">
        <f>+S21-S22</f>
        <v>744.2377392528357</v>
      </c>
    </row>
    <row r="24" spans="1:14" ht="15.75">
      <c r="A24" s="23" t="s">
        <v>1304</v>
      </c>
      <c r="B24" s="31" t="s">
        <v>1310</v>
      </c>
      <c r="C24" s="1021" t="s">
        <v>1311</v>
      </c>
      <c r="D24" s="943">
        <f>+'JTS-9 S3 WP1'!F24+'JTS-9 S3 WP1'!F30</f>
        <v>7829441</v>
      </c>
      <c r="E24" s="1034"/>
      <c r="F24" s="945">
        <f>+'JTS-9 S3 WP1'!R24+'JTS-9 S3 WP1'!R30</f>
        <v>1014713.9300000009</v>
      </c>
      <c r="G24" s="1036">
        <f>+'WP =% ROR '!AE43</f>
        <v>0.17396020147966443</v>
      </c>
      <c r="H24" s="980">
        <f>+'WP Level ROR'!AF16</f>
        <v>-491498.67656189227</v>
      </c>
      <c r="I24" s="1036">
        <f>+H24/F24</f>
        <v>-0.484371665777656</v>
      </c>
      <c r="J24" s="946">
        <f>+H24+F24</f>
        <v>523215.2534381086</v>
      </c>
      <c r="K24" s="1036">
        <f>+'WP Level ROR'!AG43</f>
        <v>0.08371217977418986</v>
      </c>
      <c r="N24" s="1100" t="s">
        <v>1521</v>
      </c>
    </row>
    <row r="25" spans="1:13" ht="17.25">
      <c r="A25" s="23" t="s">
        <v>1307</v>
      </c>
      <c r="B25" s="31" t="s">
        <v>1305</v>
      </c>
      <c r="C25" s="1021" t="s">
        <v>1306</v>
      </c>
      <c r="D25" s="1033">
        <f>+'JTS-9 S3 WP1'!F25+'JTS-9 S3 WP1'!F31</f>
        <v>61296</v>
      </c>
      <c r="E25" s="1034"/>
      <c r="F25" s="1043">
        <f>+'JTS-9 S3 WP1'!R25+'JTS-9 S3 WP1'!R31</f>
        <v>12451.620000000003</v>
      </c>
      <c r="G25" s="1036">
        <f>+'WP =% ROR '!AA43</f>
        <v>0.5046701123896189</v>
      </c>
      <c r="H25" s="1044">
        <f>+'WP Level ROR'!AB16</f>
        <v>0</v>
      </c>
      <c r="I25" s="1036">
        <f>+H25/F25</f>
        <v>0</v>
      </c>
      <c r="J25" s="1033">
        <f>+H25+F25</f>
        <v>12451.620000000003</v>
      </c>
      <c r="K25" s="1036">
        <f>+'WP Level ROR'!AC43</f>
        <v>0.5046701123896189</v>
      </c>
      <c r="M25" t="s">
        <v>1285</v>
      </c>
    </row>
    <row r="26" spans="1:13" ht="17.25">
      <c r="A26" s="23" t="s">
        <v>1309</v>
      </c>
      <c r="B26" s="31" t="s">
        <v>1292</v>
      </c>
      <c r="C26" s="93"/>
      <c r="D26" s="952">
        <f>+D25+D24</f>
        <v>7890737</v>
      </c>
      <c r="E26" s="1039"/>
      <c r="F26" s="1040">
        <f>+F25+F24</f>
        <v>1027165.5500000009</v>
      </c>
      <c r="G26" s="1036"/>
      <c r="H26" s="1041">
        <f>H24</f>
        <v>-491498.67656189227</v>
      </c>
      <c r="I26" s="1036"/>
      <c r="J26" s="1042">
        <f>J24</f>
        <v>523215.2534381086</v>
      </c>
      <c r="K26" s="1036"/>
      <c r="M26" t="s">
        <v>1301</v>
      </c>
    </row>
    <row r="27" spans="1:13" ht="15">
      <c r="A27" s="23"/>
      <c r="B27" s="33" t="s">
        <v>1313</v>
      </c>
      <c r="C27" s="93"/>
      <c r="D27" s="943"/>
      <c r="E27" s="1034"/>
      <c r="F27" s="950"/>
      <c r="G27" s="1036"/>
      <c r="H27" s="1034"/>
      <c r="I27" s="1036"/>
      <c r="J27" s="943"/>
      <c r="K27" s="1036"/>
      <c r="M27" t="s">
        <v>1540</v>
      </c>
    </row>
    <row r="28" spans="1:13" ht="17.25">
      <c r="A28" s="23" t="s">
        <v>1312</v>
      </c>
      <c r="B28" s="31" t="s">
        <v>1287</v>
      </c>
      <c r="C28" s="1021" t="s">
        <v>1315</v>
      </c>
      <c r="D28" s="1033">
        <f>+'JTS-9 S3 WP1'!F29</f>
        <v>10198314</v>
      </c>
      <c r="E28" s="1034"/>
      <c r="F28" s="1035">
        <f>+'JTS-9 S3 WP1'!R29</f>
        <v>1407925.379999999</v>
      </c>
      <c r="G28" s="1036">
        <f>+'WP =% ROR '!AI43</f>
        <v>0.04005441365745898</v>
      </c>
      <c r="H28" s="1037">
        <f>+'WP Level ROR'!AJ16</f>
        <v>465565.47975548013</v>
      </c>
      <c r="I28" s="1036">
        <f>+H28/F28</f>
        <v>0.3306748257890489</v>
      </c>
      <c r="J28" s="1038">
        <f>+H28+F28</f>
        <v>1873490.859755479</v>
      </c>
      <c r="K28" s="1036">
        <f>+'WP Level ROR'!AK43</f>
        <v>0.08371240507035514</v>
      </c>
      <c r="M28" t="s">
        <v>1541</v>
      </c>
    </row>
    <row r="29" spans="1:13" ht="17.25">
      <c r="A29" s="23" t="s">
        <v>1314</v>
      </c>
      <c r="B29" s="31" t="s">
        <v>1292</v>
      </c>
      <c r="C29" s="93"/>
      <c r="D29" s="952">
        <f>D28</f>
        <v>10198314</v>
      </c>
      <c r="E29" s="1039"/>
      <c r="F29" s="1040">
        <f>F28</f>
        <v>1407925.379999999</v>
      </c>
      <c r="G29" s="1036"/>
      <c r="H29" s="1041">
        <f>H28</f>
        <v>465565.47975548013</v>
      </c>
      <c r="I29" s="1036"/>
      <c r="J29" s="1042">
        <f>J28</f>
        <v>1873490.859755479</v>
      </c>
      <c r="K29" s="1036"/>
      <c r="M29" t="s">
        <v>1542</v>
      </c>
    </row>
    <row r="30" spans="1:13" ht="15">
      <c r="A30" s="23"/>
      <c r="B30" s="33" t="s">
        <v>1317</v>
      </c>
      <c r="C30" s="93"/>
      <c r="D30" s="943"/>
      <c r="E30" s="1034"/>
      <c r="F30" s="950"/>
      <c r="G30" s="1036"/>
      <c r="H30" s="1034"/>
      <c r="I30" s="1036"/>
      <c r="J30" s="943"/>
      <c r="K30" s="1036"/>
      <c r="M30" t="s">
        <v>1518</v>
      </c>
    </row>
    <row r="31" spans="1:13" ht="15">
      <c r="A31" s="23" t="s">
        <v>1316</v>
      </c>
      <c r="B31" s="31" t="s">
        <v>1319</v>
      </c>
      <c r="C31" s="1021" t="s">
        <v>1320</v>
      </c>
      <c r="D31" s="943">
        <f>+'JTS-9 S3 WP1'!F34+'JTS-9 S3 WP1'!F37</f>
        <v>3264164</v>
      </c>
      <c r="E31" s="1034"/>
      <c r="F31" s="945">
        <f>+'JTS-9 S3 WP1'!R34+'JTS-9 S3 WP1'!R37</f>
        <v>189142.09999999998</v>
      </c>
      <c r="G31" s="1036">
        <f>+'WP =% ROR '!AM43</f>
        <v>0.1067014458462572</v>
      </c>
      <c r="H31" s="980">
        <f>+'WP Level ROR'!AN16</f>
        <v>-31009.059602000965</v>
      </c>
      <c r="I31" s="1036">
        <f>+H31/F31</f>
        <v>-0.1639458354433041</v>
      </c>
      <c r="J31" s="946">
        <f>+H31+F31</f>
        <v>158133.04039799902</v>
      </c>
      <c r="K31" s="1036">
        <f>+'WP Level ROR'!AO43</f>
        <v>0.08371251330470432</v>
      </c>
      <c r="M31" t="s">
        <v>1543</v>
      </c>
    </row>
    <row r="32" spans="1:13" ht="17.25">
      <c r="A32" s="23" t="s">
        <v>1318</v>
      </c>
      <c r="B32" s="31" t="s">
        <v>1322</v>
      </c>
      <c r="C32" s="1021" t="s">
        <v>1323</v>
      </c>
      <c r="D32" s="1033">
        <f>+'JTS-9 S3 WP1'!F38</f>
        <v>407759</v>
      </c>
      <c r="E32" s="1034"/>
      <c r="F32" s="1043">
        <f>+'JTS-9 S3 WP1'!R38</f>
        <v>36976.31</v>
      </c>
      <c r="G32" s="1036">
        <f>+'WP =% ROR '!AQ43</f>
        <v>0.13920905688094717</v>
      </c>
      <c r="H32" s="1044">
        <f>+'WP Level ROR'!AR16</f>
        <v>-13070.136516348744</v>
      </c>
      <c r="I32" s="1036">
        <f>+H32/F32</f>
        <v>-0.35347325128842616</v>
      </c>
      <c r="J32" s="1033">
        <f>+H32+F32</f>
        <v>23906.173483651255</v>
      </c>
      <c r="K32" s="1036">
        <f>+'WP Level ROR'!AS43</f>
        <v>0.08371199634298664</v>
      </c>
      <c r="M32" t="s">
        <v>1544</v>
      </c>
    </row>
    <row r="33" spans="1:14" ht="18">
      <c r="A33" s="23" t="s">
        <v>1321</v>
      </c>
      <c r="B33" s="31" t="s">
        <v>1292</v>
      </c>
      <c r="C33" s="93"/>
      <c r="D33" s="952">
        <f>D32+D31</f>
        <v>3671923</v>
      </c>
      <c r="E33" s="1039"/>
      <c r="F33" s="1040">
        <f>F32+F31</f>
        <v>226118.40999999997</v>
      </c>
      <c r="G33" s="1036"/>
      <c r="H33" s="1041">
        <f>SUM(H31:H32)</f>
        <v>-44079.19611834971</v>
      </c>
      <c r="I33" s="1036"/>
      <c r="J33" s="1042">
        <f>SUM(J31:J32)</f>
        <v>182039.21388165027</v>
      </c>
      <c r="K33" s="1036"/>
      <c r="N33" s="1100" t="s">
        <v>1545</v>
      </c>
    </row>
    <row r="34" spans="1:13" ht="16.5">
      <c r="A34" s="23" t="s">
        <v>1324</v>
      </c>
      <c r="B34" s="33" t="s">
        <v>1326</v>
      </c>
      <c r="C34" s="93"/>
      <c r="D34" s="962">
        <f>D33+D29+D26+D22+D19+D15</f>
        <v>205960033</v>
      </c>
      <c r="E34" s="1045"/>
      <c r="F34" s="1046">
        <f>F33+F29+F26+F22+F19+F15</f>
        <v>50882279.71417</v>
      </c>
      <c r="G34" s="1036"/>
      <c r="H34" s="1047">
        <f>H33+H29+H26+H22+H19+H15</f>
        <v>12607434.199235959</v>
      </c>
      <c r="I34" s="1048"/>
      <c r="J34" s="1049">
        <f>J33+J29+J26+J22+J19+J15</f>
        <v>63477262.293405965</v>
      </c>
      <c r="K34" s="1036"/>
      <c r="M34" t="s">
        <v>1546</v>
      </c>
    </row>
    <row r="35" spans="1:13" ht="15">
      <c r="A35" s="23"/>
      <c r="B35" s="20"/>
      <c r="C35" s="93"/>
      <c r="D35" s="984"/>
      <c r="E35" s="629"/>
      <c r="F35" s="635"/>
      <c r="G35" s="1036"/>
      <c r="H35" s="629"/>
      <c r="I35" s="1048"/>
      <c r="J35" s="984"/>
      <c r="K35" s="1036"/>
      <c r="M35" t="s">
        <v>1547</v>
      </c>
    </row>
    <row r="36" spans="1:13" ht="15">
      <c r="A36" s="23"/>
      <c r="B36" s="33" t="s">
        <v>1327</v>
      </c>
      <c r="C36" s="93"/>
      <c r="D36" s="984"/>
      <c r="E36" s="629"/>
      <c r="F36" s="635"/>
      <c r="G36" s="1036"/>
      <c r="H36" s="629"/>
      <c r="I36" s="1048"/>
      <c r="J36" s="984"/>
      <c r="K36" s="1036"/>
      <c r="M36" t="s">
        <v>1548</v>
      </c>
    </row>
    <row r="37" spans="1:20" ht="15">
      <c r="A37" s="23" t="s">
        <v>1325</v>
      </c>
      <c r="B37" s="31" t="s">
        <v>1329</v>
      </c>
      <c r="C37" s="1021" t="s">
        <v>1330</v>
      </c>
      <c r="D37" s="943">
        <f>+'JTS-9 S3 WP1'!F46</f>
        <v>89352258</v>
      </c>
      <c r="E37" s="1034"/>
      <c r="F37" s="945">
        <f>+'JTS-9 S3 WP1'!R46</f>
        <v>8619619.542122565</v>
      </c>
      <c r="G37" s="1036">
        <f>+'WP =% ROR '!AU43</f>
        <v>0.1768902796314059</v>
      </c>
      <c r="H37" s="1050">
        <f>+'WP Level ROR'!AV16</f>
        <v>-3781073.0101049272</v>
      </c>
      <c r="I37" s="1036">
        <f>+H37/F37</f>
        <v>-0.43865892126995726</v>
      </c>
      <c r="J37" s="1051">
        <f>+H37+F37</f>
        <v>4838546.532017638</v>
      </c>
      <c r="K37" s="1036">
        <f>+'WP Level ROR'!AW43</f>
        <v>0.08371237873535874</v>
      </c>
      <c r="N37" t="s">
        <v>1549</v>
      </c>
      <c r="T37">
        <f>+J37/D37</f>
        <v>0.054151362711143104</v>
      </c>
    </row>
    <row r="38" spans="1:20" ht="15">
      <c r="A38" s="23" t="s">
        <v>1328</v>
      </c>
      <c r="B38" s="31" t="s">
        <v>126</v>
      </c>
      <c r="C38" s="1021">
        <v>664</v>
      </c>
      <c r="D38" s="943">
        <f>+'JTS-9 S3 WP1'!F47</f>
        <v>155323148</v>
      </c>
      <c r="E38" s="1034"/>
      <c r="F38" s="950">
        <f>+'JTS-9 S3 WP1'!R47</f>
        <v>5922700.11</v>
      </c>
      <c r="G38" s="1036">
        <f>+'WP =% ROR '!AY43</f>
        <v>0.05454754767142894</v>
      </c>
      <c r="H38" s="1034">
        <f>+'WP Level ROR'!AZ16</f>
        <v>1609983.1669295789</v>
      </c>
      <c r="I38" s="1036">
        <f>+H38/F38</f>
        <v>0.27183263326320584</v>
      </c>
      <c r="J38" s="943">
        <f>+H38+F38</f>
        <v>7532683.27692958</v>
      </c>
      <c r="K38" s="1036">
        <f>+'WP Level ROR'!BA43</f>
        <v>0.08371237912698037</v>
      </c>
      <c r="T38">
        <f>+J38/D38</f>
        <v>0.048496849142727776</v>
      </c>
    </row>
    <row r="39" spans="1:11" ht="15">
      <c r="A39" s="23" t="s">
        <v>1331</v>
      </c>
      <c r="B39" s="31" t="s">
        <v>1332</v>
      </c>
      <c r="C39" s="1021" t="s">
        <v>1333</v>
      </c>
      <c r="D39" s="1052">
        <f>+'JTS-9 S3 WP1'!F48</f>
        <v>0</v>
      </c>
      <c r="E39" s="1034"/>
      <c r="F39" s="982">
        <f>+'JTS-9 S3 WP1'!R48</f>
        <v>0</v>
      </c>
      <c r="G39" s="1036"/>
      <c r="H39" s="983">
        <v>0</v>
      </c>
      <c r="I39" s="1048"/>
      <c r="J39" s="943">
        <f>+H39+F39</f>
        <v>0</v>
      </c>
      <c r="K39" s="1036"/>
    </row>
    <row r="40" spans="1:11" ht="17.25">
      <c r="A40" s="23" t="s">
        <v>1334</v>
      </c>
      <c r="B40" s="31" t="s">
        <v>1335</v>
      </c>
      <c r="C40" s="1021" t="s">
        <v>1336</v>
      </c>
      <c r="D40" s="1033">
        <f>+'JTS-9 S3 WP1'!F49</f>
        <v>257718509</v>
      </c>
      <c r="E40" s="629"/>
      <c r="F40" s="1043">
        <f>+'JTS-9 S3 WP1'!R49</f>
        <v>5832166.85</v>
      </c>
      <c r="G40" s="1036">
        <f>+'WP =% ROR '!BC43</f>
        <v>0.12482162732238837</v>
      </c>
      <c r="H40" s="1044">
        <v>0</v>
      </c>
      <c r="I40" s="1036">
        <v>0</v>
      </c>
      <c r="J40" s="1033">
        <f>+H40+F40</f>
        <v>5832166.85</v>
      </c>
      <c r="K40" s="1036">
        <f>+'WP =% ROR '!BE43</f>
        <v>0.12482162732238837</v>
      </c>
    </row>
    <row r="41" spans="1:11" ht="15">
      <c r="A41" s="23" t="s">
        <v>1337</v>
      </c>
      <c r="B41" s="31" t="s">
        <v>1345</v>
      </c>
      <c r="C41" s="93"/>
      <c r="D41" s="474"/>
      <c r="E41" s="1045"/>
      <c r="F41" s="474"/>
      <c r="G41" s="474"/>
      <c r="H41" s="629"/>
      <c r="I41" s="629"/>
      <c r="J41" s="474"/>
      <c r="K41" s="629"/>
    </row>
    <row r="42" spans="1:11" ht="17.25">
      <c r="A42" s="23" t="s">
        <v>1346</v>
      </c>
      <c r="B42" s="33" t="s">
        <v>1347</v>
      </c>
      <c r="C42" s="93"/>
      <c r="D42" s="962">
        <f>SUM(D37:D40)</f>
        <v>502393915</v>
      </c>
      <c r="E42" s="629"/>
      <c r="F42" s="1040">
        <f>SUM(F37:F40)</f>
        <v>20374486.502122566</v>
      </c>
      <c r="G42" s="1040"/>
      <c r="H42" s="1053">
        <f>SUM(H37:H38)</f>
        <v>-2171089.8431753484</v>
      </c>
      <c r="I42" s="629"/>
      <c r="J42" s="1054">
        <f>SUM(J37:J40)</f>
        <v>18203396.658947214</v>
      </c>
      <c r="K42" s="1041"/>
    </row>
    <row r="43" spans="1:11" ht="17.25">
      <c r="A43" s="137"/>
      <c r="B43" s="20"/>
      <c r="C43" s="93"/>
      <c r="D43" s="962"/>
      <c r="E43" s="629"/>
      <c r="F43" s="1040"/>
      <c r="G43" s="1040"/>
      <c r="H43" s="1053"/>
      <c r="I43" s="629"/>
      <c r="J43" s="1054"/>
      <c r="K43" s="1041"/>
    </row>
    <row r="44" spans="1:11" ht="16.5">
      <c r="A44" s="23" t="s">
        <v>1348</v>
      </c>
      <c r="B44" s="33" t="s">
        <v>1349</v>
      </c>
      <c r="C44" s="93"/>
      <c r="D44" s="962">
        <f>D42+D34</f>
        <v>708353948</v>
      </c>
      <c r="E44" s="1045"/>
      <c r="F44" s="1046">
        <f>F42+F34</f>
        <v>71256766.21629256</v>
      </c>
      <c r="G44" s="1046"/>
      <c r="H44" s="1047">
        <f>H42+H34</f>
        <v>10436344.356060611</v>
      </c>
      <c r="I44" s="629"/>
      <c r="J44" s="1049">
        <f>J42+J34</f>
        <v>81680658.95235318</v>
      </c>
      <c r="K44" s="1047"/>
    </row>
    <row r="45" spans="1:11" ht="15">
      <c r="A45" s="23"/>
      <c r="B45" s="31" t="s">
        <v>1009</v>
      </c>
      <c r="C45" s="93"/>
      <c r="D45" s="943"/>
      <c r="E45" s="1034"/>
      <c r="F45" s="950"/>
      <c r="G45" s="950"/>
      <c r="H45" s="629"/>
      <c r="I45" s="629"/>
      <c r="J45" s="984"/>
      <c r="K45" s="1034"/>
    </row>
    <row r="46" spans="1:11" ht="17.25">
      <c r="A46" s="23" t="s">
        <v>1350</v>
      </c>
      <c r="B46" s="156" t="s">
        <v>123</v>
      </c>
      <c r="C46" s="93"/>
      <c r="D46" s="1055"/>
      <c r="E46" s="1056"/>
      <c r="F46" s="1040">
        <f>+'JTS-9 S3 WP1'!R56</f>
        <v>9760691.47</v>
      </c>
      <c r="G46" s="1040"/>
      <c r="H46" s="1057">
        <f>+'MPP-2'!F31</f>
        <v>1885720</v>
      </c>
      <c r="I46" s="629"/>
      <c r="J46" s="1042">
        <f>+H46+F46</f>
        <v>11646411.47</v>
      </c>
      <c r="K46" s="1057"/>
    </row>
    <row r="47" spans="1:11" ht="16.5">
      <c r="A47" s="27">
        <v>25</v>
      </c>
      <c r="B47" s="142" t="s">
        <v>1352</v>
      </c>
      <c r="C47" s="1058"/>
      <c r="D47" s="1059">
        <f>+D44</f>
        <v>708353948</v>
      </c>
      <c r="E47" s="970"/>
      <c r="F47" s="1060">
        <f>+F46+F44</f>
        <v>81017457.68629256</v>
      </c>
      <c r="G47" s="1060"/>
      <c r="H47" s="1060">
        <f>+H46+H44</f>
        <v>12322064.356060611</v>
      </c>
      <c r="I47" s="1061"/>
      <c r="J47" s="1060">
        <f>+J46+J44</f>
        <v>93327070.42235318</v>
      </c>
      <c r="K47" s="1060"/>
    </row>
  </sheetData>
  <mergeCells count="3">
    <mergeCell ref="A6:K6"/>
    <mergeCell ref="A7:K7"/>
    <mergeCell ref="A8:K8"/>
  </mergeCells>
  <printOptions/>
  <pageMargins left="1.69" right="0.26" top="1.08" bottom="0.18" header="0.25" footer="0.18"/>
  <pageSetup fitToHeight="1" fitToWidth="1" horizontalDpi="300" verticalDpi="300" orientation="landscape" scale="77" r:id="rId2"/>
  <drawing r:id="rId1"/>
</worksheet>
</file>

<file path=xl/worksheets/sheet41.xml><?xml version="1.0" encoding="utf-8"?>
<worksheet xmlns="http://schemas.openxmlformats.org/spreadsheetml/2006/main" xmlns:r="http://schemas.openxmlformats.org/officeDocument/2006/relationships">
  <sheetPr>
    <pageSetUpPr fitToPage="1"/>
  </sheetPr>
  <dimension ref="A1:BE88"/>
  <sheetViews>
    <sheetView showGridLines="0" view="pageBreakPreview" zoomScale="75" zoomScaleNormal="75" zoomScaleSheetLayoutView="75" workbookViewId="0" topLeftCell="BA1">
      <selection activeCell="G32" sqref="G32"/>
    </sheetView>
  </sheetViews>
  <sheetFormatPr defaultColWidth="9.33203125" defaultRowHeight="11.25"/>
  <cols>
    <col min="1" max="1" width="5.83203125" style="0" customWidth="1"/>
    <col min="2" max="2" width="37.33203125" style="0" customWidth="1"/>
    <col min="3" max="3" width="16" style="0" hidden="1" customWidth="1"/>
    <col min="4" max="4" width="17.5" style="0" hidden="1" customWidth="1"/>
    <col min="5" max="5" width="18.16015625" style="0" hidden="1" customWidth="1"/>
    <col min="6" max="7" width="16.33203125" style="0" hidden="1" customWidth="1"/>
    <col min="8" max="8" width="20" style="0" hidden="1" customWidth="1"/>
    <col min="9" max="9" width="18.16015625" style="0" hidden="1" customWidth="1"/>
    <col min="10" max="10" width="2.16015625" style="0" customWidth="1"/>
    <col min="11" max="13" width="16.66015625" style="0" customWidth="1"/>
    <col min="14" max="14" width="3.16015625" style="0" customWidth="1"/>
    <col min="15" max="16" width="13.83203125" style="0" customWidth="1"/>
    <col min="17" max="17" width="17.66015625" style="0" customWidth="1"/>
    <col min="18" max="18" width="3.16015625" style="0" customWidth="1"/>
    <col min="19" max="20" width="13.83203125" style="0" customWidth="1"/>
    <col min="21" max="21" width="15.66015625" style="0" customWidth="1"/>
    <col min="22" max="22" width="17.5" style="0" customWidth="1"/>
    <col min="23" max="24" width="13.83203125" style="0" customWidth="1"/>
    <col min="25" max="25" width="16.5" style="0" customWidth="1"/>
    <col min="26" max="26" width="2.33203125" style="0" customWidth="1"/>
    <col min="27" max="28" width="13.83203125" style="0" customWidth="1"/>
    <col min="29" max="29" width="17.16015625" style="0" customWidth="1"/>
    <col min="30" max="30" width="3" style="0" customWidth="1"/>
    <col min="31" max="32" width="13.83203125" style="0" customWidth="1"/>
    <col min="33" max="33" width="17" style="0" customWidth="1"/>
    <col min="34" max="34" width="17.5" style="0" customWidth="1"/>
    <col min="35" max="36" width="13.83203125" style="0" customWidth="1"/>
    <col min="37" max="37" width="17" style="0" customWidth="1"/>
    <col min="38" max="38" width="3.16015625" style="0" customWidth="1"/>
    <col min="39" max="40" width="13.83203125" style="0" customWidth="1"/>
    <col min="41" max="41" width="17.66015625" style="0" customWidth="1"/>
    <col min="42" max="42" width="3.33203125" style="0" customWidth="1"/>
    <col min="43" max="44" width="13.83203125" style="0" customWidth="1"/>
    <col min="45" max="45" width="17.16015625" style="0" customWidth="1"/>
    <col min="46" max="46" width="17.5" style="0" customWidth="1"/>
    <col min="47" max="47" width="13.83203125" style="0" customWidth="1"/>
    <col min="48" max="48" width="15" style="0" customWidth="1"/>
    <col min="49" max="49" width="17" style="0" customWidth="1"/>
    <col min="50" max="50" width="3.16015625" style="0" customWidth="1"/>
    <col min="51" max="51" width="16.16015625" style="0" customWidth="1"/>
    <col min="52" max="52" width="16.66015625" style="0" customWidth="1"/>
    <col min="53" max="53" width="17.33203125" style="0" customWidth="1"/>
    <col min="54" max="54" width="3.16015625" style="0" customWidth="1"/>
    <col min="55" max="55" width="16.16015625" style="0" customWidth="1"/>
    <col min="56" max="56" width="16.66015625" style="0" customWidth="1"/>
    <col min="57" max="57" width="17.16015625" style="0" customWidth="1"/>
    <col min="58" max="58" width="12.83203125" style="0" customWidth="1"/>
  </cols>
  <sheetData>
    <row r="1" spans="1:5" ht="11.25">
      <c r="A1" s="1"/>
      <c r="B1" s="2"/>
      <c r="D1" s="3"/>
      <c r="E1" s="4"/>
    </row>
    <row r="2" spans="4:57" ht="18.75" customHeight="1">
      <c r="D2" s="783"/>
      <c r="E2" s="783"/>
      <c r="F2" s="783"/>
      <c r="G2" s="783"/>
      <c r="H2" s="784"/>
      <c r="J2" s="73"/>
      <c r="K2" s="1243" t="s">
        <v>658</v>
      </c>
      <c r="L2" s="1244"/>
      <c r="M2" s="1244"/>
      <c r="N2" s="1244"/>
      <c r="O2" s="1244"/>
      <c r="P2" s="1244"/>
      <c r="Q2" s="1244"/>
      <c r="R2" s="1244"/>
      <c r="S2" s="1244"/>
      <c r="T2" s="1244"/>
      <c r="U2" s="1245"/>
      <c r="W2" s="1243" t="s">
        <v>658</v>
      </c>
      <c r="X2" s="1244"/>
      <c r="Y2" s="1244"/>
      <c r="Z2" s="1244"/>
      <c r="AA2" s="1244"/>
      <c r="AB2" s="1244"/>
      <c r="AC2" s="1244"/>
      <c r="AD2" s="1244"/>
      <c r="AE2" s="1244"/>
      <c r="AF2" s="1244"/>
      <c r="AG2" s="1245"/>
      <c r="AI2" s="1243" t="s">
        <v>658</v>
      </c>
      <c r="AJ2" s="1244"/>
      <c r="AK2" s="1244"/>
      <c r="AL2" s="1244"/>
      <c r="AM2" s="1244"/>
      <c r="AN2" s="1244"/>
      <c r="AO2" s="1244"/>
      <c r="AP2" s="1244"/>
      <c r="AQ2" s="1244"/>
      <c r="AR2" s="1244"/>
      <c r="AS2" s="1245"/>
      <c r="AU2" s="1243" t="s">
        <v>658</v>
      </c>
      <c r="AV2" s="1244"/>
      <c r="AW2" s="1244"/>
      <c r="AX2" s="1244"/>
      <c r="AY2" s="1244"/>
      <c r="AZ2" s="1244"/>
      <c r="BA2" s="1244"/>
      <c r="BB2" s="1244"/>
      <c r="BC2" s="1244"/>
      <c r="BD2" s="1244"/>
      <c r="BE2" s="1245"/>
    </row>
    <row r="3" spans="4:57" ht="20.25">
      <c r="D3" s="795"/>
      <c r="E3" s="795"/>
      <c r="F3" s="795"/>
      <c r="G3" s="795"/>
      <c r="H3" s="796"/>
      <c r="J3" s="73"/>
      <c r="K3" s="1246" t="s">
        <v>1504</v>
      </c>
      <c r="L3" s="1247"/>
      <c r="M3" s="1247"/>
      <c r="N3" s="1247"/>
      <c r="O3" s="1247"/>
      <c r="P3" s="1247"/>
      <c r="Q3" s="1247"/>
      <c r="R3" s="1247"/>
      <c r="S3" s="1247"/>
      <c r="T3" s="1247"/>
      <c r="U3" s="1248"/>
      <c r="V3" s="143"/>
      <c r="W3" s="1246" t="s">
        <v>1504</v>
      </c>
      <c r="X3" s="1247"/>
      <c r="Y3" s="1247"/>
      <c r="Z3" s="1247"/>
      <c r="AA3" s="1247"/>
      <c r="AB3" s="1247"/>
      <c r="AC3" s="1247"/>
      <c r="AD3" s="1247"/>
      <c r="AE3" s="1247"/>
      <c r="AF3" s="1247"/>
      <c r="AG3" s="1248"/>
      <c r="AH3" s="143"/>
      <c r="AI3" s="1246" t="s">
        <v>1504</v>
      </c>
      <c r="AJ3" s="1247"/>
      <c r="AK3" s="1247"/>
      <c r="AL3" s="1247"/>
      <c r="AM3" s="1247"/>
      <c r="AN3" s="1247"/>
      <c r="AO3" s="1247"/>
      <c r="AP3" s="1247"/>
      <c r="AQ3" s="1247"/>
      <c r="AR3" s="1247"/>
      <c r="AS3" s="1248"/>
      <c r="AT3" s="143"/>
      <c r="AU3" s="1246" t="s">
        <v>1504</v>
      </c>
      <c r="AV3" s="1247"/>
      <c r="AW3" s="1247"/>
      <c r="AX3" s="1247"/>
      <c r="AY3" s="1247"/>
      <c r="AZ3" s="1247"/>
      <c r="BA3" s="1247"/>
      <c r="BB3" s="1247"/>
      <c r="BC3" s="1247"/>
      <c r="BD3" s="1247"/>
      <c r="BE3" s="1248"/>
    </row>
    <row r="4" spans="4:57" ht="20.25">
      <c r="D4" s="795"/>
      <c r="E4" s="795"/>
      <c r="F4" s="795"/>
      <c r="G4" s="795"/>
      <c r="H4" s="796"/>
      <c r="J4" s="73"/>
      <c r="K4" s="1246" t="s">
        <v>1505</v>
      </c>
      <c r="L4" s="1247"/>
      <c r="M4" s="1247"/>
      <c r="N4" s="1247"/>
      <c r="O4" s="1247"/>
      <c r="P4" s="1247"/>
      <c r="Q4" s="1247"/>
      <c r="R4" s="1247"/>
      <c r="S4" s="1247"/>
      <c r="T4" s="1247"/>
      <c r="U4" s="1248"/>
      <c r="V4" s="143"/>
      <c r="W4" s="1246" t="str">
        <f>+K4</f>
        <v>Equal Return Basis</v>
      </c>
      <c r="X4" s="1247"/>
      <c r="Y4" s="1247"/>
      <c r="Z4" s="1247"/>
      <c r="AA4" s="1247"/>
      <c r="AB4" s="1247"/>
      <c r="AC4" s="1247"/>
      <c r="AD4" s="1247"/>
      <c r="AE4" s="1247"/>
      <c r="AF4" s="1247"/>
      <c r="AG4" s="1248"/>
      <c r="AH4" s="143"/>
      <c r="AI4" s="1246" t="str">
        <f>+K4</f>
        <v>Equal Return Basis</v>
      </c>
      <c r="AJ4" s="1247"/>
      <c r="AK4" s="1247"/>
      <c r="AL4" s="1247"/>
      <c r="AM4" s="1247"/>
      <c r="AN4" s="1247"/>
      <c r="AO4" s="1247"/>
      <c r="AP4" s="1247"/>
      <c r="AQ4" s="1247"/>
      <c r="AR4" s="1247"/>
      <c r="AS4" s="1248"/>
      <c r="AT4" s="143"/>
      <c r="AU4" s="1246" t="str">
        <f>+K4</f>
        <v>Equal Return Basis</v>
      </c>
      <c r="AV4" s="1247"/>
      <c r="AW4" s="1247"/>
      <c r="AX4" s="1247"/>
      <c r="AY4" s="1247"/>
      <c r="AZ4" s="1247"/>
      <c r="BA4" s="1247"/>
      <c r="BB4" s="1247"/>
      <c r="BC4" s="1247"/>
      <c r="BD4" s="1247"/>
      <c r="BE4" s="1248"/>
    </row>
    <row r="5" spans="4:57" ht="15.75">
      <c r="D5" s="871"/>
      <c r="E5" s="871"/>
      <c r="F5" s="871"/>
      <c r="G5" s="871"/>
      <c r="H5" s="873"/>
      <c r="J5" s="73"/>
      <c r="K5" s="1249" t="s">
        <v>659</v>
      </c>
      <c r="L5" s="1250"/>
      <c r="M5" s="1250"/>
      <c r="N5" s="1250"/>
      <c r="O5" s="1250"/>
      <c r="P5" s="1250"/>
      <c r="Q5" s="1250"/>
      <c r="R5" s="1250"/>
      <c r="S5" s="1250"/>
      <c r="T5" s="1250"/>
      <c r="U5" s="1251"/>
      <c r="V5" s="143"/>
      <c r="W5" s="1249" t="s">
        <v>659</v>
      </c>
      <c r="X5" s="1250"/>
      <c r="Y5" s="1250"/>
      <c r="Z5" s="1250"/>
      <c r="AA5" s="1250"/>
      <c r="AB5" s="1250"/>
      <c r="AC5" s="1250"/>
      <c r="AD5" s="1250"/>
      <c r="AE5" s="1250"/>
      <c r="AF5" s="1250"/>
      <c r="AG5" s="1251"/>
      <c r="AH5" s="143"/>
      <c r="AI5" s="1249" t="s">
        <v>659</v>
      </c>
      <c r="AJ5" s="1250"/>
      <c r="AK5" s="1250"/>
      <c r="AL5" s="1250"/>
      <c r="AM5" s="1250"/>
      <c r="AN5" s="1250"/>
      <c r="AO5" s="1250"/>
      <c r="AP5" s="1250"/>
      <c r="AQ5" s="1250"/>
      <c r="AR5" s="1250"/>
      <c r="AS5" s="1251"/>
      <c r="AT5" s="143"/>
      <c r="AU5" s="1249" t="s">
        <v>659</v>
      </c>
      <c r="AV5" s="1250"/>
      <c r="AW5" s="1250"/>
      <c r="AX5" s="1250"/>
      <c r="AY5" s="1250"/>
      <c r="AZ5" s="1250"/>
      <c r="BA5" s="1250"/>
      <c r="BB5" s="1250"/>
      <c r="BC5" s="1250"/>
      <c r="BD5" s="1250"/>
      <c r="BE5" s="1251"/>
    </row>
    <row r="6" spans="1:57" ht="15.75">
      <c r="A6" s="178"/>
      <c r="B6" s="874"/>
      <c r="C6" s="175"/>
      <c r="D6" s="874"/>
      <c r="E6" s="874"/>
      <c r="F6" s="874"/>
      <c r="G6" s="874"/>
      <c r="H6" s="874"/>
      <c r="I6" s="180"/>
      <c r="J6" s="180"/>
      <c r="K6" s="1332" t="s">
        <v>279</v>
      </c>
      <c r="L6" s="1333"/>
      <c r="M6" s="1334"/>
      <c r="N6" s="175"/>
      <c r="O6" s="1332" t="s">
        <v>280</v>
      </c>
      <c r="P6" s="1333"/>
      <c r="Q6" s="1334"/>
      <c r="R6" s="175"/>
      <c r="S6" s="1332" t="s">
        <v>281</v>
      </c>
      <c r="T6" s="1333"/>
      <c r="U6" s="1334"/>
      <c r="V6" s="143"/>
      <c r="W6" s="1333" t="s">
        <v>282</v>
      </c>
      <c r="X6" s="1333"/>
      <c r="Y6" s="1334"/>
      <c r="Z6" s="175"/>
      <c r="AA6" s="1332" t="s">
        <v>285</v>
      </c>
      <c r="AB6" s="1333"/>
      <c r="AC6" s="1334"/>
      <c r="AD6" s="175"/>
      <c r="AE6" s="1332" t="s">
        <v>284</v>
      </c>
      <c r="AF6" s="1333"/>
      <c r="AG6" s="1334"/>
      <c r="AH6" s="143"/>
      <c r="AI6" s="1332" t="s">
        <v>283</v>
      </c>
      <c r="AJ6" s="1333"/>
      <c r="AK6" s="1334"/>
      <c r="AL6" s="175"/>
      <c r="AM6" s="1332" t="s">
        <v>286</v>
      </c>
      <c r="AN6" s="1333"/>
      <c r="AO6" s="1334"/>
      <c r="AP6" s="179"/>
      <c r="AQ6" s="1332" t="s">
        <v>287</v>
      </c>
      <c r="AR6" s="1333"/>
      <c r="AS6" s="1334"/>
      <c r="AT6" s="143"/>
      <c r="AU6" s="1332" t="s">
        <v>288</v>
      </c>
      <c r="AV6" s="1333"/>
      <c r="AW6" s="1334"/>
      <c r="AX6" s="175"/>
      <c r="AY6" s="1332" t="s">
        <v>1506</v>
      </c>
      <c r="AZ6" s="1333"/>
      <c r="BA6" s="1334"/>
      <c r="BB6" s="175"/>
      <c r="BC6" s="1332" t="s">
        <v>1507</v>
      </c>
      <c r="BD6" s="1333"/>
      <c r="BE6" s="1334"/>
    </row>
    <row r="7" spans="1:57" ht="11.25">
      <c r="A7" s="21"/>
      <c r="B7" s="132"/>
      <c r="C7" s="15"/>
      <c r="D7" s="15"/>
      <c r="E7" s="15"/>
      <c r="F7" s="143"/>
      <c r="G7" s="132"/>
      <c r="H7" s="22" t="s">
        <v>995</v>
      </c>
      <c r="I7" s="15"/>
      <c r="J7" s="15"/>
      <c r="K7" s="115" t="s">
        <v>1285</v>
      </c>
      <c r="L7" s="115" t="s">
        <v>995</v>
      </c>
      <c r="M7" s="115"/>
      <c r="N7" s="115"/>
      <c r="O7" s="115"/>
      <c r="P7" s="115" t="s">
        <v>995</v>
      </c>
      <c r="Q7" s="115"/>
      <c r="R7" s="270"/>
      <c r="S7" s="115"/>
      <c r="T7" s="115" t="s">
        <v>995</v>
      </c>
      <c r="U7" s="115"/>
      <c r="V7" s="347"/>
      <c r="W7" s="885"/>
      <c r="X7" s="115" t="s">
        <v>995</v>
      </c>
      <c r="Y7" s="115"/>
      <c r="Z7" s="115"/>
      <c r="AA7" s="115"/>
      <c r="AB7" s="115" t="s">
        <v>995</v>
      </c>
      <c r="AC7" s="115"/>
      <c r="AD7" s="115"/>
      <c r="AE7" s="115"/>
      <c r="AF7" s="115" t="s">
        <v>995</v>
      </c>
      <c r="AG7" s="115"/>
      <c r="AH7" s="347"/>
      <c r="AI7" s="115"/>
      <c r="AJ7" s="115" t="s">
        <v>995</v>
      </c>
      <c r="AK7" s="115"/>
      <c r="AL7" s="115"/>
      <c r="AM7" s="115"/>
      <c r="AN7" s="115" t="s">
        <v>995</v>
      </c>
      <c r="AO7" s="115"/>
      <c r="AP7" s="115"/>
      <c r="AQ7" s="115"/>
      <c r="AR7" s="115" t="s">
        <v>995</v>
      </c>
      <c r="AS7" s="115"/>
      <c r="AT7" s="347"/>
      <c r="AU7" s="115"/>
      <c r="AV7" s="115" t="s">
        <v>995</v>
      </c>
      <c r="AW7" s="115"/>
      <c r="AX7" s="115"/>
      <c r="AY7" s="115"/>
      <c r="AZ7" s="115" t="s">
        <v>995</v>
      </c>
      <c r="BA7" s="115"/>
      <c r="BB7" s="115"/>
      <c r="BC7" s="115"/>
      <c r="BD7" s="115" t="s">
        <v>995</v>
      </c>
      <c r="BE7" s="115"/>
    </row>
    <row r="8" spans="1:57" ht="11.25">
      <c r="A8" s="21"/>
      <c r="B8" s="132"/>
      <c r="C8" s="22" t="s">
        <v>996</v>
      </c>
      <c r="D8" s="22" t="s">
        <v>997</v>
      </c>
      <c r="E8" s="22" t="s">
        <v>997</v>
      </c>
      <c r="F8" s="347" t="s">
        <v>997</v>
      </c>
      <c r="G8" s="115" t="s">
        <v>997</v>
      </c>
      <c r="H8" s="22" t="s">
        <v>998</v>
      </c>
      <c r="I8" s="22" t="s">
        <v>997</v>
      </c>
      <c r="J8" s="22"/>
      <c r="K8" s="115">
        <v>503</v>
      </c>
      <c r="L8" s="115" t="s">
        <v>998</v>
      </c>
      <c r="M8" s="115" t="s">
        <v>1010</v>
      </c>
      <c r="N8" s="115"/>
      <c r="O8" s="115">
        <v>502</v>
      </c>
      <c r="P8" s="115" t="s">
        <v>998</v>
      </c>
      <c r="Q8" s="115" t="s">
        <v>1010</v>
      </c>
      <c r="R8" s="270"/>
      <c r="S8" s="115">
        <v>541</v>
      </c>
      <c r="T8" s="115" t="s">
        <v>998</v>
      </c>
      <c r="U8" s="115" t="s">
        <v>1010</v>
      </c>
      <c r="V8" s="347"/>
      <c r="W8" s="885">
        <v>504</v>
      </c>
      <c r="X8" s="115" t="s">
        <v>998</v>
      </c>
      <c r="Y8" s="115" t="s">
        <v>1010</v>
      </c>
      <c r="Z8" s="115"/>
      <c r="AA8" s="115">
        <v>512</v>
      </c>
      <c r="AB8" s="115" t="s">
        <v>998</v>
      </c>
      <c r="AC8" s="115" t="s">
        <v>1010</v>
      </c>
      <c r="AD8" s="115"/>
      <c r="AE8" s="115">
        <v>511</v>
      </c>
      <c r="AF8" s="115" t="s">
        <v>998</v>
      </c>
      <c r="AG8" s="115" t="s">
        <v>1010</v>
      </c>
      <c r="AH8" s="347"/>
      <c r="AI8" s="115">
        <v>505</v>
      </c>
      <c r="AJ8" s="115" t="s">
        <v>998</v>
      </c>
      <c r="AK8" s="115" t="s">
        <v>1010</v>
      </c>
      <c r="AL8" s="115"/>
      <c r="AM8" s="115">
        <v>570</v>
      </c>
      <c r="AN8" s="115" t="s">
        <v>998</v>
      </c>
      <c r="AO8" s="115" t="s">
        <v>1010</v>
      </c>
      <c r="AP8" s="115"/>
      <c r="AQ8" s="115">
        <v>577</v>
      </c>
      <c r="AR8" s="115" t="s">
        <v>998</v>
      </c>
      <c r="AS8" s="115" t="s">
        <v>1010</v>
      </c>
      <c r="AT8" s="347"/>
      <c r="AU8" s="115">
        <v>663</v>
      </c>
      <c r="AV8" s="115" t="s">
        <v>998</v>
      </c>
      <c r="AW8" s="115" t="s">
        <v>1010</v>
      </c>
      <c r="AX8" s="115"/>
      <c r="AY8" s="115">
        <v>664</v>
      </c>
      <c r="AZ8" s="115" t="s">
        <v>998</v>
      </c>
      <c r="BA8" s="115" t="s">
        <v>1010</v>
      </c>
      <c r="BB8" s="115"/>
      <c r="BC8" s="115">
        <v>901</v>
      </c>
      <c r="BD8" s="115" t="s">
        <v>998</v>
      </c>
      <c r="BE8" s="115" t="s">
        <v>1010</v>
      </c>
    </row>
    <row r="9" spans="1:57" ht="11.25">
      <c r="A9" s="32" t="s">
        <v>1000</v>
      </c>
      <c r="B9" s="132"/>
      <c r="C9" s="22" t="s">
        <v>1001</v>
      </c>
      <c r="D9" s="22" t="s">
        <v>1002</v>
      </c>
      <c r="E9" s="22" t="s">
        <v>1003</v>
      </c>
      <c r="F9" s="347" t="s">
        <v>1004</v>
      </c>
      <c r="G9" s="115" t="s">
        <v>1004</v>
      </c>
      <c r="H9" s="22" t="s">
        <v>1005</v>
      </c>
      <c r="I9" s="349" t="s">
        <v>1004</v>
      </c>
      <c r="J9" s="349"/>
      <c r="K9" s="864" t="s">
        <v>1004</v>
      </c>
      <c r="L9" s="864" t="s">
        <v>1005</v>
      </c>
      <c r="M9" s="864" t="s">
        <v>278</v>
      </c>
      <c r="N9" s="864"/>
      <c r="O9" s="864" t="s">
        <v>1004</v>
      </c>
      <c r="P9" s="864" t="s">
        <v>1005</v>
      </c>
      <c r="Q9" s="864" t="s">
        <v>278</v>
      </c>
      <c r="R9" s="875"/>
      <c r="S9" s="864" t="s">
        <v>1004</v>
      </c>
      <c r="T9" s="864" t="s">
        <v>1005</v>
      </c>
      <c r="U9" s="864" t="s">
        <v>278</v>
      </c>
      <c r="V9" s="892"/>
      <c r="W9" s="886" t="s">
        <v>1004</v>
      </c>
      <c r="X9" s="864" t="s">
        <v>1005</v>
      </c>
      <c r="Y9" s="864" t="s">
        <v>278</v>
      </c>
      <c r="Z9" s="864"/>
      <c r="AA9" s="864" t="s">
        <v>1004</v>
      </c>
      <c r="AB9" s="864" t="s">
        <v>1005</v>
      </c>
      <c r="AC9" s="864" t="s">
        <v>278</v>
      </c>
      <c r="AD9" s="864"/>
      <c r="AE9" s="864" t="s">
        <v>1004</v>
      </c>
      <c r="AF9" s="864" t="s">
        <v>1005</v>
      </c>
      <c r="AG9" s="864" t="s">
        <v>278</v>
      </c>
      <c r="AH9" s="892"/>
      <c r="AI9" s="864" t="s">
        <v>1004</v>
      </c>
      <c r="AJ9" s="864" t="s">
        <v>1005</v>
      </c>
      <c r="AK9" s="864" t="s">
        <v>278</v>
      </c>
      <c r="AL9" s="864"/>
      <c r="AM9" s="864" t="s">
        <v>1004</v>
      </c>
      <c r="AN9" s="864" t="s">
        <v>1005</v>
      </c>
      <c r="AO9" s="864" t="s">
        <v>278</v>
      </c>
      <c r="AP9" s="864"/>
      <c r="AQ9" s="864" t="s">
        <v>1004</v>
      </c>
      <c r="AR9" s="864" t="s">
        <v>1005</v>
      </c>
      <c r="AS9" s="864" t="s">
        <v>278</v>
      </c>
      <c r="AT9" s="892"/>
      <c r="AU9" s="864" t="s">
        <v>1004</v>
      </c>
      <c r="AV9" s="864" t="s">
        <v>1005</v>
      </c>
      <c r="AW9" s="864" t="s">
        <v>278</v>
      </c>
      <c r="AX9" s="864"/>
      <c r="AY9" s="864" t="s">
        <v>1004</v>
      </c>
      <c r="AZ9" s="864" t="s">
        <v>1005</v>
      </c>
      <c r="BA9" s="864" t="s">
        <v>278</v>
      </c>
      <c r="BB9" s="864"/>
      <c r="BC9" s="864" t="s">
        <v>1004</v>
      </c>
      <c r="BD9" s="864" t="s">
        <v>1005</v>
      </c>
      <c r="BE9" s="864" t="s">
        <v>278</v>
      </c>
    </row>
    <row r="10" spans="1:57" ht="11.25">
      <c r="A10" s="696" t="s">
        <v>1006</v>
      </c>
      <c r="B10" s="116" t="s">
        <v>1007</v>
      </c>
      <c r="C10" s="25" t="s">
        <v>1008</v>
      </c>
      <c r="D10" s="25" t="s">
        <v>1009</v>
      </c>
      <c r="E10" s="25" t="s">
        <v>1010</v>
      </c>
      <c r="F10" s="348" t="s">
        <v>1009</v>
      </c>
      <c r="G10" s="116" t="s">
        <v>1010</v>
      </c>
      <c r="H10" s="25" t="s">
        <v>1011</v>
      </c>
      <c r="I10" s="25" t="s">
        <v>1010</v>
      </c>
      <c r="J10" s="25"/>
      <c r="K10" s="116" t="s">
        <v>1010</v>
      </c>
      <c r="L10" s="116" t="s">
        <v>1011</v>
      </c>
      <c r="M10" s="116" t="s">
        <v>1284</v>
      </c>
      <c r="N10" s="116"/>
      <c r="O10" s="116" t="s">
        <v>1010</v>
      </c>
      <c r="P10" s="116" t="s">
        <v>1011</v>
      </c>
      <c r="Q10" s="116" t="s">
        <v>1284</v>
      </c>
      <c r="R10" s="763"/>
      <c r="S10" s="116" t="s">
        <v>1010</v>
      </c>
      <c r="T10" s="116" t="s">
        <v>1011</v>
      </c>
      <c r="U10" s="116" t="s">
        <v>1284</v>
      </c>
      <c r="V10" s="347"/>
      <c r="W10" s="887" t="s">
        <v>1010</v>
      </c>
      <c r="X10" s="116" t="s">
        <v>1011</v>
      </c>
      <c r="Y10" s="116" t="s">
        <v>1284</v>
      </c>
      <c r="Z10" s="116"/>
      <c r="AA10" s="116" t="s">
        <v>1010</v>
      </c>
      <c r="AB10" s="116" t="s">
        <v>1011</v>
      </c>
      <c r="AC10" s="116" t="s">
        <v>1284</v>
      </c>
      <c r="AD10" s="116"/>
      <c r="AE10" s="116" t="s">
        <v>1010</v>
      </c>
      <c r="AF10" s="116" t="s">
        <v>1011</v>
      </c>
      <c r="AG10" s="116" t="s">
        <v>1284</v>
      </c>
      <c r="AH10" s="347"/>
      <c r="AI10" s="116" t="s">
        <v>1010</v>
      </c>
      <c r="AJ10" s="116" t="s">
        <v>1011</v>
      </c>
      <c r="AK10" s="116" t="s">
        <v>1284</v>
      </c>
      <c r="AL10" s="116"/>
      <c r="AM10" s="116" t="s">
        <v>1010</v>
      </c>
      <c r="AN10" s="116" t="s">
        <v>1011</v>
      </c>
      <c r="AO10" s="116" t="s">
        <v>1284</v>
      </c>
      <c r="AP10" s="116"/>
      <c r="AQ10" s="116" t="s">
        <v>1010</v>
      </c>
      <c r="AR10" s="116" t="s">
        <v>1011</v>
      </c>
      <c r="AS10" s="116" t="s">
        <v>1284</v>
      </c>
      <c r="AT10" s="347"/>
      <c r="AU10" s="116" t="s">
        <v>1010</v>
      </c>
      <c r="AV10" s="116" t="s">
        <v>1011</v>
      </c>
      <c r="AW10" s="116" t="s">
        <v>1284</v>
      </c>
      <c r="AX10" s="116"/>
      <c r="AY10" s="116" t="s">
        <v>1010</v>
      </c>
      <c r="AZ10" s="116" t="s">
        <v>1011</v>
      </c>
      <c r="BA10" s="116" t="s">
        <v>1284</v>
      </c>
      <c r="BB10" s="116"/>
      <c r="BC10" s="116" t="s">
        <v>1010</v>
      </c>
      <c r="BD10" s="116" t="s">
        <v>1011</v>
      </c>
      <c r="BE10" s="116" t="s">
        <v>1284</v>
      </c>
    </row>
    <row r="11" spans="1:57" ht="11.25">
      <c r="A11" s="26"/>
      <c r="B11" s="24" t="s">
        <v>1012</v>
      </c>
      <c r="C11" s="28" t="s">
        <v>1013</v>
      </c>
      <c r="D11" s="28" t="s">
        <v>1014</v>
      </c>
      <c r="E11" s="28" t="s">
        <v>1015</v>
      </c>
      <c r="F11" s="28" t="s">
        <v>1016</v>
      </c>
      <c r="G11" s="25" t="s">
        <v>1017</v>
      </c>
      <c r="H11" s="28" t="s">
        <v>1018</v>
      </c>
      <c r="I11" s="28" t="s">
        <v>1013</v>
      </c>
      <c r="J11" s="28"/>
      <c r="K11" s="25" t="s">
        <v>1013</v>
      </c>
      <c r="L11" s="25"/>
      <c r="M11" s="25"/>
      <c r="N11" s="25"/>
      <c r="O11" s="25"/>
      <c r="P11" s="25"/>
      <c r="Q11" s="25"/>
      <c r="R11" s="348"/>
      <c r="S11" s="893"/>
      <c r="T11" s="25"/>
      <c r="U11" s="894"/>
      <c r="V11" s="347"/>
      <c r="W11" s="25"/>
      <c r="X11" s="25"/>
      <c r="Y11" s="25"/>
      <c r="Z11" s="25"/>
      <c r="AA11" s="25"/>
      <c r="AB11" s="25"/>
      <c r="AC11" s="25"/>
      <c r="AD11" s="25"/>
      <c r="AE11" s="25"/>
      <c r="AF11" s="25"/>
      <c r="AG11" s="25"/>
      <c r="AH11" s="347"/>
      <c r="AI11" s="25"/>
      <c r="AJ11" s="25"/>
      <c r="AK11" s="25"/>
      <c r="AL11" s="25"/>
      <c r="AM11" s="25"/>
      <c r="AN11" s="25"/>
      <c r="AO11" s="25"/>
      <c r="AP11" s="25"/>
      <c r="AQ11" s="25"/>
      <c r="AR11" s="25"/>
      <c r="AS11" s="25"/>
      <c r="AT11" s="347"/>
      <c r="AU11" s="25"/>
      <c r="AV11" s="25"/>
      <c r="AW11" s="25"/>
      <c r="AX11" s="25"/>
      <c r="AY11" s="25"/>
      <c r="AZ11" s="25"/>
      <c r="BA11" s="25"/>
      <c r="BB11" s="25"/>
      <c r="BC11" s="25"/>
      <c r="BD11" s="25"/>
      <c r="BE11" s="25"/>
    </row>
    <row r="12" spans="1:57" ht="11.25">
      <c r="A12" s="18"/>
      <c r="B12" s="29" t="s">
        <v>1020</v>
      </c>
      <c r="C12" s="14"/>
      <c r="D12" s="14"/>
      <c r="E12" s="14"/>
      <c r="F12" s="14"/>
      <c r="G12" s="14"/>
      <c r="H12" s="14"/>
      <c r="I12" s="14"/>
      <c r="J12" s="14"/>
      <c r="K12" s="14"/>
      <c r="L12" s="14"/>
      <c r="M12" s="14"/>
      <c r="N12" s="14"/>
      <c r="O12" s="14"/>
      <c r="P12" s="14"/>
      <c r="Q12" s="14"/>
      <c r="R12" s="13"/>
      <c r="S12" s="895"/>
      <c r="T12" s="14"/>
      <c r="U12" s="896"/>
      <c r="V12" s="143"/>
      <c r="W12" s="14"/>
      <c r="X12" s="14"/>
      <c r="Y12" s="14"/>
      <c r="Z12" s="14"/>
      <c r="AA12" s="14"/>
      <c r="AB12" s="14"/>
      <c r="AC12" s="14"/>
      <c r="AD12" s="14"/>
      <c r="AE12" s="14"/>
      <c r="AF12" s="14"/>
      <c r="AG12" s="14"/>
      <c r="AH12" s="143"/>
      <c r="AI12" s="14"/>
      <c r="AJ12" s="14"/>
      <c r="AK12" s="14"/>
      <c r="AL12" s="14"/>
      <c r="AM12" s="14"/>
      <c r="AN12" s="14"/>
      <c r="AO12" s="14"/>
      <c r="AP12" s="14"/>
      <c r="AQ12" s="14"/>
      <c r="AR12" s="14"/>
      <c r="AS12" s="14"/>
      <c r="AT12" s="143"/>
      <c r="AU12" s="14"/>
      <c r="AV12" s="14"/>
      <c r="AW12" s="14"/>
      <c r="AX12" s="14"/>
      <c r="AY12" s="14"/>
      <c r="AZ12" s="14"/>
      <c r="BA12" s="14"/>
      <c r="BB12" s="14"/>
      <c r="BC12" s="14"/>
      <c r="BD12" s="14"/>
      <c r="BE12" s="14"/>
    </row>
    <row r="13" spans="1:57" ht="15.75" customHeight="1">
      <c r="A13" s="23" t="s">
        <v>1021</v>
      </c>
      <c r="B13" s="31" t="s">
        <v>1022</v>
      </c>
      <c r="C13" s="106">
        <f>+'KJB-2 p1'!F8</f>
        <v>232428111</v>
      </c>
      <c r="D13" s="106">
        <f>+'MPP-3 p2'!N9</f>
        <v>58440331.72442006</v>
      </c>
      <c r="E13" s="106">
        <f>C13+D13</f>
        <v>290868442.7244201</v>
      </c>
      <c r="F13" s="106">
        <f>+'MPP-3 p3&amp;4'!U9</f>
        <v>6116.002122564387</v>
      </c>
      <c r="G13" s="106">
        <f>E13+F13</f>
        <v>290874558.72654265</v>
      </c>
      <c r="H13" s="106">
        <f>+H61/NTG</f>
        <v>5426655.903663833</v>
      </c>
      <c r="I13" s="106">
        <f>+G13</f>
        <v>290874558.72654265</v>
      </c>
      <c r="J13" s="106"/>
      <c r="K13" s="106">
        <f>+'Max Topsheet'!E14</f>
        <v>125257242.72740754</v>
      </c>
      <c r="L13" s="106">
        <v>0</v>
      </c>
      <c r="M13" s="106">
        <f>+K13</f>
        <v>125257242.72740754</v>
      </c>
      <c r="N13" s="106"/>
      <c r="O13" s="106">
        <f>+'Max Topsheet'!F14</f>
        <v>1720995.6139749999</v>
      </c>
      <c r="P13" s="106">
        <v>0</v>
      </c>
      <c r="Q13" s="106">
        <f>+O13</f>
        <v>1720995.6139749999</v>
      </c>
      <c r="R13" s="876"/>
      <c r="S13" s="897">
        <f>+'Max Topsheet'!G14</f>
        <v>190676.44916745747</v>
      </c>
      <c r="T13" s="106">
        <v>0</v>
      </c>
      <c r="U13" s="898">
        <f>+S13</f>
        <v>190676.44916745747</v>
      </c>
      <c r="V13" s="876"/>
      <c r="W13" s="106">
        <f>+'Max Topsheet'!H14</f>
        <v>87202523.46508901</v>
      </c>
      <c r="X13" s="106">
        <v>0</v>
      </c>
      <c r="Y13" s="106">
        <f>+W13</f>
        <v>87202523.46508901</v>
      </c>
      <c r="Z13" s="106"/>
      <c r="AA13" s="106">
        <f>+'Max Topsheet'!I14</f>
        <v>70785.63415325253</v>
      </c>
      <c r="AB13" s="106">
        <v>0</v>
      </c>
      <c r="AC13" s="106">
        <f>+AA13</f>
        <v>70785.63415325253</v>
      </c>
      <c r="AD13" s="106"/>
      <c r="AE13" s="106">
        <f>+'Max Topsheet'!J14</f>
        <v>8288333.699015172</v>
      </c>
      <c r="AF13" s="106">
        <v>0</v>
      </c>
      <c r="AG13" s="106">
        <f>+AE13</f>
        <v>8288333.699015172</v>
      </c>
      <c r="AH13" s="876"/>
      <c r="AI13" s="106">
        <f>+'Max Topsheet'!K14</f>
        <v>10956333.076993717</v>
      </c>
      <c r="AJ13" s="106">
        <v>0</v>
      </c>
      <c r="AK13" s="106">
        <f>+AI13</f>
        <v>10956333.076993717</v>
      </c>
      <c r="AL13" s="106"/>
      <c r="AM13" s="106">
        <f>+'Max Topsheet'!L14</f>
        <v>3148788.4969692016</v>
      </c>
      <c r="AN13" s="106">
        <v>0</v>
      </c>
      <c r="AO13" s="106">
        <f>+AM13</f>
        <v>3148788.4969692016</v>
      </c>
      <c r="AP13" s="106"/>
      <c r="AQ13" s="106">
        <f>+'Max Topsheet'!M14</f>
        <v>412448.2273043912</v>
      </c>
      <c r="AR13" s="106">
        <v>0</v>
      </c>
      <c r="AS13" s="106">
        <f>+AQ13</f>
        <v>412448.2273043912</v>
      </c>
      <c r="AT13" s="876"/>
      <c r="AU13" s="106">
        <f>+'Max Topsheet'!N14</f>
        <v>8907753.133491788</v>
      </c>
      <c r="AV13" s="106">
        <v>0</v>
      </c>
      <c r="AW13" s="106">
        <f>+AU13</f>
        <v>8907753.133491788</v>
      </c>
      <c r="AX13" s="106"/>
      <c r="AY13" s="106">
        <f>+'Max Topsheet'!O14</f>
        <v>6351718.4524967875</v>
      </c>
      <c r="AZ13" s="106">
        <v>0</v>
      </c>
      <c r="BA13" s="106">
        <f>+AY13</f>
        <v>6351718.4524967875</v>
      </c>
      <c r="BB13" s="106"/>
      <c r="BC13" s="106">
        <f>+'Max Topsheet'!P14</f>
        <v>5866354.83393666</v>
      </c>
      <c r="BD13" s="106">
        <v>0</v>
      </c>
      <c r="BE13" s="106">
        <f>+BC13</f>
        <v>5866354.83393666</v>
      </c>
    </row>
    <row r="14" spans="1:57" ht="12">
      <c r="A14" s="23" t="s">
        <v>1023</v>
      </c>
      <c r="B14" s="31" t="s">
        <v>1024</v>
      </c>
      <c r="C14" s="113">
        <f>+'KJB-2 p1'!F9</f>
        <v>18411461</v>
      </c>
      <c r="D14" s="113">
        <f>+'MPP-3 p2'!N10</f>
        <v>-18411461</v>
      </c>
      <c r="E14" s="186">
        <f>C14+D14</f>
        <v>0</v>
      </c>
      <c r="F14" s="113">
        <f>+'MPP-3 p3&amp;4'!U10</f>
        <v>0</v>
      </c>
      <c r="G14" s="186">
        <f>E14+F14</f>
        <v>0</v>
      </c>
      <c r="H14" s="113">
        <v>0</v>
      </c>
      <c r="I14" s="186">
        <f>G14+H14</f>
        <v>0</v>
      </c>
      <c r="J14" s="186"/>
      <c r="K14" s="186">
        <f>+'Max Topsheet'!E15</f>
        <v>0</v>
      </c>
      <c r="L14" s="186">
        <v>0</v>
      </c>
      <c r="M14" s="186">
        <f>K14+L14</f>
        <v>0</v>
      </c>
      <c r="N14" s="186"/>
      <c r="O14" s="186">
        <f>+'Max Topsheet'!F15</f>
        <v>0</v>
      </c>
      <c r="P14" s="186">
        <v>0</v>
      </c>
      <c r="Q14" s="186">
        <f>O14+P14</f>
        <v>0</v>
      </c>
      <c r="R14" s="877"/>
      <c r="S14" s="899">
        <f>+'Max Topsheet'!G15</f>
        <v>0</v>
      </c>
      <c r="T14" s="186">
        <v>0</v>
      </c>
      <c r="U14" s="900">
        <f>S14+T14</f>
        <v>0</v>
      </c>
      <c r="V14" s="877"/>
      <c r="W14" s="186">
        <f>+'Max Topsheet'!H15</f>
        <v>0</v>
      </c>
      <c r="X14" s="186">
        <v>0</v>
      </c>
      <c r="Y14" s="186">
        <f>W14+X14</f>
        <v>0</v>
      </c>
      <c r="Z14" s="186"/>
      <c r="AA14" s="186">
        <f>+'Max Topsheet'!I15</f>
        <v>0</v>
      </c>
      <c r="AB14" s="186">
        <v>0</v>
      </c>
      <c r="AC14" s="186">
        <f>AA14+AB14</f>
        <v>0</v>
      </c>
      <c r="AD14" s="186"/>
      <c r="AE14" s="186">
        <f>+'Max Topsheet'!J15</f>
        <v>0</v>
      </c>
      <c r="AF14" s="186">
        <v>0</v>
      </c>
      <c r="AG14" s="186">
        <f>AE14+AF14</f>
        <v>0</v>
      </c>
      <c r="AH14" s="877"/>
      <c r="AI14" s="186">
        <f>+'Max Topsheet'!K15</f>
        <v>0</v>
      </c>
      <c r="AJ14" s="186">
        <v>0</v>
      </c>
      <c r="AK14" s="186">
        <f>AI14+AJ14</f>
        <v>0</v>
      </c>
      <c r="AL14" s="186"/>
      <c r="AM14" s="186">
        <f>+'Max Topsheet'!L15</f>
        <v>0</v>
      </c>
      <c r="AN14" s="186">
        <v>0</v>
      </c>
      <c r="AO14" s="186">
        <f>AM14+AN14</f>
        <v>0</v>
      </c>
      <c r="AP14" s="186"/>
      <c r="AQ14" s="186">
        <f>+'Max Topsheet'!M15</f>
        <v>0</v>
      </c>
      <c r="AR14" s="186">
        <v>0</v>
      </c>
      <c r="AS14" s="186">
        <f>AQ14+AR14</f>
        <v>0</v>
      </c>
      <c r="AT14" s="877"/>
      <c r="AU14" s="186">
        <f>+'Max Topsheet'!N15</f>
        <v>0</v>
      </c>
      <c r="AV14" s="186">
        <v>0</v>
      </c>
      <c r="AW14" s="186">
        <f>AU14+AV14</f>
        <v>0</v>
      </c>
      <c r="AX14" s="186"/>
      <c r="AY14" s="186">
        <f>+'Max Topsheet'!O15</f>
        <v>0</v>
      </c>
      <c r="AZ14" s="186">
        <v>0</v>
      </c>
      <c r="BA14" s="186">
        <f>AY14+AZ14</f>
        <v>0</v>
      </c>
      <c r="BB14" s="186"/>
      <c r="BC14" s="186">
        <f>+'Max Topsheet'!P15</f>
        <v>0</v>
      </c>
      <c r="BD14" s="186">
        <v>0</v>
      </c>
      <c r="BE14" s="186">
        <f>BC14+BD14</f>
        <v>0</v>
      </c>
    </row>
    <row r="15" spans="1:57" ht="12">
      <c r="A15" s="23" t="s">
        <v>1025</v>
      </c>
      <c r="B15" s="31" t="s">
        <v>1026</v>
      </c>
      <c r="C15" s="108">
        <f>+'KJB-2 p1'!F10</f>
        <v>889298</v>
      </c>
      <c r="D15" s="108">
        <f>+'MPP-3 p2'!N11</f>
        <v>0</v>
      </c>
      <c r="E15" s="108">
        <f>C15+D15</f>
        <v>889298</v>
      </c>
      <c r="F15" s="108">
        <f>+'MPP-3 p3&amp;4'!U11</f>
        <v>0</v>
      </c>
      <c r="G15" s="108">
        <f>E15+F15</f>
        <v>889298</v>
      </c>
      <c r="H15" s="108">
        <v>0</v>
      </c>
      <c r="I15" s="186">
        <f>G15+H15</f>
        <v>889298</v>
      </c>
      <c r="J15" s="186"/>
      <c r="K15" s="186"/>
      <c r="L15" s="186">
        <v>0</v>
      </c>
      <c r="M15" s="186">
        <f>K15+L15</f>
        <v>0</v>
      </c>
      <c r="N15" s="186"/>
      <c r="O15" s="186"/>
      <c r="P15" s="186">
        <v>0</v>
      </c>
      <c r="Q15" s="186">
        <f>O15+P15</f>
        <v>0</v>
      </c>
      <c r="R15" s="877"/>
      <c r="S15" s="899"/>
      <c r="T15" s="186">
        <v>0</v>
      </c>
      <c r="U15" s="900">
        <f>S15+T15</f>
        <v>0</v>
      </c>
      <c r="V15" s="877"/>
      <c r="W15" s="186"/>
      <c r="X15" s="186">
        <v>0</v>
      </c>
      <c r="Y15" s="186">
        <f>W15+X15</f>
        <v>0</v>
      </c>
      <c r="Z15" s="186"/>
      <c r="AA15" s="186"/>
      <c r="AB15" s="186">
        <v>0</v>
      </c>
      <c r="AC15" s="186">
        <f>AA15+AB15</f>
        <v>0</v>
      </c>
      <c r="AD15" s="186"/>
      <c r="AE15" s="186"/>
      <c r="AF15" s="186">
        <v>0</v>
      </c>
      <c r="AG15" s="186">
        <f>AE15+AF15</f>
        <v>0</v>
      </c>
      <c r="AH15" s="877"/>
      <c r="AI15" s="186"/>
      <c r="AJ15" s="186">
        <v>0</v>
      </c>
      <c r="AK15" s="186">
        <f>AI15+AJ15</f>
        <v>0</v>
      </c>
      <c r="AL15" s="186"/>
      <c r="AM15" s="186"/>
      <c r="AN15" s="186">
        <v>0</v>
      </c>
      <c r="AO15" s="186">
        <f>AM15+AN15</f>
        <v>0</v>
      </c>
      <c r="AP15" s="186"/>
      <c r="AQ15" s="186"/>
      <c r="AR15" s="186">
        <v>0</v>
      </c>
      <c r="AS15" s="186">
        <f>AQ15+AR15</f>
        <v>0</v>
      </c>
      <c r="AT15" s="877"/>
      <c r="AU15" s="186"/>
      <c r="AV15" s="186">
        <v>0</v>
      </c>
      <c r="AW15" s="186">
        <f>AU15+AV15</f>
        <v>0</v>
      </c>
      <c r="AX15" s="186"/>
      <c r="AY15" s="186"/>
      <c r="AZ15" s="186">
        <v>0</v>
      </c>
      <c r="BA15" s="186">
        <f>AY15+AZ15</f>
        <v>0</v>
      </c>
      <c r="BB15" s="186"/>
      <c r="BC15" s="186"/>
      <c r="BD15" s="186">
        <v>0</v>
      </c>
      <c r="BE15" s="186">
        <f>BC15+BD15</f>
        <v>0</v>
      </c>
    </row>
    <row r="16" spans="1:57" ht="12">
      <c r="A16" s="23">
        <v>4</v>
      </c>
      <c r="B16" s="31" t="s">
        <v>276</v>
      </c>
      <c r="C16" s="863"/>
      <c r="D16" s="863"/>
      <c r="E16" s="863"/>
      <c r="F16" s="863"/>
      <c r="G16" s="863"/>
      <c r="H16" s="863"/>
      <c r="I16" s="186">
        <f>+H13</f>
        <v>5426655.903663833</v>
      </c>
      <c r="J16" s="186"/>
      <c r="K16" s="186"/>
      <c r="L16" s="186">
        <f>+K50</f>
        <v>9582301.858321857</v>
      </c>
      <c r="M16" s="186">
        <f>+L16+K16</f>
        <v>9582301.858321857</v>
      </c>
      <c r="N16" s="186"/>
      <c r="O16" s="186"/>
      <c r="P16" s="186">
        <f>+O50</f>
        <v>-55988.619455492895</v>
      </c>
      <c r="Q16" s="186">
        <f>+P16+O16</f>
        <v>-55988.619455492895</v>
      </c>
      <c r="R16" s="877"/>
      <c r="S16" s="899"/>
      <c r="T16" s="186">
        <f>+S50</f>
        <v>15275.173794004626</v>
      </c>
      <c r="U16" s="900">
        <f>+T16+S16</f>
        <v>15275.173794004626</v>
      </c>
      <c r="V16" s="877"/>
      <c r="W16" s="186"/>
      <c r="X16" s="186">
        <f>+W50</f>
        <v>3135858.179500352</v>
      </c>
      <c r="Y16" s="186">
        <f>+X16+W16</f>
        <v>3135858.179500352</v>
      </c>
      <c r="Z16" s="186"/>
      <c r="AA16" s="186"/>
      <c r="AB16" s="186">
        <v>0</v>
      </c>
      <c r="AC16" s="186">
        <f>+AB16+AA16</f>
        <v>0</v>
      </c>
      <c r="AD16" s="186"/>
      <c r="AE16" s="186"/>
      <c r="AF16" s="186">
        <f>+AE50</f>
        <v>-491498.67656189227</v>
      </c>
      <c r="AG16" s="186">
        <f>+AF16+AE16</f>
        <v>-491498.67656189227</v>
      </c>
      <c r="AH16" s="877"/>
      <c r="AI16" s="186"/>
      <c r="AJ16" s="186">
        <f>+AI50</f>
        <v>465565.47975548013</v>
      </c>
      <c r="AK16" s="186">
        <f>+AJ16+AI16</f>
        <v>465565.47975548013</v>
      </c>
      <c r="AL16" s="186"/>
      <c r="AM16" s="186"/>
      <c r="AN16" s="186">
        <f>+AM50</f>
        <v>-31009.059602000965</v>
      </c>
      <c r="AO16" s="186">
        <f>+AN16+AM16</f>
        <v>-31009.059602000965</v>
      </c>
      <c r="AP16" s="186"/>
      <c r="AQ16" s="186"/>
      <c r="AR16" s="186">
        <f>+AQ50</f>
        <v>-13070.136516348744</v>
      </c>
      <c r="AS16" s="186">
        <f>+AR16+AQ16</f>
        <v>-13070.136516348744</v>
      </c>
      <c r="AT16" s="877"/>
      <c r="AU16" s="186"/>
      <c r="AV16" s="186">
        <f>+AU50</f>
        <v>-3781073.0101049272</v>
      </c>
      <c r="AW16" s="186">
        <f>+AV16+AU16</f>
        <v>-3781073.0101049272</v>
      </c>
      <c r="AX16" s="186"/>
      <c r="AY16" s="186"/>
      <c r="AZ16" s="186">
        <f>+AY50</f>
        <v>1609983.1669295789</v>
      </c>
      <c r="BA16" s="186">
        <f>+AZ16+AY16</f>
        <v>1609983.1669295789</v>
      </c>
      <c r="BB16" s="186"/>
      <c r="BC16" s="186"/>
      <c r="BD16" s="186">
        <f>+BC50</f>
        <v>0</v>
      </c>
      <c r="BE16" s="186">
        <f>+BD16+BC16</f>
        <v>0</v>
      </c>
    </row>
    <row r="17" spans="1:57" ht="12.75" thickBot="1">
      <c r="A17" s="23">
        <v>5</v>
      </c>
      <c r="B17" s="31" t="s">
        <v>1028</v>
      </c>
      <c r="C17" s="109">
        <f>C13+C14+C15</f>
        <v>251728870</v>
      </c>
      <c r="D17" s="109">
        <f>+'MPP-3 p2'!N12</f>
        <v>40028870.72442006</v>
      </c>
      <c r="E17" s="109">
        <f>C17+D17</f>
        <v>291757740.7244201</v>
      </c>
      <c r="F17" s="109">
        <f>+'MPP-3 p3&amp;4'!U12</f>
        <v>6116.002122564387</v>
      </c>
      <c r="G17" s="109">
        <f>E17+F17</f>
        <v>291763856.72654265</v>
      </c>
      <c r="H17" s="109">
        <f>+H13+H14+H15</f>
        <v>5426655.903663833</v>
      </c>
      <c r="I17" s="109">
        <f>G17+H17</f>
        <v>297190512.63020647</v>
      </c>
      <c r="J17" s="109"/>
      <c r="K17" s="109">
        <f>SUM(K13:K16)</f>
        <v>125257242.72740754</v>
      </c>
      <c r="L17" s="109">
        <f>+L16</f>
        <v>9582301.858321857</v>
      </c>
      <c r="M17" s="109">
        <f>K17+L17</f>
        <v>134839544.5857294</v>
      </c>
      <c r="N17" s="109"/>
      <c r="O17" s="109">
        <f>SUM(O13:O16)</f>
        <v>1720995.6139749999</v>
      </c>
      <c r="P17" s="109">
        <f>+P16</f>
        <v>-55988.619455492895</v>
      </c>
      <c r="Q17" s="109">
        <f>O17+P17</f>
        <v>1665006.994519507</v>
      </c>
      <c r="R17" s="878"/>
      <c r="S17" s="109">
        <f>SUM(S13:S16)</f>
        <v>190676.44916745747</v>
      </c>
      <c r="T17" s="109">
        <f>+T16</f>
        <v>15275.173794004626</v>
      </c>
      <c r="U17" s="109">
        <f>S17+T17</f>
        <v>205951.6229614621</v>
      </c>
      <c r="V17" s="881"/>
      <c r="W17" s="888">
        <f>SUM(W13:W16)</f>
        <v>87202523.46508901</v>
      </c>
      <c r="X17" s="109">
        <f>+X16</f>
        <v>3135858.179500352</v>
      </c>
      <c r="Y17" s="109">
        <f>W17+X17</f>
        <v>90338381.64458936</v>
      </c>
      <c r="Z17" s="109"/>
      <c r="AA17" s="109">
        <f>SUM(AA13:AA16)</f>
        <v>70785.63415325253</v>
      </c>
      <c r="AB17" s="109">
        <f>+AB16</f>
        <v>0</v>
      </c>
      <c r="AC17" s="109">
        <f>AA17+AB17</f>
        <v>70785.63415325253</v>
      </c>
      <c r="AD17" s="109"/>
      <c r="AE17" s="109">
        <f>SUM(AE13:AE16)</f>
        <v>8288333.699015172</v>
      </c>
      <c r="AF17" s="109">
        <f>+AF16</f>
        <v>-491498.67656189227</v>
      </c>
      <c r="AG17" s="109">
        <f>AE17+AF17</f>
        <v>7796835.02245328</v>
      </c>
      <c r="AH17" s="881"/>
      <c r="AI17" s="109">
        <f>SUM(AI13:AI16)</f>
        <v>10956333.076993717</v>
      </c>
      <c r="AJ17" s="109">
        <f>+AJ16</f>
        <v>465565.47975548013</v>
      </c>
      <c r="AK17" s="109">
        <f>AI17+AJ17</f>
        <v>11421898.556749197</v>
      </c>
      <c r="AL17" s="109"/>
      <c r="AM17" s="109">
        <f>SUM(AM13:AM16)</f>
        <v>3148788.4969692016</v>
      </c>
      <c r="AN17" s="109">
        <f>+AN16</f>
        <v>-31009.059602000965</v>
      </c>
      <c r="AO17" s="109">
        <f>AM17+AN17</f>
        <v>3117779.437367201</v>
      </c>
      <c r="AP17" s="109"/>
      <c r="AQ17" s="109">
        <f>SUM(AQ13:AQ16)</f>
        <v>412448.2273043912</v>
      </c>
      <c r="AR17" s="109">
        <f>+AR16</f>
        <v>-13070.136516348744</v>
      </c>
      <c r="AS17" s="109">
        <f>AQ17+AR17</f>
        <v>399378.09078804246</v>
      </c>
      <c r="AT17" s="881"/>
      <c r="AU17" s="109">
        <f>SUM(AU13:AU16)</f>
        <v>8907753.133491788</v>
      </c>
      <c r="AV17" s="109">
        <f>+AV16</f>
        <v>-3781073.0101049272</v>
      </c>
      <c r="AW17" s="109">
        <f>AU17+AV17</f>
        <v>5126680.123386861</v>
      </c>
      <c r="AX17" s="109"/>
      <c r="AY17" s="109">
        <f>SUM(AY13:AY16)</f>
        <v>6351718.4524967875</v>
      </c>
      <c r="AZ17" s="109">
        <f>+AZ16</f>
        <v>1609983.1669295789</v>
      </c>
      <c r="BA17" s="109">
        <f>AY17+AZ17</f>
        <v>7961701.619426366</v>
      </c>
      <c r="BB17" s="109"/>
      <c r="BC17" s="109">
        <f>SUM(BC13:BC16)</f>
        <v>5866354.83393666</v>
      </c>
      <c r="BD17" s="109">
        <f>+BD16</f>
        <v>0</v>
      </c>
      <c r="BE17" s="109">
        <f>BC17+BD17</f>
        <v>5866354.83393666</v>
      </c>
    </row>
    <row r="18" spans="1:57" ht="12.75" thickTop="1">
      <c r="A18" s="34"/>
      <c r="B18" s="34"/>
      <c r="C18" s="110"/>
      <c r="D18" s="110"/>
      <c r="E18" s="110"/>
      <c r="F18" s="110"/>
      <c r="G18" s="110"/>
      <c r="H18" s="110"/>
      <c r="I18" s="110"/>
      <c r="J18" s="110"/>
      <c r="K18" s="110"/>
      <c r="L18" s="110"/>
      <c r="M18" s="110"/>
      <c r="N18" s="110"/>
      <c r="O18" s="110"/>
      <c r="P18" s="110"/>
      <c r="Q18" s="110"/>
      <c r="R18" s="879"/>
      <c r="S18" s="110"/>
      <c r="T18" s="110"/>
      <c r="U18" s="110"/>
      <c r="V18" s="863"/>
      <c r="W18" s="889"/>
      <c r="X18" s="110"/>
      <c r="Y18" s="110"/>
      <c r="Z18" s="110"/>
      <c r="AA18" s="110"/>
      <c r="AB18" s="110"/>
      <c r="AC18" s="110"/>
      <c r="AD18" s="110"/>
      <c r="AE18" s="110"/>
      <c r="AF18" s="110"/>
      <c r="AG18" s="110"/>
      <c r="AH18" s="863"/>
      <c r="AI18" s="110"/>
      <c r="AJ18" s="110"/>
      <c r="AK18" s="110"/>
      <c r="AL18" s="110"/>
      <c r="AM18" s="110"/>
      <c r="AN18" s="110"/>
      <c r="AO18" s="110"/>
      <c r="AP18" s="110"/>
      <c r="AQ18" s="110"/>
      <c r="AR18" s="110"/>
      <c r="AS18" s="110"/>
      <c r="AT18" s="863"/>
      <c r="AU18" s="110"/>
      <c r="AV18" s="110"/>
      <c r="AW18" s="110"/>
      <c r="AX18" s="110"/>
      <c r="AY18" s="110"/>
      <c r="AZ18" s="110"/>
      <c r="BA18" s="110"/>
      <c r="BB18" s="110"/>
      <c r="BC18" s="110"/>
      <c r="BD18" s="110"/>
      <c r="BE18" s="110"/>
    </row>
    <row r="19" spans="1:57" ht="12">
      <c r="A19" s="18"/>
      <c r="B19" s="29" t="s">
        <v>1029</v>
      </c>
      <c r="C19" s="111"/>
      <c r="D19" s="111"/>
      <c r="E19" s="111"/>
      <c r="F19" s="111"/>
      <c r="G19" s="111"/>
      <c r="H19" s="111"/>
      <c r="I19" s="111"/>
      <c r="J19" s="111"/>
      <c r="K19" s="111"/>
      <c r="L19" s="111"/>
      <c r="M19" s="111"/>
      <c r="N19" s="111"/>
      <c r="O19" s="111"/>
      <c r="P19" s="111"/>
      <c r="Q19" s="111"/>
      <c r="R19" s="880"/>
      <c r="S19" s="901"/>
      <c r="T19" s="111"/>
      <c r="U19" s="902"/>
      <c r="V19" s="863"/>
      <c r="W19" s="111"/>
      <c r="X19" s="111"/>
      <c r="Y19" s="111"/>
      <c r="Z19" s="111"/>
      <c r="AA19" s="111"/>
      <c r="AB19" s="111"/>
      <c r="AC19" s="111"/>
      <c r="AD19" s="111"/>
      <c r="AE19" s="111"/>
      <c r="AF19" s="111"/>
      <c r="AG19" s="111"/>
      <c r="AH19" s="863"/>
      <c r="AI19" s="111"/>
      <c r="AJ19" s="111"/>
      <c r="AK19" s="111"/>
      <c r="AL19" s="111"/>
      <c r="AM19" s="111"/>
      <c r="AN19" s="111"/>
      <c r="AO19" s="111"/>
      <c r="AP19" s="111"/>
      <c r="AQ19" s="111"/>
      <c r="AR19" s="111"/>
      <c r="AS19" s="111"/>
      <c r="AT19" s="863"/>
      <c r="AU19" s="111"/>
      <c r="AV19" s="111"/>
      <c r="AW19" s="111"/>
      <c r="AX19" s="111"/>
      <c r="AY19" s="111"/>
      <c r="AZ19" s="111"/>
      <c r="BA19" s="111"/>
      <c r="BB19" s="111"/>
      <c r="BC19" s="111"/>
      <c r="BD19" s="111"/>
      <c r="BE19" s="111"/>
    </row>
    <row r="20" spans="1:57" ht="12">
      <c r="A20" s="23" t="s">
        <v>1032</v>
      </c>
      <c r="B20" s="31" t="s">
        <v>1031</v>
      </c>
      <c r="C20" s="112">
        <f>+'KJB-2 p1'!F14</f>
        <v>163837631</v>
      </c>
      <c r="D20" s="112">
        <f>+'MPP-3 p2'!N15</f>
        <v>35812290.814290494</v>
      </c>
      <c r="E20" s="112">
        <f aca="true" t="shared" si="0" ref="E20:E29">C20+D20</f>
        <v>199649921.8142905</v>
      </c>
      <c r="F20" s="112">
        <f>+'MPP-3 p3&amp;4'!U15</f>
        <v>0</v>
      </c>
      <c r="G20" s="112">
        <f aca="true" t="shared" si="1" ref="G20:G29">E20+F20</f>
        <v>199649921.8142905</v>
      </c>
      <c r="H20" s="112">
        <v>0</v>
      </c>
      <c r="I20" s="112">
        <f aca="true" t="shared" si="2" ref="I20:I29">G20+H20</f>
        <v>199649921.8142905</v>
      </c>
      <c r="J20" s="112"/>
      <c r="K20" s="112">
        <f>+'Max Topsheet'!E20</f>
        <v>87180423.97452986</v>
      </c>
      <c r="L20" s="112">
        <v>0</v>
      </c>
      <c r="M20" s="112">
        <f aca="true" t="shared" si="3" ref="M20:M29">K20+L20</f>
        <v>87180423.97452986</v>
      </c>
      <c r="N20" s="112"/>
      <c r="O20" s="112">
        <f>+'Max Topsheet'!F20</f>
        <v>1156037.4896622584</v>
      </c>
      <c r="P20" s="112">
        <v>0</v>
      </c>
      <c r="Q20" s="112">
        <f>O20+P20</f>
        <v>1156037.4896622584</v>
      </c>
      <c r="R20" s="881"/>
      <c r="S20" s="903">
        <f>+'Max Topsheet'!G20</f>
        <v>134604.7599606746</v>
      </c>
      <c r="T20" s="112">
        <v>0</v>
      </c>
      <c r="U20" s="904">
        <f>S20+T20</f>
        <v>134604.7599606746</v>
      </c>
      <c r="V20" s="881"/>
      <c r="W20" s="112">
        <f>+'Max Topsheet'!H20</f>
        <v>64183040.98124863</v>
      </c>
      <c r="X20" s="112">
        <v>0</v>
      </c>
      <c r="Y20" s="112">
        <f>W20+X20</f>
        <v>64183040.98124863</v>
      </c>
      <c r="Z20" s="112"/>
      <c r="AA20" s="112">
        <f>+'Max Topsheet'!I20</f>
        <v>50072.51998537109</v>
      </c>
      <c r="AB20" s="112">
        <v>0</v>
      </c>
      <c r="AC20" s="112">
        <f>AA20+AB20</f>
        <v>50072.51998537109</v>
      </c>
      <c r="AD20" s="112"/>
      <c r="AE20" s="112">
        <f>+'Max Topsheet'!J20</f>
        <v>6340265.378147664</v>
      </c>
      <c r="AF20" s="112">
        <v>0</v>
      </c>
      <c r="AG20" s="112">
        <f>AE20+AF20</f>
        <v>6340265.378147664</v>
      </c>
      <c r="AH20" s="881"/>
      <c r="AI20" s="112">
        <f>+'Max Topsheet'!K20</f>
        <v>8373304.277553702</v>
      </c>
      <c r="AJ20" s="112">
        <v>0</v>
      </c>
      <c r="AK20" s="112">
        <f>AI20+AJ20</f>
        <v>8373304.277553702</v>
      </c>
      <c r="AL20" s="112"/>
      <c r="AM20" s="112">
        <f>+'Max Topsheet'!L20</f>
        <v>2616931.8592354516</v>
      </c>
      <c r="AN20" s="112">
        <v>0</v>
      </c>
      <c r="AO20" s="112">
        <f>AM20+AN20</f>
        <v>2616931.8592354516</v>
      </c>
      <c r="AP20" s="112"/>
      <c r="AQ20" s="112">
        <f>+'Max Topsheet'!M20</f>
        <v>326909.5799044919</v>
      </c>
      <c r="AR20" s="112">
        <v>0</v>
      </c>
      <c r="AS20" s="112">
        <f>AQ20+AR20</f>
        <v>326909.5799044919</v>
      </c>
      <c r="AT20" s="881"/>
      <c r="AU20" s="112">
        <f>+'Max Topsheet'!N20</f>
        <v>285170.14991668635</v>
      </c>
      <c r="AV20" s="112">
        <v>0</v>
      </c>
      <c r="AW20" s="112">
        <f>AU20+AV20</f>
        <v>285170.14991668635</v>
      </c>
      <c r="AX20" s="112"/>
      <c r="AY20" s="112">
        <f>+'Max Topsheet'!O20</f>
        <v>495718.02985517384</v>
      </c>
      <c r="AZ20" s="112">
        <v>0</v>
      </c>
      <c r="BA20" s="112">
        <f>AY20+AZ20</f>
        <v>495718.02985517384</v>
      </c>
      <c r="BB20" s="112"/>
      <c r="BC20" s="112">
        <f>+'Max Topsheet'!P20</f>
        <v>0</v>
      </c>
      <c r="BD20" s="112">
        <v>0</v>
      </c>
      <c r="BE20" s="112">
        <f>BC20+BD20</f>
        <v>0</v>
      </c>
    </row>
    <row r="21" spans="1:57" ht="12">
      <c r="A21" s="23"/>
      <c r="B21" s="31" t="s">
        <v>277</v>
      </c>
      <c r="C21" s="112"/>
      <c r="D21" s="112"/>
      <c r="E21" s="112"/>
      <c r="F21" s="112"/>
      <c r="G21" s="112"/>
      <c r="H21" s="112"/>
      <c r="I21" s="113">
        <v>0</v>
      </c>
      <c r="J21" s="112"/>
      <c r="K21" s="113">
        <f>+'Max Topsheet'!E21</f>
        <v>0</v>
      </c>
      <c r="L21" s="113">
        <v>0</v>
      </c>
      <c r="M21" s="113">
        <v>0</v>
      </c>
      <c r="N21" s="113"/>
      <c r="O21" s="113">
        <f>+'Max Topsheet'!F21</f>
        <v>0</v>
      </c>
      <c r="P21" s="113">
        <v>0</v>
      </c>
      <c r="Q21" s="113">
        <v>0</v>
      </c>
      <c r="R21" s="863"/>
      <c r="S21" s="905">
        <f>+'Max Topsheet'!G21</f>
        <v>0</v>
      </c>
      <c r="T21" s="113">
        <v>0</v>
      </c>
      <c r="U21" s="906">
        <v>0</v>
      </c>
      <c r="V21" s="863"/>
      <c r="W21" s="113">
        <f>+'Max Topsheet'!H21</f>
        <v>0</v>
      </c>
      <c r="X21" s="113">
        <v>0</v>
      </c>
      <c r="Y21" s="113">
        <v>0</v>
      </c>
      <c r="Z21" s="113"/>
      <c r="AA21" s="113">
        <f>+'Max Topsheet'!I21</f>
        <v>0</v>
      </c>
      <c r="AB21" s="113">
        <v>0</v>
      </c>
      <c r="AC21" s="113">
        <v>0</v>
      </c>
      <c r="AD21" s="113"/>
      <c r="AE21" s="113">
        <f>+'Max Topsheet'!J21</f>
        <v>0</v>
      </c>
      <c r="AF21" s="113">
        <v>0</v>
      </c>
      <c r="AG21" s="113">
        <v>0</v>
      </c>
      <c r="AH21" s="863"/>
      <c r="AI21" s="113">
        <f>+'Max Topsheet'!K21</f>
        <v>0</v>
      </c>
      <c r="AJ21" s="113">
        <v>0</v>
      </c>
      <c r="AK21" s="113">
        <v>0</v>
      </c>
      <c r="AL21" s="113"/>
      <c r="AM21" s="113">
        <f>+'Max Topsheet'!L21</f>
        <v>0</v>
      </c>
      <c r="AN21" s="113">
        <v>0</v>
      </c>
      <c r="AO21" s="113">
        <v>0</v>
      </c>
      <c r="AP21" s="113"/>
      <c r="AQ21" s="113">
        <f>+'Max Topsheet'!M21</f>
        <v>0</v>
      </c>
      <c r="AR21" s="113">
        <v>0</v>
      </c>
      <c r="AS21" s="113">
        <v>0</v>
      </c>
      <c r="AT21" s="863"/>
      <c r="AU21" s="113">
        <f>+'Max Topsheet'!N21</f>
        <v>0</v>
      </c>
      <c r="AV21" s="113">
        <v>0</v>
      </c>
      <c r="AW21" s="113">
        <v>0</v>
      </c>
      <c r="AX21" s="113"/>
      <c r="AY21" s="113">
        <f>+'Max Topsheet'!O21</f>
        <v>0</v>
      </c>
      <c r="AZ21" s="113">
        <v>0</v>
      </c>
      <c r="BA21" s="113">
        <v>0</v>
      </c>
      <c r="BB21" s="113"/>
      <c r="BC21" s="113">
        <f>+'Max Topsheet'!P21</f>
        <v>0</v>
      </c>
      <c r="BD21" s="113">
        <v>0</v>
      </c>
      <c r="BE21" s="113">
        <v>0</v>
      </c>
    </row>
    <row r="22" spans="1:57" ht="12">
      <c r="A22" s="23" t="s">
        <v>1034</v>
      </c>
      <c r="B22" s="31" t="s">
        <v>1035</v>
      </c>
      <c r="C22" s="113">
        <f>+'KJB-2 p1'!F16</f>
        <v>7682852</v>
      </c>
      <c r="D22" s="113">
        <f>+'MPP-3 p2'!N17</f>
        <v>0</v>
      </c>
      <c r="E22" s="113">
        <f t="shared" si="0"/>
        <v>7682852</v>
      </c>
      <c r="F22" s="113">
        <f>+'MPP-3 p3&amp;4'!U17</f>
        <v>0</v>
      </c>
      <c r="G22" s="113">
        <f t="shared" si="1"/>
        <v>7682852</v>
      </c>
      <c r="H22" s="113">
        <v>0</v>
      </c>
      <c r="I22" s="113">
        <f t="shared" si="2"/>
        <v>7682852</v>
      </c>
      <c r="J22" s="113"/>
      <c r="K22" s="113">
        <f>+'Max Topsheet'!E22</f>
        <v>3271525.720380055</v>
      </c>
      <c r="L22" s="113">
        <v>0</v>
      </c>
      <c r="M22" s="113">
        <f t="shared" si="3"/>
        <v>3271525.720380055</v>
      </c>
      <c r="N22" s="113"/>
      <c r="O22" s="113">
        <f>+'Max Topsheet'!F22</f>
        <v>35866.66525242017</v>
      </c>
      <c r="P22" s="113">
        <v>0</v>
      </c>
      <c r="Q22" s="113">
        <f aca="true" t="shared" si="4" ref="Q22:Q29">O22+P22</f>
        <v>35866.66525242017</v>
      </c>
      <c r="R22" s="863"/>
      <c r="S22" s="905">
        <f>+'Max Topsheet'!G22</f>
        <v>5711.128765848083</v>
      </c>
      <c r="T22" s="113">
        <v>0</v>
      </c>
      <c r="U22" s="906">
        <f aca="true" t="shared" si="5" ref="U22:U29">S22+T22</f>
        <v>5711.128765848083</v>
      </c>
      <c r="V22" s="863"/>
      <c r="W22" s="113">
        <f>+'Max Topsheet'!H22</f>
        <v>1931727.9486089838</v>
      </c>
      <c r="X22" s="113">
        <v>0</v>
      </c>
      <c r="Y22" s="113">
        <f aca="true" t="shared" si="6" ref="Y22:Y29">W22+X22</f>
        <v>1931727.9486089838</v>
      </c>
      <c r="Z22" s="113"/>
      <c r="AA22" s="113">
        <f>+'Max Topsheet'!I22</f>
        <v>449.26931622595123</v>
      </c>
      <c r="AB22" s="113">
        <v>0</v>
      </c>
      <c r="AC22" s="113">
        <f aca="true" t="shared" si="7" ref="AC22:AC29">AA22+AB22</f>
        <v>449.26931622595123</v>
      </c>
      <c r="AD22" s="113"/>
      <c r="AE22" s="113">
        <f>+'Max Topsheet'!J22</f>
        <v>80745.36724838897</v>
      </c>
      <c r="AF22" s="113">
        <v>0</v>
      </c>
      <c r="AG22" s="113">
        <f aca="true" t="shared" si="8" ref="AG22:AG29">AE22+AF22</f>
        <v>80745.36724838897</v>
      </c>
      <c r="AH22" s="863"/>
      <c r="AI22" s="113">
        <f>+'Max Topsheet'!K22</f>
        <v>220922.33041140297</v>
      </c>
      <c r="AJ22" s="113">
        <v>0</v>
      </c>
      <c r="AK22" s="113">
        <f aca="true" t="shared" si="9" ref="AK22:AK29">AI22+AJ22</f>
        <v>220922.33041140297</v>
      </c>
      <c r="AL22" s="113"/>
      <c r="AM22" s="113">
        <f>+'Max Topsheet'!L22</f>
        <v>28686.507714962478</v>
      </c>
      <c r="AN22" s="113">
        <v>0</v>
      </c>
      <c r="AO22" s="113">
        <f aca="true" t="shared" si="10" ref="AO22:AO29">AM22+AN22</f>
        <v>28686.507714962478</v>
      </c>
      <c r="AP22" s="113"/>
      <c r="AQ22" s="113">
        <f>+'Max Topsheet'!M22</f>
        <v>5883.2026028985165</v>
      </c>
      <c r="AR22" s="113">
        <v>0</v>
      </c>
      <c r="AS22" s="113">
        <f aca="true" t="shared" si="11" ref="AS22:AS29">AQ22+AR22</f>
        <v>5883.2026028985165</v>
      </c>
      <c r="AT22" s="863"/>
      <c r="AU22" s="113">
        <f>+'Max Topsheet'!N22</f>
        <v>666965.2881437482</v>
      </c>
      <c r="AV22" s="113">
        <v>0</v>
      </c>
      <c r="AW22" s="113">
        <f aca="true" t="shared" si="12" ref="AW22:AW29">AU22+AV22</f>
        <v>666965.2881437482</v>
      </c>
      <c r="AX22" s="113"/>
      <c r="AY22" s="113">
        <f>+'Max Topsheet'!O22</f>
        <v>663498.683655108</v>
      </c>
      <c r="AZ22" s="113">
        <v>0</v>
      </c>
      <c r="BA22" s="113">
        <f aca="true" t="shared" si="13" ref="BA22:BA29">AY22+AZ22</f>
        <v>663498.683655108</v>
      </c>
      <c r="BB22" s="113"/>
      <c r="BC22" s="113">
        <f>+'Max Topsheet'!P22</f>
        <v>770869.6778999586</v>
      </c>
      <c r="BD22" s="113">
        <v>0</v>
      </c>
      <c r="BE22" s="113">
        <f aca="true" t="shared" si="14" ref="BE22:BE29">BC22+BD22</f>
        <v>770869.6778999586</v>
      </c>
    </row>
    <row r="23" spans="1:57" ht="12">
      <c r="A23" s="23" t="s">
        <v>1036</v>
      </c>
      <c r="B23" s="31" t="s">
        <v>1037</v>
      </c>
      <c r="C23" s="113">
        <f>+'KJB-2 p1'!F17</f>
        <v>4158014</v>
      </c>
      <c r="D23" s="113">
        <f>+'MPP-3 p2'!N18</f>
        <v>-67744.25</v>
      </c>
      <c r="E23" s="113">
        <f t="shared" si="0"/>
        <v>4090269.75</v>
      </c>
      <c r="F23" s="113">
        <f>+'MPP-3 p3&amp;4'!U18</f>
        <v>19</v>
      </c>
      <c r="G23" s="113">
        <f t="shared" si="1"/>
        <v>4090288.75</v>
      </c>
      <c r="H23" s="113">
        <f>ROUND(H17*PFU,0)</f>
        <v>16710</v>
      </c>
      <c r="I23" s="113">
        <f t="shared" si="2"/>
        <v>4106998.75</v>
      </c>
      <c r="J23" s="113"/>
      <c r="K23" s="113">
        <f>+'Max Topsheet'!E23</f>
        <v>3254547.329749807</v>
      </c>
      <c r="L23" s="113">
        <f>ROUND(L17*PFU,0)</f>
        <v>29507</v>
      </c>
      <c r="M23" s="113">
        <f t="shared" si="3"/>
        <v>3284054.329749807</v>
      </c>
      <c r="N23" s="113"/>
      <c r="O23" s="113">
        <f>+'Max Topsheet'!F23</f>
        <v>35029.47112901484</v>
      </c>
      <c r="P23" s="113">
        <f>ROUND(P17*PFU,0)</f>
        <v>-172</v>
      </c>
      <c r="Q23" s="113">
        <f t="shared" si="4"/>
        <v>34857.47112901484</v>
      </c>
      <c r="R23" s="863"/>
      <c r="S23" s="905">
        <f>+'Max Topsheet'!G23</f>
        <v>2114.310896190326</v>
      </c>
      <c r="T23" s="113">
        <f>ROUND(T17*PFU,0)</f>
        <v>47</v>
      </c>
      <c r="U23" s="906">
        <f t="shared" si="5"/>
        <v>2161.310896190326</v>
      </c>
      <c r="V23" s="863"/>
      <c r="W23" s="113">
        <f>+'Max Topsheet'!H23</f>
        <v>772546.2095897797</v>
      </c>
      <c r="X23" s="113">
        <f>ROUND(X17*PFU,0)</f>
        <v>9656</v>
      </c>
      <c r="Y23" s="113">
        <f t="shared" si="6"/>
        <v>782202.2095897797</v>
      </c>
      <c r="Z23" s="113"/>
      <c r="AA23" s="113">
        <f>+'Max Topsheet'!I23</f>
        <v>331.1531445711612</v>
      </c>
      <c r="AB23" s="113">
        <f>ROUND(AB17*PFU,0)</f>
        <v>0</v>
      </c>
      <c r="AC23" s="113">
        <f t="shared" si="7"/>
        <v>331.1531445711612</v>
      </c>
      <c r="AD23" s="113"/>
      <c r="AE23" s="113">
        <f>+'Max Topsheet'!J23</f>
        <v>36187.799254292964</v>
      </c>
      <c r="AF23" s="113">
        <f>ROUND(AF17*PFU,0)</f>
        <v>-1513</v>
      </c>
      <c r="AG23" s="113">
        <f t="shared" si="8"/>
        <v>34674.799254292964</v>
      </c>
      <c r="AH23" s="863"/>
      <c r="AI23" s="113">
        <f>+'Max Topsheet'!K23</f>
        <v>53783.636071896515</v>
      </c>
      <c r="AJ23" s="113">
        <f>ROUND(AJ17*PFU,0)</f>
        <v>1434</v>
      </c>
      <c r="AK23" s="113">
        <f t="shared" si="9"/>
        <v>55217.636071896515</v>
      </c>
      <c r="AL23" s="113"/>
      <c r="AM23" s="113">
        <f>+'Max Topsheet'!L23</f>
        <v>13633.906712202606</v>
      </c>
      <c r="AN23" s="113">
        <f>ROUND(AN17*PFU,0)</f>
        <v>-95</v>
      </c>
      <c r="AO23" s="113">
        <f t="shared" si="10"/>
        <v>13538.906712202606</v>
      </c>
      <c r="AP23" s="113"/>
      <c r="AQ23" s="113">
        <f>+'Max Topsheet'!M23</f>
        <v>1788.0839486439909</v>
      </c>
      <c r="AR23" s="113">
        <f>ROUND(AR17*PFU,0)</f>
        <v>-40</v>
      </c>
      <c r="AS23" s="113">
        <f t="shared" si="11"/>
        <v>1748.0839486439909</v>
      </c>
      <c r="AT23" s="863"/>
      <c r="AU23" s="113">
        <f>+'Max Topsheet'!N23</f>
        <v>7765.584749063108</v>
      </c>
      <c r="AV23" s="113">
        <f>ROUND(AV17*PFU,0)</f>
        <v>-11643</v>
      </c>
      <c r="AW23" s="113">
        <f t="shared" si="12"/>
        <v>-3877.4152509368923</v>
      </c>
      <c r="AX23" s="113"/>
      <c r="AY23" s="113">
        <f>+'Max Topsheet'!O23</f>
        <v>2160.242989438196</v>
      </c>
      <c r="AZ23" s="113">
        <f>ROUND(AZ17*PFU,0)</f>
        <v>4958</v>
      </c>
      <c r="BA23" s="113">
        <f t="shared" si="13"/>
        <v>7118.242989438197</v>
      </c>
      <c r="BB23" s="113"/>
      <c r="BC23" s="113">
        <f>+'Max Topsheet'!P23</f>
        <v>1327.451765099748</v>
      </c>
      <c r="BD23" s="113">
        <f>ROUND(BD17*PFU,0)</f>
        <v>0</v>
      </c>
      <c r="BE23" s="113">
        <f t="shared" si="14"/>
        <v>1327.451765099748</v>
      </c>
    </row>
    <row r="24" spans="1:57" ht="12">
      <c r="A24" s="23" t="s">
        <v>1038</v>
      </c>
      <c r="B24" s="31" t="s">
        <v>1039</v>
      </c>
      <c r="C24" s="113">
        <f>+'KJB-2 p1'!F18</f>
        <v>344136</v>
      </c>
      <c r="D24" s="113">
        <f>+'MPP-3 p2'!N19</f>
        <v>0</v>
      </c>
      <c r="E24" s="113">
        <f t="shared" si="0"/>
        <v>344136</v>
      </c>
      <c r="F24" s="113">
        <f>+'MPP-3 p3&amp;4'!U19</f>
        <v>0</v>
      </c>
      <c r="G24" s="113">
        <f t="shared" si="1"/>
        <v>344136</v>
      </c>
      <c r="H24" s="113">
        <v>0</v>
      </c>
      <c r="I24" s="113">
        <f t="shared" si="2"/>
        <v>344136</v>
      </c>
      <c r="J24" s="113"/>
      <c r="K24" s="113">
        <f>+'Max Topsheet'!E24</f>
        <v>1149915.8650866593</v>
      </c>
      <c r="L24" s="113">
        <v>0</v>
      </c>
      <c r="M24" s="113">
        <f t="shared" si="3"/>
        <v>1149915.8650866593</v>
      </c>
      <c r="N24" s="113"/>
      <c r="O24" s="113">
        <f>+'Max Topsheet'!F24</f>
        <v>11743.15089572325</v>
      </c>
      <c r="P24" s="113">
        <v>0</v>
      </c>
      <c r="Q24" s="113">
        <f t="shared" si="4"/>
        <v>11743.15089572325</v>
      </c>
      <c r="R24" s="863"/>
      <c r="S24" s="905">
        <f>+'Max Topsheet'!G24</f>
        <v>553.9958229876084</v>
      </c>
      <c r="T24" s="113">
        <v>0</v>
      </c>
      <c r="U24" s="906">
        <f t="shared" si="5"/>
        <v>553.9958229876084</v>
      </c>
      <c r="V24" s="863"/>
      <c r="W24" s="113">
        <f>+'Max Topsheet'!H24</f>
        <v>172066.42096510902</v>
      </c>
      <c r="X24" s="113">
        <v>0</v>
      </c>
      <c r="Y24" s="113">
        <f t="shared" si="6"/>
        <v>172066.42096510902</v>
      </c>
      <c r="Z24" s="113"/>
      <c r="AA24" s="113">
        <f>+'Max Topsheet'!I24</f>
        <v>15.605516140496013</v>
      </c>
      <c r="AB24" s="113">
        <v>0</v>
      </c>
      <c r="AC24" s="113">
        <f t="shared" si="7"/>
        <v>15.605516140496013</v>
      </c>
      <c r="AD24" s="113"/>
      <c r="AE24" s="113">
        <f>+'Max Topsheet'!J24</f>
        <v>561.7985810578564</v>
      </c>
      <c r="AF24" s="113">
        <v>0</v>
      </c>
      <c r="AG24" s="113">
        <f t="shared" si="8"/>
        <v>561.7985810578564</v>
      </c>
      <c r="AH24" s="863"/>
      <c r="AI24" s="113">
        <f>+'Max Topsheet'!K24</f>
        <v>3160.117018450442</v>
      </c>
      <c r="AJ24" s="113">
        <v>0</v>
      </c>
      <c r="AK24" s="113">
        <f t="shared" si="9"/>
        <v>3160.117018450442</v>
      </c>
      <c r="AL24" s="113"/>
      <c r="AM24" s="113">
        <f>+'Max Topsheet'!L24</f>
        <v>93.63309684297606</v>
      </c>
      <c r="AN24" s="113">
        <v>0</v>
      </c>
      <c r="AO24" s="113">
        <f t="shared" si="10"/>
        <v>93.63309684297606</v>
      </c>
      <c r="AP24" s="113"/>
      <c r="AQ24" s="113">
        <f>+'Max Topsheet'!M24</f>
        <v>23.408274210744015</v>
      </c>
      <c r="AR24" s="113">
        <v>0</v>
      </c>
      <c r="AS24" s="113">
        <f t="shared" si="11"/>
        <v>23.408274210744015</v>
      </c>
      <c r="AT24" s="863"/>
      <c r="AU24" s="113">
        <f>+'Max Topsheet'!N24</f>
        <v>1029.964065272737</v>
      </c>
      <c r="AV24" s="113">
        <v>0</v>
      </c>
      <c r="AW24" s="113">
        <f t="shared" si="12"/>
        <v>1029.964065272737</v>
      </c>
      <c r="AX24" s="113"/>
      <c r="AY24" s="113">
        <f>+'Max Topsheet'!O24</f>
        <v>78.02758070248007</v>
      </c>
      <c r="AZ24" s="113">
        <v>0</v>
      </c>
      <c r="BA24" s="113">
        <f t="shared" si="13"/>
        <v>78.02758070248007</v>
      </c>
      <c r="BB24" s="113"/>
      <c r="BC24" s="113">
        <f>+'Max Topsheet'!P24</f>
        <v>93.63309684297606</v>
      </c>
      <c r="BD24" s="113">
        <v>0</v>
      </c>
      <c r="BE24" s="113">
        <f t="shared" si="14"/>
        <v>93.63309684297606</v>
      </c>
    </row>
    <row r="25" spans="1:57" ht="12">
      <c r="A25" s="23" t="s">
        <v>1040</v>
      </c>
      <c r="B25" s="31" t="s">
        <v>1041</v>
      </c>
      <c r="C25" s="113">
        <f>+'KJB-2 p1'!F19</f>
        <v>625296</v>
      </c>
      <c r="D25" s="113">
        <f>+'MPP-3 p2'!N20</f>
        <v>-183585.35</v>
      </c>
      <c r="E25" s="113">
        <f t="shared" si="0"/>
        <v>441710.65</v>
      </c>
      <c r="F25" s="113">
        <f>+'MPP-3 p3&amp;4'!U20</f>
        <v>0</v>
      </c>
      <c r="G25" s="113">
        <f t="shared" si="1"/>
        <v>441710.65</v>
      </c>
      <c r="H25" s="113">
        <v>0</v>
      </c>
      <c r="I25" s="113">
        <f t="shared" si="2"/>
        <v>441710.65</v>
      </c>
      <c r="J25" s="113"/>
      <c r="K25" s="113">
        <f>+'Max Topsheet'!E25</f>
        <v>200971.65236436646</v>
      </c>
      <c r="L25" s="113">
        <v>0</v>
      </c>
      <c r="M25" s="113">
        <f t="shared" si="3"/>
        <v>200971.65236436646</v>
      </c>
      <c r="N25" s="113"/>
      <c r="O25" s="113">
        <f>+'Max Topsheet'!F25</f>
        <v>2332.590901732883</v>
      </c>
      <c r="P25" s="113">
        <v>0</v>
      </c>
      <c r="Q25" s="113">
        <f t="shared" si="4"/>
        <v>2332.590901732883</v>
      </c>
      <c r="R25" s="863"/>
      <c r="S25" s="905">
        <f>+'Max Topsheet'!G25</f>
        <v>181.78984281244556</v>
      </c>
      <c r="T25" s="113">
        <v>0</v>
      </c>
      <c r="U25" s="906">
        <f t="shared" si="5"/>
        <v>181.78984281244556</v>
      </c>
      <c r="V25" s="863"/>
      <c r="W25" s="113">
        <f>+'Max Topsheet'!H25</f>
        <v>73153.34017316918</v>
      </c>
      <c r="X25" s="113">
        <v>0</v>
      </c>
      <c r="Y25" s="113">
        <f t="shared" si="6"/>
        <v>73153.34017316918</v>
      </c>
      <c r="Z25" s="113"/>
      <c r="AA25" s="113">
        <f>+'Max Topsheet'!I25</f>
        <v>40.509102490872195</v>
      </c>
      <c r="AB25" s="113">
        <v>0</v>
      </c>
      <c r="AC25" s="113">
        <f t="shared" si="7"/>
        <v>40.509102490872195</v>
      </c>
      <c r="AD25" s="113"/>
      <c r="AE25" s="113">
        <f>+'Max Topsheet'!J25</f>
        <v>5674.573243634263</v>
      </c>
      <c r="AF25" s="113">
        <v>0</v>
      </c>
      <c r="AG25" s="113">
        <f t="shared" si="8"/>
        <v>5674.573243634263</v>
      </c>
      <c r="AH25" s="863"/>
      <c r="AI25" s="113">
        <f>+'Max Topsheet'!K25</f>
        <v>7285.548879858233</v>
      </c>
      <c r="AJ25" s="113">
        <v>0</v>
      </c>
      <c r="AK25" s="113">
        <f t="shared" si="9"/>
        <v>7285.548879858233</v>
      </c>
      <c r="AL25" s="113"/>
      <c r="AM25" s="113">
        <f>+'Max Topsheet'!L25</f>
        <v>1886.7635810341417</v>
      </c>
      <c r="AN25" s="113">
        <v>0</v>
      </c>
      <c r="AO25" s="113">
        <f t="shared" si="10"/>
        <v>1886.7635810341417</v>
      </c>
      <c r="AP25" s="113"/>
      <c r="AQ25" s="113">
        <f>+'Max Topsheet'!M25</f>
        <v>259.97398014330446</v>
      </c>
      <c r="AR25" s="113">
        <v>0</v>
      </c>
      <c r="AS25" s="113">
        <f t="shared" si="11"/>
        <v>259.97398014330446</v>
      </c>
      <c r="AT25" s="863"/>
      <c r="AU25" s="113">
        <f>+'Max Topsheet'!N25</f>
        <v>55885.60092164356</v>
      </c>
      <c r="AV25" s="113">
        <v>0</v>
      </c>
      <c r="AW25" s="113">
        <f t="shared" si="12"/>
        <v>55885.60092164356</v>
      </c>
      <c r="AX25" s="113"/>
      <c r="AY25" s="113">
        <f>+'Max Topsheet'!O25</f>
        <v>94038.05700911475</v>
      </c>
      <c r="AZ25" s="113">
        <v>0</v>
      </c>
      <c r="BA25" s="113">
        <f t="shared" si="13"/>
        <v>94038.05700911475</v>
      </c>
      <c r="BB25" s="113"/>
      <c r="BC25" s="113">
        <f>+'Max Topsheet'!P25</f>
        <v>0</v>
      </c>
      <c r="BD25" s="113">
        <v>0</v>
      </c>
      <c r="BE25" s="113">
        <f t="shared" si="14"/>
        <v>0</v>
      </c>
    </row>
    <row r="26" spans="1:57" ht="12">
      <c r="A26" s="23" t="s">
        <v>1042</v>
      </c>
      <c r="B26" s="31" t="s">
        <v>1043</v>
      </c>
      <c r="C26" s="113">
        <f>+'KJB-2 p1'!F20</f>
        <v>18556164</v>
      </c>
      <c r="D26" s="113">
        <f>+'MPP-3 p2'!N21</f>
        <v>-2143626.6654959996</v>
      </c>
      <c r="E26" s="113">
        <f t="shared" si="0"/>
        <v>16412537.334504</v>
      </c>
      <c r="F26" s="113">
        <f>+'MPP-3 p3&amp;4'!U21</f>
        <v>532624.3833333334</v>
      </c>
      <c r="G26" s="113">
        <f t="shared" si="1"/>
        <v>16945161.717837334</v>
      </c>
      <c r="H26" s="113">
        <v>0</v>
      </c>
      <c r="I26" s="113">
        <f t="shared" si="2"/>
        <v>16945161.717837334</v>
      </c>
      <c r="J26" s="113"/>
      <c r="K26" s="113">
        <f>+'Max Topsheet'!E26</f>
        <v>9015693.308139373</v>
      </c>
      <c r="L26" s="113">
        <v>0</v>
      </c>
      <c r="M26" s="113">
        <f t="shared" si="3"/>
        <v>9015693.308139373</v>
      </c>
      <c r="N26" s="113"/>
      <c r="O26" s="113">
        <f>+'Max Topsheet'!F26</f>
        <v>98221.55177529757</v>
      </c>
      <c r="P26" s="113">
        <v>0</v>
      </c>
      <c r="Q26" s="113">
        <f t="shared" si="4"/>
        <v>98221.55177529757</v>
      </c>
      <c r="R26" s="863"/>
      <c r="S26" s="905">
        <f>+'Max Topsheet'!G26</f>
        <v>11681.125692428386</v>
      </c>
      <c r="T26" s="113">
        <v>0</v>
      </c>
      <c r="U26" s="906">
        <f t="shared" si="5"/>
        <v>11681.125692428386</v>
      </c>
      <c r="V26" s="863"/>
      <c r="W26" s="113">
        <f>+'Max Topsheet'!H26</f>
        <v>4023290.1806039913</v>
      </c>
      <c r="X26" s="113">
        <v>0</v>
      </c>
      <c r="Y26" s="113">
        <f t="shared" si="6"/>
        <v>4023290.1806039913</v>
      </c>
      <c r="Z26" s="113"/>
      <c r="AA26" s="113">
        <f>+'Max Topsheet'!I26</f>
        <v>1111.6766390584153</v>
      </c>
      <c r="AB26" s="113">
        <v>0</v>
      </c>
      <c r="AC26" s="113">
        <f t="shared" si="7"/>
        <v>1111.6766390584153</v>
      </c>
      <c r="AD26" s="113"/>
      <c r="AE26" s="113">
        <f>+'Max Topsheet'!J26</f>
        <v>174888.30720091565</v>
      </c>
      <c r="AF26" s="113">
        <v>0</v>
      </c>
      <c r="AG26" s="113">
        <f t="shared" si="8"/>
        <v>174888.30720091565</v>
      </c>
      <c r="AH26" s="863"/>
      <c r="AI26" s="113">
        <f>+'Max Topsheet'!K26</f>
        <v>420658.2662729836</v>
      </c>
      <c r="AJ26" s="113">
        <v>0</v>
      </c>
      <c r="AK26" s="113">
        <f t="shared" si="9"/>
        <v>420658.2662729836</v>
      </c>
      <c r="AL26" s="113"/>
      <c r="AM26" s="113">
        <f>+'Max Topsheet'!L26</f>
        <v>51454.32617777382</v>
      </c>
      <c r="AN26" s="113">
        <v>0</v>
      </c>
      <c r="AO26" s="113">
        <f t="shared" si="10"/>
        <v>51454.32617777382</v>
      </c>
      <c r="AP26" s="113"/>
      <c r="AQ26" s="113">
        <f>+'Max Topsheet'!M26</f>
        <v>9100.759825863484</v>
      </c>
      <c r="AR26" s="113">
        <v>0</v>
      </c>
      <c r="AS26" s="113">
        <f t="shared" si="11"/>
        <v>9100.759825863484</v>
      </c>
      <c r="AT26" s="863"/>
      <c r="AU26" s="113">
        <f>+'Max Topsheet'!N26</f>
        <v>1015563.4379288635</v>
      </c>
      <c r="AV26" s="113">
        <v>0</v>
      </c>
      <c r="AW26" s="113">
        <f t="shared" si="12"/>
        <v>1015563.4379288635</v>
      </c>
      <c r="AX26" s="113"/>
      <c r="AY26" s="113">
        <f>+'Max Topsheet'!O26</f>
        <v>1116639.6779098082</v>
      </c>
      <c r="AZ26" s="113">
        <v>0</v>
      </c>
      <c r="BA26" s="113">
        <f t="shared" si="13"/>
        <v>1116639.6779098082</v>
      </c>
      <c r="BB26" s="113"/>
      <c r="BC26" s="113">
        <f>+'Max Topsheet'!P26</f>
        <v>977679.7918336408</v>
      </c>
      <c r="BD26" s="113">
        <v>0</v>
      </c>
      <c r="BE26" s="113">
        <f t="shared" si="14"/>
        <v>977679.7918336408</v>
      </c>
    </row>
    <row r="27" spans="1:57" ht="12">
      <c r="A27" s="23" t="s">
        <v>1044</v>
      </c>
      <c r="B27" s="31" t="s">
        <v>1045</v>
      </c>
      <c r="C27" s="113">
        <v>0</v>
      </c>
      <c r="D27" s="113">
        <f>+'MPP-3 p2'!N22</f>
        <v>188561</v>
      </c>
      <c r="E27" s="113">
        <f t="shared" si="0"/>
        <v>188561</v>
      </c>
      <c r="F27" s="113">
        <f>+'MPP-3 p3&amp;4'!U22</f>
        <v>832522</v>
      </c>
      <c r="G27" s="113">
        <f t="shared" si="1"/>
        <v>1021083</v>
      </c>
      <c r="H27" s="113">
        <v>0</v>
      </c>
      <c r="I27" s="113">
        <f t="shared" si="2"/>
        <v>1021083</v>
      </c>
      <c r="J27" s="113"/>
      <c r="K27" s="113">
        <f>+'Max Topsheet'!E27</f>
        <v>686565.1097781976</v>
      </c>
      <c r="L27" s="113">
        <v>0</v>
      </c>
      <c r="M27" s="113">
        <f t="shared" si="3"/>
        <v>686565.1097781976</v>
      </c>
      <c r="N27" s="113"/>
      <c r="O27" s="113">
        <f>+'Max Topsheet'!F27</f>
        <v>7543.745874077718</v>
      </c>
      <c r="P27" s="113">
        <v>0</v>
      </c>
      <c r="Q27" s="113">
        <f t="shared" si="4"/>
        <v>7543.745874077718</v>
      </c>
      <c r="R27" s="863"/>
      <c r="S27" s="905">
        <f>+'Max Topsheet'!G27</f>
        <v>961.5215088094742</v>
      </c>
      <c r="T27" s="113">
        <v>0</v>
      </c>
      <c r="U27" s="906">
        <f t="shared" si="5"/>
        <v>961.5215088094742</v>
      </c>
      <c r="V27" s="863"/>
      <c r="W27" s="113">
        <f>+'Max Topsheet'!H27</f>
        <v>332817.75873774267</v>
      </c>
      <c r="X27" s="113">
        <v>0</v>
      </c>
      <c r="Y27" s="113">
        <f t="shared" si="6"/>
        <v>332817.75873774267</v>
      </c>
      <c r="Z27" s="113"/>
      <c r="AA27" s="113">
        <f>+'Max Topsheet'!I27</f>
        <v>92.76227909274317</v>
      </c>
      <c r="AB27" s="113">
        <v>0</v>
      </c>
      <c r="AC27" s="113">
        <f t="shared" si="7"/>
        <v>92.76227909274317</v>
      </c>
      <c r="AD27" s="113"/>
      <c r="AE27" s="113">
        <f>+'Max Topsheet'!J27</f>
        <v>15155.724566237106</v>
      </c>
      <c r="AF27" s="113">
        <v>0</v>
      </c>
      <c r="AG27" s="113">
        <f t="shared" si="8"/>
        <v>15155.724566237106</v>
      </c>
      <c r="AH27" s="863"/>
      <c r="AI27" s="113">
        <f>+'Max Topsheet'!K27</f>
        <v>35833.76039525008</v>
      </c>
      <c r="AJ27" s="113">
        <v>0</v>
      </c>
      <c r="AK27" s="113">
        <f t="shared" si="9"/>
        <v>35833.76039525008</v>
      </c>
      <c r="AL27" s="113"/>
      <c r="AM27" s="113">
        <f>+'Max Topsheet'!L27</f>
        <v>4001.105165641932</v>
      </c>
      <c r="AN27" s="113">
        <v>0</v>
      </c>
      <c r="AO27" s="113">
        <f t="shared" si="10"/>
        <v>4001.105165641932</v>
      </c>
      <c r="AP27" s="113"/>
      <c r="AQ27" s="113">
        <f>+'Max Topsheet'!M27</f>
        <v>703.521154757912</v>
      </c>
      <c r="AR27" s="113">
        <v>0</v>
      </c>
      <c r="AS27" s="113">
        <f t="shared" si="11"/>
        <v>703.521154757912</v>
      </c>
      <c r="AT27" s="863"/>
      <c r="AU27" s="113">
        <f>+'Max Topsheet'!N27</f>
        <v>94385.17532773186</v>
      </c>
      <c r="AV27" s="113">
        <v>0</v>
      </c>
      <c r="AW27" s="113">
        <f t="shared" si="12"/>
        <v>94385.17532773186</v>
      </c>
      <c r="AX27" s="113"/>
      <c r="AY27" s="113">
        <f>+'Max Topsheet'!O27</f>
        <v>109047.13548651326</v>
      </c>
      <c r="AZ27" s="113">
        <v>0</v>
      </c>
      <c r="BA27" s="113">
        <f t="shared" si="13"/>
        <v>109047.13548651326</v>
      </c>
      <c r="BB27" s="113"/>
      <c r="BC27" s="113">
        <f>+'Max Topsheet'!P27</f>
        <v>82453.67972594756</v>
      </c>
      <c r="BD27" s="113">
        <v>0</v>
      </c>
      <c r="BE27" s="113">
        <f t="shared" si="14"/>
        <v>82453.67972594756</v>
      </c>
    </row>
    <row r="28" spans="1:57" ht="12">
      <c r="A28" s="23" t="s">
        <v>1046</v>
      </c>
      <c r="B28" s="31" t="s">
        <v>1047</v>
      </c>
      <c r="C28" s="108">
        <f>+'KJB-2 p1'!F21</f>
        <v>13632109</v>
      </c>
      <c r="D28" s="108">
        <f>+'MPP-3 p2'!N23</f>
        <v>0</v>
      </c>
      <c r="E28" s="108">
        <f t="shared" si="0"/>
        <v>13632109</v>
      </c>
      <c r="F28" s="108">
        <f>+'MPP-3 p3&amp;4'!U23</f>
        <v>-35513.666666666664</v>
      </c>
      <c r="G28" s="108">
        <f t="shared" si="1"/>
        <v>13596595.333333334</v>
      </c>
      <c r="H28" s="108">
        <v>0</v>
      </c>
      <c r="I28" s="108">
        <f t="shared" si="2"/>
        <v>13596595.333333334</v>
      </c>
      <c r="J28" s="108"/>
      <c r="K28" s="108">
        <f>+'Max Topsheet'!E28</f>
        <v>5811130.828825565</v>
      </c>
      <c r="L28" s="108">
        <v>0</v>
      </c>
      <c r="M28" s="108">
        <f t="shared" si="3"/>
        <v>5811130.828825565</v>
      </c>
      <c r="N28" s="108"/>
      <c r="O28" s="108">
        <f>+'Max Topsheet'!F28</f>
        <v>65428.2536148713</v>
      </c>
      <c r="P28" s="108">
        <v>0</v>
      </c>
      <c r="Q28" s="108">
        <f t="shared" si="4"/>
        <v>65428.2536148713</v>
      </c>
      <c r="R28" s="882"/>
      <c r="S28" s="907">
        <f>+'Max Topsheet'!G28</f>
        <v>10608.688937753397</v>
      </c>
      <c r="T28" s="108">
        <v>0</v>
      </c>
      <c r="U28" s="908">
        <f t="shared" si="5"/>
        <v>10608.688937753397</v>
      </c>
      <c r="V28" s="863"/>
      <c r="W28" s="108">
        <f>+'Max Topsheet'!H28</f>
        <v>3685914.485586306</v>
      </c>
      <c r="X28" s="108">
        <v>0</v>
      </c>
      <c r="Y28" s="108">
        <f t="shared" si="6"/>
        <v>3685914.485586306</v>
      </c>
      <c r="Z28" s="108"/>
      <c r="AA28" s="108">
        <f>+'Max Topsheet'!I28</f>
        <v>1012.8702619533657</v>
      </c>
      <c r="AB28" s="108">
        <v>0</v>
      </c>
      <c r="AC28" s="108">
        <f t="shared" si="7"/>
        <v>1012.8702619533657</v>
      </c>
      <c r="AD28" s="108"/>
      <c r="AE28" s="108">
        <f>+'Max Topsheet'!J28</f>
        <v>178991.08720810656</v>
      </c>
      <c r="AF28" s="108">
        <v>0</v>
      </c>
      <c r="AG28" s="108">
        <f t="shared" si="8"/>
        <v>178991.08720810656</v>
      </c>
      <c r="AH28" s="863"/>
      <c r="AI28" s="108">
        <f>+'Max Topsheet'!K28</f>
        <v>429268.2826146155</v>
      </c>
      <c r="AJ28" s="108">
        <v>0</v>
      </c>
      <c r="AK28" s="108">
        <f t="shared" si="9"/>
        <v>429268.2826146155</v>
      </c>
      <c r="AL28" s="108"/>
      <c r="AM28" s="108">
        <f>+'Max Topsheet'!L28</f>
        <v>35469.47202460005</v>
      </c>
      <c r="AN28" s="108">
        <v>0</v>
      </c>
      <c r="AO28" s="108">
        <f t="shared" si="10"/>
        <v>35469.47202460005</v>
      </c>
      <c r="AP28" s="108"/>
      <c r="AQ28" s="108">
        <f>+'Max Topsheet'!M28</f>
        <v>6071.476316366849</v>
      </c>
      <c r="AR28" s="108">
        <v>0</v>
      </c>
      <c r="AS28" s="108">
        <f t="shared" si="11"/>
        <v>6071.476316366849</v>
      </c>
      <c r="AT28" s="863"/>
      <c r="AU28" s="108">
        <f>+'Max Topsheet'!N28</f>
        <v>1150116.6869158517</v>
      </c>
      <c r="AV28" s="108">
        <v>0</v>
      </c>
      <c r="AW28" s="108">
        <f t="shared" si="12"/>
        <v>1150116.6869158517</v>
      </c>
      <c r="AX28" s="108"/>
      <c r="AY28" s="108">
        <f>+'Max Topsheet'!O28</f>
        <v>1414304.5273223328</v>
      </c>
      <c r="AZ28" s="108">
        <v>0</v>
      </c>
      <c r="BA28" s="108">
        <f t="shared" si="13"/>
        <v>1414304.5273223328</v>
      </c>
      <c r="BB28" s="108"/>
      <c r="BC28" s="108">
        <f>+'Max Topsheet'!P28</f>
        <v>871593.3903716785</v>
      </c>
      <c r="BD28" s="108">
        <v>0</v>
      </c>
      <c r="BE28" s="108">
        <f t="shared" si="14"/>
        <v>871593.3903716785</v>
      </c>
    </row>
    <row r="29" spans="1:57" ht="12.75" thickBot="1">
      <c r="A29" s="23" t="s">
        <v>1048</v>
      </c>
      <c r="B29" s="31" t="s">
        <v>1049</v>
      </c>
      <c r="C29" s="109">
        <f>SUM(C20:C28)</f>
        <v>208836202</v>
      </c>
      <c r="D29" s="109">
        <f>+'MPP-3 p2'!N24</f>
        <v>33605895.54879449</v>
      </c>
      <c r="E29" s="109">
        <f t="shared" si="0"/>
        <v>242442097.5487945</v>
      </c>
      <c r="F29" s="109">
        <f>+'MPP-3 p3&amp;4'!U24</f>
        <v>1329651.7166666666</v>
      </c>
      <c r="G29" s="109">
        <f t="shared" si="1"/>
        <v>243771749.26546118</v>
      </c>
      <c r="H29" s="109">
        <f>SUM(H20:H28)</f>
        <v>16710</v>
      </c>
      <c r="I29" s="109">
        <f t="shared" si="2"/>
        <v>243788459.26546118</v>
      </c>
      <c r="J29" s="109"/>
      <c r="K29" s="109">
        <f>+'Max Topsheet'!E29</f>
        <v>110570773.78885388</v>
      </c>
      <c r="L29" s="109">
        <f>SUM(L20:L28)</f>
        <v>29507</v>
      </c>
      <c r="M29" s="109">
        <f t="shared" si="3"/>
        <v>110600280.78885388</v>
      </c>
      <c r="N29" s="109"/>
      <c r="O29" s="109">
        <f>+'Max Topsheet'!F29</f>
        <v>1412202.9191053966</v>
      </c>
      <c r="P29" s="109">
        <f>SUM(P20:P28)</f>
        <v>-172</v>
      </c>
      <c r="Q29" s="109">
        <f t="shared" si="4"/>
        <v>1412030.9191053966</v>
      </c>
      <c r="R29" s="878"/>
      <c r="S29" s="109">
        <f>+'Max Topsheet'!G29</f>
        <v>166417.32142750427</v>
      </c>
      <c r="T29" s="109">
        <f>SUM(T20:T28)</f>
        <v>47</v>
      </c>
      <c r="U29" s="109">
        <f t="shared" si="5"/>
        <v>166464.32142750427</v>
      </c>
      <c r="V29" s="881"/>
      <c r="W29" s="888">
        <f>+'Max Topsheet'!H29</f>
        <v>75174557.3255137</v>
      </c>
      <c r="X29" s="109">
        <f>SUM(X20:X28)</f>
        <v>9656</v>
      </c>
      <c r="Y29" s="109">
        <f t="shared" si="6"/>
        <v>75184213.3255137</v>
      </c>
      <c r="Z29" s="109"/>
      <c r="AA29" s="109">
        <f>+'Max Topsheet'!I29</f>
        <v>53126.36624490409</v>
      </c>
      <c r="AB29" s="109">
        <f>SUM(AB20:AB28)</f>
        <v>0</v>
      </c>
      <c r="AC29" s="109">
        <f t="shared" si="7"/>
        <v>53126.36624490409</v>
      </c>
      <c r="AD29" s="109"/>
      <c r="AE29" s="109">
        <f>+'Max Topsheet'!J29</f>
        <v>6832470.035450297</v>
      </c>
      <c r="AF29" s="109">
        <f>SUM(AF20:AF28)</f>
        <v>-1513</v>
      </c>
      <c r="AG29" s="109">
        <f t="shared" si="8"/>
        <v>6830957.035450297</v>
      </c>
      <c r="AH29" s="881"/>
      <c r="AI29" s="109">
        <f>+'Max Topsheet'!K29</f>
        <v>9544216.21921816</v>
      </c>
      <c r="AJ29" s="109">
        <f>SUM(AJ20:AJ28)</f>
        <v>1434</v>
      </c>
      <c r="AK29" s="109">
        <f t="shared" si="9"/>
        <v>9545650.21921816</v>
      </c>
      <c r="AL29" s="109"/>
      <c r="AM29" s="109">
        <f>+'Max Topsheet'!L29</f>
        <v>2752157.5737085096</v>
      </c>
      <c r="AN29" s="109">
        <f>SUM(AN20:AN28)</f>
        <v>-95</v>
      </c>
      <c r="AO29" s="109">
        <f t="shared" si="10"/>
        <v>2752062.5737085096</v>
      </c>
      <c r="AP29" s="109"/>
      <c r="AQ29" s="109">
        <f>+'Max Topsheet'!M29</f>
        <v>350740.0060073767</v>
      </c>
      <c r="AR29" s="109">
        <f>SUM(AR20:AR28)</f>
        <v>-40</v>
      </c>
      <c r="AS29" s="109">
        <f t="shared" si="11"/>
        <v>350700.0060073767</v>
      </c>
      <c r="AT29" s="881"/>
      <c r="AU29" s="109">
        <f>+'Max Topsheet'!N29</f>
        <v>3276881.8879688615</v>
      </c>
      <c r="AV29" s="109">
        <f>SUM(AV20:AV28)</f>
        <v>-11643</v>
      </c>
      <c r="AW29" s="109">
        <f t="shared" si="12"/>
        <v>3265238.8879688615</v>
      </c>
      <c r="AX29" s="109"/>
      <c r="AY29" s="109">
        <f>+'Max Topsheet'!O29</f>
        <v>3895484.3818081906</v>
      </c>
      <c r="AZ29" s="109">
        <f>SUM(AZ20:AZ28)</f>
        <v>4958</v>
      </c>
      <c r="BA29" s="109">
        <f t="shared" si="13"/>
        <v>3900442.3818081906</v>
      </c>
      <c r="BB29" s="109"/>
      <c r="BC29" s="109">
        <f>+'Max Topsheet'!P29</f>
        <v>2704017.6246931693</v>
      </c>
      <c r="BD29" s="109">
        <f>SUM(BD20:BD28)</f>
        <v>0</v>
      </c>
      <c r="BE29" s="109">
        <f t="shared" si="14"/>
        <v>2704017.6246931693</v>
      </c>
    </row>
    <row r="30" spans="1:57" ht="12.75" thickTop="1">
      <c r="A30" s="23"/>
      <c r="B30" s="34"/>
      <c r="C30" s="108"/>
      <c r="D30" s="108"/>
      <c r="E30" s="108"/>
      <c r="F30" s="108"/>
      <c r="G30" s="108"/>
      <c r="H30" s="108"/>
      <c r="I30" s="108"/>
      <c r="J30" s="108"/>
      <c r="K30" s="108"/>
      <c r="L30" s="108"/>
      <c r="M30" s="108"/>
      <c r="N30" s="108"/>
      <c r="O30" s="108"/>
      <c r="P30" s="108"/>
      <c r="Q30" s="108"/>
      <c r="R30" s="882"/>
      <c r="S30" s="907"/>
      <c r="T30" s="108"/>
      <c r="U30" s="908"/>
      <c r="V30" s="863"/>
      <c r="W30" s="108"/>
      <c r="X30" s="108"/>
      <c r="Y30" s="108"/>
      <c r="Z30" s="108"/>
      <c r="AA30" s="108"/>
      <c r="AB30" s="108"/>
      <c r="AC30" s="108"/>
      <c r="AD30" s="108"/>
      <c r="AE30" s="108"/>
      <c r="AF30" s="108"/>
      <c r="AG30" s="108"/>
      <c r="AH30" s="863"/>
      <c r="AI30" s="108"/>
      <c r="AJ30" s="108"/>
      <c r="AK30" s="108"/>
      <c r="AL30" s="108"/>
      <c r="AM30" s="108"/>
      <c r="AN30" s="108"/>
      <c r="AO30" s="108"/>
      <c r="AP30" s="108"/>
      <c r="AQ30" s="108"/>
      <c r="AR30" s="108"/>
      <c r="AS30" s="108"/>
      <c r="AT30" s="863"/>
      <c r="AU30" s="108"/>
      <c r="AV30" s="108"/>
      <c r="AW30" s="108"/>
      <c r="AX30" s="108"/>
      <c r="AY30" s="108"/>
      <c r="AZ30" s="108"/>
      <c r="BA30" s="108"/>
      <c r="BB30" s="108"/>
      <c r="BC30" s="108"/>
      <c r="BD30" s="108"/>
      <c r="BE30" s="108"/>
    </row>
    <row r="31" spans="1:57" ht="12">
      <c r="A31" s="18"/>
      <c r="B31" s="30" t="s">
        <v>1050</v>
      </c>
      <c r="C31" s="113"/>
      <c r="D31" s="113"/>
      <c r="E31" s="113"/>
      <c r="F31" s="113"/>
      <c r="G31" s="113"/>
      <c r="H31" s="113"/>
      <c r="I31" s="113"/>
      <c r="J31" s="113"/>
      <c r="K31" s="113"/>
      <c r="L31" s="113"/>
      <c r="M31" s="113"/>
      <c r="N31" s="113"/>
      <c r="O31" s="113"/>
      <c r="P31" s="113"/>
      <c r="Q31" s="113"/>
      <c r="R31" s="863"/>
      <c r="S31" s="905"/>
      <c r="T31" s="113"/>
      <c r="U31" s="906"/>
      <c r="V31" s="863"/>
      <c r="W31" s="113"/>
      <c r="X31" s="113"/>
      <c r="Y31" s="113"/>
      <c r="Z31" s="113"/>
      <c r="AA31" s="113"/>
      <c r="AB31" s="113"/>
      <c r="AC31" s="113"/>
      <c r="AD31" s="113"/>
      <c r="AE31" s="113"/>
      <c r="AF31" s="113"/>
      <c r="AG31" s="113"/>
      <c r="AH31" s="863"/>
      <c r="AI31" s="113"/>
      <c r="AJ31" s="113"/>
      <c r="AK31" s="113"/>
      <c r="AL31" s="113"/>
      <c r="AM31" s="113"/>
      <c r="AN31" s="113"/>
      <c r="AO31" s="113"/>
      <c r="AP31" s="113"/>
      <c r="AQ31" s="113"/>
      <c r="AR31" s="113"/>
      <c r="AS31" s="113"/>
      <c r="AT31" s="863"/>
      <c r="AU31" s="113"/>
      <c r="AV31" s="113"/>
      <c r="AW31" s="113"/>
      <c r="AX31" s="113"/>
      <c r="AY31" s="113"/>
      <c r="AZ31" s="113"/>
      <c r="BA31" s="113"/>
      <c r="BB31" s="113"/>
      <c r="BC31" s="113"/>
      <c r="BD31" s="113"/>
      <c r="BE31" s="113"/>
    </row>
    <row r="32" spans="1:57" ht="12">
      <c r="A32" s="23" t="s">
        <v>1051</v>
      </c>
      <c r="B32" s="31" t="s">
        <v>1052</v>
      </c>
      <c r="C32" s="112">
        <f>+'KJB-2 p1'!F25</f>
        <v>23837552</v>
      </c>
      <c r="D32" s="112">
        <f>+'MPP-3 p2'!N27</f>
        <v>1205191</v>
      </c>
      <c r="E32" s="112">
        <f>C32+D32</f>
        <v>25042743</v>
      </c>
      <c r="F32" s="112">
        <f>+'MPP-3 p3&amp;4'!U27</f>
        <v>89069</v>
      </c>
      <c r="G32" s="112">
        <f>E32+F32</f>
        <v>25131812</v>
      </c>
      <c r="H32" s="112">
        <f>ROUND(H17*OTI,0)</f>
        <v>218702</v>
      </c>
      <c r="I32" s="112">
        <f>G32+H32</f>
        <v>25350514</v>
      </c>
      <c r="J32" s="112"/>
      <c r="K32" s="112">
        <f>+'Max Topsheet'!E32</f>
        <v>11846914.66245653</v>
      </c>
      <c r="L32" s="112">
        <f>ROUND(L17*OTI,0)</f>
        <v>386180</v>
      </c>
      <c r="M32" s="112">
        <f>K32+L32</f>
        <v>12233094.66245653</v>
      </c>
      <c r="N32" s="112"/>
      <c r="O32" s="112">
        <f>+'Max Topsheet'!F32</f>
        <v>157700.97348189887</v>
      </c>
      <c r="P32" s="112">
        <f>ROUND(P17*OTI,0)</f>
        <v>-2256</v>
      </c>
      <c r="Q32" s="112">
        <f>O32+P32</f>
        <v>155444.97348189887</v>
      </c>
      <c r="R32" s="881"/>
      <c r="S32" s="903">
        <f>+'Max Topsheet'!G32</f>
        <v>18476.31203239405</v>
      </c>
      <c r="T32" s="112">
        <f>ROUND(T17*OTI,0)</f>
        <v>616</v>
      </c>
      <c r="U32" s="904">
        <f>S32+T32</f>
        <v>19092.31203239405</v>
      </c>
      <c r="V32" s="881"/>
      <c r="W32" s="112">
        <f>+'Max Topsheet'!H32</f>
        <v>8109847.0786726335</v>
      </c>
      <c r="X32" s="112">
        <f>ROUND(X17*OTI,0)</f>
        <v>126379</v>
      </c>
      <c r="Y32" s="112">
        <f>W32+X32</f>
        <v>8236226.0786726335</v>
      </c>
      <c r="Z32" s="112"/>
      <c r="AA32" s="112">
        <f>+'Max Topsheet'!I32</f>
        <v>6002.495971302517</v>
      </c>
      <c r="AB32" s="112">
        <f>ROUND(AB17*OTI,0)</f>
        <v>0</v>
      </c>
      <c r="AC32" s="112">
        <f>AA32+AB32</f>
        <v>6002.495971302517</v>
      </c>
      <c r="AD32" s="112"/>
      <c r="AE32" s="112">
        <f>+'Max Topsheet'!J32</f>
        <v>730903.2710735409</v>
      </c>
      <c r="AF32" s="112">
        <f>ROUND(AF17*OTI,0)</f>
        <v>-19808</v>
      </c>
      <c r="AG32" s="112">
        <f>AE32+AF32</f>
        <v>711095.2710735409</v>
      </c>
      <c r="AH32" s="881"/>
      <c r="AI32" s="112">
        <f>+'Max Topsheet'!K32</f>
        <v>1018641.9660711761</v>
      </c>
      <c r="AJ32" s="112">
        <f>ROUND(AJ17*OTI,0)</f>
        <v>18763</v>
      </c>
      <c r="AK32" s="112">
        <f>AI32+AJ32</f>
        <v>1037404.9660711761</v>
      </c>
      <c r="AL32" s="112"/>
      <c r="AM32" s="112">
        <f>+'Max Topsheet'!L32</f>
        <v>271209.4883806468</v>
      </c>
      <c r="AN32" s="112">
        <f>ROUND(AN17*OTI,0)</f>
        <v>-1250</v>
      </c>
      <c r="AO32" s="112">
        <f>AM32+AN32</f>
        <v>269959.4883806468</v>
      </c>
      <c r="AP32" s="112"/>
      <c r="AQ32" s="112">
        <f>+'Max Topsheet'!M32</f>
        <v>35633.70287332857</v>
      </c>
      <c r="AR32" s="112">
        <f>ROUND(AR17*OTI,0)</f>
        <v>-527</v>
      </c>
      <c r="AS32" s="112">
        <f>AQ32+AR32</f>
        <v>35106.70287332857</v>
      </c>
      <c r="AT32" s="881"/>
      <c r="AU32" s="112">
        <f>+'Max Topsheet'!N32</f>
        <v>542490.1424893939</v>
      </c>
      <c r="AV32" s="112">
        <f>ROUND(AV17*OTI,0)</f>
        <v>-152382</v>
      </c>
      <c r="AW32" s="112">
        <f>AU32+AV32</f>
        <v>390108.14248939394</v>
      </c>
      <c r="AX32" s="112"/>
      <c r="AY32" s="112">
        <f>+'Max Topsheet'!O32</f>
        <v>576750.7936478105</v>
      </c>
      <c r="AZ32" s="112">
        <f>ROUND(AZ17*OTI,0)</f>
        <v>64885</v>
      </c>
      <c r="BA32" s="112">
        <f>AY32+AZ32</f>
        <v>641635.7936478105</v>
      </c>
      <c r="BB32" s="112"/>
      <c r="BC32" s="112">
        <f>+'Max Topsheet'!P32</f>
        <v>413079.0328493418</v>
      </c>
      <c r="BD32" s="112">
        <f>ROUND(BD17*OTI,0)</f>
        <v>0</v>
      </c>
      <c r="BE32" s="112">
        <f>BC32+BD32</f>
        <v>413079.0328493418</v>
      </c>
    </row>
    <row r="33" spans="1:57" ht="12">
      <c r="A33" s="23" t="s">
        <v>1053</v>
      </c>
      <c r="B33" s="31" t="s">
        <v>1054</v>
      </c>
      <c r="C33" s="112">
        <f>+'KJB-2 p1'!F26</f>
        <v>0</v>
      </c>
      <c r="D33" s="113">
        <f>+'MPP-3 p2'!N28</f>
        <v>0</v>
      </c>
      <c r="E33" s="113">
        <f>C33+D33</f>
        <v>0</v>
      </c>
      <c r="F33" s="113">
        <f>+'MPP-3 p3&amp;4'!U28</f>
        <v>0</v>
      </c>
      <c r="G33" s="113">
        <f>E33+F33</f>
        <v>0</v>
      </c>
      <c r="H33" s="113">
        <v>0</v>
      </c>
      <c r="I33" s="113">
        <f>G33+H33</f>
        <v>0</v>
      </c>
      <c r="J33" s="113"/>
      <c r="K33" s="113">
        <f>+'Max Topsheet'!E33</f>
        <v>0</v>
      </c>
      <c r="L33" s="113">
        <v>0</v>
      </c>
      <c r="M33" s="113">
        <f>K33+L33</f>
        <v>0</v>
      </c>
      <c r="N33" s="113"/>
      <c r="O33" s="113">
        <f>+'Max Topsheet'!F33</f>
        <v>0</v>
      </c>
      <c r="P33" s="113">
        <v>0</v>
      </c>
      <c r="Q33" s="113">
        <f>O33+P33</f>
        <v>0</v>
      </c>
      <c r="R33" s="863"/>
      <c r="S33" s="905">
        <f>+'Max Topsheet'!G33</f>
        <v>0</v>
      </c>
      <c r="T33" s="113">
        <v>0</v>
      </c>
      <c r="U33" s="906">
        <f>S33+T33</f>
        <v>0</v>
      </c>
      <c r="V33" s="863"/>
      <c r="W33" s="113">
        <f>+'Max Topsheet'!H33</f>
        <v>0</v>
      </c>
      <c r="X33" s="113">
        <v>0</v>
      </c>
      <c r="Y33" s="113">
        <f>W33+X33</f>
        <v>0</v>
      </c>
      <c r="Z33" s="113"/>
      <c r="AA33" s="113">
        <f>+'Max Topsheet'!I33</f>
        <v>0</v>
      </c>
      <c r="AB33" s="113">
        <v>0</v>
      </c>
      <c r="AC33" s="113">
        <f>AA33+AB33</f>
        <v>0</v>
      </c>
      <c r="AD33" s="113"/>
      <c r="AE33" s="113">
        <f>+'Max Topsheet'!J33</f>
        <v>0</v>
      </c>
      <c r="AF33" s="113">
        <v>0</v>
      </c>
      <c r="AG33" s="113">
        <f>AE33+AF33</f>
        <v>0</v>
      </c>
      <c r="AH33" s="863"/>
      <c r="AI33" s="113">
        <f>+'Max Topsheet'!K33</f>
        <v>0</v>
      </c>
      <c r="AJ33" s="113">
        <v>0</v>
      </c>
      <c r="AK33" s="113">
        <f>AI33+AJ33</f>
        <v>0</v>
      </c>
      <c r="AL33" s="113"/>
      <c r="AM33" s="113">
        <f>+'Max Topsheet'!L33</f>
        <v>0</v>
      </c>
      <c r="AN33" s="113">
        <v>0</v>
      </c>
      <c r="AO33" s="113">
        <f>AM33+AN33</f>
        <v>0</v>
      </c>
      <c r="AP33" s="113"/>
      <c r="AQ33" s="113">
        <f>+'Max Topsheet'!M33</f>
        <v>0</v>
      </c>
      <c r="AR33" s="113">
        <v>0</v>
      </c>
      <c r="AS33" s="113">
        <f>AQ33+AR33</f>
        <v>0</v>
      </c>
      <c r="AT33" s="863"/>
      <c r="AU33" s="113">
        <f>+'Max Topsheet'!N33</f>
        <v>0</v>
      </c>
      <c r="AV33" s="113">
        <v>0</v>
      </c>
      <c r="AW33" s="113">
        <f>AU33+AV33</f>
        <v>0</v>
      </c>
      <c r="AX33" s="113"/>
      <c r="AY33" s="113">
        <f>+'Max Topsheet'!O33</f>
        <v>0</v>
      </c>
      <c r="AZ33" s="113">
        <v>0</v>
      </c>
      <c r="BA33" s="113">
        <f>AY33+AZ33</f>
        <v>0</v>
      </c>
      <c r="BB33" s="113"/>
      <c r="BC33" s="113">
        <f>+'Max Topsheet'!P33</f>
        <v>0</v>
      </c>
      <c r="BD33" s="113">
        <v>0</v>
      </c>
      <c r="BE33" s="113">
        <f>BC33+BD33</f>
        <v>0</v>
      </c>
    </row>
    <row r="34" spans="1:57" ht="12">
      <c r="A34" s="23" t="s">
        <v>1055</v>
      </c>
      <c r="B34" s="31" t="s">
        <v>1056</v>
      </c>
      <c r="C34" s="112">
        <f>+'KJB-2 p1'!F27</f>
        <v>3293908</v>
      </c>
      <c r="D34" s="108">
        <f>+'MPP-3 p2'!N29</f>
        <v>1774047</v>
      </c>
      <c r="E34" s="108">
        <f>C34+D34</f>
        <v>5067955</v>
      </c>
      <c r="F34" s="108">
        <f>+'MPP-3 p3&amp;4'!U29</f>
        <v>-457705.2194720004</v>
      </c>
      <c r="G34" s="108">
        <f>E34+F34</f>
        <v>4610249.780528</v>
      </c>
      <c r="H34" s="108">
        <f>ROUND((H17-H23-H32)*FIT,0)</f>
        <v>1765023</v>
      </c>
      <c r="I34" s="108">
        <f>G34+H34</f>
        <v>6375272.780528</v>
      </c>
      <c r="J34" s="108"/>
      <c r="K34" s="108">
        <f>+'Max Topsheet'!E34</f>
        <v>1312163.4766016733</v>
      </c>
      <c r="L34" s="108">
        <f>ROUND((L17-L29-L32-L33)*FIT,0)</f>
        <v>3116649</v>
      </c>
      <c r="M34" s="108">
        <f>K34+L34</f>
        <v>4428812.476601673</v>
      </c>
      <c r="N34" s="108"/>
      <c r="O34" s="108">
        <f>+'Max Topsheet'!F34</f>
        <v>27242.33892863873</v>
      </c>
      <c r="P34" s="108">
        <f>ROUND((P17-P29-P32-P33)*FIT,0)</f>
        <v>-18211</v>
      </c>
      <c r="Q34" s="108">
        <f>O34+P34</f>
        <v>9031.338928638728</v>
      </c>
      <c r="R34" s="882"/>
      <c r="S34" s="907">
        <f>+'Max Topsheet'!G34</f>
        <v>2137.622137797088</v>
      </c>
      <c r="T34" s="108">
        <f>ROUND((T17-T29-T32-T33)*FIT,0)</f>
        <v>4968</v>
      </c>
      <c r="U34" s="908">
        <f>S34+T34</f>
        <v>7105.622137797088</v>
      </c>
      <c r="V34" s="863"/>
      <c r="W34" s="108">
        <f>+'Max Topsheet'!H34</f>
        <v>1055942.3432267818</v>
      </c>
      <c r="X34" s="108">
        <f>ROUND((X17-X29-X32-X33)*FIT,0)</f>
        <v>1019940</v>
      </c>
      <c r="Y34" s="108">
        <f>W34+X34</f>
        <v>2075882.3432267818</v>
      </c>
      <c r="Z34" s="108"/>
      <c r="AA34" s="108">
        <f>+'Max Topsheet'!I34</f>
        <v>1533.087153095117</v>
      </c>
      <c r="AB34" s="108">
        <f>ROUND((AB17-AB29-AB32-AB33)*FIT,0)</f>
        <v>0</v>
      </c>
      <c r="AC34" s="108">
        <f>AA34+AB34</f>
        <v>1533.087153095117</v>
      </c>
      <c r="AD34" s="108"/>
      <c r="AE34" s="108">
        <f>+'Max Topsheet'!J34</f>
        <v>126798.5212695805</v>
      </c>
      <c r="AF34" s="108">
        <f>ROUND((AF17-AF29-AF32-AF33)*FIT,0)</f>
        <v>-159860</v>
      </c>
      <c r="AG34" s="108">
        <f>AE34+AF34</f>
        <v>-33061.478730419505</v>
      </c>
      <c r="AH34" s="863"/>
      <c r="AI34" s="108">
        <f>+'Max Topsheet'!K34</f>
        <v>123793.82418369252</v>
      </c>
      <c r="AJ34" s="108">
        <f>ROUND((AJ17-AJ29-AJ32-AJ33)*FIT,0)</f>
        <v>151425</v>
      </c>
      <c r="AK34" s="108">
        <f>AI34+AJ34</f>
        <v>275218.8241836925</v>
      </c>
      <c r="AL34" s="108"/>
      <c r="AM34" s="108">
        <f>+'Max Topsheet'!L34</f>
        <v>34551.305846355295</v>
      </c>
      <c r="AN34" s="108">
        <f>ROUND((AN17-AN29-AN32-AN33)*FIT,0)</f>
        <v>-10086</v>
      </c>
      <c r="AO34" s="108">
        <f>AM34+AN34</f>
        <v>24465.305846355295</v>
      </c>
      <c r="AP34" s="108"/>
      <c r="AQ34" s="108">
        <f>+'Max Topsheet'!M34</f>
        <v>5374.824952390066</v>
      </c>
      <c r="AR34" s="108">
        <f>ROUND((AR17-AR29-AR32-AR33)*FIT,0)</f>
        <v>-4251</v>
      </c>
      <c r="AS34" s="108">
        <f>AQ34+AR34</f>
        <v>1123.8249523900658</v>
      </c>
      <c r="AT34" s="863"/>
      <c r="AU34" s="108">
        <f>+'Max Topsheet'!N34</f>
        <v>493451.20940116077</v>
      </c>
      <c r="AV34" s="108">
        <f>ROUND((AV17-AV29-AV32-AV33)*FIT,0)</f>
        <v>-1229796</v>
      </c>
      <c r="AW34" s="108">
        <f>AU34+AV34</f>
        <v>-736344.7905988393</v>
      </c>
      <c r="AX34" s="108"/>
      <c r="AY34" s="108">
        <f>+'Max Topsheet'!O34</f>
        <v>219887.35995263618</v>
      </c>
      <c r="AZ34" s="108">
        <f>ROUND((AZ17-AZ29-AZ32-AZ33)*FIT,0)</f>
        <v>523648</v>
      </c>
      <c r="BA34" s="108">
        <f>AY34+AZ34</f>
        <v>743535.3599526362</v>
      </c>
      <c r="BB34" s="108"/>
      <c r="BC34" s="108">
        <f>+'Max Topsheet'!P34</f>
        <v>278384.0863461992</v>
      </c>
      <c r="BD34" s="108">
        <f>ROUND((BD17-BD29-BD32-BD33)*FIT,0)</f>
        <v>0</v>
      </c>
      <c r="BE34" s="108">
        <f>BC34+BD34</f>
        <v>278384.0863461992</v>
      </c>
    </row>
    <row r="35" spans="1:57" ht="12.75" thickBot="1">
      <c r="A35" s="23" t="s">
        <v>1057</v>
      </c>
      <c r="B35" s="31" t="s">
        <v>1058</v>
      </c>
      <c r="C35" s="109">
        <f>C32+C33+C34</f>
        <v>27131460</v>
      </c>
      <c r="D35" s="109">
        <f>+'MPP-3 p2'!N30</f>
        <v>2979238</v>
      </c>
      <c r="E35" s="109">
        <f>C35+D35</f>
        <v>30110698</v>
      </c>
      <c r="F35" s="109">
        <f>+'MPP-3 p3&amp;4'!U30</f>
        <v>-368636.2194720004</v>
      </c>
      <c r="G35" s="109">
        <f>E35+F35</f>
        <v>29742061.780528</v>
      </c>
      <c r="H35" s="109">
        <f>H32+H33+H34</f>
        <v>1983725</v>
      </c>
      <c r="I35" s="109">
        <f>G35+H35</f>
        <v>31725786.780528</v>
      </c>
      <c r="J35" s="109"/>
      <c r="K35" s="109">
        <f>SUM(K32:K34)</f>
        <v>13159078.139058203</v>
      </c>
      <c r="L35" s="109">
        <f>L32+L33+L34</f>
        <v>3502829</v>
      </c>
      <c r="M35" s="109">
        <f>K35+L35</f>
        <v>16661907.139058203</v>
      </c>
      <c r="N35" s="109"/>
      <c r="O35" s="109">
        <f>SUM(O32:O34)</f>
        <v>184943.3124105376</v>
      </c>
      <c r="P35" s="109">
        <f>P32+P33+P34</f>
        <v>-20467</v>
      </c>
      <c r="Q35" s="109">
        <f>O35+P35</f>
        <v>164476.3124105376</v>
      </c>
      <c r="R35" s="878"/>
      <c r="S35" s="109">
        <f>SUM(S32:S34)</f>
        <v>20613.934170191136</v>
      </c>
      <c r="T35" s="109">
        <f>T32+T33+T34</f>
        <v>5584</v>
      </c>
      <c r="U35" s="109">
        <f>S35+T35</f>
        <v>26197.934170191136</v>
      </c>
      <c r="V35" s="881"/>
      <c r="W35" s="888">
        <f>SUM(W32:W34)</f>
        <v>9165789.421899416</v>
      </c>
      <c r="X35" s="109">
        <f>X32+X33+X34</f>
        <v>1146319</v>
      </c>
      <c r="Y35" s="109">
        <f>W35+X35</f>
        <v>10312108.421899416</v>
      </c>
      <c r="Z35" s="109"/>
      <c r="AA35" s="109">
        <f>SUM(AA32:AA34)</f>
        <v>7535.5831243976345</v>
      </c>
      <c r="AB35" s="109">
        <f>AB32+AB33+AB34</f>
        <v>0</v>
      </c>
      <c r="AC35" s="109">
        <f>AA35+AB35</f>
        <v>7535.5831243976345</v>
      </c>
      <c r="AD35" s="109"/>
      <c r="AE35" s="109">
        <f>SUM(AE32:AE34)</f>
        <v>857701.7923431214</v>
      </c>
      <c r="AF35" s="109">
        <f>AF32+AF33+AF34</f>
        <v>-179668</v>
      </c>
      <c r="AG35" s="109">
        <f>AE35+AF35</f>
        <v>678033.7923431214</v>
      </c>
      <c r="AH35" s="881"/>
      <c r="AI35" s="109">
        <f>SUM(AI32:AI34)</f>
        <v>1142435.7902548686</v>
      </c>
      <c r="AJ35" s="109">
        <f>AJ32+AJ33+AJ34</f>
        <v>170188</v>
      </c>
      <c r="AK35" s="109">
        <f>AI35+AJ35</f>
        <v>1312623.7902548686</v>
      </c>
      <c r="AL35" s="109"/>
      <c r="AM35" s="109">
        <f>SUM(AM32:AM34)</f>
        <v>305760.7942270021</v>
      </c>
      <c r="AN35" s="109">
        <f>AN32+AN33+AN34</f>
        <v>-11336</v>
      </c>
      <c r="AO35" s="109">
        <f>AM35+AN35</f>
        <v>294424.7942270021</v>
      </c>
      <c r="AP35" s="109"/>
      <c r="AQ35" s="109">
        <f>SUM(AQ32:AQ34)</f>
        <v>41008.52782571864</v>
      </c>
      <c r="AR35" s="109">
        <f>AR32+AR33+AR34</f>
        <v>-4778</v>
      </c>
      <c r="AS35" s="109">
        <f>AQ35+AR35</f>
        <v>36230.52782571864</v>
      </c>
      <c r="AT35" s="881"/>
      <c r="AU35" s="109">
        <f>SUM(AU32:AU34)</f>
        <v>1035941.3518905547</v>
      </c>
      <c r="AV35" s="109">
        <f>AV32+AV33+AV34</f>
        <v>-1382178</v>
      </c>
      <c r="AW35" s="109">
        <f>AU35+AV35</f>
        <v>-346236.64810944535</v>
      </c>
      <c r="AX35" s="109"/>
      <c r="AY35" s="109">
        <f>SUM(AY32:AY34)</f>
        <v>796638.1536004466</v>
      </c>
      <c r="AZ35" s="109">
        <f>AZ32+AZ33+AZ34</f>
        <v>588533</v>
      </c>
      <c r="BA35" s="109">
        <f>AY35+AZ35</f>
        <v>1385171.1536004466</v>
      </c>
      <c r="BB35" s="109"/>
      <c r="BC35" s="109">
        <f>SUM(BC32:BC34)</f>
        <v>691463.119195541</v>
      </c>
      <c r="BD35" s="109">
        <f>BD32+BD33+BD34</f>
        <v>0</v>
      </c>
      <c r="BE35" s="109">
        <f>BC35+BD35</f>
        <v>691463.119195541</v>
      </c>
    </row>
    <row r="36" spans="1:57" ht="12.75" thickTop="1">
      <c r="A36" s="34"/>
      <c r="B36" s="34"/>
      <c r="C36" s="108"/>
      <c r="D36" s="108"/>
      <c r="E36" s="108"/>
      <c r="F36" s="108"/>
      <c r="G36" s="108"/>
      <c r="H36" s="108"/>
      <c r="I36" s="108"/>
      <c r="J36" s="108"/>
      <c r="K36" s="108"/>
      <c r="L36" s="108"/>
      <c r="M36" s="108"/>
      <c r="N36" s="108"/>
      <c r="O36" s="108"/>
      <c r="P36" s="108"/>
      <c r="Q36" s="108"/>
      <c r="R36" s="882"/>
      <c r="S36" s="907"/>
      <c r="T36" s="108"/>
      <c r="U36" s="908"/>
      <c r="V36" s="863"/>
      <c r="W36" s="108"/>
      <c r="X36" s="108"/>
      <c r="Y36" s="108"/>
      <c r="Z36" s="108"/>
      <c r="AA36" s="108"/>
      <c r="AB36" s="108"/>
      <c r="AC36" s="108"/>
      <c r="AD36" s="108"/>
      <c r="AE36" s="108"/>
      <c r="AF36" s="108"/>
      <c r="AG36" s="108"/>
      <c r="AH36" s="863"/>
      <c r="AI36" s="108"/>
      <c r="AJ36" s="108"/>
      <c r="AK36" s="108"/>
      <c r="AL36" s="108"/>
      <c r="AM36" s="108"/>
      <c r="AN36" s="108"/>
      <c r="AO36" s="108"/>
      <c r="AP36" s="108"/>
      <c r="AQ36" s="108"/>
      <c r="AR36" s="108"/>
      <c r="AS36" s="108"/>
      <c r="AT36" s="863"/>
      <c r="AU36" s="108"/>
      <c r="AV36" s="108"/>
      <c r="AW36" s="108"/>
      <c r="AX36" s="108"/>
      <c r="AY36" s="108"/>
      <c r="AZ36" s="108"/>
      <c r="BA36" s="108"/>
      <c r="BB36" s="108"/>
      <c r="BC36" s="108"/>
      <c r="BD36" s="108"/>
      <c r="BE36" s="108"/>
    </row>
    <row r="37" spans="1:57" ht="12.75" thickBot="1">
      <c r="A37" s="23" t="s">
        <v>1059</v>
      </c>
      <c r="B37" s="33" t="s">
        <v>1060</v>
      </c>
      <c r="C37" s="109">
        <f>C29+C35</f>
        <v>235967662</v>
      </c>
      <c r="D37" s="109">
        <f>+'MPP-3 p2'!N32</f>
        <v>36585133.54879449</v>
      </c>
      <c r="E37" s="109">
        <f>C37+D37</f>
        <v>272552795.5487945</v>
      </c>
      <c r="F37" s="109">
        <f>+'MPP-3 p3&amp;4'!U32</f>
        <v>961015.4971946662</v>
      </c>
      <c r="G37" s="109">
        <f>E37+F37</f>
        <v>273513811.04598916</v>
      </c>
      <c r="H37" s="109">
        <f>H29+H35</f>
        <v>2000435</v>
      </c>
      <c r="I37" s="109">
        <f>G37+H37</f>
        <v>275514246.04598916</v>
      </c>
      <c r="J37" s="109"/>
      <c r="K37" s="109">
        <f>+K35+K29</f>
        <v>123729851.92791209</v>
      </c>
      <c r="L37" s="109">
        <f>L29+L35</f>
        <v>3532336</v>
      </c>
      <c r="M37" s="109">
        <f>K37+L37</f>
        <v>127262187.92791209</v>
      </c>
      <c r="N37" s="109"/>
      <c r="O37" s="109">
        <f>+O35+O29</f>
        <v>1597146.2315159342</v>
      </c>
      <c r="P37" s="109">
        <f>P29+P35</f>
        <v>-20639</v>
      </c>
      <c r="Q37" s="109">
        <f>O37+P37</f>
        <v>1576507.2315159342</v>
      </c>
      <c r="R37" s="878"/>
      <c r="S37" s="109">
        <f>+S35+S29</f>
        <v>187031.25559769542</v>
      </c>
      <c r="T37" s="109">
        <f>T29+T35</f>
        <v>5631</v>
      </c>
      <c r="U37" s="109">
        <f>S37+T37</f>
        <v>192662.25559769542</v>
      </c>
      <c r="V37" s="881"/>
      <c r="W37" s="888">
        <f>+W35+W29</f>
        <v>84340346.74741313</v>
      </c>
      <c r="X37" s="109">
        <f>X29+X35</f>
        <v>1155975</v>
      </c>
      <c r="Y37" s="109">
        <f>W37+X37</f>
        <v>85496321.74741313</v>
      </c>
      <c r="Z37" s="109"/>
      <c r="AA37" s="109">
        <f>+AA35+AA29</f>
        <v>60661.94936930173</v>
      </c>
      <c r="AB37" s="109">
        <f>AB29+AB35</f>
        <v>0</v>
      </c>
      <c r="AC37" s="109">
        <f>AA37+AB37</f>
        <v>60661.94936930173</v>
      </c>
      <c r="AD37" s="109"/>
      <c r="AE37" s="109">
        <f>+AE35+AE29</f>
        <v>7690171.827793418</v>
      </c>
      <c r="AF37" s="109">
        <f>AF29+AF35</f>
        <v>-181181</v>
      </c>
      <c r="AG37" s="109">
        <f>AE37+AF37</f>
        <v>7508990.827793418</v>
      </c>
      <c r="AH37" s="881"/>
      <c r="AI37" s="109">
        <f>+AI35+AI29</f>
        <v>10686652.009473028</v>
      </c>
      <c r="AJ37" s="109">
        <f>AJ29+AJ35</f>
        <v>171622</v>
      </c>
      <c r="AK37" s="109">
        <f>AI37+AJ37</f>
        <v>10858274.009473028</v>
      </c>
      <c r="AL37" s="109"/>
      <c r="AM37" s="109">
        <f>+AM35+AM29</f>
        <v>3057918.3679355117</v>
      </c>
      <c r="AN37" s="109">
        <f>AN29+AN35</f>
        <v>-11431</v>
      </c>
      <c r="AO37" s="109">
        <f>AM37+AN37</f>
        <v>3046487.3679355117</v>
      </c>
      <c r="AP37" s="109"/>
      <c r="AQ37" s="109">
        <f>+AQ35+AQ29</f>
        <v>391748.53383309534</v>
      </c>
      <c r="AR37" s="109">
        <f>AR29+AR35</f>
        <v>-4818</v>
      </c>
      <c r="AS37" s="109">
        <f>AQ37+AR37</f>
        <v>386930.53383309534</v>
      </c>
      <c r="AT37" s="881"/>
      <c r="AU37" s="109">
        <f>+AU35+AU29</f>
        <v>4312823.239859416</v>
      </c>
      <c r="AV37" s="109">
        <f>AV29+AV35</f>
        <v>-1393821</v>
      </c>
      <c r="AW37" s="109">
        <f>AU37+AV37</f>
        <v>2919002.239859416</v>
      </c>
      <c r="AX37" s="109"/>
      <c r="AY37" s="109">
        <f>+AY35+AY29</f>
        <v>4692122.5354086375</v>
      </c>
      <c r="AZ37" s="109">
        <f>AZ29+AZ35</f>
        <v>593491</v>
      </c>
      <c r="BA37" s="109">
        <f>AY37+AZ37</f>
        <v>5285613.5354086375</v>
      </c>
      <c r="BB37" s="109"/>
      <c r="BC37" s="109">
        <f>+BC35+BC29</f>
        <v>3395480.74388871</v>
      </c>
      <c r="BD37" s="109">
        <f>BD29+BD35</f>
        <v>0</v>
      </c>
      <c r="BE37" s="109">
        <f>BC37+BD37</f>
        <v>3395480.74388871</v>
      </c>
    </row>
    <row r="38" spans="1:57" ht="12.75" thickTop="1">
      <c r="A38" s="34"/>
      <c r="B38" s="34"/>
      <c r="C38" s="108"/>
      <c r="D38" s="108"/>
      <c r="E38" s="108"/>
      <c r="F38" s="108"/>
      <c r="G38" s="108"/>
      <c r="H38" s="108"/>
      <c r="I38" s="108"/>
      <c r="J38" s="108"/>
      <c r="K38" s="108"/>
      <c r="L38" s="108"/>
      <c r="M38" s="108"/>
      <c r="N38" s="108"/>
      <c r="O38" s="108"/>
      <c r="P38" s="108"/>
      <c r="Q38" s="108"/>
      <c r="R38" s="882"/>
      <c r="S38" s="907"/>
      <c r="T38" s="108"/>
      <c r="U38" s="908"/>
      <c r="V38" s="863"/>
      <c r="W38" s="108"/>
      <c r="X38" s="108"/>
      <c r="Y38" s="108"/>
      <c r="Z38" s="108"/>
      <c r="AA38" s="108"/>
      <c r="AB38" s="108"/>
      <c r="AC38" s="108"/>
      <c r="AD38" s="108"/>
      <c r="AE38" s="108"/>
      <c r="AF38" s="108"/>
      <c r="AG38" s="108"/>
      <c r="AH38" s="863"/>
      <c r="AI38" s="108"/>
      <c r="AJ38" s="108"/>
      <c r="AK38" s="108"/>
      <c r="AL38" s="108"/>
      <c r="AM38" s="108"/>
      <c r="AN38" s="108"/>
      <c r="AO38" s="108"/>
      <c r="AP38" s="108"/>
      <c r="AQ38" s="108"/>
      <c r="AR38" s="108"/>
      <c r="AS38" s="108"/>
      <c r="AT38" s="863"/>
      <c r="AU38" s="108"/>
      <c r="AV38" s="108"/>
      <c r="AW38" s="108"/>
      <c r="AX38" s="108"/>
      <c r="AY38" s="108"/>
      <c r="AZ38" s="108"/>
      <c r="BA38" s="108"/>
      <c r="BB38" s="108"/>
      <c r="BC38" s="108"/>
      <c r="BD38" s="108"/>
      <c r="BE38" s="108"/>
    </row>
    <row r="39" spans="1:57" ht="12.75" thickBot="1">
      <c r="A39" s="35" t="s">
        <v>1061</v>
      </c>
      <c r="B39" s="29" t="s">
        <v>1062</v>
      </c>
      <c r="C39" s="109">
        <f>C17-C37</f>
        <v>15761208</v>
      </c>
      <c r="D39" s="109">
        <f>+'MPP-3 p2'!N34</f>
        <v>3443737.17562557</v>
      </c>
      <c r="E39" s="109">
        <f>C39+D39</f>
        <v>19204945.17562557</v>
      </c>
      <c r="F39" s="109">
        <f>+'MPP-3 p3&amp;4'!U34</f>
        <v>-954899.4950721018</v>
      </c>
      <c r="G39" s="109">
        <f>E39+F39</f>
        <v>18250045.68055347</v>
      </c>
      <c r="H39" s="109">
        <f>H17-H37</f>
        <v>3426220.9036638327</v>
      </c>
      <c r="I39" s="109">
        <f>+H39+G39</f>
        <v>21676266.584217303</v>
      </c>
      <c r="J39" s="109"/>
      <c r="K39" s="109">
        <f>+K17-K37</f>
        <v>1527390.7994954586</v>
      </c>
      <c r="L39" s="109">
        <f>L17-L37</f>
        <v>6049965.858321857</v>
      </c>
      <c r="M39" s="109">
        <f>+L39+K39</f>
        <v>7577356.657817315</v>
      </c>
      <c r="N39" s="109"/>
      <c r="O39" s="109">
        <f>+O17-O37</f>
        <v>123849.38245906564</v>
      </c>
      <c r="P39" s="109">
        <f>P17-P37</f>
        <v>-35349.619455492895</v>
      </c>
      <c r="Q39" s="109">
        <f>+P39+O39</f>
        <v>88499.76300357275</v>
      </c>
      <c r="R39" s="878"/>
      <c r="S39" s="109">
        <f>+S17-S37</f>
        <v>3645.19356976205</v>
      </c>
      <c r="T39" s="109">
        <f>T17-T37</f>
        <v>9644.173794004626</v>
      </c>
      <c r="U39" s="109">
        <f>+T39+S39</f>
        <v>13289.367363766676</v>
      </c>
      <c r="V39" s="881"/>
      <c r="W39" s="888">
        <f>+W17-W37</f>
        <v>2862176.7176758796</v>
      </c>
      <c r="X39" s="109">
        <f>X17-X37</f>
        <v>1979883.1795003521</v>
      </c>
      <c r="Y39" s="109">
        <f>+X39+W39</f>
        <v>4842059.897176232</v>
      </c>
      <c r="Z39" s="109"/>
      <c r="AA39" s="109">
        <f>+AA17-AA37</f>
        <v>10123.684783950797</v>
      </c>
      <c r="AB39" s="109">
        <f>AB17-AB37</f>
        <v>0</v>
      </c>
      <c r="AC39" s="109">
        <f>+AB39+AA39</f>
        <v>10123.684783950797</v>
      </c>
      <c r="AD39" s="109"/>
      <c r="AE39" s="109">
        <f>+AE17-AE37</f>
        <v>598161.8712217538</v>
      </c>
      <c r="AF39" s="109">
        <f>AF17-AF37</f>
        <v>-310317.67656189227</v>
      </c>
      <c r="AG39" s="109">
        <f>+AF39+AE39</f>
        <v>287844.1946598615</v>
      </c>
      <c r="AH39" s="881"/>
      <c r="AI39" s="109">
        <f>+AI17-AI37</f>
        <v>269681.0675206892</v>
      </c>
      <c r="AJ39" s="109">
        <f>AJ17-AJ37</f>
        <v>293943.47975548013</v>
      </c>
      <c r="AK39" s="109">
        <f>+AJ39+AI39</f>
        <v>563624.5472761693</v>
      </c>
      <c r="AL39" s="109"/>
      <c r="AM39" s="109">
        <f>+AM17-AM37</f>
        <v>90870.12903368985</v>
      </c>
      <c r="AN39" s="109">
        <f>AN17-AN37</f>
        <v>-19578.059602000965</v>
      </c>
      <c r="AO39" s="109">
        <f>+AN39+AM39</f>
        <v>71292.06943168888</v>
      </c>
      <c r="AP39" s="109"/>
      <c r="AQ39" s="109">
        <f>+AQ17-AQ37</f>
        <v>20699.693471295875</v>
      </c>
      <c r="AR39" s="109">
        <f>AR17-AR37</f>
        <v>-8252.136516348744</v>
      </c>
      <c r="AS39" s="109">
        <f>+AR39+AQ39</f>
        <v>12447.556954947131</v>
      </c>
      <c r="AT39" s="881"/>
      <c r="AU39" s="109">
        <f>+AU17-AU37</f>
        <v>4594929.893632372</v>
      </c>
      <c r="AV39" s="109">
        <f>AV17-AV37</f>
        <v>-2387252.0101049272</v>
      </c>
      <c r="AW39" s="109">
        <f>+AV39+AU39</f>
        <v>2207677.8835274447</v>
      </c>
      <c r="AX39" s="109"/>
      <c r="AY39" s="109">
        <f>+AY17-AY37</f>
        <v>1659595.91708815</v>
      </c>
      <c r="AZ39" s="109">
        <f>AZ17-AZ37</f>
        <v>1016492.1669295789</v>
      </c>
      <c r="BA39" s="109">
        <f>+AZ39+AY39</f>
        <v>2676088.084017729</v>
      </c>
      <c r="BB39" s="109"/>
      <c r="BC39" s="109">
        <f>+BC17-BC37</f>
        <v>2470874.0900479495</v>
      </c>
      <c r="BD39" s="109">
        <f>BD17-BD37</f>
        <v>0</v>
      </c>
      <c r="BE39" s="109">
        <f>+BD39+BC39</f>
        <v>2470874.0900479495</v>
      </c>
    </row>
    <row r="40" spans="1:57" ht="12.75" thickTop="1">
      <c r="A40" s="34"/>
      <c r="B40" s="34"/>
      <c r="C40" s="108"/>
      <c r="D40" s="108"/>
      <c r="E40" s="108"/>
      <c r="F40" s="108"/>
      <c r="G40" s="108"/>
      <c r="H40" s="108"/>
      <c r="I40" s="108"/>
      <c r="J40" s="108"/>
      <c r="K40" s="108"/>
      <c r="L40" s="108"/>
      <c r="M40" s="108"/>
      <c r="N40" s="108"/>
      <c r="O40" s="108"/>
      <c r="P40" s="108"/>
      <c r="Q40" s="108"/>
      <c r="R40" s="882"/>
      <c r="S40" s="907"/>
      <c r="T40" s="108"/>
      <c r="U40" s="908"/>
      <c r="V40" s="863"/>
      <c r="W40" s="108"/>
      <c r="X40" s="108"/>
      <c r="Y40" s="108"/>
      <c r="Z40" s="108"/>
      <c r="AA40" s="108"/>
      <c r="AB40" s="108"/>
      <c r="AC40" s="108"/>
      <c r="AD40" s="108"/>
      <c r="AE40" s="108"/>
      <c r="AF40" s="108"/>
      <c r="AG40" s="108"/>
      <c r="AH40" s="863"/>
      <c r="AI40" s="108"/>
      <c r="AJ40" s="108"/>
      <c r="AK40" s="108"/>
      <c r="AL40" s="108"/>
      <c r="AM40" s="108"/>
      <c r="AN40" s="108"/>
      <c r="AO40" s="108"/>
      <c r="AP40" s="108"/>
      <c r="AQ40" s="108"/>
      <c r="AR40" s="108"/>
      <c r="AS40" s="108"/>
      <c r="AT40" s="863"/>
      <c r="AU40" s="108"/>
      <c r="AV40" s="108"/>
      <c r="AW40" s="108"/>
      <c r="AX40" s="108"/>
      <c r="AY40" s="108"/>
      <c r="AZ40" s="108"/>
      <c r="BA40" s="108"/>
      <c r="BB40" s="108"/>
      <c r="BC40" s="108"/>
      <c r="BD40" s="108"/>
      <c r="BE40" s="108"/>
    </row>
    <row r="41" spans="1:57" ht="12.75" thickBot="1">
      <c r="A41" s="35" t="s">
        <v>1063</v>
      </c>
      <c r="B41" s="29" t="s">
        <v>1064</v>
      </c>
      <c r="C41" s="109">
        <f>+'KJB-2 p1'!F34</f>
        <v>231460401</v>
      </c>
      <c r="D41" s="109">
        <f>+'MPP-3 p2'!N36</f>
        <v>0</v>
      </c>
      <c r="E41" s="109">
        <f>C41+D41</f>
        <v>231460401</v>
      </c>
      <c r="F41" s="109">
        <f>+'MPP-3 p3&amp;4'!U36</f>
        <v>0</v>
      </c>
      <c r="G41" s="109">
        <f>E41+F41</f>
        <v>231460401</v>
      </c>
      <c r="H41" s="109">
        <v>0</v>
      </c>
      <c r="I41" s="109">
        <f>+H41+G41</f>
        <v>231460401</v>
      </c>
      <c r="J41" s="109"/>
      <c r="K41" s="109">
        <f>+'Max Topsheet'!E41</f>
        <v>90516530.7906589</v>
      </c>
      <c r="L41" s="867"/>
      <c r="M41" s="867">
        <f>+L41+K41</f>
        <v>90516530.7906589</v>
      </c>
      <c r="N41" s="867"/>
      <c r="O41" s="867">
        <f>+'Max Topsheet'!F41</f>
        <v>1057189.9977071115</v>
      </c>
      <c r="P41" s="867"/>
      <c r="Q41" s="867">
        <f>+P41+O41</f>
        <v>1057189.9977071115</v>
      </c>
      <c r="R41" s="883"/>
      <c r="S41" s="867">
        <f>+'Max Topsheet'!G41</f>
        <v>158751.3883881101</v>
      </c>
      <c r="T41" s="867"/>
      <c r="U41" s="867">
        <f>+T41+S41</f>
        <v>158751.3883881101</v>
      </c>
      <c r="V41" s="881"/>
      <c r="W41" s="890">
        <f>+'Max Topsheet'!H41</f>
        <v>57841600.11423513</v>
      </c>
      <c r="X41" s="867"/>
      <c r="Y41" s="867">
        <f>+X41+W41</f>
        <v>57841600.11423513</v>
      </c>
      <c r="Z41" s="867"/>
      <c r="AA41" s="867">
        <f>+'Max Topsheet'!I41</f>
        <v>20060.00461571824</v>
      </c>
      <c r="AB41" s="867"/>
      <c r="AC41" s="867">
        <f>+AB41+AA41</f>
        <v>20060.00461571824</v>
      </c>
      <c r="AD41" s="867"/>
      <c r="AE41" s="867">
        <f>+'Max Topsheet'!J41</f>
        <v>3438498.3814339717</v>
      </c>
      <c r="AF41" s="867"/>
      <c r="AG41" s="867">
        <f>+AF41+AE41</f>
        <v>3438498.3814339717</v>
      </c>
      <c r="AH41" s="881"/>
      <c r="AI41" s="867">
        <f>+'Max Topsheet'!K41</f>
        <v>6732867.689113429</v>
      </c>
      <c r="AJ41" s="867"/>
      <c r="AK41" s="867">
        <f>+AJ41+AI41</f>
        <v>6732867.689113429</v>
      </c>
      <c r="AL41" s="867"/>
      <c r="AM41" s="867">
        <f>+'Max Topsheet'!L41</f>
        <v>851629.7817053183</v>
      </c>
      <c r="AN41" s="867"/>
      <c r="AO41" s="867">
        <f>+AN41+AM41</f>
        <v>851629.7817053183</v>
      </c>
      <c r="AP41" s="867"/>
      <c r="AQ41" s="867">
        <f>+'Max Topsheet'!M41</f>
        <v>148695.01981468374</v>
      </c>
      <c r="AR41" s="867"/>
      <c r="AS41" s="867">
        <f>+AR41+AQ41</f>
        <v>148695.01981468374</v>
      </c>
      <c r="AT41" s="881"/>
      <c r="AU41" s="867">
        <f>+'Max Topsheet'!N41</f>
        <v>26372179.56147933</v>
      </c>
      <c r="AV41" s="867"/>
      <c r="AW41" s="867">
        <f>+AV41+AU41</f>
        <v>26372179.56147933</v>
      </c>
      <c r="AX41" s="867"/>
      <c r="AY41" s="867">
        <f>+'Max Topsheet'!O41</f>
        <v>31967650.56645284</v>
      </c>
      <c r="AZ41" s="867"/>
      <c r="BA41" s="867">
        <f>+AZ41+AY41</f>
        <v>31967650.56645284</v>
      </c>
      <c r="BB41" s="867"/>
      <c r="BC41" s="867">
        <f>+'Max Topsheet'!P41</f>
        <v>20226898.19522873</v>
      </c>
      <c r="BD41" s="867"/>
      <c r="BE41" s="867">
        <f>+BD41+BC41</f>
        <v>20226898.19522873</v>
      </c>
    </row>
    <row r="42" spans="1:57" ht="12.75" thickTop="1">
      <c r="A42" s="34"/>
      <c r="B42" s="34"/>
      <c r="C42" s="108"/>
      <c r="D42" s="108"/>
      <c r="E42" s="108"/>
      <c r="F42" s="108"/>
      <c r="G42" s="108"/>
      <c r="H42" s="108"/>
      <c r="I42" s="108"/>
      <c r="J42" s="108"/>
      <c r="K42" s="863"/>
      <c r="L42" s="868"/>
      <c r="M42" s="869"/>
      <c r="N42" s="869"/>
      <c r="O42" s="869"/>
      <c r="P42" s="869"/>
      <c r="Q42" s="869"/>
      <c r="R42" s="884"/>
      <c r="S42" s="868"/>
      <c r="T42" s="869"/>
      <c r="U42" s="870"/>
      <c r="V42" s="863"/>
      <c r="W42" s="869"/>
      <c r="X42" s="869"/>
      <c r="Y42" s="869"/>
      <c r="Z42" s="869"/>
      <c r="AA42" s="869"/>
      <c r="AB42" s="869"/>
      <c r="AC42" s="869"/>
      <c r="AD42" s="869"/>
      <c r="AE42" s="869"/>
      <c r="AF42" s="869"/>
      <c r="AG42" s="869"/>
      <c r="AH42" s="863"/>
      <c r="AI42" s="869"/>
      <c r="AJ42" s="869"/>
      <c r="AK42" s="869"/>
      <c r="AL42" s="869"/>
      <c r="AM42" s="869"/>
      <c r="AN42" s="869"/>
      <c r="AO42" s="869"/>
      <c r="AP42" s="869"/>
      <c r="AQ42" s="869"/>
      <c r="AR42" s="869"/>
      <c r="AS42" s="869"/>
      <c r="AT42" s="863"/>
      <c r="AU42" s="869"/>
      <c r="AV42" s="869"/>
      <c r="AW42" s="869"/>
      <c r="AX42" s="869"/>
      <c r="AY42" s="869"/>
      <c r="AZ42" s="869"/>
      <c r="BA42" s="869"/>
      <c r="BB42" s="869"/>
      <c r="BC42" s="869"/>
      <c r="BD42" s="869"/>
      <c r="BE42" s="870"/>
    </row>
    <row r="43" spans="1:57" ht="12">
      <c r="A43" s="35" t="s">
        <v>1065</v>
      </c>
      <c r="B43" s="29" t="s">
        <v>1066</v>
      </c>
      <c r="C43" s="117">
        <f>ROUND(C39/C41,4)</f>
        <v>0.0681</v>
      </c>
      <c r="D43" s="106"/>
      <c r="E43" s="117">
        <f>ROUND(E39/E41,4)</f>
        <v>0.083</v>
      </c>
      <c r="F43" s="106"/>
      <c r="G43" s="117">
        <f>ROUND(G39/G41,4)</f>
        <v>0.0788</v>
      </c>
      <c r="H43" s="106"/>
      <c r="I43" s="117">
        <f>+I39/I41</f>
        <v>0.09365000013206277</v>
      </c>
      <c r="J43" s="117"/>
      <c r="K43" s="117">
        <f>+K39/K41</f>
        <v>0.016874164157129647</v>
      </c>
      <c r="L43" s="866"/>
      <c r="M43" s="117">
        <f>+M39/M41</f>
        <v>0.08371240691207844</v>
      </c>
      <c r="N43" s="117"/>
      <c r="O43" s="117">
        <f>+O39/O41</f>
        <v>0.1171495972603568</v>
      </c>
      <c r="P43" s="866"/>
      <c r="Q43" s="117">
        <f>+Q39/Q41</f>
        <v>0.08371225909771718</v>
      </c>
      <c r="R43" s="117"/>
      <c r="S43" s="117">
        <f>+S39/S41</f>
        <v>0.02296164844146372</v>
      </c>
      <c r="T43" s="866"/>
      <c r="U43" s="117">
        <f>+U39/U41</f>
        <v>0.08371181820014874</v>
      </c>
      <c r="V43" s="866"/>
      <c r="W43" s="891">
        <f>+W39/W41</f>
        <v>0.04948301416321784</v>
      </c>
      <c r="X43" s="866"/>
      <c r="Y43" s="117">
        <f>+Y39/Y41</f>
        <v>0.08371241265133283</v>
      </c>
      <c r="Z43" s="117"/>
      <c r="AA43" s="117">
        <f>+AA39/AA41</f>
        <v>0.5046701123896189</v>
      </c>
      <c r="AB43" s="866"/>
      <c r="AC43" s="117">
        <f>+AC39/AC41</f>
        <v>0.5046701123896189</v>
      </c>
      <c r="AD43" s="117"/>
      <c r="AE43" s="117">
        <f>+AE39/AE41</f>
        <v>0.17396020147966443</v>
      </c>
      <c r="AF43" s="866"/>
      <c r="AG43" s="117">
        <f>+AG39/AG41</f>
        <v>0.08371217977418986</v>
      </c>
      <c r="AH43" s="866"/>
      <c r="AI43" s="117">
        <f>+AI39/AI41</f>
        <v>0.04005441365745898</v>
      </c>
      <c r="AJ43" s="866"/>
      <c r="AK43" s="117">
        <f>+AK39/AK41</f>
        <v>0.08371240507035514</v>
      </c>
      <c r="AL43" s="117"/>
      <c r="AM43" s="117">
        <f>+AM39/AM41</f>
        <v>0.1067014458462572</v>
      </c>
      <c r="AN43" s="866"/>
      <c r="AO43" s="117">
        <f>+AO39/AO41</f>
        <v>0.08371251330470432</v>
      </c>
      <c r="AP43" s="117"/>
      <c r="AQ43" s="117">
        <f>+AQ39/AQ41</f>
        <v>0.13920905688094717</v>
      </c>
      <c r="AR43" s="866"/>
      <c r="AS43" s="117">
        <f>+AS39/AS41</f>
        <v>0.08371199634298664</v>
      </c>
      <c r="AT43" s="866"/>
      <c r="AU43" s="117">
        <f>+AU39/AU41</f>
        <v>0.1742339833126262</v>
      </c>
      <c r="AV43" s="866"/>
      <c r="AW43" s="117">
        <f>+AW39/AW41</f>
        <v>0.08371237873535874</v>
      </c>
      <c r="AX43" s="117"/>
      <c r="AY43" s="117">
        <f>+AY39/AY41</f>
        <v>0.05191485416290636</v>
      </c>
      <c r="AZ43" s="866"/>
      <c r="BA43" s="117">
        <f>+BA39/BA41</f>
        <v>0.08371237912698037</v>
      </c>
      <c r="BB43" s="117"/>
      <c r="BC43" s="117">
        <f>+BC39/BC41</f>
        <v>0.1221578348889301</v>
      </c>
      <c r="BD43" s="866"/>
      <c r="BE43" s="117">
        <f>+BE39/BE41</f>
        <v>0.1221578348889301</v>
      </c>
    </row>
    <row r="44" spans="1:57" ht="12">
      <c r="A44" s="34"/>
      <c r="B44" s="34"/>
      <c r="C44" s="118"/>
      <c r="D44" s="107"/>
      <c r="E44" s="119"/>
      <c r="F44" s="107"/>
      <c r="G44" s="119"/>
      <c r="H44" s="107"/>
      <c r="I44" s="119"/>
      <c r="J44" s="119"/>
      <c r="K44" s="119"/>
      <c r="L44" s="865"/>
      <c r="M44" s="119"/>
      <c r="N44" s="119"/>
      <c r="O44" s="118"/>
      <c r="P44" s="865"/>
      <c r="Q44" s="119"/>
      <c r="R44" s="119"/>
      <c r="S44" s="118"/>
      <c r="T44" s="865"/>
      <c r="U44" s="119"/>
      <c r="V44" s="865"/>
      <c r="W44" s="157"/>
      <c r="X44" s="865"/>
      <c r="Y44" s="119"/>
      <c r="Z44" s="119"/>
      <c r="AA44" s="118"/>
      <c r="AB44" s="865"/>
      <c r="AC44" s="119"/>
      <c r="AD44" s="119"/>
      <c r="AE44" s="118"/>
      <c r="AF44" s="865"/>
      <c r="AG44" s="119"/>
      <c r="AH44" s="865"/>
      <c r="AI44" s="118"/>
      <c r="AJ44" s="865"/>
      <c r="AK44" s="119"/>
      <c r="AL44" s="119"/>
      <c r="AM44" s="118"/>
      <c r="AN44" s="865"/>
      <c r="AO44" s="119"/>
      <c r="AP44" s="119"/>
      <c r="AQ44" s="118"/>
      <c r="AR44" s="865"/>
      <c r="AS44" s="119"/>
      <c r="AT44" s="865"/>
      <c r="AU44" s="118"/>
      <c r="AV44" s="865"/>
      <c r="AW44" s="119"/>
      <c r="AX44" s="119"/>
      <c r="AY44" s="118"/>
      <c r="AZ44" s="865"/>
      <c r="BA44" s="119"/>
      <c r="BB44" s="119"/>
      <c r="BC44" s="118"/>
      <c r="BD44" s="865"/>
      <c r="BE44" s="119"/>
    </row>
    <row r="45" spans="22:46" ht="11.25">
      <c r="V45" s="143"/>
      <c r="AH45" s="143"/>
      <c r="AT45" s="143"/>
    </row>
    <row r="47" spans="2:51" ht="11.25">
      <c r="B47" s="36"/>
      <c r="C47" s="8"/>
      <c r="D47" s="8"/>
      <c r="E47" s="8"/>
      <c r="F47" s="8"/>
      <c r="G47" s="8"/>
      <c r="H47" s="8"/>
      <c r="K47" s="209">
        <v>0.08371240629576815</v>
      </c>
      <c r="O47" s="209">
        <f>+$K$47</f>
        <v>0.08371240629576815</v>
      </c>
      <c r="S47" s="209">
        <f>+$K$47</f>
        <v>0.08371240629576815</v>
      </c>
      <c r="W47" s="209">
        <f>+$K$47</f>
        <v>0.08371240629576815</v>
      </c>
      <c r="AA47" s="209">
        <f>+$K$47</f>
        <v>0.08371240629576815</v>
      </c>
      <c r="AE47" s="209">
        <f>+$K$47</f>
        <v>0.08371240629576815</v>
      </c>
      <c r="AI47" s="209">
        <f>+$K$47</f>
        <v>0.08371240629576815</v>
      </c>
      <c r="AM47" s="209">
        <f>+$K$47</f>
        <v>0.08371240629576815</v>
      </c>
      <c r="AQ47" s="209">
        <f>+$K$47</f>
        <v>0.08371240629576815</v>
      </c>
      <c r="AU47" s="209">
        <f>+$K$47</f>
        <v>0.08371240629576815</v>
      </c>
      <c r="AY47" s="209">
        <f>+$K$47</f>
        <v>0.08371240629576815</v>
      </c>
    </row>
    <row r="48" spans="2:51" ht="11.25">
      <c r="B48" s="1"/>
      <c r="C48" s="6" t="s">
        <v>1082</v>
      </c>
      <c r="H48" s="6" t="s">
        <v>1484</v>
      </c>
      <c r="K48" s="120">
        <f>+K41*K47</f>
        <v>7577356.6020310465</v>
      </c>
      <c r="L48" s="120">
        <f>+'JTS-9 S3 P2'!H47</f>
        <v>12322064.356060611</v>
      </c>
      <c r="O48" s="120">
        <f>+O41*O47</f>
        <v>88499.91861987991</v>
      </c>
      <c r="S48" s="120">
        <f>+S41*S47</f>
        <v>13289.460724762763</v>
      </c>
      <c r="W48" s="120">
        <f>+W41*W47</f>
        <v>4842059.529560201</v>
      </c>
      <c r="AA48" s="120">
        <f>+AA41*AA47</f>
        <v>1679.2712566859898</v>
      </c>
      <c r="AE48" s="120">
        <f>+AE41*AE47</f>
        <v>287844.9735539418</v>
      </c>
      <c r="AI48" s="120">
        <f>+AI41*AI47</f>
        <v>563624.5555267129</v>
      </c>
      <c r="AM48" s="120">
        <f>+AM41*AM47</f>
        <v>71291.97829969194</v>
      </c>
      <c r="AQ48" s="120">
        <f>+AQ41*AQ47</f>
        <v>12447.617912884101</v>
      </c>
      <c r="AU48" s="120">
        <f>+AU41*AU47</f>
        <v>2207678.6103555104</v>
      </c>
      <c r="AY48" s="120">
        <f>+AY41*AY47</f>
        <v>2676088.952540043</v>
      </c>
    </row>
    <row r="49" spans="2:51" ht="11.25">
      <c r="B49" s="1"/>
      <c r="C49" s="6" t="s">
        <v>1021</v>
      </c>
      <c r="H49" s="6" t="s">
        <v>1021</v>
      </c>
      <c r="K49" s="120">
        <f>+K48-K39</f>
        <v>6049965.802535588</v>
      </c>
      <c r="L49" s="120">
        <f>+'MPP-2'!REVREQ</f>
        <v>1629422</v>
      </c>
      <c r="O49" s="120">
        <f>+O48-O39</f>
        <v>-35349.46383918573</v>
      </c>
      <c r="S49" s="120">
        <f>+S48-S39</f>
        <v>9644.267155000713</v>
      </c>
      <c r="W49" s="120">
        <f>+W48-W39</f>
        <v>1979882.8118843213</v>
      </c>
      <c r="AA49" s="120">
        <f>+AA48-AA39</f>
        <v>-8444.413527264807</v>
      </c>
      <c r="AE49" s="120">
        <f>+AE48-AE39</f>
        <v>-310316.89766781195</v>
      </c>
      <c r="AI49" s="120">
        <f>+AI48-AI39</f>
        <v>293943.4880060237</v>
      </c>
      <c r="AM49" s="120">
        <f>+AM48-AM39</f>
        <v>-19578.150733997914</v>
      </c>
      <c r="AQ49" s="120">
        <f>+AQ48-AQ39</f>
        <v>-8252.075558411774</v>
      </c>
      <c r="AU49" s="120">
        <f>+AU48-AU39</f>
        <v>-2387251.2832768615</v>
      </c>
      <c r="AY49" s="120">
        <f>+AY48-AY39</f>
        <v>1016493.0354518928</v>
      </c>
    </row>
    <row r="50" spans="2:51" ht="11.25">
      <c r="B50" s="1"/>
      <c r="C50" s="6" t="s">
        <v>1021</v>
      </c>
      <c r="D50" s="6" t="s">
        <v>1069</v>
      </c>
      <c r="F50" s="6" t="s">
        <v>1070</v>
      </c>
      <c r="H50" s="6" t="s">
        <v>1021</v>
      </c>
      <c r="K50" s="120">
        <f>+K49/NTG</f>
        <v>9582301.858321857</v>
      </c>
      <c r="O50" s="120">
        <f>+O49/NTG</f>
        <v>-55988.619455492895</v>
      </c>
      <c r="S50" s="120">
        <f>+S49/NTG</f>
        <v>15275.173794004626</v>
      </c>
      <c r="W50" s="120">
        <f>+W49/NTG</f>
        <v>3135858.179500352</v>
      </c>
      <c r="AA50" s="120">
        <f>+AA49/NTG</f>
        <v>-13374.773027780566</v>
      </c>
      <c r="AE50" s="120">
        <f>+AE49/NTG</f>
        <v>-491498.67656189227</v>
      </c>
      <c r="AI50" s="120">
        <f>+AI49/NTG</f>
        <v>465565.47975548013</v>
      </c>
      <c r="AM50" s="120">
        <f>+AM49/NTG</f>
        <v>-31009.059602000965</v>
      </c>
      <c r="AQ50" s="120">
        <f>+AQ49/NTG</f>
        <v>-13070.136516348744</v>
      </c>
      <c r="AU50" s="120">
        <f>+AU49/NTG</f>
        <v>-3781073.0101049272</v>
      </c>
      <c r="AY50" s="120">
        <f>+AY49/NTG</f>
        <v>1609983.1669295789</v>
      </c>
    </row>
    <row r="51" spans="2:8" ht="11.25">
      <c r="B51" s="1"/>
      <c r="C51" s="6" t="s">
        <v>1013</v>
      </c>
      <c r="H51" s="6" t="s">
        <v>1014</v>
      </c>
    </row>
    <row r="52" spans="2:8" ht="11.25">
      <c r="B52" s="1"/>
      <c r="C52" s="815" t="s">
        <v>125</v>
      </c>
      <c r="H52" s="6">
        <v>7</v>
      </c>
    </row>
    <row r="53" spans="47:55" ht="11.25">
      <c r="AU53" s="120">
        <f>0.0937*AU41</f>
        <v>2471073.224910613</v>
      </c>
      <c r="AY53" s="120">
        <f>0.0937*AY41</f>
        <v>2995368.858076631</v>
      </c>
      <c r="BC53" s="120">
        <f>0.0937*BC41</f>
        <v>1895260.3608929322</v>
      </c>
    </row>
    <row r="54" spans="47:55" ht="11.25">
      <c r="AU54">
        <f>+AU53-AU39</f>
        <v>-2123856.6687217588</v>
      </c>
      <c r="AY54">
        <f>+AY53-AY39</f>
        <v>1335772.940988481</v>
      </c>
      <c r="BC54">
        <f>+BC53-BC39</f>
        <v>-575613.7291550173</v>
      </c>
    </row>
    <row r="55" spans="47:55" ht="11.25">
      <c r="AU55">
        <f>+AU54/NTG</f>
        <v>-3363892.6843144028</v>
      </c>
      <c r="AY55">
        <f>+AY54/NTG</f>
        <v>2115677.997612067</v>
      </c>
      <c r="BC55">
        <f>+BC54/NTG</f>
        <v>-911691.8486127676</v>
      </c>
    </row>
    <row r="56" spans="2:10" ht="12.75">
      <c r="B56" s="297" t="s">
        <v>369</v>
      </c>
      <c r="C56" s="298">
        <v>0.0400949094969726</v>
      </c>
      <c r="E56" s="298">
        <f>+C56</f>
        <v>0.0400949094969726</v>
      </c>
      <c r="G56" s="298">
        <f>+E69</f>
        <v>0.0379</v>
      </c>
      <c r="I56" s="298">
        <f>+G56</f>
        <v>0.0379</v>
      </c>
      <c r="J56" s="848"/>
    </row>
    <row r="57" spans="2:10" ht="12.75">
      <c r="B57" s="298" t="s">
        <v>370</v>
      </c>
      <c r="C57" s="298">
        <v>0.00421145286026127</v>
      </c>
      <c r="E57" s="298">
        <f>+C57</f>
        <v>0.00421145286026127</v>
      </c>
      <c r="G57" s="298">
        <f>+E70</f>
        <v>0</v>
      </c>
      <c r="I57" s="298">
        <f>+G57</f>
        <v>0</v>
      </c>
      <c r="J57" s="848"/>
    </row>
    <row r="58" spans="2:10" ht="12.75">
      <c r="B58" s="297" t="s">
        <v>371</v>
      </c>
      <c r="C58" s="298">
        <v>0.04300275711067541</v>
      </c>
      <c r="E58" s="298">
        <f>+E43-E56-E57</f>
        <v>0.038693637642766135</v>
      </c>
      <c r="G58" s="298">
        <f>+G43-G56-G57</f>
        <v>0.04089999999999999</v>
      </c>
      <c r="I58" s="298">
        <f>+I43-I56-I57</f>
        <v>0.05575000013206277</v>
      </c>
      <c r="J58" s="848"/>
    </row>
    <row r="59" spans="2:10" ht="12.75">
      <c r="B59" s="297" t="s">
        <v>372</v>
      </c>
      <c r="C59" s="299">
        <v>0.40680228391778855</v>
      </c>
      <c r="E59" s="299">
        <f>+C59</f>
        <v>0.40680228391778855</v>
      </c>
      <c r="G59" s="299">
        <f>+C71</f>
        <v>0.5</v>
      </c>
      <c r="I59" s="299">
        <f>+G59</f>
        <v>0.5</v>
      </c>
      <c r="J59" s="849"/>
    </row>
    <row r="60" spans="2:10" ht="18.75">
      <c r="B60" s="211" t="s">
        <v>374</v>
      </c>
      <c r="C60" s="346">
        <v>0.09722331383828724</v>
      </c>
      <c r="E60" s="346">
        <f>ROUND(E58/E59,4)</f>
        <v>0.0951</v>
      </c>
      <c r="G60" s="346">
        <f>ROUND(G58/G59,4)</f>
        <v>0.0818</v>
      </c>
      <c r="I60" s="346">
        <f>ROUND(I58/I59,6)</f>
        <v>0.1115</v>
      </c>
      <c r="J60" s="850"/>
    </row>
    <row r="61" spans="2:10" ht="18.75">
      <c r="B61" s="297" t="s">
        <v>49</v>
      </c>
      <c r="H61">
        <f>+G41*I61-G39</f>
        <v>3426220.873096533</v>
      </c>
      <c r="I61" s="346">
        <f>+E72</f>
        <v>0.09365000000000001</v>
      </c>
      <c r="J61" s="850"/>
    </row>
    <row r="63" spans="2:5" ht="12.75">
      <c r="B63" s="391" t="s">
        <v>308</v>
      </c>
      <c r="C63" s="391"/>
      <c r="D63" s="391" t="s">
        <v>50</v>
      </c>
      <c r="E63" s="391" t="s">
        <v>51</v>
      </c>
    </row>
    <row r="64" spans="2:5" ht="12.75">
      <c r="B64" s="391">
        <f>+'MDM 1LT Debt'!D32</f>
        <v>0</v>
      </c>
      <c r="C64" s="392">
        <f>B64/B$67</f>
        <v>0</v>
      </c>
      <c r="D64" s="392">
        <f>+'MDM 1LT Debt'!E32</f>
        <v>0</v>
      </c>
      <c r="E64" s="392">
        <f>D64*C64</f>
        <v>0</v>
      </c>
    </row>
    <row r="65" spans="2:5" ht="12.75">
      <c r="B65" s="391">
        <f>+'MDM 1ST Debt'!C16</f>
        <v>18900000</v>
      </c>
      <c r="C65" s="392">
        <f>B65/B$67</f>
        <v>0.12084056566405461</v>
      </c>
      <c r="D65" s="392">
        <f>+'MDM 1ST Debt'!D22</f>
        <v>1169309.81</v>
      </c>
      <c r="E65" s="392">
        <f>D65*C65</f>
        <v>141300.05887692823</v>
      </c>
    </row>
    <row r="66" spans="2:5" ht="12.75">
      <c r="B66" s="391">
        <f>+'MdM 1 Cap Structure'!C18</f>
        <v>137504431.70833334</v>
      </c>
      <c r="C66" s="392">
        <f>B66/B$67</f>
        <v>0.8791594343359453</v>
      </c>
      <c r="D66" s="392">
        <v>0.1125</v>
      </c>
      <c r="E66" s="392">
        <f>D66*C66</f>
        <v>0.09890543636279385</v>
      </c>
    </row>
    <row r="67" spans="2:8" ht="12.75">
      <c r="B67" s="393">
        <f>SUM(B64:B66)</f>
        <v>156404431.70833334</v>
      </c>
      <c r="C67" s="394">
        <f>SUM(C64:C66)</f>
        <v>1</v>
      </c>
      <c r="D67" s="393"/>
      <c r="E67" s="392">
        <f>SUM(E64:E66)</f>
        <v>141300.1577823646</v>
      </c>
      <c r="F67" s="526" t="s">
        <v>393</v>
      </c>
      <c r="H67" s="525">
        <f>+H13</f>
        <v>5426655.903663833</v>
      </c>
    </row>
    <row r="68" spans="2:8" ht="15.75">
      <c r="B68" s="527" t="s">
        <v>134</v>
      </c>
      <c r="C68" s="528"/>
      <c r="D68" s="527"/>
      <c r="E68" s="392"/>
      <c r="F68" s="526"/>
      <c r="H68" s="56">
        <v>10257893</v>
      </c>
    </row>
    <row r="69" spans="2:8" ht="12.75">
      <c r="B69" s="391">
        <f>+B72*C69</f>
        <v>78202215.85416667</v>
      </c>
      <c r="C69" s="392">
        <v>0.5</v>
      </c>
      <c r="D69" s="392">
        <v>0.0758</v>
      </c>
      <c r="E69" s="392">
        <f>D69*C69</f>
        <v>0.0379</v>
      </c>
      <c r="F69" s="526"/>
      <c r="H69" s="525"/>
    </row>
    <row r="70" spans="2:8" ht="12.75">
      <c r="B70" s="391">
        <f>+B72*C70</f>
        <v>0</v>
      </c>
      <c r="C70" s="392">
        <v>0</v>
      </c>
      <c r="D70" s="392">
        <f>+'MDM 1ST Debt'!F22</f>
        <v>0</v>
      </c>
      <c r="E70" s="392">
        <v>0</v>
      </c>
      <c r="F70" s="526"/>
      <c r="H70" s="525"/>
    </row>
    <row r="71" spans="2:8" ht="12.75">
      <c r="B71" s="391">
        <f>+B72*C71</f>
        <v>78202215.85416667</v>
      </c>
      <c r="C71" s="392">
        <v>0.5</v>
      </c>
      <c r="D71" s="392">
        <v>0.1115</v>
      </c>
      <c r="E71" s="392">
        <f>D71*C71</f>
        <v>0.05575</v>
      </c>
      <c r="F71" s="526"/>
      <c r="H71" s="525"/>
    </row>
    <row r="72" spans="2:8" ht="12.75">
      <c r="B72" s="393">
        <f>+B67</f>
        <v>156404431.70833334</v>
      </c>
      <c r="C72" s="394">
        <f>SUM(C69:C71)</f>
        <v>1</v>
      </c>
      <c r="D72" s="393"/>
      <c r="E72" s="392">
        <f>SUM(E69:E71)</f>
        <v>0.09365000000000001</v>
      </c>
      <c r="F72" s="526"/>
      <c r="H72" s="525"/>
    </row>
    <row r="73" spans="2:8" ht="12.75">
      <c r="B73" s="527"/>
      <c r="C73" s="528"/>
      <c r="D73" s="527"/>
      <c r="E73" s="392"/>
      <c r="F73" s="526"/>
      <c r="H73" s="525"/>
    </row>
    <row r="74" spans="9:10" ht="11.25">
      <c r="I74" s="8"/>
      <c r="J74" s="8"/>
    </row>
    <row r="82" ht="11.25">
      <c r="E82" s="72"/>
    </row>
    <row r="83" ht="11.25">
      <c r="C83">
        <v>0.0034</v>
      </c>
    </row>
    <row r="84" ht="11.25">
      <c r="C84">
        <v>0.0398</v>
      </c>
    </row>
    <row r="85" ht="11.25">
      <c r="C85">
        <v>0.0038</v>
      </c>
    </row>
    <row r="86" spans="3:9" ht="11.25">
      <c r="C86">
        <f>SUM(C83:C85)</f>
        <v>0.047</v>
      </c>
      <c r="I86">
        <f>+C86</f>
        <v>0.047</v>
      </c>
    </row>
    <row r="87" spans="3:9" ht="11.25">
      <c r="C87">
        <f>+C43-C86</f>
        <v>0.021099999999999994</v>
      </c>
      <c r="I87">
        <f>+I43-I86</f>
        <v>0.046650000132062774</v>
      </c>
    </row>
    <row r="88" spans="3:9" ht="11.25">
      <c r="C88">
        <f>+C87/0.45</f>
        <v>0.046888888888888876</v>
      </c>
      <c r="I88">
        <f>+I87/0.45</f>
        <v>0.1036666669601395</v>
      </c>
    </row>
  </sheetData>
  <mergeCells count="28">
    <mergeCell ref="AI2:AS2"/>
    <mergeCell ref="AI3:AS3"/>
    <mergeCell ref="AI4:AS4"/>
    <mergeCell ref="AI5:AS5"/>
    <mergeCell ref="AU2:BE2"/>
    <mergeCell ref="AU3:BE3"/>
    <mergeCell ref="AU4:BE4"/>
    <mergeCell ref="AU5:BE5"/>
    <mergeCell ref="W2:AG2"/>
    <mergeCell ref="W3:AG3"/>
    <mergeCell ref="W4:AG4"/>
    <mergeCell ref="W5:AG5"/>
    <mergeCell ref="K6:M6"/>
    <mergeCell ref="K2:U2"/>
    <mergeCell ref="K3:U3"/>
    <mergeCell ref="K4:U4"/>
    <mergeCell ref="K5:U5"/>
    <mergeCell ref="O6:Q6"/>
    <mergeCell ref="S6:U6"/>
    <mergeCell ref="W6:Y6"/>
    <mergeCell ref="AI6:AK6"/>
    <mergeCell ref="AE6:AG6"/>
    <mergeCell ref="AA6:AC6"/>
    <mergeCell ref="BC6:BE6"/>
    <mergeCell ref="AM6:AO6"/>
    <mergeCell ref="AQ6:AS6"/>
    <mergeCell ref="AU6:AW6"/>
    <mergeCell ref="AY6:BA6"/>
  </mergeCells>
  <printOptions/>
  <pageMargins left="0.31" right="0.18" top="0.71" bottom="0.28" header="0.25" footer="0.28"/>
  <pageSetup fitToWidth="0" fitToHeight="1" horizontalDpi="300" verticalDpi="300" orientation="landscape" scale="84" r:id="rId2"/>
  <colBreaks count="3" manualBreakCount="3">
    <brk id="22" max="51" man="1"/>
    <brk id="34" max="51" man="1"/>
    <brk id="46" max="51" man="1"/>
  </colBreaks>
  <drawing r:id="rId1"/>
</worksheet>
</file>

<file path=xl/worksheets/sheet42.xml><?xml version="1.0" encoding="utf-8"?>
<worksheet xmlns="http://schemas.openxmlformats.org/spreadsheetml/2006/main" xmlns:r="http://schemas.openxmlformats.org/officeDocument/2006/relationships">
  <dimension ref="A1:L43"/>
  <sheetViews>
    <sheetView workbookViewId="0" topLeftCell="A1">
      <selection activeCell="G32" sqref="G32"/>
    </sheetView>
  </sheetViews>
  <sheetFormatPr defaultColWidth="9.33203125" defaultRowHeight="11.25"/>
  <cols>
    <col min="1" max="1" width="9.5" style="138" bestFit="1" customWidth="1"/>
    <col min="2" max="2" width="49.5" style="0" customWidth="1"/>
    <col min="3" max="3" width="16.83203125" style="0" customWidth="1"/>
    <col min="4" max="4" width="15.83203125" style="0" customWidth="1"/>
    <col min="5" max="5" width="14.83203125" style="0" customWidth="1"/>
    <col min="6" max="10" width="12.33203125" style="0" customWidth="1"/>
    <col min="11" max="11" width="13.83203125" style="0" bestFit="1" customWidth="1"/>
    <col min="12" max="12" width="12.33203125" style="0" customWidth="1"/>
  </cols>
  <sheetData>
    <row r="1" ht="15.75">
      <c r="D1" s="37" t="s">
        <v>384</v>
      </c>
    </row>
    <row r="2" ht="15.75">
      <c r="D2" s="37" t="s">
        <v>86</v>
      </c>
    </row>
    <row r="3" ht="15.75">
      <c r="D3" s="37" t="s">
        <v>862</v>
      </c>
    </row>
    <row r="4" ht="15.75">
      <c r="D4" s="37" t="s">
        <v>1145</v>
      </c>
    </row>
    <row r="6" spans="1:10" ht="15.75">
      <c r="A6" s="1337" t="s">
        <v>658</v>
      </c>
      <c r="B6" s="1338"/>
      <c r="C6" s="1338"/>
      <c r="D6" s="1339"/>
      <c r="E6" s="275"/>
      <c r="F6" s="275"/>
      <c r="G6" s="275"/>
      <c r="H6" s="275"/>
      <c r="I6" s="275"/>
      <c r="J6" s="275"/>
    </row>
    <row r="7" spans="1:10" ht="18.75">
      <c r="A7" s="1340" t="s">
        <v>857</v>
      </c>
      <c r="B7" s="1341"/>
      <c r="C7" s="1341"/>
      <c r="D7" s="1342"/>
      <c r="E7" s="924"/>
      <c r="F7" s="924"/>
      <c r="G7" s="924"/>
      <c r="H7" s="924"/>
      <c r="I7" s="924"/>
      <c r="J7" s="924"/>
    </row>
    <row r="8" spans="1:10" ht="18.75">
      <c r="A8" s="1340" t="s">
        <v>858</v>
      </c>
      <c r="B8" s="1341"/>
      <c r="C8" s="1341"/>
      <c r="D8" s="1342"/>
      <c r="E8" s="924"/>
      <c r="F8" s="924"/>
      <c r="G8" s="924"/>
      <c r="H8" s="924"/>
      <c r="I8" s="924"/>
      <c r="J8" s="924"/>
    </row>
    <row r="9" spans="1:10" ht="15.75">
      <c r="A9" s="1329" t="s">
        <v>659</v>
      </c>
      <c r="B9" s="1330"/>
      <c r="C9" s="1330"/>
      <c r="D9" s="1331"/>
      <c r="E9" s="275"/>
      <c r="F9" s="275"/>
      <c r="G9" s="275"/>
      <c r="H9" s="275"/>
      <c r="I9" s="275"/>
      <c r="J9" s="275"/>
    </row>
    <row r="10" spans="1:10" ht="11.25">
      <c r="A10" s="326" t="s">
        <v>377</v>
      </c>
      <c r="B10" s="326" t="s">
        <v>1007</v>
      </c>
      <c r="C10" s="181">
        <v>663</v>
      </c>
      <c r="D10" s="872">
        <v>664</v>
      </c>
      <c r="E10" s="751"/>
      <c r="F10" s="751"/>
      <c r="G10" s="751"/>
      <c r="H10" s="751"/>
      <c r="I10" s="751"/>
      <c r="J10" s="751"/>
    </row>
    <row r="11" spans="1:10" ht="11.25">
      <c r="A11" s="134"/>
      <c r="B11" s="132"/>
      <c r="C11" s="129"/>
      <c r="D11" s="129"/>
      <c r="E11" s="143"/>
      <c r="F11" s="143"/>
      <c r="G11" s="143"/>
      <c r="H11" s="143"/>
      <c r="I11" s="143"/>
      <c r="J11" s="143"/>
    </row>
    <row r="12" spans="1:10" ht="11.25">
      <c r="A12" s="134"/>
      <c r="B12" s="132"/>
      <c r="C12" s="132"/>
      <c r="D12" s="132"/>
      <c r="E12" s="143"/>
      <c r="F12" s="143"/>
      <c r="G12" s="143"/>
      <c r="H12" s="143"/>
      <c r="I12" s="143"/>
      <c r="J12" s="143"/>
    </row>
    <row r="13" spans="1:11" ht="11.25">
      <c r="A13" s="134">
        <v>1</v>
      </c>
      <c r="B13" s="132" t="s">
        <v>677</v>
      </c>
      <c r="C13" s="130">
        <f>+'JTS-9 S3 P2'!J37</f>
        <v>4838546.532017638</v>
      </c>
      <c r="D13" s="130">
        <f>+'JTS-9 S3 P2'!J38</f>
        <v>7532683.27692958</v>
      </c>
      <c r="E13" s="219"/>
      <c r="F13" s="219"/>
      <c r="G13" s="219"/>
      <c r="H13" s="219"/>
      <c r="I13" s="219"/>
      <c r="J13" s="219"/>
      <c r="K13" s="120">
        <f>+D13+C13</f>
        <v>12371229.808947217</v>
      </c>
    </row>
    <row r="14" spans="1:10" ht="11.25">
      <c r="A14" s="134"/>
      <c r="B14" s="132"/>
      <c r="C14" s="132"/>
      <c r="D14" s="132"/>
      <c r="E14" s="143"/>
      <c r="F14" s="143"/>
      <c r="G14" s="143"/>
      <c r="H14" s="143"/>
      <c r="I14" s="143"/>
      <c r="J14" s="143"/>
    </row>
    <row r="15" spans="1:12" ht="11.25">
      <c r="A15" s="134">
        <v>2</v>
      </c>
      <c r="B15" s="132" t="s">
        <v>1139</v>
      </c>
      <c r="C15" s="130">
        <f>+C13*0.55</f>
        <v>2661200.592609701</v>
      </c>
      <c r="D15" s="130">
        <f>+D13*0.55</f>
        <v>4142975.802311269</v>
      </c>
      <c r="E15" s="219"/>
      <c r="F15" s="219"/>
      <c r="G15" s="219"/>
      <c r="H15" s="219"/>
      <c r="I15" s="219"/>
      <c r="J15" s="219"/>
      <c r="K15" s="120">
        <f>SUM(C15:D15)</f>
        <v>6804176.39492097</v>
      </c>
      <c r="L15" s="120">
        <f>+K13*K42</f>
        <v>7013278.800562544</v>
      </c>
    </row>
    <row r="16" spans="1:11" ht="11.25">
      <c r="A16" s="134"/>
      <c r="B16" s="132"/>
      <c r="C16" s="130"/>
      <c r="D16" s="130"/>
      <c r="E16" s="219"/>
      <c r="F16" s="219"/>
      <c r="G16" s="219"/>
      <c r="H16" s="219"/>
      <c r="I16" s="219"/>
      <c r="J16" s="219"/>
      <c r="K16" s="120"/>
    </row>
    <row r="17" spans="1:11" ht="11.25">
      <c r="A17" s="134">
        <v>3</v>
      </c>
      <c r="B17" s="132" t="s">
        <v>1140</v>
      </c>
      <c r="C17" s="130">
        <f>+C13-C15</f>
        <v>2177345.9394079368</v>
      </c>
      <c r="D17" s="130">
        <f>+D13-D15</f>
        <v>3389707.4746183106</v>
      </c>
      <c r="E17" s="219"/>
      <c r="F17" s="219"/>
      <c r="G17" s="219"/>
      <c r="H17" s="219"/>
      <c r="I17" s="219"/>
      <c r="J17" s="219"/>
      <c r="K17" s="120">
        <f>SUM(C17:D17)</f>
        <v>5567053.414026247</v>
      </c>
    </row>
    <row r="18" spans="1:10" ht="11.25">
      <c r="A18" s="134"/>
      <c r="B18" s="132"/>
      <c r="C18" s="132"/>
      <c r="D18" s="132"/>
      <c r="E18" s="143"/>
      <c r="F18" s="143"/>
      <c r="G18" s="143"/>
      <c r="H18" s="143"/>
      <c r="I18" s="143"/>
      <c r="J18" s="143"/>
    </row>
    <row r="19" spans="1:11" ht="11.25">
      <c r="A19" s="134">
        <v>4</v>
      </c>
      <c r="B19" s="132" t="s">
        <v>683</v>
      </c>
      <c r="C19" s="131">
        <f>+'WP JTS-9 S4'!E137</f>
        <v>1015345</v>
      </c>
      <c r="D19" s="131">
        <f>+'WP JTS-9 S4'!E163</f>
        <v>2103800</v>
      </c>
      <c r="E19" s="218"/>
      <c r="F19" s="218"/>
      <c r="G19" s="218"/>
      <c r="H19" s="218"/>
      <c r="I19" s="218"/>
      <c r="J19" s="218"/>
      <c r="K19" s="139">
        <f>SUM(C19:D19)</f>
        <v>3119145</v>
      </c>
    </row>
    <row r="20" spans="1:10" ht="11.25">
      <c r="A20" s="134"/>
      <c r="B20" s="132"/>
      <c r="C20" s="132"/>
      <c r="D20" s="132"/>
      <c r="E20" s="143"/>
      <c r="F20" s="143"/>
      <c r="G20" s="143"/>
      <c r="H20" s="143"/>
      <c r="I20" s="143"/>
      <c r="J20" s="143"/>
    </row>
    <row r="21" spans="1:11" ht="11.25">
      <c r="A21" s="134">
        <v>5</v>
      </c>
      <c r="B21" s="132" t="s">
        <v>679</v>
      </c>
      <c r="C21" s="131">
        <f>ROUND(+C19*2/3,0)</f>
        <v>676897</v>
      </c>
      <c r="D21" s="131">
        <f>ROUND(+D19*2/3,0)</f>
        <v>1402533</v>
      </c>
      <c r="E21" s="218"/>
      <c r="F21" s="218"/>
      <c r="G21" s="218"/>
      <c r="H21" s="218"/>
      <c r="I21" s="218"/>
      <c r="J21" s="218"/>
      <c r="K21" s="139">
        <f>SUM(C21:D21)</f>
        <v>2079430</v>
      </c>
    </row>
    <row r="22" spans="1:10" ht="11.25">
      <c r="A22" s="134"/>
      <c r="B22" s="132"/>
      <c r="C22" s="132"/>
      <c r="D22" s="132"/>
      <c r="E22" s="143"/>
      <c r="F22" s="143"/>
      <c r="G22" s="143"/>
      <c r="H22" s="143"/>
      <c r="I22" s="143"/>
      <c r="J22" s="143"/>
    </row>
    <row r="23" spans="1:11" ht="11.25">
      <c r="A23" s="134">
        <v>6</v>
      </c>
      <c r="B23" s="132" t="s">
        <v>852</v>
      </c>
      <c r="C23" s="925">
        <f>+C15/C21/12</f>
        <v>0.32762254235254173</v>
      </c>
      <c r="D23" s="925">
        <f>+D15/D21/12</f>
        <v>0.24616032815337616</v>
      </c>
      <c r="E23" s="250"/>
      <c r="F23" s="250"/>
      <c r="G23" s="250"/>
      <c r="H23" s="250"/>
      <c r="I23" s="250"/>
      <c r="J23" s="250"/>
      <c r="K23" s="220">
        <f>+K15/K21/12</f>
        <v>0.2726779451949561</v>
      </c>
    </row>
    <row r="24" spans="1:11" ht="11.25">
      <c r="A24" s="134"/>
      <c r="B24" s="132"/>
      <c r="C24" s="925"/>
      <c r="D24" s="925"/>
      <c r="E24" s="250"/>
      <c r="F24" s="250"/>
      <c r="G24" s="250"/>
      <c r="H24" s="250"/>
      <c r="I24" s="250"/>
      <c r="J24" s="250"/>
      <c r="K24" s="220"/>
    </row>
    <row r="25" spans="1:11" ht="11.25">
      <c r="A25" s="134">
        <v>7</v>
      </c>
      <c r="B25" s="132" t="s">
        <v>853</v>
      </c>
      <c r="C25" s="925">
        <v>0.25</v>
      </c>
      <c r="D25" s="925">
        <v>0.25</v>
      </c>
      <c r="E25" s="250"/>
      <c r="F25" s="250"/>
      <c r="G25" s="250"/>
      <c r="H25" s="250"/>
      <c r="I25" s="250"/>
      <c r="J25" s="250"/>
      <c r="K25" s="220">
        <v>0.25</v>
      </c>
    </row>
    <row r="26" spans="1:10" ht="11.25">
      <c r="A26" s="134"/>
      <c r="B26" s="132"/>
      <c r="C26" s="132"/>
      <c r="D26" s="132"/>
      <c r="E26" s="143"/>
      <c r="F26" s="143"/>
      <c r="G26" s="143"/>
      <c r="H26" s="143"/>
      <c r="I26" s="143"/>
      <c r="J26" s="143"/>
    </row>
    <row r="27" spans="1:11" ht="11.25">
      <c r="A27" s="134">
        <v>8</v>
      </c>
      <c r="B27" s="132" t="s">
        <v>854</v>
      </c>
      <c r="C27" s="130">
        <f>+C21*C25*12</f>
        <v>2030691</v>
      </c>
      <c r="D27" s="130">
        <f>+D21*D25*12</f>
        <v>4207599</v>
      </c>
      <c r="E27" s="219"/>
      <c r="F27" s="219"/>
      <c r="G27" s="219"/>
      <c r="H27" s="219"/>
      <c r="I27" s="219"/>
      <c r="J27" s="219"/>
      <c r="K27" s="120">
        <f>SUM(C27:D27)</f>
        <v>6238290</v>
      </c>
    </row>
    <row r="28" spans="1:10" ht="11.25">
      <c r="A28" s="134"/>
      <c r="B28" s="132"/>
      <c r="C28" s="132"/>
      <c r="D28" s="132"/>
      <c r="E28" s="143"/>
      <c r="F28" s="143"/>
      <c r="G28" s="143"/>
      <c r="H28" s="143"/>
      <c r="I28" s="143"/>
      <c r="J28" s="143"/>
    </row>
    <row r="29" spans="1:11" ht="11.25">
      <c r="A29" s="134">
        <v>9</v>
      </c>
      <c r="B29" s="132" t="s">
        <v>266</v>
      </c>
      <c r="C29" s="130">
        <f>+C13-C27</f>
        <v>2807855.532017638</v>
      </c>
      <c r="D29" s="130">
        <f>+D13-D27</f>
        <v>3325084.2769295797</v>
      </c>
      <c r="E29" s="219"/>
      <c r="F29" s="219"/>
      <c r="G29" s="219"/>
      <c r="H29" s="219"/>
      <c r="I29" s="219"/>
      <c r="J29" s="219"/>
      <c r="K29" s="120">
        <f>+K13-K27</f>
        <v>6132939.808947217</v>
      </c>
    </row>
    <row r="30" spans="1:10" ht="11.25">
      <c r="A30" s="134"/>
      <c r="B30" s="132"/>
      <c r="C30" s="132"/>
      <c r="D30" s="132"/>
      <c r="E30" s="143"/>
      <c r="F30" s="143"/>
      <c r="G30" s="143"/>
      <c r="H30" s="143"/>
      <c r="I30" s="143"/>
      <c r="J30" s="143"/>
    </row>
    <row r="31" spans="1:11" ht="11.25">
      <c r="A31" s="134">
        <v>10</v>
      </c>
      <c r="B31" s="132" t="s">
        <v>678</v>
      </c>
      <c r="C31" s="131">
        <f>+'JTS-9 S3 P1'!D38</f>
        <v>89352258</v>
      </c>
      <c r="D31" s="131">
        <f>+'JTS-9 S3 P1'!D39</f>
        <v>155323148</v>
      </c>
      <c r="E31" s="218"/>
      <c r="F31" s="218"/>
      <c r="G31" s="218"/>
      <c r="H31" s="218"/>
      <c r="I31" s="218"/>
      <c r="J31" s="218"/>
      <c r="K31" s="139">
        <f>SUM(C31:D31)</f>
        <v>244675406</v>
      </c>
    </row>
    <row r="32" spans="1:10" ht="11.25">
      <c r="A32" s="134"/>
      <c r="B32" s="132"/>
      <c r="C32" s="132"/>
      <c r="D32" s="132"/>
      <c r="E32" s="143"/>
      <c r="F32" s="143"/>
      <c r="G32" s="143"/>
      <c r="H32" s="143"/>
      <c r="I32" s="143"/>
      <c r="J32" s="143"/>
    </row>
    <row r="33" spans="1:11" ht="11.25">
      <c r="A33" s="134">
        <v>11</v>
      </c>
      <c r="B33" s="132" t="s">
        <v>680</v>
      </c>
      <c r="C33" s="926">
        <f>+C29/C31</f>
        <v>0.031424561559682554</v>
      </c>
      <c r="D33" s="926">
        <f>+D29/D31</f>
        <v>0.021407525663396803</v>
      </c>
      <c r="E33" s="927"/>
      <c r="F33" s="927"/>
      <c r="G33" s="927"/>
      <c r="H33" s="927"/>
      <c r="I33" s="927"/>
      <c r="J33" s="927"/>
      <c r="K33" s="121">
        <f>+K29/K31</f>
        <v>0.025065616153293384</v>
      </c>
    </row>
    <row r="34" spans="1:10" ht="11.25">
      <c r="A34" s="135"/>
      <c r="B34" s="118"/>
      <c r="C34" s="118"/>
      <c r="D34" s="118"/>
      <c r="E34" s="143"/>
      <c r="F34" s="143"/>
      <c r="G34" s="143"/>
      <c r="H34" s="143"/>
      <c r="I34" s="143"/>
      <c r="J34" s="143"/>
    </row>
    <row r="36" spans="3:5" ht="11.25">
      <c r="C36" s="926">
        <f>+C13/C31</f>
        <v>0.054151362711143104</v>
      </c>
      <c r="D36" s="926">
        <f>+D13/D31</f>
        <v>0.048496849142727776</v>
      </c>
      <c r="E36">
        <f>+(C13+D13)/(C31+D31)</f>
        <v>0.05056180353879628</v>
      </c>
    </row>
    <row r="38" spans="2:11" ht="11.25">
      <c r="B38" t="s">
        <v>681</v>
      </c>
      <c r="C38">
        <v>349241</v>
      </c>
      <c r="D38">
        <v>530694</v>
      </c>
      <c r="K38">
        <f>SUM(C38:D38)</f>
        <v>879935</v>
      </c>
    </row>
    <row r="39" spans="2:11" ht="11.25">
      <c r="B39" t="s">
        <v>682</v>
      </c>
      <c r="C39">
        <v>246703</v>
      </c>
      <c r="D39">
        <v>425543</v>
      </c>
      <c r="K39">
        <f>SUM(C39:D39)</f>
        <v>672246</v>
      </c>
    </row>
    <row r="40" spans="2:11" ht="11.25">
      <c r="B40" t="s">
        <v>997</v>
      </c>
      <c r="C40">
        <f>SUM(C38:C39)</f>
        <v>595944</v>
      </c>
      <c r="D40">
        <f>SUM(D38:D39)</f>
        <v>956237</v>
      </c>
      <c r="K40">
        <f>SUM(C40:D40)</f>
        <v>1552181</v>
      </c>
    </row>
    <row r="42" spans="3:11" ht="11.25">
      <c r="C42" s="209">
        <v>0.6</v>
      </c>
      <c r="D42" s="209">
        <f>+C42</f>
        <v>0.6</v>
      </c>
      <c r="K42">
        <f>+K38/K40</f>
        <v>0.5669023135832741</v>
      </c>
    </row>
    <row r="43" spans="3:11" ht="11.25">
      <c r="C43" s="209">
        <f>1-C42</f>
        <v>0.4</v>
      </c>
      <c r="D43" s="209">
        <f>1-D42</f>
        <v>0.4</v>
      </c>
      <c r="K43">
        <f>1-K42</f>
        <v>0.43309768641672586</v>
      </c>
    </row>
  </sheetData>
  <mergeCells count="4">
    <mergeCell ref="A6:D6"/>
    <mergeCell ref="A7:D7"/>
    <mergeCell ref="A8:D8"/>
    <mergeCell ref="A9:D9"/>
  </mergeCells>
  <printOptions/>
  <pageMargins left="1.34" right="0.37" top="0.41" bottom="1" header="0.18" footer="0.5"/>
  <pageSetup horizontalDpi="600" verticalDpi="600" orientation="portrait" r:id="rId1"/>
</worksheet>
</file>

<file path=xl/worksheets/sheet43.xml><?xml version="1.0" encoding="utf-8"?>
<worksheet xmlns="http://schemas.openxmlformats.org/spreadsheetml/2006/main" xmlns:r="http://schemas.openxmlformats.org/officeDocument/2006/relationships">
  <dimension ref="A1:G323"/>
  <sheetViews>
    <sheetView workbookViewId="0" topLeftCell="A1">
      <selection activeCell="G32" sqref="G32"/>
    </sheetView>
  </sheetViews>
  <sheetFormatPr defaultColWidth="9.33203125" defaultRowHeight="11.25"/>
  <cols>
    <col min="1" max="1" width="20.5" style="0" customWidth="1"/>
    <col min="2" max="2" width="7" style="0" customWidth="1"/>
    <col min="3" max="3" width="9.5" style="0" customWidth="1"/>
    <col min="4" max="4" width="16.5" style="0" customWidth="1"/>
    <col min="5" max="16384" width="20.5" style="0" customWidth="1"/>
  </cols>
  <sheetData>
    <row r="1" spans="1:7" ht="11.25" customHeight="1">
      <c r="A1" s="919" t="s">
        <v>684</v>
      </c>
      <c r="B1" s="919" t="s">
        <v>685</v>
      </c>
      <c r="C1" s="919" t="s">
        <v>686</v>
      </c>
      <c r="D1" s="919" t="s">
        <v>687</v>
      </c>
      <c r="E1" s="919" t="s">
        <v>688</v>
      </c>
      <c r="F1" s="923" t="s">
        <v>855</v>
      </c>
      <c r="G1" s="923" t="s">
        <v>856</v>
      </c>
    </row>
    <row r="2" spans="1:5" ht="11.25" customHeight="1">
      <c r="A2" s="920"/>
      <c r="B2" s="920"/>
      <c r="C2" s="920"/>
      <c r="D2" s="920"/>
      <c r="E2" s="921"/>
    </row>
    <row r="3" spans="1:7" ht="11.25" customHeight="1">
      <c r="A3" s="920" t="s">
        <v>689</v>
      </c>
      <c r="B3" s="920" t="s">
        <v>1564</v>
      </c>
      <c r="C3" s="920" t="s">
        <v>690</v>
      </c>
      <c r="D3" s="920" t="s">
        <v>691</v>
      </c>
      <c r="E3" s="921">
        <v>1000</v>
      </c>
      <c r="F3">
        <f>ROUND(+E3*2/3,0)</f>
        <v>667</v>
      </c>
      <c r="G3" s="220">
        <f>+'JTS-9 S4'!C$25*12*'WP JTS-9 S4'!F3</f>
        <v>2001</v>
      </c>
    </row>
    <row r="4" spans="1:7" ht="11.25" customHeight="1">
      <c r="A4" s="920" t="s">
        <v>692</v>
      </c>
      <c r="B4" s="920" t="s">
        <v>1564</v>
      </c>
      <c r="C4" s="920" t="s">
        <v>690</v>
      </c>
      <c r="D4" s="920" t="s">
        <v>691</v>
      </c>
      <c r="E4" s="921">
        <v>1200</v>
      </c>
      <c r="F4">
        <f aca="true" t="shared" si="0" ref="F4:F67">ROUND(+E4*2/3,0)</f>
        <v>800</v>
      </c>
      <c r="G4" s="220">
        <f>+'JTS-9 S4'!C$25*12*'WP JTS-9 S4'!F4</f>
        <v>2400</v>
      </c>
    </row>
    <row r="5" spans="1:7" ht="11.25" customHeight="1">
      <c r="A5" s="920" t="s">
        <v>693</v>
      </c>
      <c r="B5" s="920" t="s">
        <v>1564</v>
      </c>
      <c r="C5" s="920" t="s">
        <v>690</v>
      </c>
      <c r="D5" s="920" t="s">
        <v>691</v>
      </c>
      <c r="E5" s="921">
        <v>700</v>
      </c>
      <c r="F5">
        <f t="shared" si="0"/>
        <v>467</v>
      </c>
      <c r="G5" s="220">
        <f>+'JTS-9 S4'!C$25*12*'WP JTS-9 S4'!F5</f>
        <v>1401</v>
      </c>
    </row>
    <row r="6" spans="1:7" ht="11.25" customHeight="1">
      <c r="A6" s="920" t="s">
        <v>694</v>
      </c>
      <c r="B6" s="920" t="s">
        <v>1564</v>
      </c>
      <c r="C6" s="920" t="s">
        <v>690</v>
      </c>
      <c r="D6" s="920" t="s">
        <v>691</v>
      </c>
      <c r="E6" s="921">
        <v>7000</v>
      </c>
      <c r="F6">
        <f t="shared" si="0"/>
        <v>4667</v>
      </c>
      <c r="G6" s="220">
        <f>+'JTS-9 S4'!C$25*12*'WP JTS-9 S4'!F6</f>
        <v>14001</v>
      </c>
    </row>
    <row r="7" spans="1:7" ht="11.25" customHeight="1">
      <c r="A7" s="920" t="s">
        <v>695</v>
      </c>
      <c r="B7" s="920" t="s">
        <v>1564</v>
      </c>
      <c r="C7" s="920" t="s">
        <v>690</v>
      </c>
      <c r="D7" s="920" t="s">
        <v>691</v>
      </c>
      <c r="E7" s="921">
        <v>10000</v>
      </c>
      <c r="F7">
        <f t="shared" si="0"/>
        <v>6667</v>
      </c>
      <c r="G7" s="220">
        <f>+'JTS-9 S4'!C$25*12*'WP JTS-9 S4'!F7</f>
        <v>20001</v>
      </c>
    </row>
    <row r="8" spans="1:7" ht="11.25" customHeight="1">
      <c r="A8" s="920" t="s">
        <v>696</v>
      </c>
      <c r="B8" s="920" t="s">
        <v>1564</v>
      </c>
      <c r="C8" s="920" t="s">
        <v>690</v>
      </c>
      <c r="D8" s="920" t="s">
        <v>691</v>
      </c>
      <c r="E8" s="921">
        <v>7000</v>
      </c>
      <c r="F8">
        <f t="shared" si="0"/>
        <v>4667</v>
      </c>
      <c r="G8" s="220">
        <f>+'JTS-9 S4'!C$25*12*'WP JTS-9 S4'!F8</f>
        <v>14001</v>
      </c>
    </row>
    <row r="9" spans="1:7" ht="11.25" customHeight="1">
      <c r="A9" s="920" t="s">
        <v>697</v>
      </c>
      <c r="B9" s="920" t="s">
        <v>1564</v>
      </c>
      <c r="C9" s="920" t="s">
        <v>690</v>
      </c>
      <c r="D9" s="920" t="s">
        <v>691</v>
      </c>
      <c r="E9" s="921">
        <v>2100</v>
      </c>
      <c r="F9">
        <f t="shared" si="0"/>
        <v>1400</v>
      </c>
      <c r="G9" s="220">
        <f>+'JTS-9 S4'!C$25*12*'WP JTS-9 S4'!F9</f>
        <v>4200</v>
      </c>
    </row>
    <row r="10" spans="1:7" ht="11.25" customHeight="1">
      <c r="A10" s="920" t="s">
        <v>698</v>
      </c>
      <c r="B10" s="920" t="s">
        <v>1564</v>
      </c>
      <c r="C10" s="920" t="s">
        <v>690</v>
      </c>
      <c r="D10" s="920" t="s">
        <v>691</v>
      </c>
      <c r="E10" s="921">
        <v>5000</v>
      </c>
      <c r="F10">
        <f t="shared" si="0"/>
        <v>3333</v>
      </c>
      <c r="G10" s="220">
        <f>+'JTS-9 S4'!C$25*12*'WP JTS-9 S4'!F10</f>
        <v>9999</v>
      </c>
    </row>
    <row r="11" spans="1:7" ht="11.25" customHeight="1">
      <c r="A11" s="920" t="s">
        <v>699</v>
      </c>
      <c r="B11" s="920" t="s">
        <v>1564</v>
      </c>
      <c r="C11" s="920" t="s">
        <v>690</v>
      </c>
      <c r="D11" s="920" t="s">
        <v>691</v>
      </c>
      <c r="E11" s="921">
        <v>8900</v>
      </c>
      <c r="F11">
        <f t="shared" si="0"/>
        <v>5933</v>
      </c>
      <c r="G11" s="220">
        <f>+'JTS-9 S4'!C$25*12*'WP JTS-9 S4'!F11</f>
        <v>17799</v>
      </c>
    </row>
    <row r="12" spans="1:7" ht="11.25" customHeight="1">
      <c r="A12" s="920" t="s">
        <v>700</v>
      </c>
      <c r="B12" s="920" t="s">
        <v>1564</v>
      </c>
      <c r="C12" s="920" t="s">
        <v>690</v>
      </c>
      <c r="D12" s="920" t="s">
        <v>691</v>
      </c>
      <c r="E12" s="921">
        <v>7200</v>
      </c>
      <c r="F12">
        <f t="shared" si="0"/>
        <v>4800</v>
      </c>
      <c r="G12" s="220">
        <f>+'JTS-9 S4'!C$25*12*'WP JTS-9 S4'!F12</f>
        <v>14400</v>
      </c>
    </row>
    <row r="13" spans="1:7" ht="11.25" customHeight="1">
      <c r="A13" s="920" t="s">
        <v>701</v>
      </c>
      <c r="B13" s="920" t="s">
        <v>1564</v>
      </c>
      <c r="C13" s="920" t="s">
        <v>690</v>
      </c>
      <c r="D13" s="920" t="s">
        <v>691</v>
      </c>
      <c r="E13" s="921">
        <v>6000</v>
      </c>
      <c r="F13">
        <f t="shared" si="0"/>
        <v>4000</v>
      </c>
      <c r="G13" s="220">
        <f>+'JTS-9 S4'!C$25*12*'WP JTS-9 S4'!F13</f>
        <v>12000</v>
      </c>
    </row>
    <row r="14" spans="1:7" ht="11.25" customHeight="1">
      <c r="A14" s="920" t="s">
        <v>702</v>
      </c>
      <c r="B14" s="920" t="s">
        <v>1564</v>
      </c>
      <c r="C14" s="920" t="s">
        <v>690</v>
      </c>
      <c r="D14" s="920" t="s">
        <v>691</v>
      </c>
      <c r="E14" s="921">
        <v>210</v>
      </c>
      <c r="F14">
        <f t="shared" si="0"/>
        <v>140</v>
      </c>
      <c r="G14" s="220">
        <f>+'JTS-9 S4'!C$25*12*'WP JTS-9 S4'!F14</f>
        <v>420</v>
      </c>
    </row>
    <row r="15" spans="1:7" ht="11.25" customHeight="1">
      <c r="A15" s="920" t="s">
        <v>703</v>
      </c>
      <c r="B15" s="920" t="s">
        <v>1564</v>
      </c>
      <c r="C15" s="920" t="s">
        <v>690</v>
      </c>
      <c r="D15" s="920" t="s">
        <v>691</v>
      </c>
      <c r="E15" s="921">
        <v>11000</v>
      </c>
      <c r="F15">
        <f t="shared" si="0"/>
        <v>7333</v>
      </c>
      <c r="G15" s="220">
        <f>+'JTS-9 S4'!C$25*12*'WP JTS-9 S4'!F15</f>
        <v>21999</v>
      </c>
    </row>
    <row r="16" spans="1:7" ht="11.25" customHeight="1">
      <c r="A16" s="920" t="s">
        <v>704</v>
      </c>
      <c r="B16" s="920" t="s">
        <v>1564</v>
      </c>
      <c r="C16" s="920" t="s">
        <v>690</v>
      </c>
      <c r="D16" s="920" t="s">
        <v>691</v>
      </c>
      <c r="E16" s="921">
        <v>1600</v>
      </c>
      <c r="F16">
        <f t="shared" si="0"/>
        <v>1067</v>
      </c>
      <c r="G16" s="220">
        <f>+'JTS-9 S4'!C$25*12*'WP JTS-9 S4'!F16</f>
        <v>3201</v>
      </c>
    </row>
    <row r="17" spans="1:7" ht="11.25" customHeight="1">
      <c r="A17" s="920" t="s">
        <v>709</v>
      </c>
      <c r="B17" s="920" t="s">
        <v>1564</v>
      </c>
      <c r="C17" s="920" t="s">
        <v>690</v>
      </c>
      <c r="D17" s="920" t="s">
        <v>691</v>
      </c>
      <c r="E17" s="921">
        <v>2600</v>
      </c>
      <c r="F17">
        <f t="shared" si="0"/>
        <v>1733</v>
      </c>
      <c r="G17" s="220">
        <f>+'JTS-9 S4'!C$25*12*'WP JTS-9 S4'!F17</f>
        <v>5199</v>
      </c>
    </row>
    <row r="18" spans="1:7" ht="11.25" customHeight="1">
      <c r="A18" s="920" t="s">
        <v>710</v>
      </c>
      <c r="B18" s="920" t="s">
        <v>1564</v>
      </c>
      <c r="C18" s="920" t="s">
        <v>690</v>
      </c>
      <c r="D18" s="920" t="s">
        <v>691</v>
      </c>
      <c r="E18" s="921">
        <v>1350</v>
      </c>
      <c r="F18">
        <f t="shared" si="0"/>
        <v>900</v>
      </c>
      <c r="G18" s="220">
        <f>+'JTS-9 S4'!C$25*12*'WP JTS-9 S4'!F18</f>
        <v>2700</v>
      </c>
    </row>
    <row r="19" spans="1:7" ht="11.25" customHeight="1">
      <c r="A19" s="920" t="s">
        <v>711</v>
      </c>
      <c r="B19" s="920" t="s">
        <v>1564</v>
      </c>
      <c r="C19" s="920" t="s">
        <v>690</v>
      </c>
      <c r="D19" s="920" t="s">
        <v>691</v>
      </c>
      <c r="E19" s="921">
        <v>1500</v>
      </c>
      <c r="F19">
        <f t="shared" si="0"/>
        <v>1000</v>
      </c>
      <c r="G19" s="220">
        <f>+'JTS-9 S4'!C$25*12*'WP JTS-9 S4'!F19</f>
        <v>3000</v>
      </c>
    </row>
    <row r="20" spans="1:7" ht="11.25" customHeight="1">
      <c r="A20" s="920" t="s">
        <v>712</v>
      </c>
      <c r="B20" s="920" t="s">
        <v>1564</v>
      </c>
      <c r="C20" s="920" t="s">
        <v>690</v>
      </c>
      <c r="D20" s="920" t="s">
        <v>691</v>
      </c>
      <c r="E20" s="921">
        <v>1600</v>
      </c>
      <c r="F20">
        <f t="shared" si="0"/>
        <v>1067</v>
      </c>
      <c r="G20" s="220">
        <f>+'JTS-9 S4'!C$25*12*'WP JTS-9 S4'!F20</f>
        <v>3201</v>
      </c>
    </row>
    <row r="21" spans="1:7" ht="11.25" customHeight="1">
      <c r="A21" s="920" t="s">
        <v>713</v>
      </c>
      <c r="B21" s="920" t="s">
        <v>1564</v>
      </c>
      <c r="C21" s="920" t="s">
        <v>690</v>
      </c>
      <c r="D21" s="920" t="s">
        <v>691</v>
      </c>
      <c r="E21" s="921">
        <v>2000</v>
      </c>
      <c r="F21">
        <f t="shared" si="0"/>
        <v>1333</v>
      </c>
      <c r="G21" s="220">
        <f>+'JTS-9 S4'!C$25*12*'WP JTS-9 S4'!F21</f>
        <v>3999</v>
      </c>
    </row>
    <row r="22" spans="1:7" ht="11.25" customHeight="1">
      <c r="A22" s="920" t="s">
        <v>714</v>
      </c>
      <c r="B22" s="920" t="s">
        <v>1564</v>
      </c>
      <c r="C22" s="920" t="s">
        <v>690</v>
      </c>
      <c r="D22" s="920" t="s">
        <v>691</v>
      </c>
      <c r="E22" s="921">
        <v>10000</v>
      </c>
      <c r="F22">
        <f t="shared" si="0"/>
        <v>6667</v>
      </c>
      <c r="G22" s="220">
        <f>+'JTS-9 S4'!C$25*12*'WP JTS-9 S4'!F22</f>
        <v>20001</v>
      </c>
    </row>
    <row r="23" spans="1:7" ht="11.25" customHeight="1">
      <c r="A23" s="920" t="s">
        <v>715</v>
      </c>
      <c r="B23" s="920" t="s">
        <v>1564</v>
      </c>
      <c r="C23" s="920" t="s">
        <v>690</v>
      </c>
      <c r="D23" s="920" t="s">
        <v>691</v>
      </c>
      <c r="E23" s="921">
        <v>10000</v>
      </c>
      <c r="F23">
        <f t="shared" si="0"/>
        <v>6667</v>
      </c>
      <c r="G23" s="220">
        <f>+'JTS-9 S4'!C$25*12*'WP JTS-9 S4'!F23</f>
        <v>20001</v>
      </c>
    </row>
    <row r="24" spans="1:7" ht="11.25" customHeight="1">
      <c r="A24" s="920" t="s">
        <v>716</v>
      </c>
      <c r="B24" s="920" t="s">
        <v>1564</v>
      </c>
      <c r="C24" s="920" t="s">
        <v>690</v>
      </c>
      <c r="D24" s="920" t="s">
        <v>691</v>
      </c>
      <c r="E24" s="921">
        <v>3000</v>
      </c>
      <c r="F24">
        <f t="shared" si="0"/>
        <v>2000</v>
      </c>
      <c r="G24" s="220">
        <f>+'JTS-9 S4'!C$25*12*'WP JTS-9 S4'!F24</f>
        <v>6000</v>
      </c>
    </row>
    <row r="25" spans="1:7" ht="11.25" customHeight="1">
      <c r="A25" s="920" t="s">
        <v>717</v>
      </c>
      <c r="B25" s="920" t="s">
        <v>1564</v>
      </c>
      <c r="C25" s="920" t="s">
        <v>690</v>
      </c>
      <c r="D25" s="920" t="s">
        <v>691</v>
      </c>
      <c r="E25" s="921">
        <v>3000</v>
      </c>
      <c r="F25">
        <f t="shared" si="0"/>
        <v>2000</v>
      </c>
      <c r="G25" s="220">
        <f>+'JTS-9 S4'!C$25*12*'WP JTS-9 S4'!F25</f>
        <v>6000</v>
      </c>
    </row>
    <row r="26" spans="1:7" ht="11.25" customHeight="1">
      <c r="A26" s="920" t="s">
        <v>718</v>
      </c>
      <c r="B26" s="920" t="s">
        <v>1564</v>
      </c>
      <c r="C26" s="920" t="s">
        <v>690</v>
      </c>
      <c r="D26" s="920" t="s">
        <v>691</v>
      </c>
      <c r="E26" s="921">
        <v>14000</v>
      </c>
      <c r="F26">
        <f t="shared" si="0"/>
        <v>9333</v>
      </c>
      <c r="G26" s="220">
        <f>+'JTS-9 S4'!C$25*12*'WP JTS-9 S4'!F26</f>
        <v>27999</v>
      </c>
    </row>
    <row r="27" spans="1:7" ht="11.25" customHeight="1">
      <c r="A27" s="920" t="s">
        <v>719</v>
      </c>
      <c r="B27" s="920" t="s">
        <v>1564</v>
      </c>
      <c r="C27" s="920" t="s">
        <v>690</v>
      </c>
      <c r="D27" s="920" t="s">
        <v>691</v>
      </c>
      <c r="E27" s="921">
        <v>2000</v>
      </c>
      <c r="F27">
        <f t="shared" si="0"/>
        <v>1333</v>
      </c>
      <c r="G27" s="220">
        <f>+'JTS-9 S4'!C$25*12*'WP JTS-9 S4'!F27</f>
        <v>3999</v>
      </c>
    </row>
    <row r="28" spans="1:7" ht="11.25" customHeight="1">
      <c r="A28" s="920" t="s">
        <v>720</v>
      </c>
      <c r="B28" s="920" t="s">
        <v>1564</v>
      </c>
      <c r="C28" s="920" t="s">
        <v>690</v>
      </c>
      <c r="D28" s="920" t="s">
        <v>691</v>
      </c>
      <c r="E28" s="921">
        <v>10300</v>
      </c>
      <c r="F28">
        <f t="shared" si="0"/>
        <v>6867</v>
      </c>
      <c r="G28" s="220">
        <f>+'JTS-9 S4'!C$25*12*'WP JTS-9 S4'!F28</f>
        <v>20601</v>
      </c>
    </row>
    <row r="29" spans="1:7" ht="11.25" customHeight="1">
      <c r="A29" s="920" t="s">
        <v>721</v>
      </c>
      <c r="B29" s="920" t="s">
        <v>1564</v>
      </c>
      <c r="C29" s="920" t="s">
        <v>690</v>
      </c>
      <c r="D29" s="920" t="s">
        <v>691</v>
      </c>
      <c r="E29" s="921">
        <v>2800</v>
      </c>
      <c r="F29">
        <f t="shared" si="0"/>
        <v>1867</v>
      </c>
      <c r="G29" s="220">
        <f>+'JTS-9 S4'!C$25*12*'WP JTS-9 S4'!F29</f>
        <v>5601</v>
      </c>
    </row>
    <row r="30" spans="1:7" ht="11.25" customHeight="1">
      <c r="A30" s="920" t="s">
        <v>722</v>
      </c>
      <c r="B30" s="920" t="s">
        <v>1564</v>
      </c>
      <c r="C30" s="920" t="s">
        <v>690</v>
      </c>
      <c r="D30" s="920" t="s">
        <v>691</v>
      </c>
      <c r="E30" s="921">
        <v>600</v>
      </c>
      <c r="F30">
        <f t="shared" si="0"/>
        <v>400</v>
      </c>
      <c r="G30" s="220">
        <f>+'JTS-9 S4'!C$25*12*'WP JTS-9 S4'!F30</f>
        <v>1200</v>
      </c>
    </row>
    <row r="31" spans="1:7" ht="11.25" customHeight="1">
      <c r="A31" s="920" t="s">
        <v>723</v>
      </c>
      <c r="B31" s="920" t="s">
        <v>1564</v>
      </c>
      <c r="C31" s="920" t="s">
        <v>690</v>
      </c>
      <c r="D31" s="920" t="s">
        <v>691</v>
      </c>
      <c r="E31" s="921">
        <v>485</v>
      </c>
      <c r="F31">
        <f t="shared" si="0"/>
        <v>323</v>
      </c>
      <c r="G31" s="220">
        <f>+'JTS-9 S4'!C$25*12*'WP JTS-9 S4'!F31</f>
        <v>969</v>
      </c>
    </row>
    <row r="32" spans="1:7" ht="11.25" customHeight="1">
      <c r="A32" s="920" t="s">
        <v>724</v>
      </c>
      <c r="B32" s="920" t="s">
        <v>1564</v>
      </c>
      <c r="C32" s="920" t="s">
        <v>690</v>
      </c>
      <c r="D32" s="920" t="s">
        <v>691</v>
      </c>
      <c r="E32" s="921">
        <v>20000</v>
      </c>
      <c r="F32">
        <f t="shared" si="0"/>
        <v>13333</v>
      </c>
      <c r="G32" s="220">
        <f>+'JTS-9 S4'!C$25*12*'WP JTS-9 S4'!F32</f>
        <v>39999</v>
      </c>
    </row>
    <row r="33" spans="1:7" ht="11.25" customHeight="1">
      <c r="A33" s="920" t="s">
        <v>725</v>
      </c>
      <c r="B33" s="920" t="s">
        <v>1564</v>
      </c>
      <c r="C33" s="920" t="s">
        <v>690</v>
      </c>
      <c r="D33" s="920" t="s">
        <v>691</v>
      </c>
      <c r="E33" s="921">
        <v>1100</v>
      </c>
      <c r="F33">
        <f t="shared" si="0"/>
        <v>733</v>
      </c>
      <c r="G33" s="220">
        <f>+'JTS-9 S4'!C$25*12*'WP JTS-9 S4'!F33</f>
        <v>2199</v>
      </c>
    </row>
    <row r="34" spans="1:7" ht="11.25" customHeight="1">
      <c r="A34" s="920" t="s">
        <v>726</v>
      </c>
      <c r="B34" s="920" t="s">
        <v>1564</v>
      </c>
      <c r="C34" s="920" t="s">
        <v>690</v>
      </c>
      <c r="D34" s="920" t="s">
        <v>691</v>
      </c>
      <c r="E34" s="921">
        <v>70000</v>
      </c>
      <c r="F34">
        <f t="shared" si="0"/>
        <v>46667</v>
      </c>
      <c r="G34" s="220">
        <f>+'JTS-9 S4'!C$25*12*'WP JTS-9 S4'!F34</f>
        <v>140001</v>
      </c>
    </row>
    <row r="35" spans="1:7" ht="11.25" customHeight="1">
      <c r="A35" s="920" t="s">
        <v>727</v>
      </c>
      <c r="B35" s="920" t="s">
        <v>1564</v>
      </c>
      <c r="C35" s="920" t="s">
        <v>690</v>
      </c>
      <c r="D35" s="920" t="s">
        <v>691</v>
      </c>
      <c r="E35" s="921">
        <v>2800</v>
      </c>
      <c r="F35">
        <f t="shared" si="0"/>
        <v>1867</v>
      </c>
      <c r="G35" s="220">
        <f>+'JTS-9 S4'!C$25*12*'WP JTS-9 S4'!F35</f>
        <v>5601</v>
      </c>
    </row>
    <row r="36" spans="1:7" ht="11.25" customHeight="1">
      <c r="A36" s="920" t="s">
        <v>728</v>
      </c>
      <c r="B36" s="920" t="s">
        <v>1564</v>
      </c>
      <c r="C36" s="920" t="s">
        <v>690</v>
      </c>
      <c r="D36" s="920" t="s">
        <v>691</v>
      </c>
      <c r="E36" s="921">
        <v>4500</v>
      </c>
      <c r="F36">
        <f t="shared" si="0"/>
        <v>3000</v>
      </c>
      <c r="G36" s="220">
        <f>+'JTS-9 S4'!C$25*12*'WP JTS-9 S4'!F36</f>
        <v>9000</v>
      </c>
    </row>
    <row r="37" spans="1:7" ht="11.25" customHeight="1">
      <c r="A37" s="920" t="s">
        <v>729</v>
      </c>
      <c r="B37" s="920" t="s">
        <v>1564</v>
      </c>
      <c r="C37" s="920" t="s">
        <v>690</v>
      </c>
      <c r="D37" s="920" t="s">
        <v>691</v>
      </c>
      <c r="E37" s="921">
        <v>3000</v>
      </c>
      <c r="F37">
        <f t="shared" si="0"/>
        <v>2000</v>
      </c>
      <c r="G37" s="220">
        <f>+'JTS-9 S4'!C$25*12*'WP JTS-9 S4'!F37</f>
        <v>6000</v>
      </c>
    </row>
    <row r="38" spans="1:7" ht="11.25" customHeight="1">
      <c r="A38" s="920" t="s">
        <v>730</v>
      </c>
      <c r="B38" s="920" t="s">
        <v>1564</v>
      </c>
      <c r="C38" s="920" t="s">
        <v>690</v>
      </c>
      <c r="D38" s="920" t="s">
        <v>691</v>
      </c>
      <c r="E38" s="921">
        <v>700</v>
      </c>
      <c r="F38">
        <f t="shared" si="0"/>
        <v>467</v>
      </c>
      <c r="G38" s="220">
        <f>+'JTS-9 S4'!C$25*12*'WP JTS-9 S4'!F38</f>
        <v>1401</v>
      </c>
    </row>
    <row r="39" spans="1:7" ht="11.25" customHeight="1">
      <c r="A39" s="920" t="s">
        <v>731</v>
      </c>
      <c r="B39" s="920" t="s">
        <v>1564</v>
      </c>
      <c r="C39" s="920" t="s">
        <v>690</v>
      </c>
      <c r="D39" s="920" t="s">
        <v>691</v>
      </c>
      <c r="E39" s="921">
        <v>1800</v>
      </c>
      <c r="F39">
        <f t="shared" si="0"/>
        <v>1200</v>
      </c>
      <c r="G39" s="220">
        <f>+'JTS-9 S4'!C$25*12*'WP JTS-9 S4'!F39</f>
        <v>3600</v>
      </c>
    </row>
    <row r="40" spans="1:7" ht="11.25" customHeight="1">
      <c r="A40" s="920" t="s">
        <v>732</v>
      </c>
      <c r="B40" s="920" t="s">
        <v>1564</v>
      </c>
      <c r="C40" s="920" t="s">
        <v>690</v>
      </c>
      <c r="D40" s="920" t="s">
        <v>691</v>
      </c>
      <c r="E40" s="921">
        <v>4000</v>
      </c>
      <c r="F40">
        <f t="shared" si="0"/>
        <v>2667</v>
      </c>
      <c r="G40" s="220">
        <f>+'JTS-9 S4'!C$25*12*'WP JTS-9 S4'!F40</f>
        <v>8001</v>
      </c>
    </row>
    <row r="41" spans="1:7" ht="11.25" customHeight="1">
      <c r="A41" s="920" t="s">
        <v>733</v>
      </c>
      <c r="B41" s="920" t="s">
        <v>1564</v>
      </c>
      <c r="C41" s="920" t="s">
        <v>690</v>
      </c>
      <c r="D41" s="920" t="s">
        <v>691</v>
      </c>
      <c r="E41" s="921">
        <v>1100</v>
      </c>
      <c r="F41">
        <f t="shared" si="0"/>
        <v>733</v>
      </c>
      <c r="G41" s="220">
        <f>+'JTS-9 S4'!C$25*12*'WP JTS-9 S4'!F41</f>
        <v>2199</v>
      </c>
    </row>
    <row r="42" spans="1:7" ht="11.25" customHeight="1">
      <c r="A42" s="920" t="s">
        <v>734</v>
      </c>
      <c r="B42" s="920" t="s">
        <v>1564</v>
      </c>
      <c r="C42" s="920" t="s">
        <v>690</v>
      </c>
      <c r="D42" s="920" t="s">
        <v>691</v>
      </c>
      <c r="E42" s="921">
        <v>5000</v>
      </c>
      <c r="F42">
        <f t="shared" si="0"/>
        <v>3333</v>
      </c>
      <c r="G42" s="220">
        <f>+'JTS-9 S4'!C$25*12*'WP JTS-9 S4'!F42</f>
        <v>9999</v>
      </c>
    </row>
    <row r="43" spans="1:7" ht="11.25" customHeight="1">
      <c r="A43" s="920" t="s">
        <v>735</v>
      </c>
      <c r="B43" s="920" t="s">
        <v>1564</v>
      </c>
      <c r="C43" s="920" t="s">
        <v>690</v>
      </c>
      <c r="D43" s="920" t="s">
        <v>691</v>
      </c>
      <c r="E43" s="921">
        <v>3000</v>
      </c>
      <c r="F43">
        <f t="shared" si="0"/>
        <v>2000</v>
      </c>
      <c r="G43" s="220">
        <f>+'JTS-9 S4'!C$25*12*'WP JTS-9 S4'!F43</f>
        <v>6000</v>
      </c>
    </row>
    <row r="44" spans="1:7" ht="11.25" customHeight="1">
      <c r="A44" s="920" t="s">
        <v>736</v>
      </c>
      <c r="B44" s="920" t="s">
        <v>1564</v>
      </c>
      <c r="C44" s="920" t="s">
        <v>690</v>
      </c>
      <c r="D44" s="920" t="s">
        <v>691</v>
      </c>
      <c r="E44" s="921">
        <v>7000</v>
      </c>
      <c r="F44">
        <f t="shared" si="0"/>
        <v>4667</v>
      </c>
      <c r="G44" s="220">
        <f>+'JTS-9 S4'!C$25*12*'WP JTS-9 S4'!F44</f>
        <v>14001</v>
      </c>
    </row>
    <row r="45" spans="1:7" ht="11.25" customHeight="1">
      <c r="A45" s="920" t="s">
        <v>737</v>
      </c>
      <c r="B45" s="920" t="s">
        <v>1564</v>
      </c>
      <c r="C45" s="920" t="s">
        <v>690</v>
      </c>
      <c r="D45" s="920" t="s">
        <v>691</v>
      </c>
      <c r="E45" s="921">
        <v>3000</v>
      </c>
      <c r="F45">
        <f t="shared" si="0"/>
        <v>2000</v>
      </c>
      <c r="G45" s="220">
        <f>+'JTS-9 S4'!C$25*12*'WP JTS-9 S4'!F45</f>
        <v>6000</v>
      </c>
    </row>
    <row r="46" spans="1:7" ht="11.25" customHeight="1">
      <c r="A46" s="920" t="s">
        <v>738</v>
      </c>
      <c r="B46" s="920" t="s">
        <v>1564</v>
      </c>
      <c r="C46" s="920" t="s">
        <v>690</v>
      </c>
      <c r="D46" s="920" t="s">
        <v>691</v>
      </c>
      <c r="E46" s="921">
        <v>57000</v>
      </c>
      <c r="F46">
        <f t="shared" si="0"/>
        <v>38000</v>
      </c>
      <c r="G46" s="220">
        <f>+'JTS-9 S4'!C$25*12*'WP JTS-9 S4'!F46</f>
        <v>114000</v>
      </c>
    </row>
    <row r="47" spans="1:7" ht="11.25" customHeight="1">
      <c r="A47" s="920" t="s">
        <v>739</v>
      </c>
      <c r="B47" s="920" t="s">
        <v>1564</v>
      </c>
      <c r="C47" s="920" t="s">
        <v>690</v>
      </c>
      <c r="D47" s="920" t="s">
        <v>691</v>
      </c>
      <c r="E47" s="921">
        <v>1000</v>
      </c>
      <c r="F47">
        <f t="shared" si="0"/>
        <v>667</v>
      </c>
      <c r="G47" s="220">
        <f>+'JTS-9 S4'!C$25*12*'WP JTS-9 S4'!F47</f>
        <v>2001</v>
      </c>
    </row>
    <row r="48" spans="1:7" ht="11.25" customHeight="1">
      <c r="A48" s="920" t="s">
        <v>740</v>
      </c>
      <c r="B48" s="920" t="s">
        <v>1564</v>
      </c>
      <c r="C48" s="920" t="s">
        <v>690</v>
      </c>
      <c r="D48" s="920" t="s">
        <v>691</v>
      </c>
      <c r="E48" s="921">
        <v>3000</v>
      </c>
      <c r="F48">
        <f t="shared" si="0"/>
        <v>2000</v>
      </c>
      <c r="G48" s="220">
        <f>+'JTS-9 S4'!C$25*12*'WP JTS-9 S4'!F48</f>
        <v>6000</v>
      </c>
    </row>
    <row r="49" spans="1:7" ht="11.25" customHeight="1">
      <c r="A49" s="920" t="s">
        <v>741</v>
      </c>
      <c r="B49" s="920" t="s">
        <v>1564</v>
      </c>
      <c r="C49" s="920" t="s">
        <v>690</v>
      </c>
      <c r="D49" s="920" t="s">
        <v>691</v>
      </c>
      <c r="E49" s="921">
        <v>2100</v>
      </c>
      <c r="F49">
        <f t="shared" si="0"/>
        <v>1400</v>
      </c>
      <c r="G49" s="220">
        <f>+'JTS-9 S4'!C$25*12*'WP JTS-9 S4'!F49</f>
        <v>4200</v>
      </c>
    </row>
    <row r="50" spans="1:7" ht="11.25" customHeight="1">
      <c r="A50" s="920" t="s">
        <v>742</v>
      </c>
      <c r="B50" s="920" t="s">
        <v>1564</v>
      </c>
      <c r="C50" s="920" t="s">
        <v>690</v>
      </c>
      <c r="D50" s="920" t="s">
        <v>691</v>
      </c>
      <c r="E50" s="921">
        <v>7800</v>
      </c>
      <c r="F50">
        <f t="shared" si="0"/>
        <v>5200</v>
      </c>
      <c r="G50" s="220">
        <f>+'JTS-9 S4'!C$25*12*'WP JTS-9 S4'!F50</f>
        <v>15600</v>
      </c>
    </row>
    <row r="51" spans="1:7" ht="11.25" customHeight="1">
      <c r="A51" s="920" t="s">
        <v>743</v>
      </c>
      <c r="B51" s="920" t="s">
        <v>1564</v>
      </c>
      <c r="C51" s="920" t="s">
        <v>690</v>
      </c>
      <c r="D51" s="920" t="s">
        <v>691</v>
      </c>
      <c r="E51" s="921">
        <v>14000</v>
      </c>
      <c r="F51">
        <f t="shared" si="0"/>
        <v>9333</v>
      </c>
      <c r="G51" s="220">
        <f>+'JTS-9 S4'!C$25*12*'WP JTS-9 S4'!F51</f>
        <v>27999</v>
      </c>
    </row>
    <row r="52" spans="1:7" ht="11.25" customHeight="1">
      <c r="A52" s="920" t="s">
        <v>744</v>
      </c>
      <c r="B52" s="920" t="s">
        <v>1564</v>
      </c>
      <c r="C52" s="920" t="s">
        <v>690</v>
      </c>
      <c r="D52" s="920" t="s">
        <v>691</v>
      </c>
      <c r="E52" s="921">
        <v>2000</v>
      </c>
      <c r="F52">
        <f t="shared" si="0"/>
        <v>1333</v>
      </c>
      <c r="G52" s="220">
        <f>+'JTS-9 S4'!C$25*12*'WP JTS-9 S4'!F52</f>
        <v>3999</v>
      </c>
    </row>
    <row r="53" spans="1:7" ht="11.25" customHeight="1">
      <c r="A53" s="920" t="s">
        <v>745</v>
      </c>
      <c r="B53" s="920" t="s">
        <v>1564</v>
      </c>
      <c r="C53" s="920" t="s">
        <v>690</v>
      </c>
      <c r="D53" s="920" t="s">
        <v>691</v>
      </c>
      <c r="E53" s="921">
        <v>10000</v>
      </c>
      <c r="F53">
        <f t="shared" si="0"/>
        <v>6667</v>
      </c>
      <c r="G53" s="220">
        <f>+'JTS-9 S4'!C$25*12*'WP JTS-9 S4'!F53</f>
        <v>20001</v>
      </c>
    </row>
    <row r="54" spans="1:7" ht="11.25" customHeight="1">
      <c r="A54" s="920" t="s">
        <v>746</v>
      </c>
      <c r="B54" s="920" t="s">
        <v>1564</v>
      </c>
      <c r="C54" s="920" t="s">
        <v>690</v>
      </c>
      <c r="D54" s="920" t="s">
        <v>691</v>
      </c>
      <c r="E54" s="921">
        <v>6000</v>
      </c>
      <c r="F54">
        <f t="shared" si="0"/>
        <v>4000</v>
      </c>
      <c r="G54" s="220">
        <f>+'JTS-9 S4'!C$25*12*'WP JTS-9 S4'!F54</f>
        <v>12000</v>
      </c>
    </row>
    <row r="55" spans="1:7" ht="11.25" customHeight="1">
      <c r="A55" s="920" t="s">
        <v>747</v>
      </c>
      <c r="B55" s="920" t="s">
        <v>1564</v>
      </c>
      <c r="C55" s="920" t="s">
        <v>690</v>
      </c>
      <c r="D55" s="920" t="s">
        <v>691</v>
      </c>
      <c r="E55" s="921">
        <v>10000</v>
      </c>
      <c r="F55">
        <f t="shared" si="0"/>
        <v>6667</v>
      </c>
      <c r="G55" s="220">
        <f>+'JTS-9 S4'!C$25*12*'WP JTS-9 S4'!F55</f>
        <v>20001</v>
      </c>
    </row>
    <row r="56" spans="1:7" ht="11.25" customHeight="1">
      <c r="A56" s="920" t="s">
        <v>748</v>
      </c>
      <c r="B56" s="920" t="s">
        <v>1564</v>
      </c>
      <c r="C56" s="920" t="s">
        <v>690</v>
      </c>
      <c r="D56" s="920" t="s">
        <v>691</v>
      </c>
      <c r="E56" s="921">
        <v>7000</v>
      </c>
      <c r="F56">
        <f t="shared" si="0"/>
        <v>4667</v>
      </c>
      <c r="G56" s="220">
        <f>+'JTS-9 S4'!C$25*12*'WP JTS-9 S4'!F56</f>
        <v>14001</v>
      </c>
    </row>
    <row r="57" spans="1:7" ht="11.25" customHeight="1">
      <c r="A57" s="920" t="s">
        <v>749</v>
      </c>
      <c r="B57" s="920" t="s">
        <v>1564</v>
      </c>
      <c r="C57" s="920" t="s">
        <v>690</v>
      </c>
      <c r="D57" s="920" t="s">
        <v>691</v>
      </c>
      <c r="E57" s="921">
        <v>4000</v>
      </c>
      <c r="F57">
        <f t="shared" si="0"/>
        <v>2667</v>
      </c>
      <c r="G57" s="220">
        <f>+'JTS-9 S4'!C$25*12*'WP JTS-9 S4'!F57</f>
        <v>8001</v>
      </c>
    </row>
    <row r="58" spans="1:7" ht="11.25" customHeight="1">
      <c r="A58" s="920" t="s">
        <v>750</v>
      </c>
      <c r="B58" s="920" t="s">
        <v>1564</v>
      </c>
      <c r="C58" s="920" t="s">
        <v>690</v>
      </c>
      <c r="D58" s="920" t="s">
        <v>691</v>
      </c>
      <c r="E58" s="921">
        <v>9000</v>
      </c>
      <c r="F58">
        <f t="shared" si="0"/>
        <v>6000</v>
      </c>
      <c r="G58" s="220">
        <f>+'JTS-9 S4'!C$25*12*'WP JTS-9 S4'!F58</f>
        <v>18000</v>
      </c>
    </row>
    <row r="59" spans="1:7" ht="11.25" customHeight="1">
      <c r="A59" s="920" t="s">
        <v>751</v>
      </c>
      <c r="B59" s="920" t="s">
        <v>1564</v>
      </c>
      <c r="C59" s="920" t="s">
        <v>690</v>
      </c>
      <c r="D59" s="920" t="s">
        <v>691</v>
      </c>
      <c r="E59" s="921">
        <v>1000</v>
      </c>
      <c r="F59">
        <f t="shared" si="0"/>
        <v>667</v>
      </c>
      <c r="G59" s="220">
        <f>+'JTS-9 S4'!C$25*12*'WP JTS-9 S4'!F59</f>
        <v>2001</v>
      </c>
    </row>
    <row r="60" spans="1:7" ht="11.25" customHeight="1">
      <c r="A60" s="920" t="s">
        <v>752</v>
      </c>
      <c r="B60" s="920" t="s">
        <v>1564</v>
      </c>
      <c r="C60" s="920" t="s">
        <v>690</v>
      </c>
      <c r="D60" s="920" t="s">
        <v>691</v>
      </c>
      <c r="E60" s="921">
        <v>500</v>
      </c>
      <c r="F60">
        <f t="shared" si="0"/>
        <v>333</v>
      </c>
      <c r="G60" s="220">
        <f>+'JTS-9 S4'!C$25*12*'WP JTS-9 S4'!F60</f>
        <v>999</v>
      </c>
    </row>
    <row r="61" spans="1:7" ht="11.25" customHeight="1">
      <c r="A61" s="920" t="s">
        <v>753</v>
      </c>
      <c r="B61" s="920" t="s">
        <v>1564</v>
      </c>
      <c r="C61" s="920" t="s">
        <v>690</v>
      </c>
      <c r="D61" s="920" t="s">
        <v>691</v>
      </c>
      <c r="E61" s="921">
        <v>450</v>
      </c>
      <c r="F61">
        <f t="shared" si="0"/>
        <v>300</v>
      </c>
      <c r="G61" s="220">
        <f>+'JTS-9 S4'!C$25*12*'WP JTS-9 S4'!F61</f>
        <v>900</v>
      </c>
    </row>
    <row r="62" spans="1:7" ht="11.25" customHeight="1">
      <c r="A62" s="920" t="s">
        <v>754</v>
      </c>
      <c r="B62" s="920" t="s">
        <v>1564</v>
      </c>
      <c r="C62" s="920" t="s">
        <v>690</v>
      </c>
      <c r="D62" s="920" t="s">
        <v>691</v>
      </c>
      <c r="E62" s="921">
        <v>4000</v>
      </c>
      <c r="F62">
        <f t="shared" si="0"/>
        <v>2667</v>
      </c>
      <c r="G62" s="220">
        <f>+'JTS-9 S4'!C$25*12*'WP JTS-9 S4'!F62</f>
        <v>8001</v>
      </c>
    </row>
    <row r="63" spans="1:7" ht="11.25" customHeight="1">
      <c r="A63" s="920" t="s">
        <v>755</v>
      </c>
      <c r="B63" s="920" t="s">
        <v>1564</v>
      </c>
      <c r="C63" s="920" t="s">
        <v>690</v>
      </c>
      <c r="D63" s="920" t="s">
        <v>691</v>
      </c>
      <c r="E63" s="921">
        <v>5000</v>
      </c>
      <c r="F63">
        <f t="shared" si="0"/>
        <v>3333</v>
      </c>
      <c r="G63" s="220">
        <f>+'JTS-9 S4'!C$25*12*'WP JTS-9 S4'!F63</f>
        <v>9999</v>
      </c>
    </row>
    <row r="64" spans="1:7" ht="11.25" customHeight="1">
      <c r="A64" s="920" t="s">
        <v>756</v>
      </c>
      <c r="B64" s="920" t="s">
        <v>1564</v>
      </c>
      <c r="C64" s="920" t="s">
        <v>690</v>
      </c>
      <c r="D64" s="920" t="s">
        <v>691</v>
      </c>
      <c r="E64" s="921">
        <v>12000</v>
      </c>
      <c r="F64">
        <f t="shared" si="0"/>
        <v>8000</v>
      </c>
      <c r="G64" s="220">
        <f>+'JTS-9 S4'!C$25*12*'WP JTS-9 S4'!F64</f>
        <v>24000</v>
      </c>
    </row>
    <row r="65" spans="1:7" ht="11.25" customHeight="1">
      <c r="A65" s="920" t="s">
        <v>757</v>
      </c>
      <c r="B65" s="920" t="s">
        <v>1564</v>
      </c>
      <c r="C65" s="920" t="s">
        <v>690</v>
      </c>
      <c r="D65" s="920" t="s">
        <v>691</v>
      </c>
      <c r="E65" s="921">
        <v>1600</v>
      </c>
      <c r="F65">
        <f t="shared" si="0"/>
        <v>1067</v>
      </c>
      <c r="G65" s="220">
        <f>+'JTS-9 S4'!C$25*12*'WP JTS-9 S4'!F65</f>
        <v>3201</v>
      </c>
    </row>
    <row r="66" spans="1:7" ht="11.25" customHeight="1">
      <c r="A66" s="920" t="s">
        <v>758</v>
      </c>
      <c r="B66" s="920" t="s">
        <v>1564</v>
      </c>
      <c r="C66" s="920" t="s">
        <v>690</v>
      </c>
      <c r="D66" s="920" t="s">
        <v>691</v>
      </c>
      <c r="E66" s="921">
        <v>1800</v>
      </c>
      <c r="F66">
        <f t="shared" si="0"/>
        <v>1200</v>
      </c>
      <c r="G66" s="220">
        <f>+'JTS-9 S4'!C$25*12*'WP JTS-9 S4'!F66</f>
        <v>3600</v>
      </c>
    </row>
    <row r="67" spans="1:7" ht="11.25" customHeight="1">
      <c r="A67" s="920" t="s">
        <v>759</v>
      </c>
      <c r="B67" s="920" t="s">
        <v>1564</v>
      </c>
      <c r="C67" s="920" t="s">
        <v>690</v>
      </c>
      <c r="D67" s="920" t="s">
        <v>691</v>
      </c>
      <c r="E67" s="921">
        <v>3550</v>
      </c>
      <c r="F67">
        <f t="shared" si="0"/>
        <v>2367</v>
      </c>
      <c r="G67" s="220">
        <f>+'JTS-9 S4'!C$25*12*'WP JTS-9 S4'!F67</f>
        <v>7101</v>
      </c>
    </row>
    <row r="68" spans="1:7" ht="11.25" customHeight="1">
      <c r="A68" s="920" t="s">
        <v>760</v>
      </c>
      <c r="B68" s="920" t="s">
        <v>1564</v>
      </c>
      <c r="C68" s="920" t="s">
        <v>690</v>
      </c>
      <c r="D68" s="920" t="s">
        <v>691</v>
      </c>
      <c r="E68" s="921">
        <v>2600</v>
      </c>
      <c r="F68">
        <f aca="true" t="shared" si="1" ref="F68:F131">ROUND(+E68*2/3,0)</f>
        <v>1733</v>
      </c>
      <c r="G68" s="220">
        <f>+'JTS-9 S4'!C$25*12*'WP JTS-9 S4'!F68</f>
        <v>5199</v>
      </c>
    </row>
    <row r="69" spans="1:7" ht="11.25" customHeight="1">
      <c r="A69" s="920" t="s">
        <v>761</v>
      </c>
      <c r="B69" s="920" t="s">
        <v>1564</v>
      </c>
      <c r="C69" s="920" t="s">
        <v>690</v>
      </c>
      <c r="D69" s="920" t="s">
        <v>691</v>
      </c>
      <c r="E69" s="921">
        <v>7000</v>
      </c>
      <c r="F69">
        <f t="shared" si="1"/>
        <v>4667</v>
      </c>
      <c r="G69" s="220">
        <f>+'JTS-9 S4'!C$25*12*'WP JTS-9 S4'!F69</f>
        <v>14001</v>
      </c>
    </row>
    <row r="70" spans="1:7" ht="11.25" customHeight="1">
      <c r="A70" s="920" t="s">
        <v>762</v>
      </c>
      <c r="B70" s="920" t="s">
        <v>1564</v>
      </c>
      <c r="C70" s="920" t="s">
        <v>690</v>
      </c>
      <c r="D70" s="920" t="s">
        <v>691</v>
      </c>
      <c r="E70" s="921">
        <v>2000</v>
      </c>
      <c r="F70">
        <f t="shared" si="1"/>
        <v>1333</v>
      </c>
      <c r="G70" s="220">
        <f>+'JTS-9 S4'!C$25*12*'WP JTS-9 S4'!F70</f>
        <v>3999</v>
      </c>
    </row>
    <row r="71" spans="1:7" ht="11.25" customHeight="1">
      <c r="A71" s="920" t="s">
        <v>763</v>
      </c>
      <c r="B71" s="920" t="s">
        <v>1564</v>
      </c>
      <c r="C71" s="920" t="s">
        <v>690</v>
      </c>
      <c r="D71" s="920" t="s">
        <v>691</v>
      </c>
      <c r="E71" s="921">
        <v>5500</v>
      </c>
      <c r="F71">
        <f t="shared" si="1"/>
        <v>3667</v>
      </c>
      <c r="G71" s="220">
        <f>+'JTS-9 S4'!C$25*12*'WP JTS-9 S4'!F71</f>
        <v>11001</v>
      </c>
    </row>
    <row r="72" spans="1:7" ht="11.25" customHeight="1">
      <c r="A72" s="920" t="s">
        <v>764</v>
      </c>
      <c r="B72" s="920" t="s">
        <v>1564</v>
      </c>
      <c r="C72" s="920" t="s">
        <v>690</v>
      </c>
      <c r="D72" s="920" t="s">
        <v>691</v>
      </c>
      <c r="E72" s="921">
        <v>6400</v>
      </c>
      <c r="F72">
        <f t="shared" si="1"/>
        <v>4267</v>
      </c>
      <c r="G72" s="220">
        <f>+'JTS-9 S4'!C$25*12*'WP JTS-9 S4'!F72</f>
        <v>12801</v>
      </c>
    </row>
    <row r="73" spans="1:7" ht="11.25" customHeight="1">
      <c r="A73" s="920" t="s">
        <v>765</v>
      </c>
      <c r="B73" s="920" t="s">
        <v>1564</v>
      </c>
      <c r="C73" s="920" t="s">
        <v>690</v>
      </c>
      <c r="D73" s="920" t="s">
        <v>691</v>
      </c>
      <c r="E73" s="921">
        <v>1300</v>
      </c>
      <c r="F73">
        <f t="shared" si="1"/>
        <v>867</v>
      </c>
      <c r="G73" s="220">
        <f>+'JTS-9 S4'!C$25*12*'WP JTS-9 S4'!F73</f>
        <v>2601</v>
      </c>
    </row>
    <row r="74" spans="1:7" ht="11.25" customHeight="1">
      <c r="A74" s="920" t="s">
        <v>766</v>
      </c>
      <c r="B74" s="920" t="s">
        <v>1564</v>
      </c>
      <c r="C74" s="920" t="s">
        <v>690</v>
      </c>
      <c r="D74" s="920" t="s">
        <v>691</v>
      </c>
      <c r="E74" s="921">
        <v>11000</v>
      </c>
      <c r="F74">
        <f t="shared" si="1"/>
        <v>7333</v>
      </c>
      <c r="G74" s="220">
        <f>+'JTS-9 S4'!C$25*12*'WP JTS-9 S4'!F74</f>
        <v>21999</v>
      </c>
    </row>
    <row r="75" spans="1:7" ht="11.25" customHeight="1">
      <c r="A75" s="920" t="s">
        <v>767</v>
      </c>
      <c r="B75" s="920" t="s">
        <v>1564</v>
      </c>
      <c r="C75" s="920" t="s">
        <v>690</v>
      </c>
      <c r="D75" s="920" t="s">
        <v>691</v>
      </c>
      <c r="E75" s="921">
        <v>1200</v>
      </c>
      <c r="F75">
        <f t="shared" si="1"/>
        <v>800</v>
      </c>
      <c r="G75" s="220">
        <f>+'JTS-9 S4'!C$25*12*'WP JTS-9 S4'!F75</f>
        <v>2400</v>
      </c>
    </row>
    <row r="76" spans="1:7" ht="11.25" customHeight="1">
      <c r="A76" s="920" t="s">
        <v>768</v>
      </c>
      <c r="B76" s="920" t="s">
        <v>1564</v>
      </c>
      <c r="C76" s="920" t="s">
        <v>690</v>
      </c>
      <c r="D76" s="920" t="s">
        <v>691</v>
      </c>
      <c r="E76" s="921">
        <v>3000</v>
      </c>
      <c r="F76">
        <f t="shared" si="1"/>
        <v>2000</v>
      </c>
      <c r="G76" s="220">
        <f>+'JTS-9 S4'!C$25*12*'WP JTS-9 S4'!F76</f>
        <v>6000</v>
      </c>
    </row>
    <row r="77" spans="1:7" ht="11.25" customHeight="1">
      <c r="A77" s="920" t="s">
        <v>769</v>
      </c>
      <c r="B77" s="920" t="s">
        <v>1564</v>
      </c>
      <c r="C77" s="920" t="s">
        <v>690</v>
      </c>
      <c r="D77" s="920" t="s">
        <v>691</v>
      </c>
      <c r="E77" s="921">
        <v>10000</v>
      </c>
      <c r="F77">
        <f t="shared" si="1"/>
        <v>6667</v>
      </c>
      <c r="G77" s="220">
        <f>+'JTS-9 S4'!C$25*12*'WP JTS-9 S4'!F77</f>
        <v>20001</v>
      </c>
    </row>
    <row r="78" spans="1:7" ht="11.25" customHeight="1">
      <c r="A78" s="920" t="s">
        <v>770</v>
      </c>
      <c r="B78" s="920" t="s">
        <v>1564</v>
      </c>
      <c r="C78" s="920" t="s">
        <v>690</v>
      </c>
      <c r="D78" s="920" t="s">
        <v>691</v>
      </c>
      <c r="E78" s="921">
        <v>7200</v>
      </c>
      <c r="F78">
        <f t="shared" si="1"/>
        <v>4800</v>
      </c>
      <c r="G78" s="220">
        <f>+'JTS-9 S4'!C$25*12*'WP JTS-9 S4'!F78</f>
        <v>14400</v>
      </c>
    </row>
    <row r="79" spans="1:7" ht="11.25" customHeight="1">
      <c r="A79" s="920" t="s">
        <v>771</v>
      </c>
      <c r="B79" s="920" t="s">
        <v>1564</v>
      </c>
      <c r="C79" s="920" t="s">
        <v>690</v>
      </c>
      <c r="D79" s="920" t="s">
        <v>691</v>
      </c>
      <c r="E79" s="921">
        <v>20000</v>
      </c>
      <c r="F79">
        <f t="shared" si="1"/>
        <v>13333</v>
      </c>
      <c r="G79" s="220">
        <f>+'JTS-9 S4'!C$25*12*'WP JTS-9 S4'!F79</f>
        <v>39999</v>
      </c>
    </row>
    <row r="80" spans="1:7" ht="11.25" customHeight="1">
      <c r="A80" s="920" t="s">
        <v>772</v>
      </c>
      <c r="B80" s="920" t="s">
        <v>1564</v>
      </c>
      <c r="C80" s="920" t="s">
        <v>690</v>
      </c>
      <c r="D80" s="920" t="s">
        <v>691</v>
      </c>
      <c r="E80" s="921">
        <v>10000</v>
      </c>
      <c r="F80">
        <f t="shared" si="1"/>
        <v>6667</v>
      </c>
      <c r="G80" s="220">
        <f>+'JTS-9 S4'!C$25*12*'WP JTS-9 S4'!F80</f>
        <v>20001</v>
      </c>
    </row>
    <row r="81" spans="1:7" ht="11.25" customHeight="1">
      <c r="A81" s="920" t="s">
        <v>773</v>
      </c>
      <c r="B81" s="920" t="s">
        <v>1564</v>
      </c>
      <c r="C81" s="920" t="s">
        <v>690</v>
      </c>
      <c r="D81" s="920" t="s">
        <v>691</v>
      </c>
      <c r="E81" s="921">
        <v>5000</v>
      </c>
      <c r="F81">
        <f t="shared" si="1"/>
        <v>3333</v>
      </c>
      <c r="G81" s="220">
        <f>+'JTS-9 S4'!C$25*12*'WP JTS-9 S4'!F81</f>
        <v>9999</v>
      </c>
    </row>
    <row r="82" spans="1:7" ht="11.25" customHeight="1">
      <c r="A82" s="920" t="s">
        <v>774</v>
      </c>
      <c r="B82" s="920" t="s">
        <v>1564</v>
      </c>
      <c r="C82" s="920" t="s">
        <v>690</v>
      </c>
      <c r="D82" s="920" t="s">
        <v>691</v>
      </c>
      <c r="E82" s="921">
        <v>1150</v>
      </c>
      <c r="F82">
        <f t="shared" si="1"/>
        <v>767</v>
      </c>
      <c r="G82" s="220">
        <f>+'JTS-9 S4'!C$25*12*'WP JTS-9 S4'!F82</f>
        <v>2301</v>
      </c>
    </row>
    <row r="83" spans="1:7" ht="11.25" customHeight="1">
      <c r="A83" s="920" t="s">
        <v>775</v>
      </c>
      <c r="B83" s="920" t="s">
        <v>1564</v>
      </c>
      <c r="C83" s="920" t="s">
        <v>690</v>
      </c>
      <c r="D83" s="920" t="s">
        <v>691</v>
      </c>
      <c r="E83" s="921">
        <v>2700</v>
      </c>
      <c r="F83">
        <f t="shared" si="1"/>
        <v>1800</v>
      </c>
      <c r="G83" s="220">
        <f>+'JTS-9 S4'!C$25*12*'WP JTS-9 S4'!F83</f>
        <v>5400</v>
      </c>
    </row>
    <row r="84" spans="1:7" ht="11.25" customHeight="1">
      <c r="A84" s="920" t="s">
        <v>776</v>
      </c>
      <c r="B84" s="920" t="s">
        <v>1564</v>
      </c>
      <c r="C84" s="920" t="s">
        <v>690</v>
      </c>
      <c r="D84" s="920" t="s">
        <v>691</v>
      </c>
      <c r="E84" s="921">
        <v>500</v>
      </c>
      <c r="F84">
        <f t="shared" si="1"/>
        <v>333</v>
      </c>
      <c r="G84" s="220">
        <f>+'JTS-9 S4'!C$25*12*'WP JTS-9 S4'!F84</f>
        <v>999</v>
      </c>
    </row>
    <row r="85" spans="1:7" ht="11.25" customHeight="1">
      <c r="A85" s="920" t="s">
        <v>777</v>
      </c>
      <c r="B85" s="920" t="s">
        <v>1564</v>
      </c>
      <c r="C85" s="920" t="s">
        <v>690</v>
      </c>
      <c r="D85" s="920" t="s">
        <v>691</v>
      </c>
      <c r="E85" s="921">
        <v>15000</v>
      </c>
      <c r="F85">
        <f t="shared" si="1"/>
        <v>10000</v>
      </c>
      <c r="G85" s="220">
        <f>+'JTS-9 S4'!C$25*12*'WP JTS-9 S4'!F85</f>
        <v>30000</v>
      </c>
    </row>
    <row r="86" spans="1:7" ht="11.25" customHeight="1">
      <c r="A86" s="920" t="s">
        <v>777</v>
      </c>
      <c r="B86" s="920" t="s">
        <v>1564</v>
      </c>
      <c r="C86" s="920" t="s">
        <v>690</v>
      </c>
      <c r="D86" s="920" t="s">
        <v>691</v>
      </c>
      <c r="E86" s="921">
        <v>15000</v>
      </c>
      <c r="F86">
        <f t="shared" si="1"/>
        <v>10000</v>
      </c>
      <c r="G86" s="220">
        <f>+'JTS-9 S4'!C$25*12*'WP JTS-9 S4'!F86</f>
        <v>30000</v>
      </c>
    </row>
    <row r="87" spans="1:7" ht="11.25" customHeight="1">
      <c r="A87" s="920" t="s">
        <v>778</v>
      </c>
      <c r="B87" s="920" t="s">
        <v>1564</v>
      </c>
      <c r="C87" s="920" t="s">
        <v>690</v>
      </c>
      <c r="D87" s="920" t="s">
        <v>691</v>
      </c>
      <c r="E87" s="921">
        <v>600</v>
      </c>
      <c r="F87">
        <f t="shared" si="1"/>
        <v>400</v>
      </c>
      <c r="G87" s="220">
        <f>+'JTS-9 S4'!C$25*12*'WP JTS-9 S4'!F87</f>
        <v>1200</v>
      </c>
    </row>
    <row r="88" spans="1:7" ht="11.25" customHeight="1">
      <c r="A88" s="920" t="s">
        <v>779</v>
      </c>
      <c r="B88" s="920" t="s">
        <v>1564</v>
      </c>
      <c r="C88" s="920" t="s">
        <v>690</v>
      </c>
      <c r="D88" s="920" t="s">
        <v>691</v>
      </c>
      <c r="E88" s="921">
        <v>4500</v>
      </c>
      <c r="F88">
        <f t="shared" si="1"/>
        <v>3000</v>
      </c>
      <c r="G88" s="220">
        <f>+'JTS-9 S4'!C$25*12*'WP JTS-9 S4'!F88</f>
        <v>9000</v>
      </c>
    </row>
    <row r="89" spans="1:7" ht="11.25" customHeight="1">
      <c r="A89" s="920" t="s">
        <v>780</v>
      </c>
      <c r="B89" s="920" t="s">
        <v>1564</v>
      </c>
      <c r="C89" s="920" t="s">
        <v>690</v>
      </c>
      <c r="D89" s="920" t="s">
        <v>691</v>
      </c>
      <c r="E89" s="921">
        <v>1600</v>
      </c>
      <c r="F89">
        <f t="shared" si="1"/>
        <v>1067</v>
      </c>
      <c r="G89" s="220">
        <f>+'JTS-9 S4'!C$25*12*'WP JTS-9 S4'!F89</f>
        <v>3201</v>
      </c>
    </row>
    <row r="90" spans="1:7" ht="11.25" customHeight="1">
      <c r="A90" s="920" t="s">
        <v>781</v>
      </c>
      <c r="B90" s="920" t="s">
        <v>1564</v>
      </c>
      <c r="C90" s="920" t="s">
        <v>690</v>
      </c>
      <c r="D90" s="920" t="s">
        <v>691</v>
      </c>
      <c r="E90" s="921">
        <v>3000</v>
      </c>
      <c r="F90">
        <f t="shared" si="1"/>
        <v>2000</v>
      </c>
      <c r="G90" s="220">
        <f>+'JTS-9 S4'!C$25*12*'WP JTS-9 S4'!F90</f>
        <v>6000</v>
      </c>
    </row>
    <row r="91" spans="1:7" ht="11.25" customHeight="1">
      <c r="A91" s="920" t="s">
        <v>782</v>
      </c>
      <c r="B91" s="920" t="s">
        <v>1564</v>
      </c>
      <c r="C91" s="920" t="s">
        <v>690</v>
      </c>
      <c r="D91" s="920" t="s">
        <v>691</v>
      </c>
      <c r="E91" s="921">
        <v>86000</v>
      </c>
      <c r="F91">
        <f t="shared" si="1"/>
        <v>57333</v>
      </c>
      <c r="G91" s="220">
        <f>+'JTS-9 S4'!C$25*12*'WP JTS-9 S4'!F91</f>
        <v>171999</v>
      </c>
    </row>
    <row r="92" spans="1:7" ht="11.25" customHeight="1">
      <c r="A92" s="920" t="s">
        <v>783</v>
      </c>
      <c r="B92" s="920" t="s">
        <v>1564</v>
      </c>
      <c r="C92" s="920" t="s">
        <v>690</v>
      </c>
      <c r="D92" s="920" t="s">
        <v>691</v>
      </c>
      <c r="E92" s="921">
        <v>3000</v>
      </c>
      <c r="F92">
        <f t="shared" si="1"/>
        <v>2000</v>
      </c>
      <c r="G92" s="220">
        <f>+'JTS-9 S4'!C$25*12*'WP JTS-9 S4'!F92</f>
        <v>6000</v>
      </c>
    </row>
    <row r="93" spans="1:7" ht="11.25" customHeight="1">
      <c r="A93" s="920" t="s">
        <v>784</v>
      </c>
      <c r="B93" s="920" t="s">
        <v>1564</v>
      </c>
      <c r="C93" s="920" t="s">
        <v>690</v>
      </c>
      <c r="D93" s="920" t="s">
        <v>691</v>
      </c>
      <c r="E93" s="921">
        <v>15000</v>
      </c>
      <c r="F93">
        <f t="shared" si="1"/>
        <v>10000</v>
      </c>
      <c r="G93" s="220">
        <f>+'JTS-9 S4'!C$25*12*'WP JTS-9 S4'!F93</f>
        <v>30000</v>
      </c>
    </row>
    <row r="94" spans="1:7" ht="11.25" customHeight="1">
      <c r="A94" s="920" t="s">
        <v>785</v>
      </c>
      <c r="B94" s="920" t="s">
        <v>1564</v>
      </c>
      <c r="C94" s="920" t="s">
        <v>690</v>
      </c>
      <c r="D94" s="920" t="s">
        <v>691</v>
      </c>
      <c r="E94" s="921">
        <v>3000</v>
      </c>
      <c r="F94">
        <f t="shared" si="1"/>
        <v>2000</v>
      </c>
      <c r="G94" s="220">
        <f>+'JTS-9 S4'!C$25*12*'WP JTS-9 S4'!F94</f>
        <v>6000</v>
      </c>
    </row>
    <row r="95" spans="1:7" ht="11.25" customHeight="1">
      <c r="A95" s="920" t="s">
        <v>786</v>
      </c>
      <c r="B95" s="920" t="s">
        <v>1564</v>
      </c>
      <c r="C95" s="920" t="s">
        <v>690</v>
      </c>
      <c r="D95" s="920" t="s">
        <v>691</v>
      </c>
      <c r="E95" s="921">
        <v>1500</v>
      </c>
      <c r="F95">
        <f t="shared" si="1"/>
        <v>1000</v>
      </c>
      <c r="G95" s="220">
        <f>+'JTS-9 S4'!C$25*12*'WP JTS-9 S4'!F95</f>
        <v>3000</v>
      </c>
    </row>
    <row r="96" spans="1:7" ht="11.25" customHeight="1">
      <c r="A96" s="920" t="s">
        <v>787</v>
      </c>
      <c r="B96" s="920" t="s">
        <v>1564</v>
      </c>
      <c r="C96" s="920" t="s">
        <v>690</v>
      </c>
      <c r="D96" s="920" t="s">
        <v>691</v>
      </c>
      <c r="E96" s="921">
        <v>3300</v>
      </c>
      <c r="F96">
        <f t="shared" si="1"/>
        <v>2200</v>
      </c>
      <c r="G96" s="220">
        <f>+'JTS-9 S4'!C$25*12*'WP JTS-9 S4'!F96</f>
        <v>6600</v>
      </c>
    </row>
    <row r="97" spans="1:7" ht="11.25" customHeight="1">
      <c r="A97" s="920" t="s">
        <v>788</v>
      </c>
      <c r="B97" s="920" t="s">
        <v>1564</v>
      </c>
      <c r="C97" s="920" t="s">
        <v>690</v>
      </c>
      <c r="D97" s="920" t="s">
        <v>691</v>
      </c>
      <c r="E97" s="921">
        <v>3500</v>
      </c>
      <c r="F97">
        <f t="shared" si="1"/>
        <v>2333</v>
      </c>
      <c r="G97" s="220">
        <f>+'JTS-9 S4'!C$25*12*'WP JTS-9 S4'!F97</f>
        <v>6999</v>
      </c>
    </row>
    <row r="98" spans="1:7" ht="11.25" customHeight="1">
      <c r="A98" s="920" t="s">
        <v>789</v>
      </c>
      <c r="B98" s="920" t="s">
        <v>1564</v>
      </c>
      <c r="C98" s="920" t="s">
        <v>690</v>
      </c>
      <c r="D98" s="920" t="s">
        <v>691</v>
      </c>
      <c r="E98" s="921">
        <v>27600</v>
      </c>
      <c r="F98">
        <f t="shared" si="1"/>
        <v>18400</v>
      </c>
      <c r="G98" s="220">
        <f>+'JTS-9 S4'!C$25*12*'WP JTS-9 S4'!F98</f>
        <v>55200</v>
      </c>
    </row>
    <row r="99" spans="1:7" ht="11.25" customHeight="1">
      <c r="A99" s="920" t="s">
        <v>790</v>
      </c>
      <c r="B99" s="920" t="s">
        <v>1564</v>
      </c>
      <c r="C99" s="920" t="s">
        <v>690</v>
      </c>
      <c r="D99" s="920" t="s">
        <v>691</v>
      </c>
      <c r="E99" s="921">
        <v>7200</v>
      </c>
      <c r="F99">
        <f t="shared" si="1"/>
        <v>4800</v>
      </c>
      <c r="G99" s="220">
        <f>+'JTS-9 S4'!C$25*12*'WP JTS-9 S4'!F99</f>
        <v>14400</v>
      </c>
    </row>
    <row r="100" spans="1:7" ht="11.25" customHeight="1">
      <c r="A100" s="920" t="s">
        <v>791</v>
      </c>
      <c r="B100" s="920" t="s">
        <v>1564</v>
      </c>
      <c r="C100" s="920" t="s">
        <v>690</v>
      </c>
      <c r="D100" s="920" t="s">
        <v>691</v>
      </c>
      <c r="E100" s="921">
        <v>15000</v>
      </c>
      <c r="F100">
        <f t="shared" si="1"/>
        <v>10000</v>
      </c>
      <c r="G100" s="220">
        <f>+'JTS-9 S4'!C$25*12*'WP JTS-9 S4'!F100</f>
        <v>30000</v>
      </c>
    </row>
    <row r="101" spans="1:7" ht="11.25" customHeight="1">
      <c r="A101" s="920" t="s">
        <v>792</v>
      </c>
      <c r="B101" s="920" t="s">
        <v>1564</v>
      </c>
      <c r="C101" s="920" t="s">
        <v>690</v>
      </c>
      <c r="D101" s="920" t="s">
        <v>691</v>
      </c>
      <c r="E101" s="921">
        <v>2000</v>
      </c>
      <c r="F101">
        <f t="shared" si="1"/>
        <v>1333</v>
      </c>
      <c r="G101" s="220">
        <f>+'JTS-9 S4'!C$25*12*'WP JTS-9 S4'!F101</f>
        <v>3999</v>
      </c>
    </row>
    <row r="102" spans="1:7" ht="11.25" customHeight="1">
      <c r="A102" s="920" t="s">
        <v>793</v>
      </c>
      <c r="B102" s="920" t="s">
        <v>1564</v>
      </c>
      <c r="C102" s="920" t="s">
        <v>690</v>
      </c>
      <c r="D102" s="920" t="s">
        <v>691</v>
      </c>
      <c r="E102" s="921">
        <v>2800</v>
      </c>
      <c r="F102">
        <f t="shared" si="1"/>
        <v>1867</v>
      </c>
      <c r="G102" s="220">
        <f>+'JTS-9 S4'!C$25*12*'WP JTS-9 S4'!F102</f>
        <v>5601</v>
      </c>
    </row>
    <row r="103" spans="1:7" ht="11.25" customHeight="1">
      <c r="A103" s="920" t="s">
        <v>794</v>
      </c>
      <c r="B103" s="920" t="s">
        <v>1564</v>
      </c>
      <c r="C103" s="920" t="s">
        <v>690</v>
      </c>
      <c r="D103" s="920" t="s">
        <v>691</v>
      </c>
      <c r="E103" s="921">
        <v>1700</v>
      </c>
      <c r="F103">
        <f t="shared" si="1"/>
        <v>1133</v>
      </c>
      <c r="G103" s="220">
        <f>+'JTS-9 S4'!C$25*12*'WP JTS-9 S4'!F103</f>
        <v>3399</v>
      </c>
    </row>
    <row r="104" spans="1:7" ht="11.25" customHeight="1">
      <c r="A104" s="920" t="s">
        <v>795</v>
      </c>
      <c r="B104" s="920" t="s">
        <v>1564</v>
      </c>
      <c r="C104" s="920" t="s">
        <v>690</v>
      </c>
      <c r="D104" s="920" t="s">
        <v>691</v>
      </c>
      <c r="E104" s="921">
        <v>3300</v>
      </c>
      <c r="F104">
        <f t="shared" si="1"/>
        <v>2200</v>
      </c>
      <c r="G104" s="220">
        <f>+'JTS-9 S4'!C$25*12*'WP JTS-9 S4'!F104</f>
        <v>6600</v>
      </c>
    </row>
    <row r="105" spans="1:7" ht="11.25" customHeight="1">
      <c r="A105" s="920" t="s">
        <v>796</v>
      </c>
      <c r="B105" s="920" t="s">
        <v>1564</v>
      </c>
      <c r="C105" s="920" t="s">
        <v>690</v>
      </c>
      <c r="D105" s="920" t="s">
        <v>691</v>
      </c>
      <c r="E105" s="921">
        <v>2500</v>
      </c>
      <c r="F105">
        <f t="shared" si="1"/>
        <v>1667</v>
      </c>
      <c r="G105" s="220">
        <f>+'JTS-9 S4'!C$25*12*'WP JTS-9 S4'!F105</f>
        <v>5001</v>
      </c>
    </row>
    <row r="106" spans="1:7" ht="11.25" customHeight="1">
      <c r="A106" s="920" t="s">
        <v>797</v>
      </c>
      <c r="B106" s="920" t="s">
        <v>1564</v>
      </c>
      <c r="C106" s="920" t="s">
        <v>690</v>
      </c>
      <c r="D106" s="920" t="s">
        <v>691</v>
      </c>
      <c r="E106" s="921">
        <v>950</v>
      </c>
      <c r="F106">
        <f t="shared" si="1"/>
        <v>633</v>
      </c>
      <c r="G106" s="220">
        <f>+'JTS-9 S4'!C$25*12*'WP JTS-9 S4'!F106</f>
        <v>1899</v>
      </c>
    </row>
    <row r="107" spans="1:7" ht="11.25" customHeight="1">
      <c r="A107" s="920" t="s">
        <v>798</v>
      </c>
      <c r="B107" s="920" t="s">
        <v>1564</v>
      </c>
      <c r="C107" s="920" t="s">
        <v>690</v>
      </c>
      <c r="D107" s="920" t="s">
        <v>691</v>
      </c>
      <c r="E107" s="921">
        <v>3000</v>
      </c>
      <c r="F107">
        <f t="shared" si="1"/>
        <v>2000</v>
      </c>
      <c r="G107" s="220">
        <f>+'JTS-9 S4'!C$25*12*'WP JTS-9 S4'!F107</f>
        <v>6000</v>
      </c>
    </row>
    <row r="108" spans="1:7" ht="11.25" customHeight="1">
      <c r="A108" s="920" t="s">
        <v>799</v>
      </c>
      <c r="B108" s="920" t="s">
        <v>1564</v>
      </c>
      <c r="C108" s="920" t="s">
        <v>690</v>
      </c>
      <c r="D108" s="920" t="s">
        <v>691</v>
      </c>
      <c r="E108" s="921">
        <v>4000</v>
      </c>
      <c r="F108">
        <f t="shared" si="1"/>
        <v>2667</v>
      </c>
      <c r="G108" s="220">
        <f>+'JTS-9 S4'!C$25*12*'WP JTS-9 S4'!F108</f>
        <v>8001</v>
      </c>
    </row>
    <row r="109" spans="1:7" ht="11.25" customHeight="1">
      <c r="A109" s="920" t="s">
        <v>800</v>
      </c>
      <c r="B109" s="920" t="s">
        <v>1564</v>
      </c>
      <c r="C109" s="920" t="s">
        <v>690</v>
      </c>
      <c r="D109" s="920" t="s">
        <v>691</v>
      </c>
      <c r="E109" s="921">
        <v>40000</v>
      </c>
      <c r="F109">
        <f t="shared" si="1"/>
        <v>26667</v>
      </c>
      <c r="G109" s="220">
        <f>+'JTS-9 S4'!C$25*12*'WP JTS-9 S4'!F109</f>
        <v>80001</v>
      </c>
    </row>
    <row r="110" spans="1:7" ht="11.25" customHeight="1">
      <c r="A110" s="920" t="s">
        <v>801</v>
      </c>
      <c r="B110" s="920" t="s">
        <v>1564</v>
      </c>
      <c r="C110" s="920" t="s">
        <v>690</v>
      </c>
      <c r="D110" s="920" t="s">
        <v>691</v>
      </c>
      <c r="E110" s="921">
        <v>8500</v>
      </c>
      <c r="F110">
        <f t="shared" si="1"/>
        <v>5667</v>
      </c>
      <c r="G110" s="220">
        <f>+'JTS-9 S4'!C$25*12*'WP JTS-9 S4'!F110</f>
        <v>17001</v>
      </c>
    </row>
    <row r="111" spans="1:7" ht="11.25" customHeight="1">
      <c r="A111" s="920" t="s">
        <v>802</v>
      </c>
      <c r="B111" s="920" t="s">
        <v>1564</v>
      </c>
      <c r="C111" s="920" t="s">
        <v>690</v>
      </c>
      <c r="D111" s="920" t="s">
        <v>691</v>
      </c>
      <c r="E111" s="921">
        <v>5000</v>
      </c>
      <c r="F111">
        <f t="shared" si="1"/>
        <v>3333</v>
      </c>
      <c r="G111" s="220">
        <f>+'JTS-9 S4'!C$25*12*'WP JTS-9 S4'!F111</f>
        <v>9999</v>
      </c>
    </row>
    <row r="112" spans="1:7" ht="11.25" customHeight="1">
      <c r="A112" s="920" t="s">
        <v>803</v>
      </c>
      <c r="B112" s="920" t="s">
        <v>1564</v>
      </c>
      <c r="C112" s="920" t="s">
        <v>690</v>
      </c>
      <c r="D112" s="920" t="s">
        <v>691</v>
      </c>
      <c r="E112" s="921">
        <v>1300</v>
      </c>
      <c r="F112">
        <f t="shared" si="1"/>
        <v>867</v>
      </c>
      <c r="G112" s="220">
        <f>+'JTS-9 S4'!C$25*12*'WP JTS-9 S4'!F112</f>
        <v>2601</v>
      </c>
    </row>
    <row r="113" spans="1:7" ht="11.25" customHeight="1">
      <c r="A113" s="920" t="s">
        <v>804</v>
      </c>
      <c r="B113" s="920" t="s">
        <v>1564</v>
      </c>
      <c r="C113" s="920" t="s">
        <v>690</v>
      </c>
      <c r="D113" s="920" t="s">
        <v>691</v>
      </c>
      <c r="E113" s="921">
        <v>1600</v>
      </c>
      <c r="F113">
        <f t="shared" si="1"/>
        <v>1067</v>
      </c>
      <c r="G113" s="220">
        <f>+'JTS-9 S4'!C$25*12*'WP JTS-9 S4'!F113</f>
        <v>3201</v>
      </c>
    </row>
    <row r="114" spans="1:7" ht="11.25" customHeight="1">
      <c r="A114" s="920" t="s">
        <v>805</v>
      </c>
      <c r="B114" s="920" t="s">
        <v>1564</v>
      </c>
      <c r="C114" s="920" t="s">
        <v>690</v>
      </c>
      <c r="D114" s="920" t="s">
        <v>691</v>
      </c>
      <c r="E114" s="921">
        <v>6300</v>
      </c>
      <c r="F114">
        <f t="shared" si="1"/>
        <v>4200</v>
      </c>
      <c r="G114" s="220">
        <f>+'JTS-9 S4'!C$25*12*'WP JTS-9 S4'!F114</f>
        <v>12600</v>
      </c>
    </row>
    <row r="115" spans="1:7" ht="11.25" customHeight="1">
      <c r="A115" s="920" t="s">
        <v>806</v>
      </c>
      <c r="B115" s="920" t="s">
        <v>1564</v>
      </c>
      <c r="C115" s="920" t="s">
        <v>690</v>
      </c>
      <c r="D115" s="920" t="s">
        <v>691</v>
      </c>
      <c r="E115" s="921">
        <v>14000</v>
      </c>
      <c r="F115">
        <f t="shared" si="1"/>
        <v>9333</v>
      </c>
      <c r="G115" s="220">
        <f>+'JTS-9 S4'!C$25*12*'WP JTS-9 S4'!F115</f>
        <v>27999</v>
      </c>
    </row>
    <row r="116" spans="1:7" ht="11.25" customHeight="1">
      <c r="A116" s="920" t="s">
        <v>807</v>
      </c>
      <c r="B116" s="920" t="s">
        <v>1564</v>
      </c>
      <c r="C116" s="920" t="s">
        <v>690</v>
      </c>
      <c r="D116" s="920" t="s">
        <v>691</v>
      </c>
      <c r="E116" s="921">
        <v>6000</v>
      </c>
      <c r="F116">
        <f t="shared" si="1"/>
        <v>4000</v>
      </c>
      <c r="G116" s="220">
        <f>+'JTS-9 S4'!C$25*12*'WP JTS-9 S4'!F116</f>
        <v>12000</v>
      </c>
    </row>
    <row r="117" spans="1:7" ht="11.25" customHeight="1">
      <c r="A117" s="920" t="s">
        <v>808</v>
      </c>
      <c r="B117" s="920" t="s">
        <v>1564</v>
      </c>
      <c r="C117" s="920" t="s">
        <v>690</v>
      </c>
      <c r="D117" s="920" t="s">
        <v>691</v>
      </c>
      <c r="E117" s="921">
        <v>9000</v>
      </c>
      <c r="F117">
        <f t="shared" si="1"/>
        <v>6000</v>
      </c>
      <c r="G117" s="220">
        <f>+'JTS-9 S4'!C$25*12*'WP JTS-9 S4'!F117</f>
        <v>18000</v>
      </c>
    </row>
    <row r="118" spans="1:7" ht="11.25" customHeight="1">
      <c r="A118" s="920" t="s">
        <v>809</v>
      </c>
      <c r="B118" s="920" t="s">
        <v>1564</v>
      </c>
      <c r="C118" s="920" t="s">
        <v>690</v>
      </c>
      <c r="D118" s="920" t="s">
        <v>691</v>
      </c>
      <c r="E118" s="921">
        <v>18000</v>
      </c>
      <c r="F118">
        <f t="shared" si="1"/>
        <v>12000</v>
      </c>
      <c r="G118" s="220">
        <f>+'JTS-9 S4'!C$25*12*'WP JTS-9 S4'!F118</f>
        <v>36000</v>
      </c>
    </row>
    <row r="119" spans="1:7" ht="11.25" customHeight="1">
      <c r="A119" s="920" t="s">
        <v>810</v>
      </c>
      <c r="B119" s="920" t="s">
        <v>1564</v>
      </c>
      <c r="C119" s="920" t="s">
        <v>690</v>
      </c>
      <c r="D119" s="920" t="s">
        <v>691</v>
      </c>
      <c r="E119" s="921">
        <v>1700</v>
      </c>
      <c r="F119">
        <f t="shared" si="1"/>
        <v>1133</v>
      </c>
      <c r="G119" s="220">
        <f>+'JTS-9 S4'!C$25*12*'WP JTS-9 S4'!F119</f>
        <v>3399</v>
      </c>
    </row>
    <row r="120" spans="1:7" ht="11.25" customHeight="1">
      <c r="A120" s="920" t="s">
        <v>811</v>
      </c>
      <c r="B120" s="920" t="s">
        <v>1564</v>
      </c>
      <c r="C120" s="920" t="s">
        <v>690</v>
      </c>
      <c r="D120" s="920" t="s">
        <v>691</v>
      </c>
      <c r="E120" s="921">
        <v>51600</v>
      </c>
      <c r="F120">
        <f t="shared" si="1"/>
        <v>34400</v>
      </c>
      <c r="G120" s="220">
        <f>+'JTS-9 S4'!C$25*12*'WP JTS-9 S4'!F120</f>
        <v>103200</v>
      </c>
    </row>
    <row r="121" spans="1:7" ht="11.25" customHeight="1">
      <c r="A121" s="920" t="s">
        <v>812</v>
      </c>
      <c r="B121" s="920" t="s">
        <v>1564</v>
      </c>
      <c r="C121" s="920" t="s">
        <v>690</v>
      </c>
      <c r="D121" s="920" t="s">
        <v>691</v>
      </c>
      <c r="E121" s="921">
        <v>2200</v>
      </c>
      <c r="F121">
        <f t="shared" si="1"/>
        <v>1467</v>
      </c>
      <c r="G121" s="220">
        <f>+'JTS-9 S4'!C$25*12*'WP JTS-9 S4'!F121</f>
        <v>4401</v>
      </c>
    </row>
    <row r="122" spans="1:7" ht="11.25" customHeight="1">
      <c r="A122" s="920" t="s">
        <v>813</v>
      </c>
      <c r="B122" s="920" t="s">
        <v>1564</v>
      </c>
      <c r="C122" s="920" t="s">
        <v>690</v>
      </c>
      <c r="D122" s="920" t="s">
        <v>691</v>
      </c>
      <c r="E122" s="921">
        <v>5000</v>
      </c>
      <c r="F122">
        <f t="shared" si="1"/>
        <v>3333</v>
      </c>
      <c r="G122" s="220">
        <f>+'JTS-9 S4'!C$25*12*'WP JTS-9 S4'!F122</f>
        <v>9999</v>
      </c>
    </row>
    <row r="123" spans="1:7" ht="11.25" customHeight="1">
      <c r="A123" s="920" t="s">
        <v>814</v>
      </c>
      <c r="B123" s="920" t="s">
        <v>1564</v>
      </c>
      <c r="C123" s="920" t="s">
        <v>690</v>
      </c>
      <c r="D123" s="920" t="s">
        <v>691</v>
      </c>
      <c r="E123" s="921">
        <v>4500</v>
      </c>
      <c r="F123">
        <f t="shared" si="1"/>
        <v>3000</v>
      </c>
      <c r="G123" s="220">
        <f>+'JTS-9 S4'!C$25*12*'WP JTS-9 S4'!F123</f>
        <v>9000</v>
      </c>
    </row>
    <row r="124" spans="1:7" ht="11.25" customHeight="1">
      <c r="A124" s="920" t="s">
        <v>815</v>
      </c>
      <c r="B124" s="920" t="s">
        <v>1564</v>
      </c>
      <c r="C124" s="920" t="s">
        <v>690</v>
      </c>
      <c r="D124" s="920" t="s">
        <v>691</v>
      </c>
      <c r="E124" s="921">
        <v>2000</v>
      </c>
      <c r="F124">
        <f t="shared" si="1"/>
        <v>1333</v>
      </c>
      <c r="G124" s="220">
        <f>+'JTS-9 S4'!C$25*12*'WP JTS-9 S4'!F124</f>
        <v>3999</v>
      </c>
    </row>
    <row r="125" spans="1:7" ht="11.25" customHeight="1">
      <c r="A125" s="920" t="s">
        <v>816</v>
      </c>
      <c r="B125" s="920" t="s">
        <v>1564</v>
      </c>
      <c r="C125" s="920" t="s">
        <v>690</v>
      </c>
      <c r="D125" s="920" t="s">
        <v>691</v>
      </c>
      <c r="E125" s="921">
        <v>2000</v>
      </c>
      <c r="F125">
        <f t="shared" si="1"/>
        <v>1333</v>
      </c>
      <c r="G125" s="220">
        <f>+'JTS-9 S4'!C$25*12*'WP JTS-9 S4'!F125</f>
        <v>3999</v>
      </c>
    </row>
    <row r="126" spans="1:7" ht="11.25" customHeight="1">
      <c r="A126" s="920" t="s">
        <v>817</v>
      </c>
      <c r="B126" s="920" t="s">
        <v>1564</v>
      </c>
      <c r="C126" s="920" t="s">
        <v>690</v>
      </c>
      <c r="D126" s="920" t="s">
        <v>691</v>
      </c>
      <c r="E126" s="921">
        <v>2000</v>
      </c>
      <c r="F126">
        <f t="shared" si="1"/>
        <v>1333</v>
      </c>
      <c r="G126" s="220">
        <f>+'JTS-9 S4'!C$25*12*'WP JTS-9 S4'!F126</f>
        <v>3999</v>
      </c>
    </row>
    <row r="127" spans="1:7" ht="11.25" customHeight="1">
      <c r="A127" s="920" t="s">
        <v>818</v>
      </c>
      <c r="B127" s="920" t="s">
        <v>1564</v>
      </c>
      <c r="C127" s="920" t="s">
        <v>690</v>
      </c>
      <c r="D127" s="920" t="s">
        <v>691</v>
      </c>
      <c r="E127" s="921">
        <v>5000</v>
      </c>
      <c r="F127">
        <f t="shared" si="1"/>
        <v>3333</v>
      </c>
      <c r="G127" s="220">
        <f>+'JTS-9 S4'!C$25*12*'WP JTS-9 S4'!F127</f>
        <v>9999</v>
      </c>
    </row>
    <row r="128" spans="1:7" ht="11.25" customHeight="1">
      <c r="A128" s="920" t="s">
        <v>819</v>
      </c>
      <c r="B128" s="920" t="s">
        <v>1564</v>
      </c>
      <c r="C128" s="920" t="s">
        <v>690</v>
      </c>
      <c r="D128" s="920" t="s">
        <v>691</v>
      </c>
      <c r="E128" s="921">
        <v>12000</v>
      </c>
      <c r="F128">
        <f t="shared" si="1"/>
        <v>8000</v>
      </c>
      <c r="G128" s="220">
        <f>+'JTS-9 S4'!C$25*12*'WP JTS-9 S4'!F128</f>
        <v>24000</v>
      </c>
    </row>
    <row r="129" spans="1:7" ht="11.25" customHeight="1">
      <c r="A129" s="920" t="s">
        <v>820</v>
      </c>
      <c r="B129" s="920" t="s">
        <v>1564</v>
      </c>
      <c r="C129" s="920" t="s">
        <v>690</v>
      </c>
      <c r="D129" s="920" t="s">
        <v>691</v>
      </c>
      <c r="E129" s="921">
        <v>13000</v>
      </c>
      <c r="F129">
        <f t="shared" si="1"/>
        <v>8667</v>
      </c>
      <c r="G129" s="220">
        <f>+'JTS-9 S4'!C$25*12*'WP JTS-9 S4'!F129</f>
        <v>26001</v>
      </c>
    </row>
    <row r="130" spans="1:7" ht="11.25" customHeight="1">
      <c r="A130" s="920" t="s">
        <v>821</v>
      </c>
      <c r="B130" s="920" t="s">
        <v>1564</v>
      </c>
      <c r="C130" s="920" t="s">
        <v>690</v>
      </c>
      <c r="D130" s="920" t="s">
        <v>691</v>
      </c>
      <c r="E130" s="921">
        <v>4000</v>
      </c>
      <c r="F130">
        <f t="shared" si="1"/>
        <v>2667</v>
      </c>
      <c r="G130" s="220">
        <f>+'JTS-9 S4'!C$25*12*'WP JTS-9 S4'!F130</f>
        <v>8001</v>
      </c>
    </row>
    <row r="131" spans="1:7" ht="11.25" customHeight="1">
      <c r="A131" s="920" t="s">
        <v>822</v>
      </c>
      <c r="B131" s="920" t="s">
        <v>1564</v>
      </c>
      <c r="C131" s="920" t="s">
        <v>690</v>
      </c>
      <c r="D131" s="920" t="s">
        <v>691</v>
      </c>
      <c r="E131" s="921">
        <v>18000</v>
      </c>
      <c r="F131">
        <f t="shared" si="1"/>
        <v>12000</v>
      </c>
      <c r="G131" s="220">
        <f>+'JTS-9 S4'!C$25*12*'WP JTS-9 S4'!F131</f>
        <v>36000</v>
      </c>
    </row>
    <row r="132" spans="1:7" ht="11.25" customHeight="1">
      <c r="A132" s="920" t="s">
        <v>823</v>
      </c>
      <c r="B132" s="920" t="s">
        <v>1564</v>
      </c>
      <c r="C132" s="920" t="s">
        <v>690</v>
      </c>
      <c r="D132" s="920" t="s">
        <v>691</v>
      </c>
      <c r="E132" s="921">
        <v>4000</v>
      </c>
      <c r="F132">
        <f aca="true" t="shared" si="2" ref="F132:F163">ROUND(+E132*2/3,0)</f>
        <v>2667</v>
      </c>
      <c r="G132" s="220">
        <f>+'JTS-9 S4'!C$25*12*'WP JTS-9 S4'!F132</f>
        <v>8001</v>
      </c>
    </row>
    <row r="133" spans="1:7" ht="11.25" customHeight="1">
      <c r="A133" s="920" t="s">
        <v>824</v>
      </c>
      <c r="B133" s="920" t="s">
        <v>1564</v>
      </c>
      <c r="C133" s="920" t="s">
        <v>690</v>
      </c>
      <c r="D133" s="920" t="s">
        <v>691</v>
      </c>
      <c r="E133" s="921">
        <v>4000</v>
      </c>
      <c r="F133">
        <f t="shared" si="2"/>
        <v>2667</v>
      </c>
      <c r="G133" s="220">
        <f>+'JTS-9 S4'!C$25*12*'WP JTS-9 S4'!F133</f>
        <v>8001</v>
      </c>
    </row>
    <row r="134" spans="1:7" ht="11.25" customHeight="1">
      <c r="A134" s="920" t="s">
        <v>825</v>
      </c>
      <c r="B134" s="920" t="s">
        <v>1564</v>
      </c>
      <c r="C134" s="920" t="s">
        <v>690</v>
      </c>
      <c r="D134" s="920" t="s">
        <v>691</v>
      </c>
      <c r="E134" s="921">
        <v>13500</v>
      </c>
      <c r="F134">
        <f t="shared" si="2"/>
        <v>9000</v>
      </c>
      <c r="G134" s="220">
        <f>+'JTS-9 S4'!C$25*12*'WP JTS-9 S4'!F134</f>
        <v>27000</v>
      </c>
    </row>
    <row r="135" spans="1:7" ht="11.25" customHeight="1">
      <c r="A135" s="920" t="s">
        <v>826</v>
      </c>
      <c r="B135" s="920" t="s">
        <v>1564</v>
      </c>
      <c r="C135" s="920" t="s">
        <v>690</v>
      </c>
      <c r="D135" s="920" t="s">
        <v>691</v>
      </c>
      <c r="E135" s="921">
        <v>12000</v>
      </c>
      <c r="F135">
        <f t="shared" si="2"/>
        <v>8000</v>
      </c>
      <c r="G135" s="220">
        <f>+'JTS-9 S4'!C$25*12*'WP JTS-9 S4'!F135</f>
        <v>24000</v>
      </c>
    </row>
    <row r="136" spans="1:7" ht="11.25" customHeight="1">
      <c r="A136" s="920" t="s">
        <v>827</v>
      </c>
      <c r="B136" s="920" t="s">
        <v>1564</v>
      </c>
      <c r="C136" s="920" t="s">
        <v>690</v>
      </c>
      <c r="D136" s="920" t="s">
        <v>691</v>
      </c>
      <c r="E136" s="921">
        <v>3600</v>
      </c>
      <c r="F136">
        <f t="shared" si="2"/>
        <v>2400</v>
      </c>
      <c r="G136" s="220">
        <f>+'JTS-9 S4'!C$25*12*'WP JTS-9 S4'!F136</f>
        <v>7200</v>
      </c>
    </row>
    <row r="137" spans="1:7" ht="11.25" customHeight="1">
      <c r="A137" s="920"/>
      <c r="B137" s="920"/>
      <c r="C137" s="920"/>
      <c r="D137" s="920"/>
      <c r="E137" s="921">
        <f>SUM(E3:E136)</f>
        <v>1015345</v>
      </c>
      <c r="F137">
        <f t="shared" si="2"/>
        <v>676897</v>
      </c>
      <c r="G137" s="220">
        <f>+'JTS-9 S4'!C$25*12*'WP JTS-9 S4'!F137</f>
        <v>2030691</v>
      </c>
    </row>
    <row r="138" spans="1:5" ht="11.25" customHeight="1">
      <c r="A138" s="920"/>
      <c r="B138" s="920"/>
      <c r="C138" s="920"/>
      <c r="D138" s="920"/>
      <c r="E138" s="921"/>
    </row>
    <row r="139" spans="1:7" ht="11.25" customHeight="1">
      <c r="A139" s="920" t="s">
        <v>828</v>
      </c>
      <c r="B139" s="920" t="s">
        <v>1564</v>
      </c>
      <c r="C139" s="920" t="s">
        <v>690</v>
      </c>
      <c r="D139" s="920" t="s">
        <v>829</v>
      </c>
      <c r="E139" s="921">
        <v>24000</v>
      </c>
      <c r="F139">
        <f t="shared" si="2"/>
        <v>16000</v>
      </c>
      <c r="G139" s="220">
        <f>+'JTS-9 S4'!C$25*12*'WP JTS-9 S4'!F139</f>
        <v>48000</v>
      </c>
    </row>
    <row r="140" spans="1:7" ht="11.25" customHeight="1">
      <c r="A140" s="920" t="s">
        <v>830</v>
      </c>
      <c r="B140" s="920" t="s">
        <v>1564</v>
      </c>
      <c r="C140" s="920" t="s">
        <v>690</v>
      </c>
      <c r="D140" s="920" t="s">
        <v>829</v>
      </c>
      <c r="E140" s="921">
        <v>22000</v>
      </c>
      <c r="F140">
        <f t="shared" si="2"/>
        <v>14667</v>
      </c>
      <c r="G140" s="220">
        <f>+'JTS-9 S4'!C$25*12*'WP JTS-9 S4'!F140</f>
        <v>44001</v>
      </c>
    </row>
    <row r="141" spans="1:7" ht="11.25" customHeight="1">
      <c r="A141" s="920" t="s">
        <v>831</v>
      </c>
      <c r="B141" s="920" t="s">
        <v>1564</v>
      </c>
      <c r="C141" s="920" t="s">
        <v>690</v>
      </c>
      <c r="D141" s="920" t="s">
        <v>829</v>
      </c>
      <c r="E141" s="921">
        <v>30000</v>
      </c>
      <c r="F141">
        <f t="shared" si="2"/>
        <v>20000</v>
      </c>
      <c r="G141" s="220">
        <f>+'JTS-9 S4'!C$25*12*'WP JTS-9 S4'!F141</f>
        <v>60000</v>
      </c>
    </row>
    <row r="142" spans="1:7" ht="11.25" customHeight="1">
      <c r="A142" s="920" t="s">
        <v>832</v>
      </c>
      <c r="B142" s="920" t="s">
        <v>1564</v>
      </c>
      <c r="C142" s="920" t="s">
        <v>690</v>
      </c>
      <c r="D142" s="920" t="s">
        <v>829</v>
      </c>
      <c r="E142" s="921">
        <v>18000</v>
      </c>
      <c r="F142">
        <f t="shared" si="2"/>
        <v>12000</v>
      </c>
      <c r="G142" s="220">
        <f>+'JTS-9 S4'!C$25*12*'WP JTS-9 S4'!F142</f>
        <v>36000</v>
      </c>
    </row>
    <row r="143" spans="1:7" ht="11.25" customHeight="1">
      <c r="A143" s="920" t="s">
        <v>833</v>
      </c>
      <c r="B143" s="920" t="s">
        <v>1564</v>
      </c>
      <c r="C143" s="920" t="s">
        <v>690</v>
      </c>
      <c r="D143" s="920" t="s">
        <v>829</v>
      </c>
      <c r="E143" s="921">
        <v>27500</v>
      </c>
      <c r="F143">
        <f t="shared" si="2"/>
        <v>18333</v>
      </c>
      <c r="G143" s="220">
        <f>+'JTS-9 S4'!C$25*12*'WP JTS-9 S4'!F143</f>
        <v>54999</v>
      </c>
    </row>
    <row r="144" spans="1:7" ht="11.25" customHeight="1">
      <c r="A144" s="920" t="s">
        <v>834</v>
      </c>
      <c r="B144" s="920" t="s">
        <v>1564</v>
      </c>
      <c r="C144" s="920" t="s">
        <v>690</v>
      </c>
      <c r="D144" s="920" t="s">
        <v>829</v>
      </c>
      <c r="E144" s="921">
        <v>30000</v>
      </c>
      <c r="F144">
        <f t="shared" si="2"/>
        <v>20000</v>
      </c>
      <c r="G144" s="220">
        <f>+'JTS-9 S4'!C$25*12*'WP JTS-9 S4'!F144</f>
        <v>60000</v>
      </c>
    </row>
    <row r="145" spans="1:7" ht="11.25" customHeight="1">
      <c r="A145" s="920" t="s">
        <v>835</v>
      </c>
      <c r="B145" s="920" t="s">
        <v>1564</v>
      </c>
      <c r="C145" s="920" t="s">
        <v>690</v>
      </c>
      <c r="D145" s="920" t="s">
        <v>829</v>
      </c>
      <c r="E145" s="921">
        <v>80000</v>
      </c>
      <c r="F145">
        <f t="shared" si="2"/>
        <v>53333</v>
      </c>
      <c r="G145" s="220">
        <f>+'JTS-9 S4'!C$25*12*'WP JTS-9 S4'!F145</f>
        <v>159999</v>
      </c>
    </row>
    <row r="146" spans="1:7" ht="11.25" customHeight="1">
      <c r="A146" s="920" t="s">
        <v>836</v>
      </c>
      <c r="B146" s="920" t="s">
        <v>1564</v>
      </c>
      <c r="C146" s="920" t="s">
        <v>690</v>
      </c>
      <c r="D146" s="920" t="s">
        <v>829</v>
      </c>
      <c r="E146" s="921">
        <v>23000</v>
      </c>
      <c r="F146">
        <f t="shared" si="2"/>
        <v>15333</v>
      </c>
      <c r="G146" s="220">
        <f>+'JTS-9 S4'!C$25*12*'WP JTS-9 S4'!F146</f>
        <v>45999</v>
      </c>
    </row>
    <row r="147" spans="1:7" ht="11.25" customHeight="1">
      <c r="A147" s="920" t="s">
        <v>837</v>
      </c>
      <c r="B147" s="920" t="s">
        <v>1564</v>
      </c>
      <c r="C147" s="920" t="s">
        <v>690</v>
      </c>
      <c r="D147" s="920" t="s">
        <v>829</v>
      </c>
      <c r="E147" s="921">
        <v>40000</v>
      </c>
      <c r="F147">
        <f t="shared" si="2"/>
        <v>26667</v>
      </c>
      <c r="G147" s="220">
        <f>+'JTS-9 S4'!C$25*12*'WP JTS-9 S4'!F147</f>
        <v>80001</v>
      </c>
    </row>
    <row r="148" spans="1:7" ht="11.25" customHeight="1">
      <c r="A148" s="920" t="s">
        <v>838</v>
      </c>
      <c r="B148" s="920" t="s">
        <v>1564</v>
      </c>
      <c r="C148" s="920" t="s">
        <v>690</v>
      </c>
      <c r="D148" s="920" t="s">
        <v>829</v>
      </c>
      <c r="E148" s="921">
        <v>300000</v>
      </c>
      <c r="F148">
        <f t="shared" si="2"/>
        <v>200000</v>
      </c>
      <c r="G148" s="220">
        <f>+'JTS-9 S4'!C$25*12*'WP JTS-9 S4'!F148</f>
        <v>600000</v>
      </c>
    </row>
    <row r="149" spans="1:7" ht="11.25" customHeight="1">
      <c r="A149" s="920" t="s">
        <v>839</v>
      </c>
      <c r="B149" s="920" t="s">
        <v>1564</v>
      </c>
      <c r="C149" s="920" t="s">
        <v>690</v>
      </c>
      <c r="D149" s="920" t="s">
        <v>829</v>
      </c>
      <c r="E149" s="921">
        <v>500000</v>
      </c>
      <c r="F149">
        <f t="shared" si="2"/>
        <v>333333</v>
      </c>
      <c r="G149" s="220">
        <f>+'JTS-9 S4'!C$25*12*'WP JTS-9 S4'!F149</f>
        <v>999999</v>
      </c>
    </row>
    <row r="150" spans="1:7" ht="11.25" customHeight="1">
      <c r="A150" s="920" t="s">
        <v>840</v>
      </c>
      <c r="B150" s="920" t="s">
        <v>1564</v>
      </c>
      <c r="C150" s="920" t="s">
        <v>690</v>
      </c>
      <c r="D150" s="920" t="s">
        <v>829</v>
      </c>
      <c r="E150" s="921">
        <v>20000</v>
      </c>
      <c r="F150">
        <f t="shared" si="2"/>
        <v>13333</v>
      </c>
      <c r="G150" s="220">
        <f>+'JTS-9 S4'!C$25*12*'WP JTS-9 S4'!F150</f>
        <v>39999</v>
      </c>
    </row>
    <row r="151" spans="1:7" ht="11.25" customHeight="1">
      <c r="A151" s="920" t="s">
        <v>841</v>
      </c>
      <c r="B151" s="920" t="s">
        <v>1564</v>
      </c>
      <c r="C151" s="920" t="s">
        <v>690</v>
      </c>
      <c r="D151" s="920" t="s">
        <v>829</v>
      </c>
      <c r="E151" s="921">
        <v>640000</v>
      </c>
      <c r="F151">
        <f t="shared" si="2"/>
        <v>426667</v>
      </c>
      <c r="G151" s="220">
        <f>+'JTS-9 S4'!C$25*12*'WP JTS-9 S4'!F151</f>
        <v>1280001</v>
      </c>
    </row>
    <row r="152" spans="1:7" ht="11.25" customHeight="1">
      <c r="A152" s="920" t="s">
        <v>842</v>
      </c>
      <c r="B152" s="920" t="s">
        <v>1564</v>
      </c>
      <c r="C152" s="920" t="s">
        <v>690</v>
      </c>
      <c r="D152" s="920" t="s">
        <v>829</v>
      </c>
      <c r="E152" s="921">
        <v>18000</v>
      </c>
      <c r="F152">
        <f t="shared" si="2"/>
        <v>12000</v>
      </c>
      <c r="G152" s="220">
        <f>+'JTS-9 S4'!C$25*12*'WP JTS-9 S4'!F152</f>
        <v>36000</v>
      </c>
    </row>
    <row r="153" spans="1:7" ht="11.25" customHeight="1">
      <c r="A153" s="920" t="s">
        <v>842</v>
      </c>
      <c r="B153" s="920" t="s">
        <v>1564</v>
      </c>
      <c r="C153" s="920" t="s">
        <v>690</v>
      </c>
      <c r="D153" s="920" t="s">
        <v>829</v>
      </c>
      <c r="E153" s="921">
        <v>3000</v>
      </c>
      <c r="F153">
        <f t="shared" si="2"/>
        <v>2000</v>
      </c>
      <c r="G153" s="220">
        <f>+'JTS-9 S4'!C$25*12*'WP JTS-9 S4'!F153</f>
        <v>6000</v>
      </c>
    </row>
    <row r="154" spans="1:7" ht="11.25" customHeight="1">
      <c r="A154" s="920" t="s">
        <v>843</v>
      </c>
      <c r="B154" s="920" t="s">
        <v>1564</v>
      </c>
      <c r="C154" s="920" t="s">
        <v>690</v>
      </c>
      <c r="D154" s="920" t="s">
        <v>829</v>
      </c>
      <c r="E154" s="921">
        <v>20000</v>
      </c>
      <c r="F154">
        <f t="shared" si="2"/>
        <v>13333</v>
      </c>
      <c r="G154" s="220">
        <f>+'JTS-9 S4'!C$25*12*'WP JTS-9 S4'!F154</f>
        <v>39999</v>
      </c>
    </row>
    <row r="155" spans="1:7" ht="11.25" customHeight="1">
      <c r="A155" s="920" t="s">
        <v>844</v>
      </c>
      <c r="B155" s="920" t="s">
        <v>1564</v>
      </c>
      <c r="C155" s="920" t="s">
        <v>690</v>
      </c>
      <c r="D155" s="920" t="s">
        <v>829</v>
      </c>
      <c r="E155" s="921">
        <v>15000</v>
      </c>
      <c r="F155">
        <f t="shared" si="2"/>
        <v>10000</v>
      </c>
      <c r="G155" s="220">
        <f>+'JTS-9 S4'!C$25*12*'WP JTS-9 S4'!F155</f>
        <v>30000</v>
      </c>
    </row>
    <row r="156" spans="1:7" ht="11.25" customHeight="1">
      <c r="A156" s="920" t="s">
        <v>845</v>
      </c>
      <c r="B156" s="920" t="s">
        <v>1564</v>
      </c>
      <c r="C156" s="920" t="s">
        <v>690</v>
      </c>
      <c r="D156" s="920" t="s">
        <v>829</v>
      </c>
      <c r="E156" s="921">
        <v>180000</v>
      </c>
      <c r="F156">
        <f t="shared" si="2"/>
        <v>120000</v>
      </c>
      <c r="G156" s="220">
        <f>+'JTS-9 S4'!C$25*12*'WP JTS-9 S4'!F156</f>
        <v>360000</v>
      </c>
    </row>
    <row r="157" spans="1:7" ht="11.25" customHeight="1">
      <c r="A157" s="920" t="s">
        <v>846</v>
      </c>
      <c r="B157" s="920" t="s">
        <v>1564</v>
      </c>
      <c r="C157" s="920" t="s">
        <v>690</v>
      </c>
      <c r="D157" s="920" t="s">
        <v>829</v>
      </c>
      <c r="E157" s="921">
        <v>34300</v>
      </c>
      <c r="F157">
        <f t="shared" si="2"/>
        <v>22867</v>
      </c>
      <c r="G157" s="220">
        <f>+'JTS-9 S4'!C$25*12*'WP JTS-9 S4'!F157</f>
        <v>68601</v>
      </c>
    </row>
    <row r="158" spans="1:7" ht="11.25" customHeight="1">
      <c r="A158" s="920" t="s">
        <v>847</v>
      </c>
      <c r="B158" s="920" t="s">
        <v>1564</v>
      </c>
      <c r="C158" s="920" t="s">
        <v>690</v>
      </c>
      <c r="D158" s="920" t="s">
        <v>829</v>
      </c>
      <c r="E158" s="921">
        <v>12000</v>
      </c>
      <c r="F158">
        <f t="shared" si="2"/>
        <v>8000</v>
      </c>
      <c r="G158" s="220">
        <f>+'JTS-9 S4'!C$25*12*'WP JTS-9 S4'!F158</f>
        <v>24000</v>
      </c>
    </row>
    <row r="159" spans="1:7" ht="11.25" customHeight="1">
      <c r="A159" s="920" t="s">
        <v>848</v>
      </c>
      <c r="B159" s="920" t="s">
        <v>1564</v>
      </c>
      <c r="C159" s="920" t="s">
        <v>690</v>
      </c>
      <c r="D159" s="920" t="s">
        <v>829</v>
      </c>
      <c r="E159" s="921">
        <v>10000</v>
      </c>
      <c r="F159">
        <f t="shared" si="2"/>
        <v>6667</v>
      </c>
      <c r="G159" s="220">
        <f>+'JTS-9 S4'!C$25*12*'WP JTS-9 S4'!F159</f>
        <v>20001</v>
      </c>
    </row>
    <row r="160" spans="1:7" ht="11.25" customHeight="1">
      <c r="A160" s="920" t="s">
        <v>849</v>
      </c>
      <c r="B160" s="920" t="s">
        <v>1564</v>
      </c>
      <c r="C160" s="920" t="s">
        <v>690</v>
      </c>
      <c r="D160" s="920" t="s">
        <v>829</v>
      </c>
      <c r="E160" s="921">
        <v>20000</v>
      </c>
      <c r="F160">
        <f t="shared" si="2"/>
        <v>13333</v>
      </c>
      <c r="G160" s="220">
        <f>+'JTS-9 S4'!C$25*12*'WP JTS-9 S4'!F160</f>
        <v>39999</v>
      </c>
    </row>
    <row r="161" spans="1:7" ht="11.25" customHeight="1">
      <c r="A161" s="920" t="s">
        <v>850</v>
      </c>
      <c r="B161" s="920" t="s">
        <v>1564</v>
      </c>
      <c r="C161" s="920" t="s">
        <v>690</v>
      </c>
      <c r="D161" s="920" t="s">
        <v>829</v>
      </c>
      <c r="E161" s="921">
        <v>11000</v>
      </c>
      <c r="F161">
        <f t="shared" si="2"/>
        <v>7333</v>
      </c>
      <c r="G161" s="220">
        <f>+'JTS-9 S4'!C$25*12*'WP JTS-9 S4'!F161</f>
        <v>21999</v>
      </c>
    </row>
    <row r="162" spans="1:7" ht="11.25" customHeight="1">
      <c r="A162" s="920" t="s">
        <v>851</v>
      </c>
      <c r="B162" s="920" t="s">
        <v>1564</v>
      </c>
      <c r="C162" s="920" t="s">
        <v>690</v>
      </c>
      <c r="D162" s="920" t="s">
        <v>829</v>
      </c>
      <c r="E162" s="921">
        <v>26000</v>
      </c>
      <c r="F162">
        <f t="shared" si="2"/>
        <v>17333</v>
      </c>
      <c r="G162" s="220">
        <f>+'JTS-9 S4'!C$25*12*'WP JTS-9 S4'!F162</f>
        <v>51999</v>
      </c>
    </row>
    <row r="163" spans="1:7" ht="11.25" customHeight="1">
      <c r="A163" s="920"/>
      <c r="B163" s="920"/>
      <c r="C163" s="920"/>
      <c r="D163" s="920"/>
      <c r="E163" s="921">
        <f>SUM(E139:E162)</f>
        <v>2103800</v>
      </c>
      <c r="F163">
        <f t="shared" si="2"/>
        <v>1402533</v>
      </c>
      <c r="G163" s="220">
        <f>+'JTS-9 S4'!C$25*12*'WP JTS-9 S4'!F163</f>
        <v>4207599</v>
      </c>
    </row>
    <row r="164" spans="1:5" ht="11.25" customHeight="1">
      <c r="A164" s="920"/>
      <c r="B164" s="920"/>
      <c r="C164" s="920"/>
      <c r="D164" s="920"/>
      <c r="E164" s="922"/>
    </row>
    <row r="165" ht="11.25" customHeight="1">
      <c r="E165" s="921"/>
    </row>
    <row r="166" ht="11.25" customHeight="1">
      <c r="E166" s="921"/>
    </row>
    <row r="167" ht="11.25" customHeight="1">
      <c r="E167" s="921"/>
    </row>
    <row r="168" ht="11.25" customHeight="1">
      <c r="E168" s="921"/>
    </row>
    <row r="169" ht="11.25" customHeight="1">
      <c r="E169" s="921"/>
    </row>
    <row r="170" ht="11.25" customHeight="1">
      <c r="E170" s="921"/>
    </row>
    <row r="171" ht="11.25" customHeight="1">
      <c r="E171" s="921"/>
    </row>
    <row r="172" ht="11.25" customHeight="1">
      <c r="E172" s="921"/>
    </row>
    <row r="173" ht="11.25" customHeight="1">
      <c r="E173" s="921"/>
    </row>
    <row r="174" ht="11.25" customHeight="1">
      <c r="E174" s="921"/>
    </row>
    <row r="175" ht="11.25" customHeight="1">
      <c r="E175" s="921"/>
    </row>
    <row r="176" ht="11.25" customHeight="1">
      <c r="E176" s="921"/>
    </row>
    <row r="177" ht="11.25" customHeight="1">
      <c r="E177" s="921"/>
    </row>
    <row r="178" ht="11.25" customHeight="1">
      <c r="E178" s="921"/>
    </row>
    <row r="179" ht="11.25" customHeight="1">
      <c r="E179" s="921"/>
    </row>
    <row r="180" ht="11.25" customHeight="1">
      <c r="E180" s="921"/>
    </row>
    <row r="181" ht="11.25" customHeight="1">
      <c r="E181" s="921"/>
    </row>
    <row r="182" ht="11.25" customHeight="1">
      <c r="E182" s="921"/>
    </row>
    <row r="183" ht="11.25" customHeight="1">
      <c r="E183" s="921"/>
    </row>
    <row r="184" ht="11.25" customHeight="1">
      <c r="E184" s="921"/>
    </row>
    <row r="185" ht="11.25" customHeight="1">
      <c r="E185" s="921"/>
    </row>
    <row r="186" ht="11.25" customHeight="1">
      <c r="E186" s="921"/>
    </row>
    <row r="187" ht="11.25" customHeight="1">
      <c r="E187" s="921"/>
    </row>
    <row r="188" ht="11.25" customHeight="1">
      <c r="E188" s="921"/>
    </row>
    <row r="189" ht="11.25" customHeight="1">
      <c r="E189" s="921"/>
    </row>
    <row r="190" ht="11.25" customHeight="1">
      <c r="E190" s="921"/>
    </row>
    <row r="191" ht="11.25" customHeight="1">
      <c r="E191" s="921"/>
    </row>
    <row r="192" ht="11.25" customHeight="1">
      <c r="E192" s="921"/>
    </row>
    <row r="193" ht="11.25" customHeight="1">
      <c r="E193" s="921"/>
    </row>
    <row r="194" ht="11.25" customHeight="1">
      <c r="E194" s="921"/>
    </row>
    <row r="195" ht="11.25" customHeight="1">
      <c r="E195" s="921"/>
    </row>
    <row r="196" ht="11.25" customHeight="1">
      <c r="E196" s="921"/>
    </row>
    <row r="197" ht="11.25" customHeight="1">
      <c r="E197" s="921"/>
    </row>
    <row r="198" ht="11.25" customHeight="1">
      <c r="E198" s="921"/>
    </row>
    <row r="199" ht="11.25" customHeight="1">
      <c r="E199" s="921"/>
    </row>
    <row r="200" ht="11.25" customHeight="1">
      <c r="E200" s="921"/>
    </row>
    <row r="201" ht="11.25" customHeight="1">
      <c r="E201" s="921"/>
    </row>
    <row r="202" ht="11.25" customHeight="1">
      <c r="E202" s="921"/>
    </row>
    <row r="203" ht="11.25" customHeight="1">
      <c r="E203" s="921"/>
    </row>
    <row r="204" ht="11.25" customHeight="1">
      <c r="E204" s="921"/>
    </row>
    <row r="205" ht="11.25" customHeight="1">
      <c r="E205" s="921"/>
    </row>
    <row r="206" ht="11.25" customHeight="1">
      <c r="E206" s="921"/>
    </row>
    <row r="207" ht="11.25" customHeight="1">
      <c r="E207" s="921"/>
    </row>
    <row r="208" ht="11.25" customHeight="1">
      <c r="E208" s="921"/>
    </row>
    <row r="209" ht="11.25" customHeight="1">
      <c r="E209" s="921"/>
    </row>
    <row r="210" ht="11.25" customHeight="1">
      <c r="E210" s="921"/>
    </row>
    <row r="211" ht="11.25" customHeight="1">
      <c r="E211" s="921"/>
    </row>
    <row r="212" ht="11.25" customHeight="1">
      <c r="E212" s="921"/>
    </row>
    <row r="213" ht="11.25" customHeight="1">
      <c r="E213" s="921"/>
    </row>
    <row r="214" ht="11.25" customHeight="1">
      <c r="E214" s="921"/>
    </row>
    <row r="215" ht="11.25" customHeight="1">
      <c r="E215" s="921"/>
    </row>
    <row r="216" ht="11.25" customHeight="1">
      <c r="E216" s="921"/>
    </row>
    <row r="217" ht="11.25" customHeight="1">
      <c r="E217" s="921"/>
    </row>
    <row r="218" ht="11.25" customHeight="1">
      <c r="E218" s="921"/>
    </row>
    <row r="219" ht="11.25" customHeight="1">
      <c r="E219" s="921"/>
    </row>
    <row r="220" ht="11.25" customHeight="1">
      <c r="E220" s="921"/>
    </row>
    <row r="221" ht="11.25" customHeight="1">
      <c r="E221" s="921"/>
    </row>
    <row r="222" ht="11.25" customHeight="1">
      <c r="E222" s="921"/>
    </row>
    <row r="223" ht="11.25" customHeight="1">
      <c r="E223" s="921"/>
    </row>
    <row r="224" ht="11.25" customHeight="1">
      <c r="E224" s="921"/>
    </row>
    <row r="225" ht="11.25" customHeight="1">
      <c r="E225" s="921"/>
    </row>
    <row r="226" ht="11.25" customHeight="1">
      <c r="E226" s="921"/>
    </row>
    <row r="227" ht="11.25" customHeight="1">
      <c r="E227" s="921"/>
    </row>
    <row r="228" ht="11.25" customHeight="1">
      <c r="E228" s="921"/>
    </row>
    <row r="229" ht="11.25" customHeight="1">
      <c r="E229" s="921"/>
    </row>
    <row r="230" ht="11.25" customHeight="1">
      <c r="E230" s="921"/>
    </row>
    <row r="231" ht="11.25" customHeight="1">
      <c r="E231" s="921"/>
    </row>
    <row r="232" ht="11.25" customHeight="1">
      <c r="E232" s="921"/>
    </row>
    <row r="233" ht="11.25" customHeight="1">
      <c r="E233" s="921"/>
    </row>
    <row r="234" ht="11.25" customHeight="1">
      <c r="E234" s="921"/>
    </row>
    <row r="235" ht="11.25" customHeight="1">
      <c r="E235" s="921"/>
    </row>
    <row r="236" ht="11.25" customHeight="1">
      <c r="E236" s="921"/>
    </row>
    <row r="237" ht="11.25" customHeight="1">
      <c r="E237" s="921"/>
    </row>
    <row r="238" ht="11.25" customHeight="1">
      <c r="E238" s="921"/>
    </row>
    <row r="239" ht="11.25" customHeight="1">
      <c r="E239" s="921"/>
    </row>
    <row r="240" ht="11.25" customHeight="1">
      <c r="E240" s="921"/>
    </row>
    <row r="241" ht="11.25" customHeight="1">
      <c r="E241" s="921"/>
    </row>
    <row r="242" ht="11.25" customHeight="1">
      <c r="E242" s="921"/>
    </row>
    <row r="243" ht="11.25" customHeight="1">
      <c r="E243" s="921"/>
    </row>
    <row r="244" ht="11.25" customHeight="1">
      <c r="E244" s="921"/>
    </row>
    <row r="245" ht="11.25" customHeight="1">
      <c r="E245" s="921"/>
    </row>
    <row r="246" ht="11.25" customHeight="1">
      <c r="E246" s="921"/>
    </row>
    <row r="247" ht="11.25" customHeight="1">
      <c r="E247" s="921"/>
    </row>
    <row r="248" ht="11.25" customHeight="1">
      <c r="E248" s="921"/>
    </row>
    <row r="249" ht="11.25" customHeight="1">
      <c r="E249" s="921"/>
    </row>
    <row r="250" ht="11.25" customHeight="1">
      <c r="E250" s="921"/>
    </row>
    <row r="251" ht="11.25" customHeight="1">
      <c r="E251" s="921"/>
    </row>
    <row r="252" ht="11.25" customHeight="1">
      <c r="E252" s="921"/>
    </row>
    <row r="253" ht="11.25" customHeight="1">
      <c r="E253" s="921"/>
    </row>
    <row r="254" ht="11.25" customHeight="1">
      <c r="E254" s="921"/>
    </row>
    <row r="255" ht="11.25" customHeight="1">
      <c r="E255" s="921"/>
    </row>
    <row r="256" ht="11.25" customHeight="1">
      <c r="E256" s="921"/>
    </row>
    <row r="257" ht="11.25" customHeight="1">
      <c r="E257" s="921"/>
    </row>
    <row r="258" ht="11.25" customHeight="1">
      <c r="E258" s="921"/>
    </row>
    <row r="259" ht="11.25" customHeight="1">
      <c r="E259" s="921"/>
    </row>
    <row r="260" ht="11.25" customHeight="1">
      <c r="E260" s="921"/>
    </row>
    <row r="261" ht="11.25" customHeight="1">
      <c r="E261" s="921"/>
    </row>
    <row r="262" ht="11.25" customHeight="1">
      <c r="E262" s="921"/>
    </row>
    <row r="263" ht="11.25" customHeight="1">
      <c r="E263" s="921"/>
    </row>
    <row r="264" ht="11.25" customHeight="1">
      <c r="E264" s="921"/>
    </row>
    <row r="265" ht="11.25" customHeight="1">
      <c r="E265" s="921"/>
    </row>
    <row r="266" ht="11.25" customHeight="1">
      <c r="E266" s="921"/>
    </row>
    <row r="267" ht="11.25" customHeight="1">
      <c r="E267" s="921"/>
    </row>
    <row r="268" ht="11.25" customHeight="1">
      <c r="E268" s="921"/>
    </row>
    <row r="269" ht="11.25" customHeight="1">
      <c r="E269" s="921"/>
    </row>
    <row r="270" ht="11.25" customHeight="1">
      <c r="E270" s="921"/>
    </row>
    <row r="271" ht="11.25" customHeight="1">
      <c r="E271" s="921"/>
    </row>
    <row r="272" ht="11.25" customHeight="1">
      <c r="E272" s="921"/>
    </row>
    <row r="273" ht="11.25" customHeight="1">
      <c r="E273" s="921"/>
    </row>
    <row r="274" ht="11.25" customHeight="1">
      <c r="E274" s="921"/>
    </row>
    <row r="275" ht="11.25" customHeight="1">
      <c r="E275" s="921"/>
    </row>
    <row r="276" ht="11.25" customHeight="1">
      <c r="E276" s="921"/>
    </row>
    <row r="277" ht="11.25" customHeight="1">
      <c r="E277" s="921"/>
    </row>
    <row r="278" ht="11.25" customHeight="1">
      <c r="E278" s="921"/>
    </row>
    <row r="279" ht="11.25" customHeight="1">
      <c r="E279" s="921"/>
    </row>
    <row r="280" ht="11.25" customHeight="1">
      <c r="E280" s="921"/>
    </row>
    <row r="281" ht="11.25" customHeight="1">
      <c r="E281" s="921"/>
    </row>
    <row r="282" ht="11.25" customHeight="1">
      <c r="E282" s="921"/>
    </row>
    <row r="283" ht="11.25" customHeight="1">
      <c r="E283" s="921"/>
    </row>
    <row r="284" ht="11.25" customHeight="1">
      <c r="E284" s="921"/>
    </row>
    <row r="285" ht="11.25" customHeight="1">
      <c r="E285" s="921"/>
    </row>
    <row r="286" ht="11.25" customHeight="1">
      <c r="E286" s="921"/>
    </row>
    <row r="287" ht="11.25" customHeight="1">
      <c r="E287" s="921"/>
    </row>
    <row r="288" ht="11.25" customHeight="1">
      <c r="E288" s="921"/>
    </row>
    <row r="289" ht="11.25" customHeight="1">
      <c r="E289" s="921"/>
    </row>
    <row r="290" ht="11.25" customHeight="1">
      <c r="E290" s="921"/>
    </row>
    <row r="291" ht="11.25" customHeight="1">
      <c r="E291" s="921"/>
    </row>
    <row r="292" ht="11.25" customHeight="1">
      <c r="E292" s="921"/>
    </row>
    <row r="293" ht="11.25" customHeight="1">
      <c r="E293" s="921"/>
    </row>
    <row r="294" ht="11.25" customHeight="1">
      <c r="E294" s="921"/>
    </row>
    <row r="295" ht="11.25" customHeight="1">
      <c r="E295" s="921"/>
    </row>
    <row r="296" ht="11.25" customHeight="1">
      <c r="E296" s="921"/>
    </row>
    <row r="297" ht="11.25" customHeight="1">
      <c r="E297" s="921"/>
    </row>
    <row r="298" ht="11.25" customHeight="1">
      <c r="E298" s="921"/>
    </row>
    <row r="299" ht="11.25" customHeight="1">
      <c r="E299" s="921"/>
    </row>
    <row r="300" ht="11.25" customHeight="1">
      <c r="E300" s="921"/>
    </row>
    <row r="301" ht="11.25" customHeight="1">
      <c r="E301" s="921"/>
    </row>
    <row r="302" ht="11.25" customHeight="1">
      <c r="E302" s="921"/>
    </row>
    <row r="303" ht="11.25" customHeight="1">
      <c r="E303" s="921"/>
    </row>
    <row r="304" ht="11.25" customHeight="1">
      <c r="E304" s="921"/>
    </row>
    <row r="305" ht="11.25" customHeight="1">
      <c r="E305" s="921"/>
    </row>
    <row r="306" ht="11.25" customHeight="1">
      <c r="E306" s="921"/>
    </row>
    <row r="307" ht="11.25" customHeight="1">
      <c r="E307" s="921"/>
    </row>
    <row r="308" ht="11.25" customHeight="1">
      <c r="E308" s="921"/>
    </row>
    <row r="309" ht="11.25" customHeight="1">
      <c r="E309" s="921"/>
    </row>
    <row r="310" ht="11.25" customHeight="1">
      <c r="E310" s="921"/>
    </row>
    <row r="311" ht="11.25" customHeight="1">
      <c r="E311" s="921"/>
    </row>
    <row r="312" ht="11.25" customHeight="1">
      <c r="E312" s="921"/>
    </row>
    <row r="313" ht="11.25" customHeight="1">
      <c r="E313" s="921"/>
    </row>
    <row r="314" ht="11.25" customHeight="1">
      <c r="E314" s="921"/>
    </row>
    <row r="315" ht="11.25" customHeight="1">
      <c r="E315" s="921"/>
    </row>
    <row r="316" ht="11.25" customHeight="1">
      <c r="E316" s="921"/>
    </row>
    <row r="317" ht="11.25" customHeight="1">
      <c r="E317" s="921"/>
    </row>
    <row r="318" ht="11.25" customHeight="1">
      <c r="E318" s="921"/>
    </row>
    <row r="319" ht="11.25" customHeight="1">
      <c r="E319" s="921"/>
    </row>
    <row r="320" ht="11.25" customHeight="1">
      <c r="E320" s="921"/>
    </row>
    <row r="321" ht="11.25" customHeight="1">
      <c r="E321" s="921"/>
    </row>
    <row r="322" ht="11.25" customHeight="1">
      <c r="E322" s="921"/>
    </row>
    <row r="323" ht="11.25" customHeight="1">
      <c r="E323" s="921"/>
    </row>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sheetData>
  <printOptions/>
  <pageMargins left="0.75" right="0.75" top="1.25" bottom="0.34" header="0.5" footer="0.5"/>
  <pageSetup horizontalDpi="600" verticalDpi="600" orientation="portrait" r:id="rId1"/>
  <headerFooter alignWithMargins="0">
    <oddHeader>&amp;RDocket UG-06___
WP JTS-9
Sch  4 of 7
Page &amp;P of &amp;N
</oddHeader>
  </headerFooter>
</worksheet>
</file>

<file path=xl/worksheets/sheet44.xml><?xml version="1.0" encoding="utf-8"?>
<worksheet xmlns="http://schemas.openxmlformats.org/spreadsheetml/2006/main" xmlns:r="http://schemas.openxmlformats.org/officeDocument/2006/relationships">
  <dimension ref="A1:F29"/>
  <sheetViews>
    <sheetView workbookViewId="0" topLeftCell="A1">
      <selection activeCell="G32" sqref="G32"/>
    </sheetView>
  </sheetViews>
  <sheetFormatPr defaultColWidth="9.33203125" defaultRowHeight="11.25"/>
  <cols>
    <col min="1" max="1" width="9.5" style="138" bestFit="1" customWidth="1"/>
    <col min="2" max="2" width="69.83203125" style="0" customWidth="1"/>
    <col min="3" max="3" width="16.83203125" style="0" customWidth="1"/>
    <col min="4" max="4" width="15.83203125" style="0" customWidth="1"/>
    <col min="5" max="5" width="14.83203125" style="0" customWidth="1"/>
    <col min="6" max="6" width="12.33203125" style="0" customWidth="1"/>
  </cols>
  <sheetData>
    <row r="1" ht="15.75">
      <c r="C1" s="37" t="s">
        <v>384</v>
      </c>
    </row>
    <row r="2" ht="15.75">
      <c r="C2" s="37" t="s">
        <v>86</v>
      </c>
    </row>
    <row r="3" ht="15.75">
      <c r="C3" s="37" t="s">
        <v>863</v>
      </c>
    </row>
    <row r="4" ht="15.75">
      <c r="C4" s="37" t="s">
        <v>1145</v>
      </c>
    </row>
    <row r="6" spans="1:6" ht="15.75">
      <c r="A6" s="1337" t="s">
        <v>658</v>
      </c>
      <c r="B6" s="1338"/>
      <c r="C6" s="1338"/>
      <c r="D6" s="1339"/>
      <c r="E6" s="275"/>
      <c r="F6" s="275"/>
    </row>
    <row r="7" spans="1:6" ht="18.75">
      <c r="A7" s="1340" t="s">
        <v>864</v>
      </c>
      <c r="B7" s="1341"/>
      <c r="C7" s="1341"/>
      <c r="D7" s="1342"/>
      <c r="E7" s="924"/>
      <c r="F7" s="924"/>
    </row>
    <row r="8" spans="1:6" ht="15.75">
      <c r="A8" s="1329" t="s">
        <v>659</v>
      </c>
      <c r="B8" s="1330"/>
      <c r="C8" s="1330"/>
      <c r="D8" s="1331"/>
      <c r="E8" s="275"/>
      <c r="F8" s="275"/>
    </row>
    <row r="9" spans="1:6" ht="11.25">
      <c r="A9" s="326" t="s">
        <v>377</v>
      </c>
      <c r="B9" s="326" t="s">
        <v>1007</v>
      </c>
      <c r="C9" s="181" t="s">
        <v>865</v>
      </c>
      <c r="D9" s="872" t="s">
        <v>1280</v>
      </c>
      <c r="E9" s="751"/>
      <c r="F9" s="751"/>
    </row>
    <row r="10" spans="1:6" ht="11.25">
      <c r="A10" s="134"/>
      <c r="B10" s="132"/>
      <c r="C10" s="129"/>
      <c r="D10" s="129"/>
      <c r="E10" s="143"/>
      <c r="F10" s="143"/>
    </row>
    <row r="11" spans="1:6" ht="11.25">
      <c r="A11" s="134">
        <v>1</v>
      </c>
      <c r="B11" s="132" t="s">
        <v>869</v>
      </c>
      <c r="C11" s="925">
        <v>7</v>
      </c>
      <c r="D11" s="925">
        <v>14</v>
      </c>
      <c r="E11" s="143"/>
      <c r="F11" s="143"/>
    </row>
    <row r="12" spans="1:6" ht="11.25">
      <c r="A12" s="134"/>
      <c r="B12" s="132"/>
      <c r="C12" s="132"/>
      <c r="D12" s="132"/>
      <c r="E12" s="143"/>
      <c r="F12" s="143"/>
    </row>
    <row r="13" spans="1:6" ht="11.25">
      <c r="A13" s="134"/>
      <c r="B13" s="132" t="s">
        <v>866</v>
      </c>
      <c r="C13" s="132"/>
      <c r="D13" s="132"/>
      <c r="E13" s="143"/>
      <c r="F13" s="143"/>
    </row>
    <row r="14" spans="1:6" ht="11.25">
      <c r="A14" s="134">
        <v>2</v>
      </c>
      <c r="B14" s="132" t="s">
        <v>867</v>
      </c>
      <c r="C14" s="925">
        <v>4</v>
      </c>
      <c r="D14" s="925">
        <v>10</v>
      </c>
      <c r="E14" s="219"/>
      <c r="F14" s="219"/>
    </row>
    <row r="15" spans="1:6" ht="11.25">
      <c r="A15" s="134">
        <v>3</v>
      </c>
      <c r="B15" s="132" t="s">
        <v>868</v>
      </c>
      <c r="C15" s="925">
        <v>4</v>
      </c>
      <c r="D15" s="925">
        <v>4</v>
      </c>
      <c r="E15" s="143"/>
      <c r="F15" s="143"/>
    </row>
    <row r="16" spans="1:6" ht="11.25">
      <c r="A16" s="134"/>
      <c r="B16" s="132"/>
      <c r="C16" s="925"/>
      <c r="D16" s="925"/>
      <c r="E16" s="143"/>
      <c r="F16" s="143"/>
    </row>
    <row r="17" spans="1:6" ht="11.25">
      <c r="A17" s="134">
        <v>4</v>
      </c>
      <c r="B17" s="132" t="s">
        <v>870</v>
      </c>
      <c r="C17" s="925">
        <v>7</v>
      </c>
      <c r="D17" s="925">
        <v>14</v>
      </c>
      <c r="E17" s="219"/>
      <c r="F17" s="219"/>
    </row>
    <row r="18" spans="1:6" ht="11.25">
      <c r="A18" s="134"/>
      <c r="B18" s="132"/>
      <c r="C18" s="925"/>
      <c r="D18" s="925"/>
      <c r="E18" s="143"/>
      <c r="F18" s="143"/>
    </row>
    <row r="19" spans="1:6" ht="11.25">
      <c r="A19" s="134">
        <v>5</v>
      </c>
      <c r="B19" s="132" t="s">
        <v>871</v>
      </c>
      <c r="C19" s="925">
        <v>12</v>
      </c>
      <c r="D19" s="925">
        <v>24</v>
      </c>
      <c r="E19" s="218"/>
      <c r="F19" s="218"/>
    </row>
    <row r="20" spans="1:6" ht="11.25">
      <c r="A20" s="134"/>
      <c r="B20" s="132"/>
      <c r="C20" s="925"/>
      <c r="D20" s="925"/>
      <c r="E20" s="143"/>
      <c r="F20" s="143"/>
    </row>
    <row r="21" spans="1:6" ht="11.25">
      <c r="A21" s="134">
        <v>6</v>
      </c>
      <c r="B21" s="132" t="s">
        <v>872</v>
      </c>
      <c r="C21" s="925">
        <v>22</v>
      </c>
      <c r="D21" s="925">
        <v>44</v>
      </c>
      <c r="E21" s="218"/>
      <c r="F21" s="218"/>
    </row>
    <row r="22" spans="1:6" ht="11.25">
      <c r="A22" s="134"/>
      <c r="B22" s="132"/>
      <c r="C22" s="925"/>
      <c r="D22" s="925"/>
      <c r="E22" s="143"/>
      <c r="F22" s="143"/>
    </row>
    <row r="23" spans="1:6" ht="11.25">
      <c r="A23" s="134">
        <v>7</v>
      </c>
      <c r="B23" s="132" t="s">
        <v>873</v>
      </c>
      <c r="C23" s="925">
        <v>7</v>
      </c>
      <c r="D23" s="925">
        <v>14</v>
      </c>
      <c r="E23" s="250"/>
      <c r="F23" s="250"/>
    </row>
    <row r="24" spans="1:6" ht="11.25">
      <c r="A24" s="134"/>
      <c r="B24" s="132"/>
      <c r="C24" s="925"/>
      <c r="D24" s="925"/>
      <c r="E24" s="250"/>
      <c r="F24" s="250"/>
    </row>
    <row r="25" spans="1:6" ht="11.25">
      <c r="A25" s="134">
        <v>8</v>
      </c>
      <c r="B25" s="132" t="s">
        <v>874</v>
      </c>
      <c r="C25" s="925">
        <v>22</v>
      </c>
      <c r="D25" s="925">
        <v>44</v>
      </c>
      <c r="E25" s="250"/>
      <c r="F25" s="250"/>
    </row>
    <row r="26" spans="1:6" ht="11.25">
      <c r="A26" s="134"/>
      <c r="B26" s="132"/>
      <c r="C26" s="925"/>
      <c r="D26" s="925"/>
      <c r="E26" s="143"/>
      <c r="F26" s="143"/>
    </row>
    <row r="27" spans="1:6" ht="11.25">
      <c r="A27" s="134">
        <v>9</v>
      </c>
      <c r="B27" s="132" t="s">
        <v>875</v>
      </c>
      <c r="C27" s="925">
        <v>22</v>
      </c>
      <c r="D27" s="925">
        <v>44</v>
      </c>
      <c r="E27" s="219"/>
      <c r="F27" s="219"/>
    </row>
    <row r="28" spans="1:6" ht="11.25">
      <c r="A28" s="134"/>
      <c r="B28" s="132"/>
      <c r="C28" s="925"/>
      <c r="D28" s="925"/>
      <c r="E28" s="143"/>
      <c r="F28" s="143"/>
    </row>
    <row r="29" spans="1:6" ht="11.25">
      <c r="A29" s="135"/>
      <c r="B29" s="118"/>
      <c r="C29" s="118"/>
      <c r="D29" s="118"/>
      <c r="E29" s="143"/>
      <c r="F29" s="143"/>
    </row>
  </sheetData>
  <mergeCells count="3">
    <mergeCell ref="A6:D6"/>
    <mergeCell ref="A7:D7"/>
    <mergeCell ref="A8:D8"/>
  </mergeCells>
  <printOptions/>
  <pageMargins left="1.25" right="0.38" top="0.36" bottom="1" header="0.5" footer="0.5"/>
  <pageSetup horizontalDpi="600" verticalDpi="600" orientation="portrait" r:id="rId1"/>
</worksheet>
</file>

<file path=xl/worksheets/sheet45.xml><?xml version="1.0" encoding="utf-8"?>
<worksheet xmlns="http://schemas.openxmlformats.org/spreadsheetml/2006/main" xmlns:r="http://schemas.openxmlformats.org/officeDocument/2006/relationships">
  <sheetPr>
    <pageSetUpPr fitToPage="1"/>
  </sheetPr>
  <dimension ref="A1:M47"/>
  <sheetViews>
    <sheetView showGridLines="0" zoomScale="75" zoomScaleNormal="75" workbookViewId="0" topLeftCell="A1">
      <selection activeCell="G32" sqref="G32"/>
    </sheetView>
  </sheetViews>
  <sheetFormatPr defaultColWidth="9.33203125" defaultRowHeight="11.25"/>
  <cols>
    <col min="2" max="2" width="27.33203125" style="0" customWidth="1"/>
    <col min="3" max="3" width="9.5" style="0" bestFit="1" customWidth="1"/>
    <col min="4" max="4" width="16.16015625" style="0" customWidth="1"/>
    <col min="5" max="5" width="2.33203125" style="0" customWidth="1"/>
    <col min="6" max="6" width="18.16015625" style="0" customWidth="1"/>
    <col min="7" max="7" width="16.16015625" style="0" customWidth="1"/>
    <col min="8" max="8" width="18.66015625" style="0" customWidth="1"/>
    <col min="9" max="9" width="12.83203125" style="0" bestFit="1" customWidth="1"/>
    <col min="10" max="10" width="25.33203125" style="0" customWidth="1"/>
    <col min="12" max="12" width="16.83203125" style="0" customWidth="1"/>
  </cols>
  <sheetData>
    <row r="1" ht="15.75">
      <c r="H1" s="37" t="s">
        <v>384</v>
      </c>
    </row>
    <row r="2" ht="15.75">
      <c r="H2" s="37" t="s">
        <v>86</v>
      </c>
    </row>
    <row r="3" ht="15.75">
      <c r="H3" s="37" t="s">
        <v>877</v>
      </c>
    </row>
    <row r="4" ht="15.75">
      <c r="H4" s="37" t="s">
        <v>878</v>
      </c>
    </row>
    <row r="5" ht="15.75">
      <c r="G5" s="37"/>
    </row>
    <row r="6" spans="1:9" ht="15.75">
      <c r="A6" s="1243" t="s">
        <v>658</v>
      </c>
      <c r="B6" s="1244"/>
      <c r="C6" s="1244"/>
      <c r="D6" s="1244"/>
      <c r="E6" s="1244"/>
      <c r="F6" s="1244"/>
      <c r="G6" s="1244"/>
      <c r="H6" s="1244"/>
      <c r="I6" s="1245"/>
    </row>
    <row r="7" spans="1:9" ht="20.25">
      <c r="A7" s="1252" t="s">
        <v>879</v>
      </c>
      <c r="B7" s="1253"/>
      <c r="C7" s="1253"/>
      <c r="D7" s="1253"/>
      <c r="E7" s="1253"/>
      <c r="F7" s="1253"/>
      <c r="G7" s="1253"/>
      <c r="H7" s="1253"/>
      <c r="I7" s="1254"/>
    </row>
    <row r="8" spans="1:9" ht="15.75">
      <c r="A8" s="1249" t="s">
        <v>659</v>
      </c>
      <c r="B8" s="1250"/>
      <c r="C8" s="1250"/>
      <c r="D8" s="1250"/>
      <c r="E8" s="1250"/>
      <c r="F8" s="1250"/>
      <c r="G8" s="1250"/>
      <c r="H8" s="1250"/>
      <c r="I8" s="1251"/>
    </row>
    <row r="9" spans="1:9" ht="11.25">
      <c r="A9" s="20"/>
      <c r="B9" s="20"/>
      <c r="C9" s="20"/>
      <c r="D9" s="15"/>
      <c r="E9" s="15"/>
      <c r="F9" s="22" t="s">
        <v>1273</v>
      </c>
      <c r="G9" s="213" t="s">
        <v>1275</v>
      </c>
      <c r="H9" s="213"/>
      <c r="I9" s="22" t="s">
        <v>1509</v>
      </c>
    </row>
    <row r="10" spans="1:9" ht="11.25">
      <c r="A10" s="23" t="s">
        <v>1000</v>
      </c>
      <c r="B10" s="20"/>
      <c r="C10" s="23" t="s">
        <v>1277</v>
      </c>
      <c r="D10" s="22" t="s">
        <v>1273</v>
      </c>
      <c r="E10" s="22"/>
      <c r="F10" s="22" t="s">
        <v>1479</v>
      </c>
      <c r="G10" s="213" t="s">
        <v>880</v>
      </c>
      <c r="H10" s="213" t="s">
        <v>997</v>
      </c>
      <c r="I10" s="22" t="s">
        <v>1278</v>
      </c>
    </row>
    <row r="11" spans="1:9" ht="11.25">
      <c r="A11" s="24" t="s">
        <v>1006</v>
      </c>
      <c r="B11" s="24" t="s">
        <v>1007</v>
      </c>
      <c r="C11" s="24" t="s">
        <v>1281</v>
      </c>
      <c r="D11" s="25" t="s">
        <v>1282</v>
      </c>
      <c r="E11" s="25"/>
      <c r="F11" s="24" t="s">
        <v>34</v>
      </c>
      <c r="G11" s="214" t="s">
        <v>1283</v>
      </c>
      <c r="H11" s="214" t="s">
        <v>995</v>
      </c>
      <c r="I11" s="25" t="s">
        <v>1473</v>
      </c>
    </row>
    <row r="12" spans="1:9" ht="11.25">
      <c r="A12" s="26"/>
      <c r="B12" s="27" t="s">
        <v>1012</v>
      </c>
      <c r="C12" s="27" t="s">
        <v>1013</v>
      </c>
      <c r="D12" s="28" t="s">
        <v>1014</v>
      </c>
      <c r="E12" s="19"/>
      <c r="F12" s="28" t="s">
        <v>1074</v>
      </c>
      <c r="G12" s="212" t="s">
        <v>1016</v>
      </c>
      <c r="H12" s="212" t="s">
        <v>1075</v>
      </c>
      <c r="I12" s="215" t="s">
        <v>1018</v>
      </c>
    </row>
    <row r="13" spans="1:9" ht="11.25">
      <c r="A13" s="136"/>
      <c r="B13" s="30" t="s">
        <v>1285</v>
      </c>
      <c r="C13" s="18"/>
      <c r="D13" s="165"/>
      <c r="E13" s="129"/>
      <c r="F13" s="197"/>
      <c r="G13" s="228"/>
      <c r="H13" s="909"/>
      <c r="I13" s="198"/>
    </row>
    <row r="14" spans="1:13" ht="17.25">
      <c r="A14" s="23" t="s">
        <v>1286</v>
      </c>
      <c r="B14" s="31" t="s">
        <v>1289</v>
      </c>
      <c r="C14" s="1021" t="s">
        <v>1290</v>
      </c>
      <c r="D14" s="1033">
        <f>+'JTS-9 S3 WP1'!F17</f>
        <v>104985486</v>
      </c>
      <c r="E14" s="1034"/>
      <c r="F14" s="1035">
        <f>+'JTS-9 S3 WP1'!AH16</f>
        <v>127437286.28</v>
      </c>
      <c r="G14" s="1037">
        <f>+'JTS-9 S3 P2'!H14</f>
        <v>9582301.858321857</v>
      </c>
      <c r="H14" s="1038">
        <f>+G14+F14</f>
        <v>137019588.13832185</v>
      </c>
      <c r="I14" s="1067">
        <f>+G14/F14</f>
        <v>0.07519229370019709</v>
      </c>
      <c r="L14" s="220">
        <v>5290008</v>
      </c>
      <c r="M14" t="s">
        <v>894</v>
      </c>
    </row>
    <row r="15" spans="1:13" ht="17.25">
      <c r="A15" s="23" t="s">
        <v>1288</v>
      </c>
      <c r="B15" s="31" t="s">
        <v>1292</v>
      </c>
      <c r="C15" s="93"/>
      <c r="D15" s="952">
        <f>+D14</f>
        <v>104985486</v>
      </c>
      <c r="E15" s="1039"/>
      <c r="F15" s="1040">
        <f>+F14</f>
        <v>127437286.28</v>
      </c>
      <c r="G15" s="1041">
        <f>+G14</f>
        <v>9582301.858321857</v>
      </c>
      <c r="H15" s="1042">
        <f>+H14</f>
        <v>137019588.13832185</v>
      </c>
      <c r="I15" s="1068"/>
      <c r="L15">
        <f>+G14</f>
        <v>9582301.858321857</v>
      </c>
      <c r="M15" t="s">
        <v>895</v>
      </c>
    </row>
    <row r="16" spans="1:13" ht="15">
      <c r="A16" s="23"/>
      <c r="B16" s="33" t="s">
        <v>1293</v>
      </c>
      <c r="C16" s="93"/>
      <c r="D16" s="943"/>
      <c r="E16" s="1034"/>
      <c r="F16" s="950"/>
      <c r="G16" s="1034"/>
      <c r="H16" s="943"/>
      <c r="I16" s="1069"/>
      <c r="L16">
        <f>+L15-L14</f>
        <v>4292293.858321857</v>
      </c>
      <c r="M16" t="s">
        <v>896</v>
      </c>
    </row>
    <row r="17" spans="1:13" ht="15">
      <c r="A17" s="23" t="s">
        <v>1291</v>
      </c>
      <c r="B17" s="31" t="s">
        <v>1295</v>
      </c>
      <c r="C17" s="1021" t="s">
        <v>1296</v>
      </c>
      <c r="D17" s="943">
        <f>+'JTS-9 S3 WP1'!D16+'JTS-9 S3 WP1'!D22</f>
        <v>1431475</v>
      </c>
      <c r="E17" s="1034"/>
      <c r="F17" s="945">
        <f>+'JTS-9 S3 WP1'!AH19</f>
        <v>1672956.21</v>
      </c>
      <c r="G17" s="980">
        <f>+'JTS-9 S3 P2'!H17</f>
        <v>-55988.619455492895</v>
      </c>
      <c r="H17" s="946">
        <f>+G17+F17</f>
        <v>1616967.5905445071</v>
      </c>
      <c r="I17" s="1067">
        <f>+G17/F17</f>
        <v>-0.03346687684998814</v>
      </c>
      <c r="L17" s="121">
        <f>+L16/D14</f>
        <v>0.04088464055233174</v>
      </c>
      <c r="M17" t="s">
        <v>897</v>
      </c>
    </row>
    <row r="18" spans="1:13" ht="17.25">
      <c r="A18" s="23" t="s">
        <v>1294</v>
      </c>
      <c r="B18" s="31" t="s">
        <v>1298</v>
      </c>
      <c r="C18" s="1021" t="s">
        <v>1299</v>
      </c>
      <c r="D18" s="1033">
        <f>+'JTS-9 S3 WP1'!F19+'JTS-9 S3 WP1'!F26</f>
        <v>161724</v>
      </c>
      <c r="E18" s="1034"/>
      <c r="F18" s="1043">
        <f>+'JTS-9 S3 WP1'!AH20</f>
        <v>186813.71</v>
      </c>
      <c r="G18" s="1044">
        <f>+'JTS-9 S3 P2'!H18</f>
        <v>15275.173794004626</v>
      </c>
      <c r="H18" s="1033">
        <f>+G18+F18</f>
        <v>202088.88379400462</v>
      </c>
      <c r="I18" s="1067">
        <f>+G18/F18</f>
        <v>0.08176687778431586</v>
      </c>
      <c r="L18" s="121">
        <v>1.146</v>
      </c>
      <c r="M18" t="s">
        <v>898</v>
      </c>
    </row>
    <row r="19" spans="1:13" ht="17.25">
      <c r="A19" s="23" t="s">
        <v>1297</v>
      </c>
      <c r="B19" s="31" t="s">
        <v>1292</v>
      </c>
      <c r="C19" s="93"/>
      <c r="D19" s="952">
        <f>D18+D17</f>
        <v>1593199</v>
      </c>
      <c r="E19" s="1039"/>
      <c r="F19" s="1040">
        <f>F18+F17</f>
        <v>1859769.92</v>
      </c>
      <c r="G19" s="1041">
        <f>G17+G18</f>
        <v>-40713.445661488266</v>
      </c>
      <c r="H19" s="1042">
        <f>H17+H18</f>
        <v>1819056.4743385117</v>
      </c>
      <c r="I19" s="1067"/>
      <c r="L19" s="121">
        <f>+L18+L17</f>
        <v>1.1868846405523317</v>
      </c>
      <c r="M19" t="s">
        <v>899</v>
      </c>
    </row>
    <row r="20" spans="1:9" ht="15">
      <c r="A20" s="23"/>
      <c r="B20" s="33" t="s">
        <v>1301</v>
      </c>
      <c r="C20" s="93"/>
      <c r="D20" s="943"/>
      <c r="E20" s="1034"/>
      <c r="F20" s="950"/>
      <c r="G20" s="1034"/>
      <c r="H20" s="943"/>
      <c r="I20" s="1067"/>
    </row>
    <row r="21" spans="1:13" ht="17.25">
      <c r="A21" s="23" t="s">
        <v>1300</v>
      </c>
      <c r="B21" s="31" t="s">
        <v>1287</v>
      </c>
      <c r="C21" s="1021" t="s">
        <v>1303</v>
      </c>
      <c r="D21" s="943">
        <f>+'JTS-9 S3 WP1'!F23</f>
        <v>77620374</v>
      </c>
      <c r="E21" s="1034"/>
      <c r="F21" s="1035">
        <f>+'JTS-9 S3 WP1'!AH23</f>
        <v>88193009.18096</v>
      </c>
      <c r="G21" s="1037">
        <f>+'JTS-9 S3 P2'!H21</f>
        <v>3135858.179500352</v>
      </c>
      <c r="H21" s="1038">
        <f>+G21+F21</f>
        <v>91328867.36046036</v>
      </c>
      <c r="I21" s="1067">
        <f>+G21/F21</f>
        <v>0.03555676587773527</v>
      </c>
      <c r="L21" s="220">
        <f>7*264618</f>
        <v>1852326</v>
      </c>
      <c r="M21" t="s">
        <v>894</v>
      </c>
    </row>
    <row r="22" spans="1:13" ht="17.25">
      <c r="A22" s="23" t="s">
        <v>1302</v>
      </c>
      <c r="B22" s="31" t="s">
        <v>1292</v>
      </c>
      <c r="C22" s="93"/>
      <c r="D22" s="952">
        <f>+D21</f>
        <v>77620374</v>
      </c>
      <c r="E22" s="1039"/>
      <c r="F22" s="1040">
        <f>+F21</f>
        <v>88193009.18096</v>
      </c>
      <c r="G22" s="1041">
        <f>+G21</f>
        <v>3135858.179500352</v>
      </c>
      <c r="H22" s="1042">
        <f>+H21</f>
        <v>91328867.36046036</v>
      </c>
      <c r="I22" s="1067"/>
      <c r="L22">
        <f>+G21-L21</f>
        <v>1283532.1795003521</v>
      </c>
      <c r="M22" t="s">
        <v>896</v>
      </c>
    </row>
    <row r="23" spans="1:13" ht="15">
      <c r="A23" s="23"/>
      <c r="B23" s="33" t="s">
        <v>1308</v>
      </c>
      <c r="C23" s="93"/>
      <c r="D23" s="943"/>
      <c r="E23" s="1034"/>
      <c r="F23" s="950"/>
      <c r="G23" s="1034"/>
      <c r="H23" s="943"/>
      <c r="I23" s="1067"/>
      <c r="L23" s="121">
        <f>+L22/D21</f>
        <v>0.016536021579854177</v>
      </c>
      <c r="M23" t="s">
        <v>897</v>
      </c>
    </row>
    <row r="24" spans="1:9" ht="15">
      <c r="A24" s="23" t="s">
        <v>1304</v>
      </c>
      <c r="B24" s="31" t="s">
        <v>1310</v>
      </c>
      <c r="C24" s="1021" t="s">
        <v>1311</v>
      </c>
      <c r="D24" s="943">
        <f>+'JTS-9 S3 WP1'!F24+'JTS-9 S3 WP1'!F30</f>
        <v>7829441</v>
      </c>
      <c r="E24" s="1034"/>
      <c r="F24" s="945">
        <f>+'JTS-9 S3 WP1'!AH26</f>
        <v>8143793.790000001</v>
      </c>
      <c r="G24" s="980">
        <f>+'JTS-9 S3 P2'!H24</f>
        <v>-491498.67656189227</v>
      </c>
      <c r="H24" s="946">
        <f>+G24+F24</f>
        <v>7652295.113438109</v>
      </c>
      <c r="I24" s="1067">
        <f>+G24/F24</f>
        <v>-0.060352544432720985</v>
      </c>
    </row>
    <row r="25" spans="1:13" ht="17.25">
      <c r="A25" s="23" t="s">
        <v>1307</v>
      </c>
      <c r="B25" s="31" t="s">
        <v>1305</v>
      </c>
      <c r="C25" s="1021" t="s">
        <v>1306</v>
      </c>
      <c r="D25" s="1033">
        <f>+'JTS-9 S3 WP1'!F25+'JTS-9 S3 WP1'!F31</f>
        <v>61296</v>
      </c>
      <c r="E25" s="1034"/>
      <c r="F25" s="1043">
        <f>+'JTS-9 S3 WP1'!AH27</f>
        <v>68720.84</v>
      </c>
      <c r="G25" s="1044">
        <f>+'JTS-9 S3 P2'!H25</f>
        <v>0</v>
      </c>
      <c r="H25" s="1033">
        <f>+G25+F25</f>
        <v>68720.84</v>
      </c>
      <c r="I25" s="1067">
        <f>+G25/F25</f>
        <v>0</v>
      </c>
      <c r="M25" t="s">
        <v>898</v>
      </c>
    </row>
    <row r="26" spans="1:13" ht="17.25">
      <c r="A26" s="23" t="s">
        <v>1309</v>
      </c>
      <c r="B26" s="31" t="s">
        <v>1292</v>
      </c>
      <c r="C26" s="93"/>
      <c r="D26" s="952">
        <f>+D25+D24</f>
        <v>7890737</v>
      </c>
      <c r="E26" s="1039"/>
      <c r="F26" s="1040">
        <f>+F25+F24</f>
        <v>8212514.630000001</v>
      </c>
      <c r="G26" s="1041">
        <f>G24</f>
        <v>-491498.67656189227</v>
      </c>
      <c r="H26" s="1042">
        <f>SUM(H24:H25)</f>
        <v>7721015.953438109</v>
      </c>
      <c r="I26" s="1067"/>
      <c r="M26" t="s">
        <v>899</v>
      </c>
    </row>
    <row r="27" spans="1:9" ht="15">
      <c r="A27" s="23"/>
      <c r="B27" s="33" t="s">
        <v>1313</v>
      </c>
      <c r="C27" s="93"/>
      <c r="D27" s="943"/>
      <c r="E27" s="1034"/>
      <c r="F27" s="950"/>
      <c r="G27" s="1034"/>
      <c r="H27" s="943"/>
      <c r="I27" s="1067"/>
    </row>
    <row r="28" spans="1:9" ht="17.25">
      <c r="A28" s="23" t="s">
        <v>1312</v>
      </c>
      <c r="B28" s="31" t="s">
        <v>1287</v>
      </c>
      <c r="C28" s="1021" t="s">
        <v>1315</v>
      </c>
      <c r="D28" s="1033">
        <f>+'JTS-9 S3 WP1'!F29</f>
        <v>10198314</v>
      </c>
      <c r="E28" s="1034"/>
      <c r="F28" s="1035">
        <f>+'JTS-9 S3 WP1'!AH30</f>
        <v>10814281.27</v>
      </c>
      <c r="G28" s="1037">
        <f>+'JTS-9 S3 P2'!H28</f>
        <v>465565.47975548013</v>
      </c>
      <c r="H28" s="1038">
        <f>+G28+F28</f>
        <v>11279846.74975548</v>
      </c>
      <c r="I28" s="1067">
        <f>+G28/F28</f>
        <v>0.0430509867583165</v>
      </c>
    </row>
    <row r="29" spans="1:9" ht="17.25">
      <c r="A29" s="23" t="s">
        <v>1314</v>
      </c>
      <c r="B29" s="31" t="s">
        <v>1292</v>
      </c>
      <c r="C29" s="93"/>
      <c r="D29" s="952">
        <f>D28</f>
        <v>10198314</v>
      </c>
      <c r="E29" s="1039"/>
      <c r="F29" s="1040">
        <f>F28</f>
        <v>10814281.27</v>
      </c>
      <c r="G29" s="1041">
        <f>G28</f>
        <v>465565.47975548013</v>
      </c>
      <c r="H29" s="1042">
        <f>H28</f>
        <v>11279846.74975548</v>
      </c>
      <c r="I29" s="1067"/>
    </row>
    <row r="30" spans="1:9" ht="15">
      <c r="A30" s="23"/>
      <c r="B30" s="33" t="s">
        <v>1317</v>
      </c>
      <c r="C30" s="93"/>
      <c r="D30" s="943"/>
      <c r="E30" s="1034"/>
      <c r="F30" s="950"/>
      <c r="G30" s="1034"/>
      <c r="H30" s="943"/>
      <c r="I30" s="1067"/>
    </row>
    <row r="31" spans="1:9" ht="15">
      <c r="A31" s="23" t="s">
        <v>1316</v>
      </c>
      <c r="B31" s="31" t="s">
        <v>46</v>
      </c>
      <c r="C31" s="1021" t="s">
        <v>1320</v>
      </c>
      <c r="D31" s="943">
        <f>+'JTS-9 S3 WP1'!F34+'JTS-9 S3 WP1'!F37</f>
        <v>3264164</v>
      </c>
      <c r="E31" s="1034"/>
      <c r="F31" s="945">
        <f>+'JTS-9 S3 WP1'!AH33</f>
        <v>3133656.1399999997</v>
      </c>
      <c r="G31" s="980">
        <f>+'JTS-9 S3 P2'!H31</f>
        <v>-31009.059602000965</v>
      </c>
      <c r="H31" s="946">
        <f>+G31+F31</f>
        <v>3102647.080397999</v>
      </c>
      <c r="I31" s="1067">
        <f>+G31/F31</f>
        <v>-0.009895488916662365</v>
      </c>
    </row>
    <row r="32" spans="1:9" ht="17.25">
      <c r="A32" s="23" t="s">
        <v>1318</v>
      </c>
      <c r="B32" s="31" t="s">
        <v>1322</v>
      </c>
      <c r="C32" s="1021" t="s">
        <v>1323</v>
      </c>
      <c r="D32" s="1033">
        <f>+'JTS-9 S3 WP1'!F38</f>
        <v>407759</v>
      </c>
      <c r="E32" s="1034"/>
      <c r="F32" s="1043">
        <f>+'JTS-9 S3 WP1'!AH34</f>
        <v>404807.55</v>
      </c>
      <c r="G32" s="1044">
        <f>+'JTS-9 S3 P2'!H32</f>
        <v>-13070.136516348744</v>
      </c>
      <c r="H32" s="1033">
        <f>+G32+F32</f>
        <v>391737.41348365124</v>
      </c>
      <c r="I32" s="1067">
        <f>+G32/F32</f>
        <v>-0.03228728445491875</v>
      </c>
    </row>
    <row r="33" spans="1:9" ht="17.25">
      <c r="A33" s="23" t="s">
        <v>1321</v>
      </c>
      <c r="B33" s="31" t="s">
        <v>1292</v>
      </c>
      <c r="C33" s="93"/>
      <c r="D33" s="952">
        <f>D32+D31</f>
        <v>3671923</v>
      </c>
      <c r="E33" s="1039"/>
      <c r="F33" s="1040">
        <f>F32+F31</f>
        <v>3538463.6899999995</v>
      </c>
      <c r="G33" s="1041">
        <f>SUM(G31:G32)</f>
        <v>-44079.19611834971</v>
      </c>
      <c r="H33" s="1042">
        <f>SUM(H31:H32)</f>
        <v>3494384.4938816503</v>
      </c>
      <c r="I33" s="1067"/>
    </row>
    <row r="34" spans="1:9" ht="16.5">
      <c r="A34" s="23" t="s">
        <v>1324</v>
      </c>
      <c r="B34" s="33" t="s">
        <v>1326</v>
      </c>
      <c r="C34" s="93"/>
      <c r="D34" s="962">
        <f>D33+D29+D26+D22+D19+D15</f>
        <v>205960033</v>
      </c>
      <c r="E34" s="1045"/>
      <c r="F34" s="1046">
        <f>F33+F29+F26+F22+F19+F15</f>
        <v>240055324.97096002</v>
      </c>
      <c r="G34" s="1047">
        <f>G33+G29+G26+G22+G19+G15</f>
        <v>12607434.199235959</v>
      </c>
      <c r="H34" s="1049">
        <f>H33+H29+H26+H22+H19+H15</f>
        <v>252662759.17019594</v>
      </c>
      <c r="I34" s="1067"/>
    </row>
    <row r="35" spans="1:9" ht="15">
      <c r="A35" s="23"/>
      <c r="B35" s="20"/>
      <c r="C35" s="93"/>
      <c r="D35" s="984"/>
      <c r="E35" s="629"/>
      <c r="F35" s="635"/>
      <c r="G35" s="629"/>
      <c r="H35" s="984"/>
      <c r="I35" s="1067"/>
    </row>
    <row r="36" spans="1:9" ht="15">
      <c r="A36" s="23"/>
      <c r="B36" s="33" t="s">
        <v>1327</v>
      </c>
      <c r="C36" s="93"/>
      <c r="D36" s="984"/>
      <c r="E36" s="629"/>
      <c r="F36" s="635"/>
      <c r="G36" s="629"/>
      <c r="H36" s="984"/>
      <c r="I36" s="1067"/>
    </row>
    <row r="37" spans="1:9" ht="15">
      <c r="A37" s="23" t="s">
        <v>1325</v>
      </c>
      <c r="B37" s="31" t="s">
        <v>1329</v>
      </c>
      <c r="C37" s="1021" t="s">
        <v>1330</v>
      </c>
      <c r="D37" s="943">
        <f>+'JTS-9 S3 WP1'!F46</f>
        <v>89352258</v>
      </c>
      <c r="E37" s="1034"/>
      <c r="F37" s="945">
        <f>+'JTS-9 S3 WP1'!AH39+'JTS-9 S3 WP1'!AC39</f>
        <v>8619619.542122565</v>
      </c>
      <c r="G37" s="1050">
        <f>+'JTS-9 S3 P2'!H37</f>
        <v>-3781073.0101049272</v>
      </c>
      <c r="H37" s="1051">
        <f>+G37+F37</f>
        <v>4838546.532017638</v>
      </c>
      <c r="I37" s="1067">
        <f>+G37/F37</f>
        <v>-0.43865892126995726</v>
      </c>
    </row>
    <row r="38" spans="1:9" ht="15">
      <c r="A38" s="23" t="s">
        <v>1328</v>
      </c>
      <c r="B38" s="31" t="s">
        <v>126</v>
      </c>
      <c r="C38" s="1021">
        <v>664</v>
      </c>
      <c r="D38" s="943">
        <f>+'JTS-9 S3 WP1'!F47</f>
        <v>155323148</v>
      </c>
      <c r="E38" s="1034"/>
      <c r="F38" s="950">
        <f>+'JTS-9 S3 WP1'!AH40+'JTS-9 S3 WP1'!AC40</f>
        <v>5922700.11</v>
      </c>
      <c r="G38" s="1034">
        <f>+'JTS-9 S3 P2'!H38</f>
        <v>1609983.1669295789</v>
      </c>
      <c r="H38" s="943">
        <f>+G38+F38</f>
        <v>7532683.27692958</v>
      </c>
      <c r="I38" s="1067">
        <f>+G38/F38</f>
        <v>0.27183263326320584</v>
      </c>
    </row>
    <row r="39" spans="1:9" ht="15">
      <c r="A39" s="23" t="s">
        <v>1331</v>
      </c>
      <c r="B39" s="31" t="s">
        <v>1332</v>
      </c>
      <c r="C39" s="1021" t="s">
        <v>1333</v>
      </c>
      <c r="D39" s="1052">
        <f>+'JTS-9 S3 WP1'!F48</f>
        <v>0</v>
      </c>
      <c r="E39" s="1034"/>
      <c r="F39" s="982">
        <f>+'JTS-9 S3 WP1'!AH41</f>
        <v>0</v>
      </c>
      <c r="G39" s="1034">
        <f>+'JTS-9 S3 P2'!H39</f>
        <v>0</v>
      </c>
      <c r="H39" s="943">
        <f>+G39+F39</f>
        <v>0</v>
      </c>
      <c r="I39" s="1067"/>
    </row>
    <row r="40" spans="1:9" ht="17.25">
      <c r="A40" s="23" t="s">
        <v>1334</v>
      </c>
      <c r="B40" s="31" t="s">
        <v>1335</v>
      </c>
      <c r="C40" s="1021" t="s">
        <v>1336</v>
      </c>
      <c r="D40" s="1033">
        <f>+'JTS-9 S3 WP1'!F49</f>
        <v>257718509</v>
      </c>
      <c r="E40" s="629"/>
      <c r="F40" s="1043">
        <f>+'JTS-9 S3 WP1'!AH42+'JTS-9 S3 WP1'!AC42</f>
        <v>5832166.85</v>
      </c>
      <c r="G40" s="1044">
        <f>+'JTS-9 S3 P2'!H40</f>
        <v>0</v>
      </c>
      <c r="H40" s="1033">
        <f>+G40+F40</f>
        <v>5832166.85</v>
      </c>
      <c r="I40" s="1067">
        <f>+G40/F40</f>
        <v>0</v>
      </c>
    </row>
    <row r="41" spans="1:9" ht="15">
      <c r="A41" s="23" t="s">
        <v>1337</v>
      </c>
      <c r="B41" s="31" t="s">
        <v>1345</v>
      </c>
      <c r="C41" s="93"/>
      <c r="D41" s="474"/>
      <c r="E41" s="1045"/>
      <c r="F41" s="474"/>
      <c r="G41" s="629"/>
      <c r="H41" s="474"/>
      <c r="I41" s="628"/>
    </row>
    <row r="42" spans="1:12" ht="17.25">
      <c r="A42" s="23" t="s">
        <v>1346</v>
      </c>
      <c r="B42" s="33" t="s">
        <v>1347</v>
      </c>
      <c r="C42" s="93"/>
      <c r="D42" s="962">
        <f>SUM(D37:D40)</f>
        <v>502393915</v>
      </c>
      <c r="E42" s="629"/>
      <c r="F42" s="1040">
        <f>SUM(F37:F40)</f>
        <v>20374486.502122566</v>
      </c>
      <c r="G42" s="1053">
        <f>SUM(G37:G40)</f>
        <v>-2171089.8431753484</v>
      </c>
      <c r="H42" s="1054">
        <f>SUM(H37:H40)</f>
        <v>18203396.658947214</v>
      </c>
      <c r="I42" s="1068"/>
      <c r="L42">
        <f>+G42/F42</f>
        <v>-0.1065592422635618</v>
      </c>
    </row>
    <row r="43" spans="1:9" ht="17.25">
      <c r="A43" s="137"/>
      <c r="B43" s="20"/>
      <c r="C43" s="93"/>
      <c r="D43" s="962"/>
      <c r="E43" s="629"/>
      <c r="F43" s="1040"/>
      <c r="G43" s="1053"/>
      <c r="H43" s="1054"/>
      <c r="I43" s="1068"/>
    </row>
    <row r="44" spans="1:9" ht="16.5">
      <c r="A44" s="23" t="s">
        <v>1348</v>
      </c>
      <c r="B44" s="33" t="s">
        <v>1349</v>
      </c>
      <c r="C44" s="93"/>
      <c r="D44" s="962">
        <f>D42+D34</f>
        <v>708353948</v>
      </c>
      <c r="E44" s="1045"/>
      <c r="F44" s="1046">
        <f>F42+F34</f>
        <v>260429811.4730826</v>
      </c>
      <c r="G44" s="1047">
        <f>G42+G34</f>
        <v>10436344.356060611</v>
      </c>
      <c r="H44" s="1049">
        <f>H42+H34</f>
        <v>270866155.82914317</v>
      </c>
      <c r="I44" s="1070"/>
    </row>
    <row r="45" spans="1:9" ht="15">
      <c r="A45" s="23"/>
      <c r="B45" s="31" t="s">
        <v>1009</v>
      </c>
      <c r="C45" s="93"/>
      <c r="D45" s="943"/>
      <c r="E45" s="1034"/>
      <c r="F45" s="950"/>
      <c r="G45" s="629"/>
      <c r="H45" s="984"/>
      <c r="I45" s="1069"/>
    </row>
    <row r="46" spans="1:9" ht="17.25">
      <c r="A46" s="23" t="s">
        <v>1350</v>
      </c>
      <c r="B46" s="156" t="s">
        <v>123</v>
      </c>
      <c r="C46" s="93"/>
      <c r="D46" s="1055"/>
      <c r="E46" s="1056"/>
      <c r="F46" s="1040">
        <f>+'JTS-9 S3 WP1'!R56</f>
        <v>9760691.47</v>
      </c>
      <c r="G46" s="1057">
        <f>+'MPP-5'!H31-'MPP-5'!F31</f>
        <v>1885720</v>
      </c>
      <c r="H46" s="1042">
        <f>+G46+F46</f>
        <v>11646411.47</v>
      </c>
      <c r="I46" s="1071"/>
    </row>
    <row r="47" spans="1:9" ht="16.5">
      <c r="A47" s="27">
        <v>25</v>
      </c>
      <c r="B47" s="142" t="s">
        <v>1352</v>
      </c>
      <c r="C47" s="1058"/>
      <c r="D47" s="1059">
        <f>+D44</f>
        <v>708353948</v>
      </c>
      <c r="E47" s="970"/>
      <c r="F47" s="1060">
        <f>+F46+F44</f>
        <v>270190502.94308263</v>
      </c>
      <c r="G47" s="1060">
        <f>+G46+G44</f>
        <v>12322064.356060611</v>
      </c>
      <c r="H47" s="1060">
        <f>+H46+H44</f>
        <v>282512567.2991432</v>
      </c>
      <c r="I47" s="1072">
        <f>+G47/F47</f>
        <v>0.045605097965476356</v>
      </c>
    </row>
  </sheetData>
  <mergeCells count="3">
    <mergeCell ref="A6:I6"/>
    <mergeCell ref="A7:I7"/>
    <mergeCell ref="A8:I8"/>
  </mergeCells>
  <printOptions/>
  <pageMargins left="1.09" right="0.26" top="0.38" bottom="0.18" header="0.25" footer="0.5"/>
  <pageSetup fitToHeight="1" fitToWidth="1" horizontalDpi="300" verticalDpi="300" orientation="portrait" scale="91" r:id="rId1"/>
</worksheet>
</file>

<file path=xl/worksheets/sheet46.xml><?xml version="1.0" encoding="utf-8"?>
<worksheet xmlns="http://schemas.openxmlformats.org/spreadsheetml/2006/main" xmlns:r="http://schemas.openxmlformats.org/officeDocument/2006/relationships">
  <dimension ref="A1:N38"/>
  <sheetViews>
    <sheetView showGridLines="0" workbookViewId="0" topLeftCell="C1">
      <selection activeCell="G32" sqref="G32"/>
    </sheetView>
  </sheetViews>
  <sheetFormatPr defaultColWidth="9.33203125" defaultRowHeight="11.25"/>
  <cols>
    <col min="2" max="2" width="35.16015625" style="0" customWidth="1"/>
    <col min="3" max="3" width="15" style="0" customWidth="1"/>
    <col min="4" max="4" width="15.5" style="0" customWidth="1"/>
    <col min="5" max="5" width="17.83203125" style="0" customWidth="1"/>
    <col min="6" max="6" width="19" style="0" customWidth="1"/>
    <col min="7" max="7" width="16.16015625" style="0" customWidth="1"/>
    <col min="8" max="8" width="18.16015625" style="0" customWidth="1"/>
  </cols>
  <sheetData>
    <row r="1" spans="1:13" ht="15.75">
      <c r="A1" s="141"/>
      <c r="B1" s="141"/>
      <c r="C1" s="141"/>
      <c r="D1" s="141"/>
      <c r="E1" s="141"/>
      <c r="F1" s="141"/>
      <c r="G1" s="105"/>
      <c r="H1" s="141"/>
      <c r="I1" s="141"/>
      <c r="J1" s="141"/>
      <c r="L1" s="141"/>
      <c r="M1" s="141"/>
    </row>
    <row r="2" spans="1:13" ht="15.75">
      <c r="A2" s="141"/>
      <c r="B2" s="141"/>
      <c r="C2" s="141"/>
      <c r="D2" s="141"/>
      <c r="E2" s="141"/>
      <c r="F2" s="141"/>
      <c r="G2" s="105"/>
      <c r="H2" s="141"/>
      <c r="I2" s="141"/>
      <c r="J2" s="141"/>
      <c r="L2" s="141"/>
      <c r="M2" s="141"/>
    </row>
    <row r="3" spans="1:13" ht="15.75">
      <c r="A3" s="141"/>
      <c r="B3" s="141"/>
      <c r="C3" s="141"/>
      <c r="D3" s="141"/>
      <c r="E3" s="141"/>
      <c r="F3" s="141"/>
      <c r="G3" s="105"/>
      <c r="H3" s="141"/>
      <c r="I3" s="141"/>
      <c r="J3" s="141"/>
      <c r="L3" s="141"/>
      <c r="M3" s="141"/>
    </row>
    <row r="4" spans="1:13" ht="15.75">
      <c r="A4" s="141"/>
      <c r="B4" s="141"/>
      <c r="C4" s="141"/>
      <c r="D4" s="141"/>
      <c r="E4" s="141"/>
      <c r="F4" s="141"/>
      <c r="G4" s="105"/>
      <c r="H4" s="141"/>
      <c r="I4" s="141"/>
      <c r="J4" s="141"/>
      <c r="L4" s="141"/>
      <c r="M4" s="141"/>
    </row>
    <row r="5" spans="1:13" ht="15.75">
      <c r="A5" s="81" t="s">
        <v>658</v>
      </c>
      <c r="B5" s="241"/>
      <c r="C5" s="241"/>
      <c r="D5" s="241"/>
      <c r="E5" s="241"/>
      <c r="F5" s="241"/>
      <c r="G5" s="241"/>
      <c r="H5" s="242"/>
      <c r="I5" s="141"/>
      <c r="J5" s="141"/>
      <c r="K5" s="141"/>
      <c r="L5" s="141"/>
      <c r="M5" s="141"/>
    </row>
    <row r="6" spans="1:13" ht="18.75">
      <c r="A6" s="86" t="s">
        <v>1464</v>
      </c>
      <c r="B6" s="243"/>
      <c r="C6" s="243"/>
      <c r="D6" s="243"/>
      <c r="E6" s="243"/>
      <c r="F6" s="243"/>
      <c r="G6" s="243"/>
      <c r="H6" s="244"/>
      <c r="I6" s="141"/>
      <c r="J6" s="141"/>
      <c r="K6" s="141"/>
      <c r="L6" s="141"/>
      <c r="M6" s="141"/>
    </row>
    <row r="7" spans="1:13" ht="15.75">
      <c r="A7" s="87" t="s">
        <v>659</v>
      </c>
      <c r="B7" s="245"/>
      <c r="C7" s="245"/>
      <c r="D7" s="245"/>
      <c r="E7" s="245"/>
      <c r="F7" s="245"/>
      <c r="G7" s="245"/>
      <c r="H7" s="246"/>
      <c r="I7" s="141"/>
      <c r="J7" s="141"/>
      <c r="K7" s="141"/>
      <c r="L7" s="141"/>
      <c r="M7" s="141"/>
    </row>
    <row r="8" spans="1:13" ht="15.75">
      <c r="A8" s="230" t="s">
        <v>1000</v>
      </c>
      <c r="B8" s="230"/>
      <c r="C8" s="230" t="s">
        <v>1277</v>
      </c>
      <c r="D8" s="230" t="s">
        <v>1465</v>
      </c>
      <c r="E8" s="230" t="s">
        <v>1466</v>
      </c>
      <c r="F8" s="230" t="s">
        <v>1466</v>
      </c>
      <c r="G8" s="230" t="s">
        <v>1467</v>
      </c>
      <c r="H8" s="230" t="s">
        <v>1468</v>
      </c>
      <c r="I8" s="229"/>
      <c r="J8" s="141"/>
      <c r="K8" s="141"/>
      <c r="L8" s="141"/>
      <c r="M8" s="141"/>
    </row>
    <row r="9" spans="1:13" ht="15.75">
      <c r="A9" s="231" t="s">
        <v>1006</v>
      </c>
      <c r="B9" s="231" t="s">
        <v>1469</v>
      </c>
      <c r="C9" s="231" t="s">
        <v>1281</v>
      </c>
      <c r="D9" s="231" t="s">
        <v>1470</v>
      </c>
      <c r="E9" s="231" t="s">
        <v>1471</v>
      </c>
      <c r="F9" s="231" t="s">
        <v>1472</v>
      </c>
      <c r="G9" s="231" t="s">
        <v>1473</v>
      </c>
      <c r="H9" s="231" t="s">
        <v>1473</v>
      </c>
      <c r="I9" s="229"/>
      <c r="J9" s="141"/>
      <c r="K9" s="141"/>
      <c r="L9" s="141"/>
      <c r="M9" s="141"/>
    </row>
    <row r="10" spans="1:13" ht="15.75">
      <c r="A10" s="233"/>
      <c r="B10" s="232" t="s">
        <v>1012</v>
      </c>
      <c r="C10" s="232" t="s">
        <v>1013</v>
      </c>
      <c r="D10" s="232" t="s">
        <v>1014</v>
      </c>
      <c r="E10" s="232" t="s">
        <v>1074</v>
      </c>
      <c r="F10" s="232" t="s">
        <v>1016</v>
      </c>
      <c r="G10" s="232" t="s">
        <v>1075</v>
      </c>
      <c r="H10" s="232" t="s">
        <v>1018</v>
      </c>
      <c r="I10" s="141"/>
      <c r="J10" s="141"/>
      <c r="K10" s="141"/>
      <c r="L10" s="141"/>
      <c r="M10" s="141"/>
    </row>
    <row r="11" spans="1:14" ht="15.75">
      <c r="A11" s="234"/>
      <c r="B11" s="187" t="s">
        <v>1474</v>
      </c>
      <c r="C11" s="230"/>
      <c r="D11" s="233"/>
      <c r="E11" s="233"/>
      <c r="F11" s="233"/>
      <c r="G11" s="233"/>
      <c r="H11" s="233"/>
      <c r="I11" s="141"/>
      <c r="J11" s="141"/>
      <c r="K11" s="141"/>
      <c r="L11" s="141"/>
      <c r="M11" s="141"/>
      <c r="N11" s="141"/>
    </row>
    <row r="12" spans="1:14" ht="15.75">
      <c r="A12" s="234" t="s">
        <v>1021</v>
      </c>
      <c r="B12" s="236" t="s">
        <v>881</v>
      </c>
      <c r="C12" s="237">
        <v>503</v>
      </c>
      <c r="D12" s="238">
        <v>85</v>
      </c>
      <c r="E12" s="239">
        <f>+D12*1.146+4</f>
        <v>101.41</v>
      </c>
      <c r="F12" s="239">
        <f>+D12*'Proposed rates'!G$12+10</f>
        <v>111.047405</v>
      </c>
      <c r="G12" s="239">
        <f>+F12-E12</f>
        <v>9.637405000000001</v>
      </c>
      <c r="H12" s="240">
        <f>+G12/E12</f>
        <v>0.09503406961838085</v>
      </c>
      <c r="I12" s="141"/>
      <c r="J12" s="141"/>
      <c r="K12" s="141"/>
      <c r="L12" s="141"/>
      <c r="M12" s="141"/>
      <c r="N12" s="141"/>
    </row>
    <row r="13" spans="1:14" ht="15.75">
      <c r="A13" s="234" t="s">
        <v>1023</v>
      </c>
      <c r="B13" s="236" t="s">
        <v>1475</v>
      </c>
      <c r="C13" s="237">
        <v>503</v>
      </c>
      <c r="D13" s="238">
        <v>129</v>
      </c>
      <c r="E13" s="239">
        <f>+D13*1.146+4</f>
        <v>151.83399999999997</v>
      </c>
      <c r="F13" s="239">
        <f>+D13*'Proposed rates'!G$12+10</f>
        <v>163.354297</v>
      </c>
      <c r="G13" s="239">
        <f aca="true" t="shared" si="0" ref="G13:G20">+F13-E13</f>
        <v>11.520297000000028</v>
      </c>
      <c r="H13" s="240">
        <f aca="true" t="shared" si="1" ref="H13:H20">+G13/E13</f>
        <v>0.07587429034340154</v>
      </c>
      <c r="I13" s="141"/>
      <c r="J13" s="141"/>
      <c r="K13" s="141"/>
      <c r="L13" s="141"/>
      <c r="M13" s="141"/>
      <c r="N13" s="141"/>
    </row>
    <row r="14" spans="1:14" ht="15.75">
      <c r="A14" s="234" t="s">
        <v>1025</v>
      </c>
      <c r="B14" s="236" t="s">
        <v>882</v>
      </c>
      <c r="C14" s="237">
        <v>503</v>
      </c>
      <c r="D14" s="238">
        <v>27</v>
      </c>
      <c r="E14" s="239">
        <f>+D14*1.146+4</f>
        <v>34.94199999999999</v>
      </c>
      <c r="F14" s="239">
        <f>+D14*'Proposed rates'!G$12+4</f>
        <v>36.097411</v>
      </c>
      <c r="G14" s="239">
        <f t="shared" si="0"/>
        <v>1.155411000000008</v>
      </c>
      <c r="H14" s="240">
        <f t="shared" si="1"/>
        <v>0.033066538835785246</v>
      </c>
      <c r="I14" s="141"/>
      <c r="J14" s="141"/>
      <c r="K14" s="141"/>
      <c r="L14" s="141"/>
      <c r="M14" s="141"/>
      <c r="N14" s="141"/>
    </row>
    <row r="15" spans="1:13" ht="15.75">
      <c r="A15" s="234" t="s">
        <v>1027</v>
      </c>
      <c r="B15" s="236" t="s">
        <v>1450</v>
      </c>
      <c r="C15" s="237">
        <v>504</v>
      </c>
      <c r="D15" s="238">
        <f>+'JTS-9 S6 p1'!D21/22030/12</f>
        <v>293.6161824784385</v>
      </c>
      <c r="E15" s="239">
        <f>+D15*('MPP-3 p11'!D27+'Proposed rates'!F24)+7</f>
        <v>333.65387533091234</v>
      </c>
      <c r="F15" s="239">
        <f>+D15*'Proposed rates'!G24+14</f>
        <v>345.8890518645029</v>
      </c>
      <c r="G15" s="239">
        <f t="shared" si="0"/>
        <v>12.235176533590561</v>
      </c>
      <c r="H15" s="240">
        <f t="shared" si="1"/>
        <v>0.0366702665193261</v>
      </c>
      <c r="I15" s="141"/>
      <c r="J15" s="141"/>
      <c r="K15" s="141"/>
      <c r="L15" s="141"/>
      <c r="M15" s="141"/>
    </row>
    <row r="16" spans="1:13" ht="15.75">
      <c r="A16" s="234" t="s">
        <v>1030</v>
      </c>
      <c r="B16" s="236" t="s">
        <v>1452</v>
      </c>
      <c r="C16" s="237">
        <v>505</v>
      </c>
      <c r="D16" s="238">
        <f>+'JTS-9 S6 p1'!D28/405/12</f>
        <v>2098.4185185185183</v>
      </c>
      <c r="E16" s="239">
        <f>+'JTS-9 S6 p1'!F28/'MPP-3 p5'!$D$31/12</f>
        <v>2226.5351595635166</v>
      </c>
      <c r="F16" s="239">
        <f>+'JTS-9 S6 p1'!H28/'MPP-3 p5'!$D$31/12</f>
        <v>2322.3896952348114</v>
      </c>
      <c r="G16" s="239">
        <f t="shared" si="0"/>
        <v>95.8545356712948</v>
      </c>
      <c r="H16" s="240">
        <f t="shared" si="1"/>
        <v>0.04305098675831638</v>
      </c>
      <c r="I16" s="141"/>
      <c r="J16" s="141"/>
      <c r="K16" s="141"/>
      <c r="L16" s="141"/>
      <c r="M16" s="141"/>
    </row>
    <row r="17" spans="1:13" ht="15.75">
      <c r="A17" s="234" t="s">
        <v>1032</v>
      </c>
      <c r="B17" s="236" t="s">
        <v>1454</v>
      </c>
      <c r="C17" s="237">
        <v>511</v>
      </c>
      <c r="D17" s="238">
        <f>+'JTS-9 S6 p1'!D24/70/12</f>
        <v>9320.763095238095</v>
      </c>
      <c r="E17" s="239">
        <f>+'JTS-9 S6 p1'!F24/('MPP-3 p5'!$D26+'MPP-3 p5'!$D32)/12</f>
        <v>9683.464673008324</v>
      </c>
      <c r="F17" s="239">
        <f>+'JTS-9 S6 p1'!H24/('MPP-3 p5'!$D26+'MPP-3 p5'!$D32)/12</f>
        <v>9099.042941067906</v>
      </c>
      <c r="G17" s="239">
        <f t="shared" si="0"/>
        <v>-584.4217319404179</v>
      </c>
      <c r="H17" s="240">
        <f t="shared" si="1"/>
        <v>-0.06035254443272088</v>
      </c>
      <c r="I17" s="141"/>
      <c r="J17" s="141"/>
      <c r="K17" s="141"/>
      <c r="L17" s="141"/>
      <c r="M17" s="141"/>
    </row>
    <row r="18" spans="1:13" ht="15.75">
      <c r="A18" s="234" t="s">
        <v>1034</v>
      </c>
      <c r="B18" s="236" t="s">
        <v>1456</v>
      </c>
      <c r="C18" s="237">
        <v>570</v>
      </c>
      <c r="D18" s="238">
        <f>+'JTS-9 S6 p1'!D31/7/12</f>
        <v>38859.09523809524</v>
      </c>
      <c r="E18" s="239">
        <f>+'JTS-9 S6 p1'!F31/('MPP-3 p5'!$D36+'MPP-3 p5'!$D39)/12</f>
        <v>22383.25814285714</v>
      </c>
      <c r="F18" s="239">
        <f>+'JTS-9 S6 p1'!H31/('MPP-3 p5'!$D36+'MPP-3 p5'!$D39)/12</f>
        <v>22161.764859985706</v>
      </c>
      <c r="G18" s="239">
        <f t="shared" si="0"/>
        <v>-221.49328287143362</v>
      </c>
      <c r="H18" s="240">
        <f t="shared" si="1"/>
        <v>-0.009895488916662283</v>
      </c>
      <c r="I18" s="141"/>
      <c r="J18" s="141"/>
      <c r="K18" s="141"/>
      <c r="L18" s="141"/>
      <c r="M18" s="141"/>
    </row>
    <row r="19" spans="1:13" ht="15.75">
      <c r="A19" s="234" t="s">
        <v>1036</v>
      </c>
      <c r="B19" s="236" t="s">
        <v>1459</v>
      </c>
      <c r="C19" s="237">
        <v>577</v>
      </c>
      <c r="D19" s="238">
        <f>+'JTS-9 S6 p1'!D32/36</f>
        <v>11326.638888888889</v>
      </c>
      <c r="E19" s="239">
        <f>+'JTS-9 S6 p1'!F32/'MPP-3 p5'!$D40/12</f>
        <v>11244.654166666667</v>
      </c>
      <c r="F19" s="239">
        <f>+'JTS-9 S6 p1'!H32/'MPP-3 p5'!$D40/12</f>
        <v>10881.594818990312</v>
      </c>
      <c r="G19" s="239">
        <f t="shared" si="0"/>
        <v>-363.0593476763552</v>
      </c>
      <c r="H19" s="240">
        <f t="shared" si="1"/>
        <v>-0.03228728445491885</v>
      </c>
      <c r="I19" s="141"/>
      <c r="J19" s="141"/>
      <c r="K19" s="141"/>
      <c r="L19" s="141"/>
      <c r="M19" s="141"/>
    </row>
    <row r="20" spans="1:13" ht="15.75">
      <c r="A20" s="234" t="s">
        <v>1038</v>
      </c>
      <c r="B20" s="236" t="s">
        <v>1476</v>
      </c>
      <c r="C20" s="237">
        <v>663</v>
      </c>
      <c r="D20" s="238">
        <f>+'JTS-9 S6 p1'!D37/133/12</f>
        <v>55985.124060150374</v>
      </c>
      <c r="E20" s="239">
        <f>+'JTS-9 S6 p1'!F37/'MPP-3 p5'!$D47/12</f>
        <v>5387.262213826602</v>
      </c>
      <c r="F20" s="239">
        <f>+'JTS-9 S6 p1'!H37/'MPP-3 p5'!$D47/12</f>
        <v>3024.0915825110237</v>
      </c>
      <c r="G20" s="239">
        <f t="shared" si="0"/>
        <v>-2363.1706313155787</v>
      </c>
      <c r="H20" s="240">
        <f t="shared" si="1"/>
        <v>-0.43865892126995715</v>
      </c>
      <c r="I20" s="141"/>
      <c r="J20" s="141"/>
      <c r="K20" s="141"/>
      <c r="L20" s="141"/>
      <c r="M20" s="141"/>
    </row>
    <row r="21" spans="1:13" ht="15.75">
      <c r="A21" s="234">
        <v>10</v>
      </c>
      <c r="B21" s="236" t="s">
        <v>883</v>
      </c>
      <c r="C21" s="237">
        <v>664</v>
      </c>
      <c r="D21" s="238">
        <f>+'JTS-9 S6 p1'!D38/24/12</f>
        <v>539316.4861111111</v>
      </c>
      <c r="E21" s="239">
        <f>+'JTS-9 S6 p1'!F38/'MPP-3 p5'!$D48/12</f>
        <v>20283.219554794523</v>
      </c>
      <c r="F21" s="239">
        <f>+'JTS-9 S6 p1'!H38/'MPP-3 p5'!$D48/12</f>
        <v>25796.860537430068</v>
      </c>
      <c r="G21" s="239">
        <f>+F21-E21</f>
        <v>5513.640982635545</v>
      </c>
      <c r="H21" s="240">
        <f>+G21/E21</f>
        <v>0.27183263326320584</v>
      </c>
      <c r="I21" s="141"/>
      <c r="J21" s="141"/>
      <c r="K21" s="141"/>
      <c r="L21" s="141"/>
      <c r="M21" s="141"/>
    </row>
    <row r="22" spans="1:13" ht="15.75">
      <c r="A22" s="235"/>
      <c r="B22" s="235"/>
      <c r="C22" s="231"/>
      <c r="D22" s="235"/>
      <c r="E22" s="235"/>
      <c r="F22" s="235"/>
      <c r="G22" s="235"/>
      <c r="H22" s="235"/>
      <c r="I22" s="141"/>
      <c r="J22" s="141"/>
      <c r="K22" s="141"/>
      <c r="L22" s="141"/>
      <c r="M22" s="141"/>
    </row>
    <row r="23" spans="1:13" ht="15.75">
      <c r="A23" s="141"/>
      <c r="B23" s="141"/>
      <c r="C23" s="229"/>
      <c r="D23" s="141"/>
      <c r="E23" s="141"/>
      <c r="F23" s="141"/>
      <c r="G23" s="141"/>
      <c r="H23" s="141"/>
      <c r="I23" s="141"/>
      <c r="J23" s="141"/>
      <c r="K23" s="141"/>
      <c r="L23" s="141"/>
      <c r="M23" s="141"/>
    </row>
    <row r="24" spans="1:13" ht="15.75">
      <c r="A24" s="141"/>
      <c r="B24" s="141"/>
      <c r="C24" s="229"/>
      <c r="D24" s="141"/>
      <c r="E24" s="141"/>
      <c r="F24" s="141"/>
      <c r="G24" s="141"/>
      <c r="H24" s="141"/>
      <c r="I24" s="141"/>
      <c r="J24" s="141"/>
      <c r="K24" s="141"/>
      <c r="L24" s="141"/>
      <c r="M24" s="141"/>
    </row>
    <row r="25" spans="1:13" ht="15.75">
      <c r="A25" s="141"/>
      <c r="B25" s="141"/>
      <c r="C25" s="229"/>
      <c r="D25" s="141"/>
      <c r="E25" s="141"/>
      <c r="F25" s="141"/>
      <c r="G25" s="141"/>
      <c r="H25" s="141"/>
      <c r="I25" s="141"/>
      <c r="J25" s="141"/>
      <c r="K25" s="141"/>
      <c r="L25" s="141"/>
      <c r="M25" s="141"/>
    </row>
    <row r="26" spans="1:13" ht="15.75">
      <c r="A26" s="141"/>
      <c r="B26" s="141"/>
      <c r="C26" s="229"/>
      <c r="D26" s="141"/>
      <c r="E26" s="141"/>
      <c r="F26" s="141"/>
      <c r="G26" s="141"/>
      <c r="H26" s="141"/>
      <c r="I26" s="141"/>
      <c r="J26" s="141"/>
      <c r="K26" s="141"/>
      <c r="L26" s="141"/>
      <c r="M26" s="141"/>
    </row>
    <row r="27" spans="1:13" ht="15.75">
      <c r="A27" s="141"/>
      <c r="B27" s="141"/>
      <c r="C27" s="229"/>
      <c r="D27" s="141"/>
      <c r="E27" s="141"/>
      <c r="F27" s="141"/>
      <c r="G27" s="141"/>
      <c r="H27" s="141"/>
      <c r="I27" s="141"/>
      <c r="J27" s="141"/>
      <c r="K27" s="141"/>
      <c r="L27" s="141"/>
      <c r="M27" s="141"/>
    </row>
    <row r="28" spans="1:13" ht="15.75">
      <c r="A28" s="141"/>
      <c r="B28" s="141"/>
      <c r="C28" s="229"/>
      <c r="D28" s="141"/>
      <c r="E28" s="141"/>
      <c r="F28" s="141"/>
      <c r="G28" s="141"/>
      <c r="H28" s="141"/>
      <c r="I28" s="141"/>
      <c r="J28" s="141"/>
      <c r="K28" s="141"/>
      <c r="L28" s="141"/>
      <c r="M28" s="141"/>
    </row>
    <row r="29" spans="1:13" ht="15.75">
      <c r="A29" s="141"/>
      <c r="B29" s="141"/>
      <c r="C29" s="229"/>
      <c r="D29" s="141"/>
      <c r="E29" s="141"/>
      <c r="F29" s="141"/>
      <c r="G29" s="141"/>
      <c r="H29" s="141"/>
      <c r="I29" s="141"/>
      <c r="J29" s="141"/>
      <c r="K29" s="141"/>
      <c r="L29" s="141"/>
      <c r="M29" s="141"/>
    </row>
    <row r="30" spans="1:13" ht="15.75">
      <c r="A30" s="141"/>
      <c r="B30" s="141"/>
      <c r="C30" s="141"/>
      <c r="D30" s="141"/>
      <c r="E30" s="141"/>
      <c r="F30" s="141"/>
      <c r="G30" s="141"/>
      <c r="H30" s="141"/>
      <c r="I30" s="141"/>
      <c r="J30" s="141"/>
      <c r="K30" s="141"/>
      <c r="L30" s="141"/>
      <c r="M30" s="141"/>
    </row>
    <row r="31" spans="1:13" ht="15.75">
      <c r="A31" s="141"/>
      <c r="B31" s="141"/>
      <c r="C31" s="141"/>
      <c r="D31" s="141"/>
      <c r="E31" s="141"/>
      <c r="F31" s="141"/>
      <c r="G31" s="141"/>
      <c r="H31" s="141"/>
      <c r="I31" s="141"/>
      <c r="J31" s="141"/>
      <c r="K31" s="141"/>
      <c r="L31" s="141"/>
      <c r="M31" s="141"/>
    </row>
    <row r="32" spans="1:13" ht="15.75">
      <c r="A32" s="141"/>
      <c r="B32" s="141"/>
      <c r="C32" s="141"/>
      <c r="D32" s="141"/>
      <c r="E32" s="141"/>
      <c r="F32" s="141"/>
      <c r="G32" s="141"/>
      <c r="H32" s="141"/>
      <c r="I32" s="141"/>
      <c r="J32" s="141"/>
      <c r="K32" s="141"/>
      <c r="L32" s="141"/>
      <c r="M32" s="141"/>
    </row>
    <row r="33" spans="1:13" ht="15.75">
      <c r="A33" s="141"/>
      <c r="B33" s="141"/>
      <c r="C33" s="141"/>
      <c r="D33" s="141"/>
      <c r="E33" s="141"/>
      <c r="F33" s="141"/>
      <c r="G33" s="141"/>
      <c r="H33" s="141"/>
      <c r="I33" s="141"/>
      <c r="J33" s="141"/>
      <c r="K33" s="141"/>
      <c r="L33" s="141"/>
      <c r="M33" s="141"/>
    </row>
    <row r="34" spans="1:13" ht="15.75">
      <c r="A34" s="141"/>
      <c r="B34" s="141"/>
      <c r="C34" s="141"/>
      <c r="D34" s="141"/>
      <c r="E34" s="141"/>
      <c r="F34" s="141"/>
      <c r="G34" s="141"/>
      <c r="H34" s="141"/>
      <c r="I34" s="141"/>
      <c r="J34" s="141"/>
      <c r="K34" s="141"/>
      <c r="L34" s="141"/>
      <c r="M34" s="141"/>
    </row>
    <row r="35" spans="1:13" ht="15.75">
      <c r="A35" s="141"/>
      <c r="B35" s="141"/>
      <c r="C35" s="141"/>
      <c r="D35" s="141"/>
      <c r="E35" s="141"/>
      <c r="F35" s="141"/>
      <c r="G35" s="141"/>
      <c r="H35" s="141"/>
      <c r="I35" s="141"/>
      <c r="J35" s="141"/>
      <c r="K35" s="141"/>
      <c r="L35" s="141"/>
      <c r="M35" s="141"/>
    </row>
    <row r="36" spans="1:13" ht="15.75">
      <c r="A36" s="141"/>
      <c r="B36" s="141"/>
      <c r="C36" s="141"/>
      <c r="D36" s="141"/>
      <c r="E36" s="141"/>
      <c r="F36" s="141"/>
      <c r="G36" s="141"/>
      <c r="H36" s="141"/>
      <c r="I36" s="141"/>
      <c r="J36" s="141"/>
      <c r="K36" s="141"/>
      <c r="L36" s="141"/>
      <c r="M36" s="141"/>
    </row>
    <row r="37" spans="1:13" ht="15.75">
      <c r="A37" s="141"/>
      <c r="B37" s="141"/>
      <c r="C37" s="141"/>
      <c r="D37" s="141"/>
      <c r="E37" s="141"/>
      <c r="F37" s="141"/>
      <c r="G37" s="141"/>
      <c r="H37" s="141"/>
      <c r="I37" s="141"/>
      <c r="J37" s="141"/>
      <c r="K37" s="141"/>
      <c r="L37" s="141"/>
      <c r="M37" s="141"/>
    </row>
    <row r="38" spans="1:13" ht="15.75">
      <c r="A38" s="141"/>
      <c r="B38" s="141"/>
      <c r="C38" s="141"/>
      <c r="D38" s="141"/>
      <c r="E38" s="141"/>
      <c r="F38" s="141"/>
      <c r="G38" s="141"/>
      <c r="H38" s="141"/>
      <c r="I38" s="141"/>
      <c r="J38" s="141"/>
      <c r="K38" s="141"/>
      <c r="L38" s="141"/>
      <c r="M38" s="141"/>
    </row>
  </sheetData>
  <printOptions/>
  <pageMargins left="0.6" right="0.46" top="0.39" bottom="0" header="0" footer="0"/>
  <pageSetup horizontalDpi="300" verticalDpi="300" orientation="landscape" r:id="rId2"/>
  <drawing r:id="rId1"/>
</worksheet>
</file>

<file path=xl/worksheets/sheet47.xml><?xml version="1.0" encoding="utf-8"?>
<worksheet xmlns="http://schemas.openxmlformats.org/spreadsheetml/2006/main" xmlns:r="http://schemas.openxmlformats.org/officeDocument/2006/relationships">
  <dimension ref="A1:O72"/>
  <sheetViews>
    <sheetView workbookViewId="0" topLeftCell="A1">
      <selection activeCell="G32" sqref="G32"/>
    </sheetView>
  </sheetViews>
  <sheetFormatPr defaultColWidth="9.33203125" defaultRowHeight="11.25"/>
  <cols>
    <col min="1" max="1" width="6.16015625" style="0" customWidth="1"/>
    <col min="2" max="2" width="20.33203125" style="0" customWidth="1"/>
    <col min="3" max="3" width="24.66015625" style="0" customWidth="1"/>
    <col min="4" max="4" width="12.5" style="0" bestFit="1" customWidth="1"/>
    <col min="5" max="5" width="11.33203125" style="0" bestFit="1" customWidth="1"/>
    <col min="6" max="6" width="12.5" style="0" bestFit="1" customWidth="1"/>
    <col min="7" max="7" width="11.33203125" style="0" bestFit="1" customWidth="1"/>
  </cols>
  <sheetData>
    <row r="1" spans="1:7" ht="18.75">
      <c r="A1" s="1343" t="s">
        <v>658</v>
      </c>
      <c r="B1" s="1343"/>
      <c r="C1" s="1343"/>
      <c r="D1" s="1343"/>
      <c r="E1" s="1343"/>
      <c r="F1" s="1343"/>
      <c r="G1" s="1343"/>
    </row>
    <row r="2" spans="1:7" ht="18.75">
      <c r="A2" s="1344" t="s">
        <v>1101</v>
      </c>
      <c r="B2" s="1344"/>
      <c r="C2" s="1344"/>
      <c r="D2" s="1344"/>
      <c r="E2" s="1344"/>
      <c r="F2" s="1344"/>
      <c r="G2" s="1344"/>
    </row>
    <row r="4" ht="12.75">
      <c r="C4" s="1093" t="s">
        <v>1102</v>
      </c>
    </row>
    <row r="5" ht="12.75">
      <c r="C5" s="1093" t="s">
        <v>1103</v>
      </c>
    </row>
    <row r="6" spans="1:7" ht="11.25">
      <c r="A6" t="s">
        <v>1553</v>
      </c>
      <c r="D6" s="138" t="s">
        <v>1104</v>
      </c>
      <c r="E6" s="138" t="s">
        <v>1356</v>
      </c>
      <c r="F6" s="138" t="s">
        <v>1554</v>
      </c>
      <c r="G6" s="138" t="s">
        <v>997</v>
      </c>
    </row>
    <row r="7" spans="2:6" ht="12.75">
      <c r="B7" t="s">
        <v>1105</v>
      </c>
      <c r="D7" s="1094">
        <v>14</v>
      </c>
      <c r="E7" s="929"/>
      <c r="F7" s="929"/>
    </row>
    <row r="8" spans="2:7" ht="12.75">
      <c r="B8" t="s">
        <v>1106</v>
      </c>
      <c r="E8" s="929">
        <f>+'[2]R502'!F11</f>
        <v>0.018899750439344318</v>
      </c>
      <c r="F8" s="929">
        <v>0.91783</v>
      </c>
      <c r="G8" s="1095">
        <f>+F8+E8</f>
        <v>0.9367297504393444</v>
      </c>
    </row>
    <row r="9" spans="1:6" ht="12.75">
      <c r="A9" t="s">
        <v>1555</v>
      </c>
      <c r="E9" s="929"/>
      <c r="F9" s="929"/>
    </row>
    <row r="10" spans="2:6" ht="12.75">
      <c r="B10" t="s">
        <v>26</v>
      </c>
      <c r="D10" s="220">
        <v>10</v>
      </c>
      <c r="E10" s="929"/>
      <c r="F10" s="929"/>
    </row>
    <row r="11" spans="2:6" ht="12.75">
      <c r="B11" t="s">
        <v>25</v>
      </c>
      <c r="D11" s="220">
        <v>4</v>
      </c>
      <c r="E11" s="929"/>
      <c r="F11" s="929"/>
    </row>
    <row r="12" spans="2:7" ht="12.75">
      <c r="B12" t="s">
        <v>1107</v>
      </c>
      <c r="E12" s="929">
        <f>+'[2]503'!J11</f>
        <v>0.269373</v>
      </c>
      <c r="F12" s="929">
        <v>0.91942</v>
      </c>
      <c r="G12" s="1095">
        <f>+F12+E12</f>
        <v>1.188793</v>
      </c>
    </row>
    <row r="13" spans="1:6" ht="12.75">
      <c r="A13" t="s">
        <v>1108</v>
      </c>
      <c r="E13" s="929"/>
      <c r="F13" s="929"/>
    </row>
    <row r="14" spans="2:7" ht="12.75">
      <c r="B14" t="s">
        <v>1109</v>
      </c>
      <c r="D14" s="220">
        <f>+'[2]R541S'!F10</f>
        <v>10.38</v>
      </c>
      <c r="E14" s="929"/>
      <c r="F14" s="1094">
        <v>27.5349</v>
      </c>
      <c r="G14" s="220">
        <f>SUM(D14:F14)</f>
        <v>37.9149</v>
      </c>
    </row>
    <row r="15" spans="2:7" ht="12.75">
      <c r="B15" t="s">
        <v>1110</v>
      </c>
      <c r="E15" s="929">
        <f>+'[2]R541S'!F11</f>
        <v>0.2505874656491366</v>
      </c>
      <c r="F15" s="929">
        <f>+F24</f>
        <v>0.91783</v>
      </c>
      <c r="G15" s="1095">
        <f>+F15+E15</f>
        <v>1.1684174656491366</v>
      </c>
    </row>
    <row r="16" spans="1:6" ht="12.75">
      <c r="A16" t="s">
        <v>1111</v>
      </c>
      <c r="E16" s="929"/>
      <c r="F16" s="929"/>
    </row>
    <row r="17" spans="2:7" ht="12.75">
      <c r="B17" t="s">
        <v>1112</v>
      </c>
      <c r="D17" s="220">
        <f>+'[2]R541W'!F9</f>
        <v>6.91</v>
      </c>
      <c r="E17" s="929"/>
      <c r="F17" s="1094">
        <v>9.1783</v>
      </c>
      <c r="G17" s="597">
        <f>+F17+D17</f>
        <v>16.0883</v>
      </c>
    </row>
    <row r="18" spans="2:7" ht="12.75">
      <c r="B18" t="s">
        <v>1113</v>
      </c>
      <c r="E18" s="929">
        <f>+'[2]R541W'!F11</f>
        <v>0.40433</v>
      </c>
      <c r="F18" s="929">
        <f>+F15</f>
        <v>0.91783</v>
      </c>
      <c r="G18" s="1095">
        <f>+F18+E18</f>
        <v>1.32216</v>
      </c>
    </row>
    <row r="19" spans="2:7" ht="12.75">
      <c r="B19" t="s">
        <v>1114</v>
      </c>
      <c r="E19" s="929">
        <f>+'[2]R541W'!F12</f>
        <v>0.2848947220323981</v>
      </c>
      <c r="F19" s="929">
        <f>+F18</f>
        <v>0.91783</v>
      </c>
      <c r="G19" s="1095">
        <f>+F19+E19</f>
        <v>1.2027247220323982</v>
      </c>
    </row>
    <row r="20" spans="5:7" ht="12.75">
      <c r="E20" s="929"/>
      <c r="F20" s="929"/>
      <c r="G20" s="1095"/>
    </row>
    <row r="21" spans="3:7" ht="18.75">
      <c r="C21" s="1096" t="s">
        <v>1115</v>
      </c>
      <c r="E21" s="929"/>
      <c r="F21" s="929"/>
      <c r="G21" s="1095"/>
    </row>
    <row r="22" spans="1:6" ht="12.75">
      <c r="A22" t="s">
        <v>1556</v>
      </c>
      <c r="E22" s="929"/>
      <c r="F22" s="929"/>
    </row>
    <row r="23" spans="2:6" ht="12.75">
      <c r="B23" t="s">
        <v>1105</v>
      </c>
      <c r="D23" s="220">
        <v>14</v>
      </c>
      <c r="E23" s="929"/>
      <c r="F23" s="929"/>
    </row>
    <row r="24" spans="2:15" ht="18.75">
      <c r="B24" t="s">
        <v>1116</v>
      </c>
      <c r="D24" s="220"/>
      <c r="E24" s="929">
        <f>+'[2]504'!J11</f>
        <v>0.21252</v>
      </c>
      <c r="F24" s="929">
        <v>0.91783</v>
      </c>
      <c r="G24" s="1095">
        <f>+F24+E24</f>
        <v>1.13035</v>
      </c>
      <c r="J24" s="1096"/>
      <c r="K24" s="1096"/>
      <c r="L24" s="1096"/>
      <c r="M24" s="1096"/>
      <c r="N24" s="1096"/>
      <c r="O24" s="1096"/>
    </row>
    <row r="25" spans="2:7" ht="12.75">
      <c r="B25" t="s">
        <v>1117</v>
      </c>
      <c r="D25" s="220"/>
      <c r="E25" s="929">
        <f>+'[2]504'!J12</f>
        <v>0.21252</v>
      </c>
      <c r="F25" s="929">
        <f>+F24</f>
        <v>0.91783</v>
      </c>
      <c r="G25" s="1095">
        <f>+F25+E25</f>
        <v>1.13035</v>
      </c>
    </row>
    <row r="26" spans="2:7" ht="12.75">
      <c r="B26" t="s">
        <v>1118</v>
      </c>
      <c r="D26" s="220"/>
      <c r="E26" s="929">
        <f>+'[2]504'!J13</f>
        <v>0.21252</v>
      </c>
      <c r="F26" s="929">
        <f>+F25</f>
        <v>0.91783</v>
      </c>
      <c r="G26" s="1095">
        <f>+F26+E26</f>
        <v>1.13035</v>
      </c>
    </row>
    <row r="27" spans="2:7" ht="12.75">
      <c r="B27" t="s">
        <v>1119</v>
      </c>
      <c r="C27" t="s">
        <v>1107</v>
      </c>
      <c r="D27" s="220"/>
      <c r="E27" s="929">
        <f>+'[2]504'!J14</f>
        <v>0.21252</v>
      </c>
      <c r="F27" s="929">
        <f>+F26</f>
        <v>0.91783</v>
      </c>
      <c r="G27" s="1095">
        <f>+F27+E27</f>
        <v>1.13035</v>
      </c>
    </row>
    <row r="28" spans="1:6" ht="12.75">
      <c r="A28" t="s">
        <v>1558</v>
      </c>
      <c r="D28" s="220"/>
      <c r="E28" s="929"/>
      <c r="F28" s="929"/>
    </row>
    <row r="29" spans="2:6" ht="12.75">
      <c r="B29" t="s">
        <v>1105</v>
      </c>
      <c r="D29" s="220">
        <v>44</v>
      </c>
      <c r="E29" s="929"/>
      <c r="F29" s="929"/>
    </row>
    <row r="30" spans="2:7" ht="12.75">
      <c r="B30" t="s">
        <v>1120</v>
      </c>
      <c r="C30" t="s">
        <v>1121</v>
      </c>
      <c r="D30" s="220"/>
      <c r="E30" s="929">
        <f>+'[2]C511'!F11</f>
        <v>0.065</v>
      </c>
      <c r="F30" s="929">
        <v>0.90995</v>
      </c>
      <c r="G30" s="1095">
        <f>+F30+E30</f>
        <v>0.97495</v>
      </c>
    </row>
    <row r="31" spans="2:7" ht="12.75">
      <c r="B31" t="s">
        <v>1494</v>
      </c>
      <c r="D31" s="220"/>
      <c r="E31" s="929">
        <f>+'[2]C511'!F12</f>
        <v>0.065</v>
      </c>
      <c r="F31" s="929">
        <f>+F30</f>
        <v>0.90995</v>
      </c>
      <c r="G31" s="1095">
        <f>+F31+E31</f>
        <v>0.97495</v>
      </c>
    </row>
    <row r="32" spans="2:7" ht="12.75">
      <c r="B32" t="s">
        <v>1495</v>
      </c>
      <c r="C32" t="s">
        <v>1122</v>
      </c>
      <c r="D32" s="220"/>
      <c r="E32" s="929">
        <f>+'[2]C511'!F13</f>
        <v>0.04445</v>
      </c>
      <c r="F32" s="929">
        <f>+F31</f>
        <v>0.90995</v>
      </c>
      <c r="G32" s="1095">
        <f>+F32+E32</f>
        <v>0.9544</v>
      </c>
    </row>
    <row r="33" spans="2:7" ht="12.75">
      <c r="B33" t="s">
        <v>1496</v>
      </c>
      <c r="D33" s="220"/>
      <c r="E33" s="929">
        <f>+'[2]C511'!F14</f>
        <v>0.04445</v>
      </c>
      <c r="F33" s="929">
        <f>+F32</f>
        <v>0.90995</v>
      </c>
      <c r="G33" s="1095">
        <f>+F33+E33</f>
        <v>0.9544</v>
      </c>
    </row>
    <row r="34" spans="2:7" ht="12.75">
      <c r="B34" t="s">
        <v>1497</v>
      </c>
      <c r="C34" t="s">
        <v>1123</v>
      </c>
      <c r="D34" s="220"/>
      <c r="E34" s="929">
        <f>+'[2]C511'!F15</f>
        <v>0.02142</v>
      </c>
      <c r="F34" s="929">
        <f>+F33</f>
        <v>0.90995</v>
      </c>
      <c r="G34" s="1095">
        <f>+F34+E34</f>
        <v>0.93137</v>
      </c>
    </row>
    <row r="35" spans="1:6" ht="12.75">
      <c r="A35" t="s">
        <v>1559</v>
      </c>
      <c r="D35" s="220"/>
      <c r="E35" s="929"/>
      <c r="F35" s="929"/>
    </row>
    <row r="36" spans="2:6" ht="12.75">
      <c r="B36" t="s">
        <v>1105</v>
      </c>
      <c r="D36" s="220">
        <v>14</v>
      </c>
      <c r="E36" s="929"/>
      <c r="F36" s="929"/>
    </row>
    <row r="37" spans="2:7" ht="12.75">
      <c r="B37" t="s">
        <v>1107</v>
      </c>
      <c r="D37" s="220"/>
      <c r="E37" s="929">
        <f>+'[2]512'!F11</f>
        <v>0.19756446814296186</v>
      </c>
      <c r="F37" s="929">
        <v>0.91783</v>
      </c>
      <c r="G37" s="1095">
        <f>+F37+E37</f>
        <v>1.115394468142962</v>
      </c>
    </row>
    <row r="38" spans="1:6" ht="12.75">
      <c r="A38" t="s">
        <v>1557</v>
      </c>
      <c r="D38" s="220"/>
      <c r="E38" s="929"/>
      <c r="F38" s="929"/>
    </row>
    <row r="39" spans="2:6" ht="12.75">
      <c r="B39" t="s">
        <v>1105</v>
      </c>
      <c r="D39" s="220">
        <v>24</v>
      </c>
      <c r="E39" s="929"/>
      <c r="F39" s="929"/>
    </row>
    <row r="40" spans="2:7" ht="12.75">
      <c r="B40" t="s">
        <v>1124</v>
      </c>
      <c r="C40" t="s">
        <v>1125</v>
      </c>
      <c r="D40" s="220"/>
      <c r="E40" s="929">
        <f>+'[2]505'!F11</f>
        <v>0.20586</v>
      </c>
      <c r="F40" s="929">
        <v>0.90995</v>
      </c>
      <c r="G40" s="1095">
        <f>+F40+E40</f>
        <v>1.11581</v>
      </c>
    </row>
    <row r="41" spans="2:7" ht="12.75">
      <c r="B41" t="s">
        <v>1117</v>
      </c>
      <c r="D41" s="220"/>
      <c r="E41" s="929">
        <f>+'[2]505'!F12</f>
        <v>0.20586</v>
      </c>
      <c r="F41" s="929">
        <f>+F40</f>
        <v>0.90995</v>
      </c>
      <c r="G41" s="1095">
        <f>+F41+E41</f>
        <v>1.11581</v>
      </c>
    </row>
    <row r="42" spans="2:7" ht="12.75">
      <c r="B42" t="s">
        <v>1118</v>
      </c>
      <c r="C42" t="s">
        <v>1118</v>
      </c>
      <c r="D42" s="220"/>
      <c r="E42" s="929">
        <f>+'[2]505'!F13</f>
        <v>0.17696</v>
      </c>
      <c r="F42" s="929">
        <f>+F41</f>
        <v>0.90995</v>
      </c>
      <c r="G42" s="1095">
        <f>+F42+E42</f>
        <v>1.08691</v>
      </c>
    </row>
    <row r="43" spans="2:7" ht="12.75">
      <c r="B43" t="s">
        <v>1119</v>
      </c>
      <c r="C43" t="s">
        <v>1119</v>
      </c>
      <c r="D43" s="220"/>
      <c r="E43" s="929">
        <f>+'[2]505'!F14</f>
        <v>0.15</v>
      </c>
      <c r="F43" s="929">
        <f>+F42</f>
        <v>0.90995</v>
      </c>
      <c r="G43" s="1095">
        <f>+F43+E43</f>
        <v>1.05995</v>
      </c>
    </row>
    <row r="44" spans="1:6" ht="12.75">
      <c r="A44" t="s">
        <v>1560</v>
      </c>
      <c r="D44" s="220"/>
      <c r="E44" s="929"/>
      <c r="F44" s="929"/>
    </row>
    <row r="45" spans="2:6" ht="12.75">
      <c r="B45" t="s">
        <v>1105</v>
      </c>
      <c r="D45" s="220">
        <v>44</v>
      </c>
      <c r="E45" s="929"/>
      <c r="F45" s="929"/>
    </row>
    <row r="46" spans="2:7" ht="12.75">
      <c r="B46" t="s">
        <v>1495</v>
      </c>
      <c r="D46" s="220"/>
      <c r="E46" s="929">
        <f>+'[2]I570'!F11</f>
        <v>0.06021165992773054</v>
      </c>
      <c r="F46" s="929">
        <v>0.90208</v>
      </c>
      <c r="G46" s="1095">
        <f>+F46+E46</f>
        <v>0.9622916599277306</v>
      </c>
    </row>
    <row r="47" spans="2:7" ht="12.75">
      <c r="B47" t="s">
        <v>1126</v>
      </c>
      <c r="D47" s="220"/>
      <c r="E47" s="929">
        <f>+'[2]I570'!F12</f>
        <v>0.02001</v>
      </c>
      <c r="F47" s="929">
        <f>+F46</f>
        <v>0.90208</v>
      </c>
      <c r="G47" s="1095">
        <f>+F47+E47</f>
        <v>0.92209</v>
      </c>
    </row>
    <row r="48" spans="1:6" ht="12.75">
      <c r="A48" t="s">
        <v>13</v>
      </c>
      <c r="D48" s="220"/>
      <c r="E48" s="929"/>
      <c r="F48" s="929"/>
    </row>
    <row r="49" spans="2:6" ht="12.75">
      <c r="B49" t="s">
        <v>1105</v>
      </c>
      <c r="D49" s="220">
        <v>44</v>
      </c>
      <c r="E49" s="929"/>
      <c r="F49" s="929"/>
    </row>
    <row r="50" spans="2:7" ht="12.75">
      <c r="B50" t="s">
        <v>1127</v>
      </c>
      <c r="D50" s="220"/>
      <c r="E50" s="929">
        <f>+'[2]577'!F11</f>
        <v>0.0623988690092298</v>
      </c>
      <c r="F50" s="929">
        <f>+F47</f>
        <v>0.90208</v>
      </c>
      <c r="G50" s="1095">
        <f>+F50+E50</f>
        <v>0.9644788690092297</v>
      </c>
    </row>
    <row r="51" spans="2:7" ht="12.75">
      <c r="B51" t="s">
        <v>1119</v>
      </c>
      <c r="D51" s="220"/>
      <c r="E51" s="929">
        <f>+'[2]577'!F12</f>
        <v>0.05</v>
      </c>
      <c r="F51" s="929">
        <f>+F50</f>
        <v>0.90208</v>
      </c>
      <c r="G51" s="1095">
        <f>+F51+E51</f>
        <v>0.95208</v>
      </c>
    </row>
    <row r="52" spans="1:6" ht="12.75">
      <c r="A52" t="s">
        <v>27</v>
      </c>
      <c r="D52" s="220"/>
      <c r="E52" s="929"/>
      <c r="F52" s="929"/>
    </row>
    <row r="53" spans="2:8" ht="12.75">
      <c r="B53" t="s">
        <v>1128</v>
      </c>
      <c r="D53" s="220">
        <v>0.25</v>
      </c>
      <c r="E53" s="929"/>
      <c r="F53" s="929"/>
      <c r="H53" t="s">
        <v>1129</v>
      </c>
    </row>
    <row r="54" spans="2:6" ht="12.75">
      <c r="B54" t="s">
        <v>1130</v>
      </c>
      <c r="D54" s="220">
        <v>500</v>
      </c>
      <c r="E54" s="929"/>
      <c r="F54" s="929"/>
    </row>
    <row r="55" spans="2:7" ht="12.75">
      <c r="B55" t="s">
        <v>1494</v>
      </c>
      <c r="C55" t="s">
        <v>1131</v>
      </c>
      <c r="D55" s="220"/>
      <c r="E55" s="929">
        <f>+'[2]663'!H12</f>
        <v>0.043</v>
      </c>
      <c r="F55" s="929">
        <v>0</v>
      </c>
      <c r="G55" s="1095">
        <f aca="true" t="shared" si="0" ref="G55:G60">+F55+E55</f>
        <v>0.043</v>
      </c>
    </row>
    <row r="56" spans="2:7" ht="12.75">
      <c r="B56" t="s">
        <v>1494</v>
      </c>
      <c r="D56" s="220"/>
      <c r="E56" s="929">
        <f>+'[2]663'!H13</f>
        <v>0.043</v>
      </c>
      <c r="F56" s="929">
        <v>0</v>
      </c>
      <c r="G56" s="1095">
        <f t="shared" si="0"/>
        <v>0.043</v>
      </c>
    </row>
    <row r="57" spans="2:7" ht="12.75">
      <c r="B57" t="s">
        <v>1495</v>
      </c>
      <c r="D57" s="220"/>
      <c r="E57" s="929">
        <f>+'[2]663'!H14</f>
        <v>0.043</v>
      </c>
      <c r="F57" s="929">
        <v>0</v>
      </c>
      <c r="G57" s="1095">
        <f t="shared" si="0"/>
        <v>0.043</v>
      </c>
    </row>
    <row r="58" spans="2:7" ht="12.75">
      <c r="B58" t="s">
        <v>1496</v>
      </c>
      <c r="D58" s="220"/>
      <c r="E58" s="929">
        <f>+'[2]663'!H15</f>
        <v>0.043</v>
      </c>
      <c r="F58" s="929">
        <v>0</v>
      </c>
      <c r="G58" s="1095">
        <f t="shared" si="0"/>
        <v>0.043</v>
      </c>
    </row>
    <row r="59" spans="2:7" ht="12.75">
      <c r="B59" t="s">
        <v>1497</v>
      </c>
      <c r="C59" t="s">
        <v>1123</v>
      </c>
      <c r="D59" s="220"/>
      <c r="E59" s="929">
        <f>+'[2]663'!H16</f>
        <v>0.041</v>
      </c>
      <c r="F59" s="929">
        <v>0</v>
      </c>
      <c r="G59" s="1095">
        <f t="shared" si="0"/>
        <v>0.041</v>
      </c>
    </row>
    <row r="60" spans="2:7" ht="12.75">
      <c r="B60" t="s">
        <v>1132</v>
      </c>
      <c r="D60" s="220"/>
      <c r="E60" s="929">
        <v>0.0002</v>
      </c>
      <c r="F60" s="929">
        <v>0</v>
      </c>
      <c r="G60" s="1095">
        <f t="shared" si="0"/>
        <v>0.0002</v>
      </c>
    </row>
    <row r="61" spans="1:6" ht="12.75">
      <c r="A61" t="s">
        <v>1133</v>
      </c>
      <c r="D61" s="220"/>
      <c r="E61" s="929"/>
      <c r="F61" s="929"/>
    </row>
    <row r="62" spans="2:8" ht="12.75">
      <c r="B62" t="s">
        <v>1128</v>
      </c>
      <c r="D62" s="220">
        <v>0.25</v>
      </c>
      <c r="E62" s="929"/>
      <c r="F62" s="929"/>
      <c r="H62" t="s">
        <v>1129</v>
      </c>
    </row>
    <row r="63" spans="2:6" ht="12.75">
      <c r="B63" t="s">
        <v>1130</v>
      </c>
      <c r="D63" s="220">
        <v>500</v>
      </c>
      <c r="E63" s="929"/>
      <c r="F63" s="929"/>
    </row>
    <row r="64" spans="2:7" ht="12.75">
      <c r="B64" t="s">
        <v>1134</v>
      </c>
      <c r="C64" t="s">
        <v>1131</v>
      </c>
      <c r="D64" s="220"/>
      <c r="E64" s="929">
        <f>+'[2]664'!F12</f>
        <v>0.043</v>
      </c>
      <c r="F64" s="929">
        <v>0</v>
      </c>
      <c r="G64" s="1095">
        <f aca="true" t="shared" si="1" ref="G64:G71">+F64+E64</f>
        <v>0.043</v>
      </c>
    </row>
    <row r="65" spans="2:7" ht="12.75">
      <c r="B65" t="s">
        <v>1135</v>
      </c>
      <c r="E65" s="929">
        <f>+'[2]664'!F13</f>
        <v>0.00357</v>
      </c>
      <c r="F65" s="929">
        <v>0</v>
      </c>
      <c r="G65" s="1095">
        <f t="shared" si="1"/>
        <v>0.00357</v>
      </c>
    </row>
    <row r="66" spans="2:7" ht="12.75">
      <c r="B66" t="s">
        <v>1135</v>
      </c>
      <c r="E66" s="929">
        <f>+'[2]664'!F14</f>
        <v>0.00357</v>
      </c>
      <c r="F66" s="929">
        <v>0</v>
      </c>
      <c r="G66" s="1095">
        <f t="shared" si="1"/>
        <v>0.00357</v>
      </c>
    </row>
    <row r="67" spans="2:7" ht="12.75">
      <c r="B67" t="s">
        <v>1134</v>
      </c>
      <c r="E67" s="929">
        <f>+'[2]664'!F15</f>
        <v>0.00357</v>
      </c>
      <c r="F67" s="929">
        <v>0</v>
      </c>
      <c r="G67" s="1095">
        <f t="shared" si="1"/>
        <v>0.00357</v>
      </c>
    </row>
    <row r="68" spans="2:7" ht="12.75">
      <c r="B68" t="s">
        <v>1136</v>
      </c>
      <c r="E68" s="929">
        <f>+'[2]664'!F16</f>
        <v>0.00357</v>
      </c>
      <c r="F68" s="929">
        <v>0</v>
      </c>
      <c r="G68" s="1095">
        <f t="shared" si="1"/>
        <v>0.00357</v>
      </c>
    </row>
    <row r="69" spans="2:7" ht="12.75">
      <c r="B69" t="s">
        <v>1137</v>
      </c>
      <c r="E69" s="929">
        <f>+'[2]664'!F17</f>
        <v>0.00357</v>
      </c>
      <c r="F69" s="929">
        <v>0</v>
      </c>
      <c r="G69" s="1095">
        <f t="shared" si="1"/>
        <v>0.00357</v>
      </c>
    </row>
    <row r="70" spans="2:7" ht="12.75">
      <c r="B70" t="s">
        <v>1138</v>
      </c>
      <c r="C70" t="s">
        <v>1123</v>
      </c>
      <c r="E70" s="929">
        <f>+'[2]664'!F18</f>
        <v>0.00357</v>
      </c>
      <c r="F70" s="929">
        <v>0</v>
      </c>
      <c r="G70" s="1095">
        <f t="shared" si="1"/>
        <v>0.00357</v>
      </c>
    </row>
    <row r="71" spans="2:7" ht="12.75">
      <c r="B71" t="s">
        <v>1132</v>
      </c>
      <c r="E71" s="929">
        <v>0.0002</v>
      </c>
      <c r="F71" s="929">
        <v>0</v>
      </c>
      <c r="G71" s="1095">
        <f t="shared" si="1"/>
        <v>0.0002</v>
      </c>
    </row>
    <row r="72" spans="5:6" ht="12.75">
      <c r="E72" s="929"/>
      <c r="F72" s="929"/>
    </row>
  </sheetData>
  <mergeCells count="2">
    <mergeCell ref="A1:G1"/>
    <mergeCell ref="A2:G2"/>
  </mergeCells>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dimension ref="A1:G40"/>
  <sheetViews>
    <sheetView workbookViewId="0" topLeftCell="A25">
      <selection activeCell="G32" sqref="G32"/>
    </sheetView>
  </sheetViews>
  <sheetFormatPr defaultColWidth="9.33203125" defaultRowHeight="11.25"/>
  <cols>
    <col min="1" max="1" width="8.33203125" style="694" customWidth="1"/>
    <col min="2" max="2" width="35" style="663" customWidth="1"/>
    <col min="3" max="3" width="9.16015625" style="663" customWidth="1"/>
    <col min="4" max="5" width="9.33203125" style="663" customWidth="1"/>
    <col min="6" max="6" width="15.5" style="363" customWidth="1"/>
    <col min="7" max="16384" width="9.33203125" style="663" customWidth="1"/>
  </cols>
  <sheetData>
    <row r="1" spans="1:6" ht="15.75">
      <c r="A1" s="661" t="s">
        <v>658</v>
      </c>
      <c r="B1" s="79"/>
      <c r="C1" s="662"/>
      <c r="D1" s="662"/>
      <c r="E1" s="662"/>
      <c r="F1" s="350"/>
    </row>
    <row r="2" spans="1:6" ht="20.25">
      <c r="A2" s="664" t="s">
        <v>114</v>
      </c>
      <c r="B2" s="74"/>
      <c r="C2" s="665"/>
      <c r="D2" s="665"/>
      <c r="E2" s="665"/>
      <c r="F2" s="351"/>
    </row>
    <row r="3" spans="1:6" ht="15.75">
      <c r="A3" s="666" t="s">
        <v>659</v>
      </c>
      <c r="B3" s="76"/>
      <c r="C3" s="667"/>
      <c r="D3" s="667"/>
      <c r="E3" s="667"/>
      <c r="F3" s="352"/>
    </row>
    <row r="4" spans="1:6" ht="12.75">
      <c r="A4" s="668" t="s">
        <v>1000</v>
      </c>
      <c r="B4" s="669"/>
      <c r="C4" s="670"/>
      <c r="D4" s="670"/>
      <c r="E4" s="671"/>
      <c r="F4" s="353"/>
    </row>
    <row r="5" spans="1:6" ht="12.75">
      <c r="A5" s="672" t="s">
        <v>1006</v>
      </c>
      <c r="B5" s="673" t="s">
        <v>1007</v>
      </c>
      <c r="C5" s="674"/>
      <c r="D5" s="674"/>
      <c r="E5" s="675"/>
      <c r="F5" s="354" t="s">
        <v>1084</v>
      </c>
    </row>
    <row r="6" spans="1:6" ht="12.75">
      <c r="A6" s="676"/>
      <c r="B6" s="677" t="s">
        <v>1012</v>
      </c>
      <c r="C6" s="678"/>
      <c r="D6" s="678"/>
      <c r="E6" s="679"/>
      <c r="F6" s="355" t="s">
        <v>1013</v>
      </c>
    </row>
    <row r="7" spans="1:6" ht="12.75">
      <c r="A7" s="680"/>
      <c r="B7" s="681" t="s">
        <v>1020</v>
      </c>
      <c r="C7" s="682"/>
      <c r="D7" s="682"/>
      <c r="E7" s="683"/>
      <c r="F7" s="356"/>
    </row>
    <row r="8" spans="1:6" ht="12.75">
      <c r="A8" s="684">
        <v>1</v>
      </c>
      <c r="B8" s="685" t="s">
        <v>1022</v>
      </c>
      <c r="C8" s="682"/>
      <c r="D8" s="682"/>
      <c r="E8" s="683"/>
      <c r="F8" s="357">
        <v>232428111</v>
      </c>
    </row>
    <row r="9" spans="1:6" ht="12.75">
      <c r="A9" s="684">
        <v>2</v>
      </c>
      <c r="B9" s="685" t="s">
        <v>1024</v>
      </c>
      <c r="C9" s="682"/>
      <c r="D9" s="682"/>
      <c r="E9" s="683"/>
      <c r="F9" s="356">
        <v>18411461</v>
      </c>
    </row>
    <row r="10" spans="1:6" ht="12.75">
      <c r="A10" s="684">
        <v>3</v>
      </c>
      <c r="B10" s="685" t="s">
        <v>1026</v>
      </c>
      <c r="C10" s="682"/>
      <c r="D10" s="682"/>
      <c r="E10" s="683"/>
      <c r="F10" s="358">
        <v>889298</v>
      </c>
    </row>
    <row r="11" spans="1:6" ht="12.75">
      <c r="A11" s="684">
        <v>4</v>
      </c>
      <c r="B11" s="685" t="s">
        <v>1028</v>
      </c>
      <c r="C11" s="682"/>
      <c r="D11" s="682"/>
      <c r="E11" s="683"/>
      <c r="F11" s="359">
        <v>251728870</v>
      </c>
    </row>
    <row r="12" spans="1:6" ht="12.75">
      <c r="A12" s="684"/>
      <c r="B12" s="685"/>
      <c r="C12" s="682"/>
      <c r="D12" s="682"/>
      <c r="E12" s="683"/>
      <c r="F12" s="357"/>
    </row>
    <row r="13" spans="1:6" ht="12.75">
      <c r="A13" s="684"/>
      <c r="B13" s="681" t="s">
        <v>1029</v>
      </c>
      <c r="C13" s="682"/>
      <c r="D13" s="682"/>
      <c r="E13" s="683"/>
      <c r="F13" s="356"/>
    </row>
    <row r="14" spans="1:6" ht="12.75">
      <c r="A14" s="684">
        <v>5</v>
      </c>
      <c r="B14" s="685" t="s">
        <v>115</v>
      </c>
      <c r="C14" s="682"/>
      <c r="D14" s="682"/>
      <c r="E14" s="683"/>
      <c r="F14" s="356">
        <v>163837631</v>
      </c>
    </row>
    <row r="15" spans="1:6" ht="12.75">
      <c r="A15" s="684">
        <v>6</v>
      </c>
      <c r="B15" s="685" t="s">
        <v>116</v>
      </c>
      <c r="C15" s="682"/>
      <c r="D15" s="682"/>
      <c r="E15" s="683"/>
      <c r="F15" s="356">
        <v>0</v>
      </c>
    </row>
    <row r="16" spans="1:6" ht="12.75">
      <c r="A16" s="684">
        <v>7</v>
      </c>
      <c r="B16" s="685" t="s">
        <v>117</v>
      </c>
      <c r="C16" s="682"/>
      <c r="D16" s="682"/>
      <c r="E16" s="683"/>
      <c r="F16" s="356">
        <v>7682852</v>
      </c>
    </row>
    <row r="17" spans="1:6" ht="12.75">
      <c r="A17" s="684">
        <v>8</v>
      </c>
      <c r="B17" s="685" t="s">
        <v>118</v>
      </c>
      <c r="C17" s="682"/>
      <c r="D17" s="682"/>
      <c r="E17" s="683"/>
      <c r="F17" s="356">
        <v>4158014</v>
      </c>
    </row>
    <row r="18" spans="1:6" ht="12.75">
      <c r="A18" s="684">
        <v>9</v>
      </c>
      <c r="B18" s="685" t="s">
        <v>119</v>
      </c>
      <c r="C18" s="682"/>
      <c r="D18" s="682"/>
      <c r="E18" s="683"/>
      <c r="F18" s="356">
        <v>344136</v>
      </c>
    </row>
    <row r="19" spans="1:6" ht="12.75">
      <c r="A19" s="684">
        <v>10</v>
      </c>
      <c r="B19" s="685" t="s">
        <v>120</v>
      </c>
      <c r="C19" s="682"/>
      <c r="D19" s="682"/>
      <c r="E19" s="683"/>
      <c r="F19" s="356">
        <v>625296</v>
      </c>
    </row>
    <row r="20" spans="1:6" ht="12.75">
      <c r="A20" s="684">
        <v>11</v>
      </c>
      <c r="B20" s="685" t="s">
        <v>121</v>
      </c>
      <c r="C20" s="682"/>
      <c r="D20" s="682"/>
      <c r="E20" s="683"/>
      <c r="F20" s="356">
        <v>18556164</v>
      </c>
    </row>
    <row r="21" spans="1:7" ht="12.75">
      <c r="A21" s="684">
        <v>12</v>
      </c>
      <c r="B21" s="685" t="s">
        <v>122</v>
      </c>
      <c r="C21" s="682"/>
      <c r="D21" s="682"/>
      <c r="E21" s="683"/>
      <c r="F21" s="358">
        <v>13632109</v>
      </c>
      <c r="G21" s="686"/>
    </row>
    <row r="22" spans="1:6" ht="12.75">
      <c r="A22" s="684">
        <v>13</v>
      </c>
      <c r="B22" s="685" t="s">
        <v>289</v>
      </c>
      <c r="C22" s="682"/>
      <c r="D22" s="682"/>
      <c r="E22" s="683"/>
      <c r="F22" s="358">
        <v>208836202</v>
      </c>
    </row>
    <row r="23" spans="1:6" ht="12.75">
      <c r="A23" s="684"/>
      <c r="B23" s="685"/>
      <c r="C23" s="682"/>
      <c r="D23" s="682"/>
      <c r="E23" s="683"/>
      <c r="F23" s="356"/>
    </row>
    <row r="24" spans="1:6" ht="12.75">
      <c r="A24" s="684"/>
      <c r="B24" s="681" t="s">
        <v>1050</v>
      </c>
      <c r="C24" s="682"/>
      <c r="D24" s="682"/>
      <c r="E24" s="683"/>
      <c r="F24" s="356"/>
    </row>
    <row r="25" spans="1:6" ht="12.75">
      <c r="A25" s="684">
        <v>14</v>
      </c>
      <c r="B25" s="685" t="s">
        <v>290</v>
      </c>
      <c r="C25" s="682"/>
      <c r="D25" s="682"/>
      <c r="E25" s="683"/>
      <c r="F25" s="356">
        <v>23837552</v>
      </c>
    </row>
    <row r="26" spans="1:6" ht="12.75">
      <c r="A26" s="684">
        <v>15</v>
      </c>
      <c r="B26" s="685" t="s">
        <v>291</v>
      </c>
      <c r="C26" s="682"/>
      <c r="D26" s="682"/>
      <c r="E26" s="683"/>
      <c r="F26" s="356">
        <v>0</v>
      </c>
    </row>
    <row r="27" spans="1:6" ht="12.75">
      <c r="A27" s="684">
        <v>16</v>
      </c>
      <c r="B27" s="685" t="s">
        <v>292</v>
      </c>
      <c r="C27" s="682"/>
      <c r="D27" s="682"/>
      <c r="E27" s="683"/>
      <c r="F27" s="358">
        <v>3293908</v>
      </c>
    </row>
    <row r="28" spans="1:6" ht="12.75">
      <c r="A28" s="684">
        <v>17</v>
      </c>
      <c r="B28" s="685" t="s">
        <v>293</v>
      </c>
      <c r="C28" s="682"/>
      <c r="D28" s="682"/>
      <c r="E28" s="683"/>
      <c r="F28" s="359">
        <v>27131460</v>
      </c>
    </row>
    <row r="29" spans="1:6" ht="12.75">
      <c r="A29" s="684"/>
      <c r="B29" s="685"/>
      <c r="C29" s="682"/>
      <c r="D29" s="682"/>
      <c r="E29" s="683"/>
      <c r="F29" s="357"/>
    </row>
    <row r="30" spans="1:6" ht="12.75">
      <c r="A30" s="684">
        <v>18</v>
      </c>
      <c r="B30" s="685" t="s">
        <v>294</v>
      </c>
      <c r="C30" s="682"/>
      <c r="D30" s="682"/>
      <c r="E30" s="683"/>
      <c r="F30" s="358">
        <v>235967662</v>
      </c>
    </row>
    <row r="31" spans="1:6" ht="12.75">
      <c r="A31" s="684"/>
      <c r="B31" s="685"/>
      <c r="C31" s="682"/>
      <c r="D31" s="682"/>
      <c r="E31" s="683"/>
      <c r="F31" s="356"/>
    </row>
    <row r="32" spans="1:7" ht="15" thickBot="1">
      <c r="A32" s="684">
        <v>19</v>
      </c>
      <c r="B32" s="687" t="s">
        <v>1062</v>
      </c>
      <c r="C32" s="682"/>
      <c r="D32" s="682"/>
      <c r="E32" s="683"/>
      <c r="F32" s="360">
        <v>15761208</v>
      </c>
      <c r="G32" s="688"/>
    </row>
    <row r="33" spans="1:6" ht="13.5" thickTop="1">
      <c r="A33" s="684"/>
      <c r="B33" s="685"/>
      <c r="C33" s="682"/>
      <c r="D33" s="682"/>
      <c r="E33" s="683"/>
      <c r="F33" s="356"/>
    </row>
    <row r="34" spans="1:7" ht="15" thickBot="1">
      <c r="A34" s="684">
        <v>20</v>
      </c>
      <c r="B34" s="687" t="s">
        <v>1064</v>
      </c>
      <c r="C34" s="682"/>
      <c r="D34" s="682"/>
      <c r="E34" s="683"/>
      <c r="F34" s="360">
        <v>231460401</v>
      </c>
      <c r="G34" s="688"/>
    </row>
    <row r="35" spans="1:6" ht="13.5" thickTop="1">
      <c r="A35" s="684"/>
      <c r="B35" s="685"/>
      <c r="C35" s="682"/>
      <c r="D35" s="682"/>
      <c r="E35" s="683"/>
      <c r="F35" s="356"/>
    </row>
    <row r="36" spans="1:7" ht="15" thickBot="1">
      <c r="A36" s="684">
        <v>21</v>
      </c>
      <c r="B36" s="687" t="s">
        <v>1066</v>
      </c>
      <c r="C36" s="682"/>
      <c r="D36" s="682"/>
      <c r="E36" s="683"/>
      <c r="F36" s="361">
        <f>+F32/F34</f>
        <v>0.06809461977904376</v>
      </c>
      <c r="G36" s="689"/>
    </row>
    <row r="37" spans="1:6" ht="13.5" thickTop="1">
      <c r="A37" s="672"/>
      <c r="B37" s="690"/>
      <c r="C37" s="691"/>
      <c r="D37" s="691"/>
      <c r="E37" s="692"/>
      <c r="F37" s="358"/>
    </row>
    <row r="38" spans="1:6" ht="12.75">
      <c r="A38" s="693"/>
      <c r="B38" s="682"/>
      <c r="C38" s="682"/>
      <c r="D38" s="682"/>
      <c r="E38" s="682"/>
      <c r="F38" s="362"/>
    </row>
    <row r="40" ht="12.75">
      <c r="A40" s="695" t="s">
        <v>928</v>
      </c>
    </row>
  </sheetData>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dimension ref="A1:K37"/>
  <sheetViews>
    <sheetView workbookViewId="0" topLeftCell="A7">
      <selection activeCell="G32" sqref="G32"/>
    </sheetView>
  </sheetViews>
  <sheetFormatPr defaultColWidth="9.33203125" defaultRowHeight="11.25"/>
  <cols>
    <col min="1" max="1" width="5.66015625" style="368" customWidth="1"/>
    <col min="2" max="2" width="68" style="368" customWidth="1"/>
    <col min="3" max="3" width="14.66015625" style="368" customWidth="1"/>
    <col min="4" max="4" width="12.33203125" style="368" customWidth="1"/>
    <col min="5" max="5" width="16" style="368" customWidth="1"/>
    <col min="6" max="6" width="3.66015625" style="368" customWidth="1"/>
    <col min="7" max="9" width="9.33203125" style="368" customWidth="1"/>
    <col min="10" max="10" width="16.16015625" style="368" customWidth="1"/>
    <col min="11" max="16384" width="9.33203125" style="368" customWidth="1"/>
  </cols>
  <sheetData>
    <row r="1" spans="1:4" ht="15.75">
      <c r="A1" s="1126"/>
      <c r="B1" s="1126"/>
      <c r="C1" s="141"/>
      <c r="D1" s="367" t="s">
        <v>297</v>
      </c>
    </row>
    <row r="2" spans="1:4" ht="15.75">
      <c r="A2" s="1126"/>
      <c r="B2" s="1126"/>
      <c r="C2" s="141"/>
      <c r="D2" s="141" t="s">
        <v>944</v>
      </c>
    </row>
    <row r="3" spans="1:4" ht="15.75">
      <c r="A3" s="1126"/>
      <c r="B3" s="1126"/>
      <c r="C3" s="141"/>
      <c r="D3" s="141" t="s">
        <v>298</v>
      </c>
    </row>
    <row r="4" spans="1:4" ht="15.75">
      <c r="A4" s="1126"/>
      <c r="B4" s="1126"/>
      <c r="C4" s="141"/>
      <c r="D4" s="367" t="s">
        <v>299</v>
      </c>
    </row>
    <row r="5" spans="1:2" ht="15">
      <c r="A5" s="1126"/>
      <c r="B5" s="1126"/>
    </row>
    <row r="6" spans="1:2" ht="15">
      <c r="A6" s="1126"/>
      <c r="B6" s="1126"/>
    </row>
    <row r="7" spans="1:2" ht="15">
      <c r="A7" s="1126"/>
      <c r="B7" s="1126"/>
    </row>
    <row r="8" ht="3" customHeight="1">
      <c r="A8" s="1126"/>
    </row>
    <row r="9" spans="1:5" ht="24.75" customHeight="1">
      <c r="A9" s="1337" t="s">
        <v>658</v>
      </c>
      <c r="B9" s="1338"/>
      <c r="C9" s="1338"/>
      <c r="D9" s="1338"/>
      <c r="E9" s="1339"/>
    </row>
    <row r="10" spans="1:5" ht="21" customHeight="1">
      <c r="A10" s="1345" t="s">
        <v>945</v>
      </c>
      <c r="B10" s="1346"/>
      <c r="C10" s="1346"/>
      <c r="D10" s="1346"/>
      <c r="E10" s="1347"/>
    </row>
    <row r="11" spans="1:5" ht="21" customHeight="1">
      <c r="A11" s="1345" t="s">
        <v>946</v>
      </c>
      <c r="B11" s="1346"/>
      <c r="C11" s="1346"/>
      <c r="D11" s="1346"/>
      <c r="E11" s="1347"/>
    </row>
    <row r="12" spans="1:5" ht="21.75" customHeight="1">
      <c r="A12" s="1348" t="s">
        <v>659</v>
      </c>
      <c r="B12" s="1336"/>
      <c r="C12" s="1336"/>
      <c r="D12" s="1336"/>
      <c r="E12" s="1349"/>
    </row>
    <row r="13" spans="1:5" ht="13.5" customHeight="1">
      <c r="A13" s="1101"/>
      <c r="B13" s="605"/>
      <c r="C13" s="605"/>
      <c r="D13" s="605"/>
      <c r="E13" s="607"/>
    </row>
    <row r="14" spans="1:5" ht="15.75">
      <c r="A14" s="1104" t="s">
        <v>1000</v>
      </c>
      <c r="B14" s="230"/>
      <c r="C14" s="230" t="s">
        <v>997</v>
      </c>
      <c r="D14" s="230" t="s">
        <v>1563</v>
      </c>
      <c r="E14" s="282" t="s">
        <v>1564</v>
      </c>
    </row>
    <row r="15" spans="1:5" ht="20.25" customHeight="1">
      <c r="A15" s="1102" t="s">
        <v>1006</v>
      </c>
      <c r="B15" s="231" t="s">
        <v>1007</v>
      </c>
      <c r="C15" s="231" t="s">
        <v>1552</v>
      </c>
      <c r="D15" s="231" t="s">
        <v>54</v>
      </c>
      <c r="E15" s="1103" t="s">
        <v>1084</v>
      </c>
    </row>
    <row r="16" spans="1:11" ht="15.75">
      <c r="A16" s="1127"/>
      <c r="B16" s="232" t="s">
        <v>1338</v>
      </c>
      <c r="C16" s="232" t="s">
        <v>1339</v>
      </c>
      <c r="D16" s="1128" t="s">
        <v>947</v>
      </c>
      <c r="E16" s="1128" t="s">
        <v>1566</v>
      </c>
      <c r="H16" s="368">
        <v>14.29</v>
      </c>
      <c r="I16" s="368" t="s">
        <v>1590</v>
      </c>
      <c r="J16" s="368">
        <f>250000+40000</f>
        <v>290000</v>
      </c>
      <c r="K16" s="368">
        <f>0.1429*J16</f>
        <v>41441</v>
      </c>
    </row>
    <row r="17" spans="1:11" ht="25.5" customHeight="1">
      <c r="A17" s="610">
        <v>1</v>
      </c>
      <c r="B17" s="1129" t="s">
        <v>948</v>
      </c>
      <c r="C17" s="554">
        <f>25000+250000+40000</f>
        <v>315000</v>
      </c>
      <c r="D17" s="1130">
        <v>0.7706</v>
      </c>
      <c r="E17" s="554">
        <f>ROUND(D17*C17,0)</f>
        <v>242739</v>
      </c>
      <c r="H17" s="368">
        <v>10.34</v>
      </c>
      <c r="I17" s="368" t="s">
        <v>1591</v>
      </c>
      <c r="J17" s="368">
        <v>25000</v>
      </c>
      <c r="K17" s="368">
        <f>+J17*0.1034</f>
        <v>2585</v>
      </c>
    </row>
    <row r="18" spans="1:11" ht="25.5" customHeight="1">
      <c r="A18" s="610">
        <v>2</v>
      </c>
      <c r="B18" s="1123" t="s">
        <v>1569</v>
      </c>
      <c r="C18" s="593">
        <f>+I18</f>
        <v>0.13976507936507937</v>
      </c>
      <c r="D18" s="240"/>
      <c r="E18" s="236"/>
      <c r="H18" s="368" t="s">
        <v>949</v>
      </c>
      <c r="I18" s="368">
        <f>+K18/J18</f>
        <v>0.13976507936507937</v>
      </c>
      <c r="J18" s="368">
        <f>SUM(J16:J17)</f>
        <v>315000</v>
      </c>
      <c r="K18" s="368">
        <f>SUM(K16:K17)</f>
        <v>44026</v>
      </c>
    </row>
    <row r="19" spans="1:6" s="1126" customFormat="1" ht="25.5" customHeight="1" thickBot="1">
      <c r="A19" s="610">
        <v>3</v>
      </c>
      <c r="B19" s="1123" t="s">
        <v>1085</v>
      </c>
      <c r="C19" s="546">
        <f>+C18*C17</f>
        <v>44026</v>
      </c>
      <c r="D19" s="240">
        <v>0.7706</v>
      </c>
      <c r="E19" s="614">
        <v>0</v>
      </c>
      <c r="F19" s="1126" t="s">
        <v>295</v>
      </c>
    </row>
    <row r="20" spans="1:5" s="1126" customFormat="1" ht="25.5" customHeight="1" thickTop="1">
      <c r="A20" s="610"/>
      <c r="B20" s="1123"/>
      <c r="C20" s="238"/>
      <c r="D20" s="240"/>
      <c r="E20" s="236"/>
    </row>
    <row r="21" spans="1:5" s="1126" customFormat="1" ht="25.5" customHeight="1">
      <c r="A21" s="610">
        <v>4</v>
      </c>
      <c r="B21" s="1123" t="s">
        <v>1142</v>
      </c>
      <c r="C21" s="1131">
        <f>+J25</f>
        <v>0.011738896371748464</v>
      </c>
      <c r="D21" s="240"/>
      <c r="E21" s="236"/>
    </row>
    <row r="22" spans="1:10" s="1126" customFormat="1" ht="25.5" customHeight="1" thickBot="1">
      <c r="A22" s="610">
        <v>5</v>
      </c>
      <c r="B22" s="1123" t="s">
        <v>1570</v>
      </c>
      <c r="C22" s="238">
        <f>+C21*C17</f>
        <v>3697.752357100766</v>
      </c>
      <c r="D22" s="240">
        <v>0.7706</v>
      </c>
      <c r="E22" s="614">
        <v>0</v>
      </c>
      <c r="F22" s="1126" t="s">
        <v>915</v>
      </c>
      <c r="J22" s="1126" t="s">
        <v>1142</v>
      </c>
    </row>
    <row r="23" spans="1:10" s="1126" customFormat="1" ht="25.5" customHeight="1" thickTop="1">
      <c r="A23" s="610"/>
      <c r="B23" s="1123"/>
      <c r="C23" s="238"/>
      <c r="D23" s="240"/>
      <c r="E23" s="236"/>
      <c r="H23" s="1126" t="s">
        <v>1594</v>
      </c>
      <c r="J23" s="1126">
        <v>2788927</v>
      </c>
    </row>
    <row r="24" spans="1:10" s="1126" customFormat="1" ht="25.5" customHeight="1" thickBot="1">
      <c r="A24" s="610">
        <v>6</v>
      </c>
      <c r="B24" s="1123" t="s">
        <v>950</v>
      </c>
      <c r="C24" s="546">
        <f>40000+46000</f>
        <v>86000</v>
      </c>
      <c r="D24" s="240">
        <v>0.7706</v>
      </c>
      <c r="E24" s="614">
        <v>0</v>
      </c>
      <c r="F24" s="1126" t="s">
        <v>1572</v>
      </c>
      <c r="H24" s="1126" t="s">
        <v>1599</v>
      </c>
      <c r="I24" s="1126" t="s">
        <v>1600</v>
      </c>
      <c r="J24" s="1132">
        <v>237580000</v>
      </c>
    </row>
    <row r="25" spans="1:10" s="1126" customFormat="1" ht="25.5" customHeight="1" thickTop="1">
      <c r="A25" s="610"/>
      <c r="B25" s="1123"/>
      <c r="C25" s="238"/>
      <c r="D25" s="240"/>
      <c r="E25" s="236"/>
      <c r="H25" s="1126" t="s">
        <v>1598</v>
      </c>
      <c r="J25" s="1133">
        <v>0.011738896371748464</v>
      </c>
    </row>
    <row r="26" spans="1:5" s="1126" customFormat="1" ht="25.5" customHeight="1">
      <c r="A26" s="610">
        <v>7</v>
      </c>
      <c r="B26" s="1123" t="s">
        <v>1143</v>
      </c>
      <c r="C26" s="238"/>
      <c r="D26" s="240"/>
      <c r="E26" s="236"/>
    </row>
    <row r="27" spans="1:5" s="1126" customFormat="1" ht="25.5" customHeight="1">
      <c r="A27" s="610">
        <v>8</v>
      </c>
      <c r="B27" s="1123" t="s">
        <v>1573</v>
      </c>
      <c r="C27" s="546">
        <f>+C17</f>
        <v>315000</v>
      </c>
      <c r="D27" s="1134">
        <v>0.7706</v>
      </c>
      <c r="E27" s="546">
        <v>0</v>
      </c>
    </row>
    <row r="28" spans="1:5" s="1126" customFormat="1" ht="25.5" customHeight="1">
      <c r="A28" s="610">
        <v>9</v>
      </c>
      <c r="B28" s="1123" t="s">
        <v>1574</v>
      </c>
      <c r="C28" s="546">
        <f>-+C19/2</f>
        <v>-22013</v>
      </c>
      <c r="D28" s="1134">
        <v>0.7706</v>
      </c>
      <c r="E28" s="546">
        <v>0</v>
      </c>
    </row>
    <row r="29" spans="1:11" s="1126" customFormat="1" ht="25.5" customHeight="1">
      <c r="A29" s="610">
        <v>10</v>
      </c>
      <c r="B29" s="1122" t="s">
        <v>1575</v>
      </c>
      <c r="C29" s="546">
        <f>-C27*K31</f>
        <v>-18974.000000000004</v>
      </c>
      <c r="D29" s="1134">
        <v>0.7706</v>
      </c>
      <c r="E29" s="552">
        <v>0</v>
      </c>
      <c r="H29" s="1126" t="s">
        <v>1595</v>
      </c>
      <c r="K29" s="1135">
        <v>0.2</v>
      </c>
    </row>
    <row r="30" spans="1:11" s="1126" customFormat="1" ht="25.5" customHeight="1" thickBot="1">
      <c r="A30" s="610">
        <v>11</v>
      </c>
      <c r="B30" s="1123" t="s">
        <v>1586</v>
      </c>
      <c r="C30" s="1136">
        <f>SUM(C27:C29)</f>
        <v>274013</v>
      </c>
      <c r="D30" s="240"/>
      <c r="E30" s="614">
        <f>SUM(E27:E29)</f>
        <v>0</v>
      </c>
      <c r="F30" s="1126" t="s">
        <v>1587</v>
      </c>
      <c r="H30" s="1126" t="s">
        <v>1596</v>
      </c>
      <c r="K30" s="1137">
        <f>+C18</f>
        <v>0.13976507936507937</v>
      </c>
    </row>
    <row r="31" spans="1:11" ht="16.5" thickTop="1">
      <c r="A31" s="279"/>
      <c r="B31" s="235"/>
      <c r="C31" s="235"/>
      <c r="D31" s="235"/>
      <c r="E31" s="235"/>
      <c r="H31" s="368" t="s">
        <v>1597</v>
      </c>
      <c r="K31" s="1138">
        <f>+K29-K30</f>
        <v>0.06023492063492064</v>
      </c>
    </row>
    <row r="34" ht="15.75">
      <c r="A34" s="387" t="s">
        <v>951</v>
      </c>
    </row>
    <row r="35" ht="15.75">
      <c r="A35" s="387" t="s">
        <v>952</v>
      </c>
    </row>
    <row r="36" ht="15.75">
      <c r="A36" s="387" t="s">
        <v>953</v>
      </c>
    </row>
    <row r="37" ht="15.75">
      <c r="A37" s="387" t="s">
        <v>954</v>
      </c>
    </row>
  </sheetData>
  <mergeCells count="4">
    <mergeCell ref="A9:E9"/>
    <mergeCell ref="A10:E10"/>
    <mergeCell ref="A11:E11"/>
    <mergeCell ref="A12:E1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AA83"/>
  <sheetViews>
    <sheetView zoomScale="75" zoomScaleNormal="75" workbookViewId="0" topLeftCell="A1">
      <selection activeCell="L3" sqref="L3"/>
    </sheetView>
  </sheetViews>
  <sheetFormatPr defaultColWidth="9.33203125" defaultRowHeight="11.25"/>
  <cols>
    <col min="1" max="1" width="4.33203125" style="0" customWidth="1"/>
    <col min="2" max="2" width="27" style="0" customWidth="1"/>
    <col min="4" max="4" width="12.66015625" style="0" customWidth="1"/>
    <col min="5" max="5" width="17.66015625" style="0" customWidth="1"/>
    <col min="6" max="6" width="3.33203125" style="0" customWidth="1"/>
    <col min="7" max="7" width="18.33203125" style="0" customWidth="1"/>
    <col min="8" max="8" width="2.5" style="0" customWidth="1"/>
    <col min="9" max="9" width="19" style="0" customWidth="1"/>
    <col min="10" max="10" width="3.33203125" style="0" customWidth="1"/>
    <col min="11" max="11" width="19.5" style="0" customWidth="1"/>
    <col min="12" max="12" width="19.16015625" style="0" customWidth="1"/>
    <col min="13" max="13" width="4" style="0" customWidth="1"/>
    <col min="14" max="14" width="18.16015625" style="0" customWidth="1"/>
    <col min="15" max="15" width="2.5" style="0" customWidth="1"/>
    <col min="17" max="17" width="0" style="0" hidden="1" customWidth="1"/>
    <col min="18" max="18" width="18.16015625" style="0" hidden="1" customWidth="1"/>
    <col min="19" max="19" width="14" style="0" hidden="1" customWidth="1"/>
    <col min="20" max="20" width="15.83203125" style="0" hidden="1" customWidth="1"/>
    <col min="21" max="21" width="14.5" style="0" hidden="1" customWidth="1"/>
    <col min="22" max="22" width="11" style="0" hidden="1" customWidth="1"/>
    <col min="23" max="23" width="15.33203125" style="0" hidden="1" customWidth="1"/>
    <col min="25" max="25" width="18.16015625" style="0" customWidth="1"/>
    <col min="26" max="26" width="16.83203125" style="0" bestFit="1" customWidth="1"/>
    <col min="27" max="27" width="15.5" style="953" customWidth="1"/>
  </cols>
  <sheetData>
    <row r="1" spans="2:5" ht="15">
      <c r="B1" s="5"/>
      <c r="E1" s="4"/>
    </row>
    <row r="2" spans="12:25" ht="20.25">
      <c r="L2" s="1209" t="s">
        <v>1522</v>
      </c>
      <c r="N2" s="141"/>
      <c r="R2" s="141"/>
      <c r="Y2" s="141"/>
    </row>
    <row r="3" spans="12:25" ht="20.25">
      <c r="L3" s="768" t="s">
        <v>1169</v>
      </c>
      <c r="N3" s="141"/>
      <c r="R3" s="141"/>
      <c r="Y3" s="141"/>
    </row>
    <row r="4" spans="1:25" ht="20.25">
      <c r="A4" s="2"/>
      <c r="L4" s="768" t="s">
        <v>1194</v>
      </c>
      <c r="N4" s="141"/>
      <c r="R4" s="141"/>
      <c r="Y4" s="141"/>
    </row>
    <row r="5" spans="6:25" ht="15.75">
      <c r="F5" s="4"/>
      <c r="N5" s="141"/>
      <c r="R5" s="141"/>
      <c r="Y5" s="141"/>
    </row>
    <row r="6" spans="6:25" ht="15.75">
      <c r="F6" s="4"/>
      <c r="M6" s="141"/>
      <c r="N6" s="141"/>
      <c r="R6" s="141"/>
      <c r="Y6" s="141"/>
    </row>
    <row r="7" spans="1:25" ht="15.75">
      <c r="A7" s="81" t="s">
        <v>658</v>
      </c>
      <c r="B7" s="169"/>
      <c r="C7" s="79"/>
      <c r="D7" s="79"/>
      <c r="E7" s="79"/>
      <c r="F7" s="79"/>
      <c r="G7" s="79"/>
      <c r="H7" s="79"/>
      <c r="I7" s="79"/>
      <c r="J7" s="79"/>
      <c r="K7" s="79"/>
      <c r="L7" s="79"/>
      <c r="M7" s="79"/>
      <c r="N7" s="79"/>
      <c r="O7" s="80"/>
      <c r="R7" s="79"/>
      <c r="Y7" s="79"/>
    </row>
    <row r="8" spans="1:25" ht="18.75">
      <c r="A8" s="204" t="s">
        <v>29</v>
      </c>
      <c r="B8" s="170"/>
      <c r="C8" s="74"/>
      <c r="D8" s="74"/>
      <c r="E8" s="74"/>
      <c r="F8" s="74"/>
      <c r="G8" s="74"/>
      <c r="H8" s="74"/>
      <c r="I8" s="74"/>
      <c r="J8" s="74"/>
      <c r="K8" s="74"/>
      <c r="L8" s="74"/>
      <c r="M8" s="74"/>
      <c r="N8" s="74"/>
      <c r="O8" s="75"/>
      <c r="R8" s="74"/>
      <c r="Y8" s="74"/>
    </row>
    <row r="9" spans="1:25" ht="18.75">
      <c r="A9" s="205" t="s">
        <v>30</v>
      </c>
      <c r="B9" s="74"/>
      <c r="C9" s="74"/>
      <c r="D9" s="74"/>
      <c r="E9" s="74"/>
      <c r="F9" s="74"/>
      <c r="G9" s="74"/>
      <c r="H9" s="74"/>
      <c r="I9" s="74"/>
      <c r="J9" s="74"/>
      <c r="K9" s="74"/>
      <c r="L9" s="74"/>
      <c r="M9" s="74"/>
      <c r="N9" s="74"/>
      <c r="O9" s="75"/>
      <c r="R9" s="74"/>
      <c r="Y9" s="74"/>
    </row>
    <row r="10" spans="1:25" ht="15.75">
      <c r="A10" s="171" t="s">
        <v>659</v>
      </c>
      <c r="B10" s="76"/>
      <c r="C10" s="76"/>
      <c r="D10" s="76"/>
      <c r="E10" s="76"/>
      <c r="F10" s="76"/>
      <c r="G10" s="76"/>
      <c r="H10" s="76"/>
      <c r="I10" s="76"/>
      <c r="J10" s="76"/>
      <c r="K10" s="76"/>
      <c r="L10" s="74"/>
      <c r="M10" s="74"/>
      <c r="N10" s="74"/>
      <c r="O10" s="75"/>
      <c r="R10" s="74"/>
      <c r="Y10" s="74"/>
    </row>
    <row r="11" spans="1:25" ht="15">
      <c r="A11" s="18"/>
      <c r="B11" s="18"/>
      <c r="C11" s="18"/>
      <c r="D11" s="114" t="s">
        <v>79</v>
      </c>
      <c r="E11" s="146"/>
      <c r="F11" s="147"/>
      <c r="G11" s="162" t="s">
        <v>110</v>
      </c>
      <c r="H11" s="80"/>
      <c r="I11" s="162" t="s">
        <v>1003</v>
      </c>
      <c r="J11" s="80"/>
      <c r="K11" s="557">
        <v>38657</v>
      </c>
      <c r="L11" s="1261" t="s">
        <v>31</v>
      </c>
      <c r="M11" s="1262"/>
      <c r="N11" s="146"/>
      <c r="O11" s="147"/>
      <c r="R11" s="146"/>
      <c r="Y11" s="146"/>
    </row>
    <row r="12" spans="1:25" ht="15">
      <c r="A12" s="23" t="s">
        <v>1000</v>
      </c>
      <c r="B12" s="20"/>
      <c r="C12" s="23" t="s">
        <v>1277</v>
      </c>
      <c r="D12" s="22" t="s">
        <v>1423</v>
      </c>
      <c r="E12" s="158" t="s">
        <v>111</v>
      </c>
      <c r="F12" s="159"/>
      <c r="G12" s="158" t="s">
        <v>1519</v>
      </c>
      <c r="H12" s="159"/>
      <c r="I12" s="158" t="s">
        <v>112</v>
      </c>
      <c r="J12" s="159"/>
      <c r="K12" s="347" t="s">
        <v>32</v>
      </c>
      <c r="L12" s="1263" t="s">
        <v>33</v>
      </c>
      <c r="M12" s="1232"/>
      <c r="N12" s="154"/>
      <c r="O12" s="159"/>
      <c r="R12" s="154"/>
      <c r="Y12" s="154"/>
    </row>
    <row r="13" spans="1:25" ht="15">
      <c r="A13" s="24" t="s">
        <v>1006</v>
      </c>
      <c r="B13" s="24" t="s">
        <v>1007</v>
      </c>
      <c r="C13" s="24" t="s">
        <v>1281</v>
      </c>
      <c r="D13" s="25" t="s">
        <v>81</v>
      </c>
      <c r="E13" s="158" t="s">
        <v>1282</v>
      </c>
      <c r="F13" s="159"/>
      <c r="G13" s="158" t="s">
        <v>112</v>
      </c>
      <c r="H13" s="159"/>
      <c r="I13" s="160" t="s">
        <v>34</v>
      </c>
      <c r="J13" s="161"/>
      <c r="K13" s="348" t="s">
        <v>35</v>
      </c>
      <c r="L13" s="1263" t="s">
        <v>36</v>
      </c>
      <c r="M13" s="1232"/>
      <c r="N13" s="249" t="s">
        <v>1356</v>
      </c>
      <c r="O13" s="161"/>
      <c r="R13" s="249"/>
      <c r="Y13" s="249"/>
    </row>
    <row r="14" spans="1:25" ht="15">
      <c r="A14" s="26"/>
      <c r="B14" s="27" t="s">
        <v>1012</v>
      </c>
      <c r="C14" s="27" t="s">
        <v>1013</v>
      </c>
      <c r="D14" s="28" t="s">
        <v>1014</v>
      </c>
      <c r="E14" s="163" t="s">
        <v>1074</v>
      </c>
      <c r="F14" s="164"/>
      <c r="G14" s="163" t="s">
        <v>1016</v>
      </c>
      <c r="H14" s="164"/>
      <c r="I14" s="163" t="s">
        <v>1075</v>
      </c>
      <c r="J14" s="73"/>
      <c r="K14" s="558" t="s">
        <v>1018</v>
      </c>
      <c r="L14" s="1233" t="s">
        <v>1076</v>
      </c>
      <c r="M14" s="1234"/>
      <c r="N14" s="138" t="s">
        <v>37</v>
      </c>
      <c r="O14" s="161"/>
      <c r="R14" s="138"/>
      <c r="Y14" s="138"/>
    </row>
    <row r="15" spans="1:25" ht="15">
      <c r="A15" s="146"/>
      <c r="B15" s="182" t="s">
        <v>92</v>
      </c>
      <c r="C15" s="179"/>
      <c r="D15" s="179"/>
      <c r="E15" s="163"/>
      <c r="F15" s="164"/>
      <c r="G15" s="163"/>
      <c r="H15" s="164"/>
      <c r="I15" s="163"/>
      <c r="J15" s="164"/>
      <c r="K15" s="179"/>
      <c r="L15" s="163"/>
      <c r="M15" s="164"/>
      <c r="N15" s="163"/>
      <c r="O15" s="164"/>
      <c r="R15" s="163"/>
      <c r="Y15" s="163"/>
    </row>
    <row r="16" spans="1:25" ht="15">
      <c r="A16" s="129"/>
      <c r="B16" s="559" t="s">
        <v>1285</v>
      </c>
      <c r="C16" s="12"/>
      <c r="D16" s="146"/>
      <c r="E16" s="154"/>
      <c r="F16" s="143"/>
      <c r="G16" s="146"/>
      <c r="H16" s="147"/>
      <c r="I16" s="146"/>
      <c r="J16" s="147"/>
      <c r="K16" s="146"/>
      <c r="L16" s="146"/>
      <c r="M16" s="147"/>
      <c r="N16" s="146"/>
      <c r="O16" s="147"/>
      <c r="R16" s="146"/>
      <c r="S16">
        <v>91421</v>
      </c>
      <c r="Y16" s="146"/>
    </row>
    <row r="17" spans="1:25" ht="15">
      <c r="A17" s="132"/>
      <c r="C17" s="560"/>
      <c r="D17" s="574"/>
      <c r="E17" s="148"/>
      <c r="F17" s="145"/>
      <c r="G17" s="563"/>
      <c r="H17" s="562"/>
      <c r="I17" s="563"/>
      <c r="J17" s="562"/>
      <c r="K17" s="563"/>
      <c r="L17" s="563"/>
      <c r="M17" s="562"/>
      <c r="N17" s="563"/>
      <c r="O17" s="562"/>
      <c r="R17" s="563"/>
      <c r="Y17" s="563"/>
    </row>
    <row r="18" spans="1:25" ht="15">
      <c r="A18" s="115">
        <v>1</v>
      </c>
      <c r="B18" s="564" t="s">
        <v>1295</v>
      </c>
      <c r="C18" s="1018" t="s">
        <v>1296</v>
      </c>
      <c r="D18" s="942">
        <v>1462.5</v>
      </c>
      <c r="E18" s="942">
        <v>1329808</v>
      </c>
      <c r="F18" s="943"/>
      <c r="G18" s="944">
        <v>1307131.58</v>
      </c>
      <c r="H18" s="945"/>
      <c r="I18" s="944">
        <v>1559617.41</v>
      </c>
      <c r="J18" s="945"/>
      <c r="K18" s="946">
        <v>1206983.96</v>
      </c>
      <c r="L18" s="944">
        <v>1151064.3931332</v>
      </c>
      <c r="M18" s="945"/>
      <c r="N18" s="944">
        <f>+I18-K18</f>
        <v>352633.44999999995</v>
      </c>
      <c r="O18" s="562"/>
      <c r="Q18">
        <f>-0.1525</f>
        <v>-0.1525</v>
      </c>
      <c r="R18" s="944">
        <f>+Q18*N18</f>
        <v>-53776.601124999994</v>
      </c>
      <c r="S18" s="563">
        <v>352633.4470704305</v>
      </c>
      <c r="T18" s="561">
        <f>+I18</f>
        <v>1559617.41</v>
      </c>
      <c r="U18" s="770">
        <f>+E18</f>
        <v>1329808</v>
      </c>
      <c r="V18" s="139">
        <f>+U18/U$42*V$43</f>
        <v>84116.39828371668</v>
      </c>
      <c r="W18" s="120">
        <f>+V18*0.77776</f>
        <v>65422.36992914349</v>
      </c>
      <c r="Y18" s="944">
        <f>-N18*0.04428+N18</f>
        <v>337018.840834</v>
      </c>
    </row>
    <row r="19" spans="1:25" ht="15">
      <c r="A19" s="115">
        <v>2</v>
      </c>
      <c r="B19" s="564" t="s">
        <v>1287</v>
      </c>
      <c r="C19" s="1018" t="s">
        <v>1290</v>
      </c>
      <c r="D19" s="942">
        <v>147372.66666666666</v>
      </c>
      <c r="E19" s="942">
        <v>99122776</v>
      </c>
      <c r="F19" s="943"/>
      <c r="G19" s="942">
        <v>101582760.38</v>
      </c>
      <c r="H19" s="947"/>
      <c r="I19" s="942">
        <v>120718620.62</v>
      </c>
      <c r="J19" s="947"/>
      <c r="K19" s="948">
        <v>91194796.41499999</v>
      </c>
      <c r="L19" s="942">
        <v>86969741.49709305</v>
      </c>
      <c r="M19" s="947"/>
      <c r="N19" s="942">
        <f>+I19-K19</f>
        <v>29523824.205000013</v>
      </c>
      <c r="O19" s="575"/>
      <c r="R19" s="942">
        <v>9729722</v>
      </c>
      <c r="S19" s="615">
        <v>29512529.78916143</v>
      </c>
      <c r="T19" s="561">
        <f aca="true" t="shared" si="0" ref="T19:T63">+I19</f>
        <v>120718620.62</v>
      </c>
      <c r="U19" s="770">
        <f>+'MPP-3 p11'!E16</f>
        <v>5862710</v>
      </c>
      <c r="V19" s="139">
        <f>+U19/U$42*V$43</f>
        <v>370843.04605020327</v>
      </c>
      <c r="W19" s="120">
        <f>+V19*0.77776</f>
        <v>288426.8874960061</v>
      </c>
      <c r="Y19" s="942">
        <f>-N19*0.04428+N19</f>
        <v>28216509.269202612</v>
      </c>
    </row>
    <row r="20" spans="1:25" ht="15">
      <c r="A20" s="115">
        <v>3</v>
      </c>
      <c r="B20" s="564" t="s">
        <v>1305</v>
      </c>
      <c r="C20" s="1018" t="s">
        <v>1306</v>
      </c>
      <c r="D20" s="942">
        <v>0</v>
      </c>
      <c r="E20" s="942">
        <v>0</v>
      </c>
      <c r="F20" s="943"/>
      <c r="G20" s="949">
        <v>0</v>
      </c>
      <c r="H20" s="950"/>
      <c r="I20" s="949">
        <v>0</v>
      </c>
      <c r="J20" s="950"/>
      <c r="K20" s="943">
        <v>0</v>
      </c>
      <c r="L20" s="949">
        <v>0</v>
      </c>
      <c r="M20" s="950"/>
      <c r="N20" s="942">
        <f>+I20-K20</f>
        <v>0</v>
      </c>
      <c r="O20" s="149"/>
      <c r="R20" s="942"/>
      <c r="S20" s="615">
        <v>0</v>
      </c>
      <c r="T20" s="561">
        <f t="shared" si="0"/>
        <v>0</v>
      </c>
      <c r="U20" s="770">
        <f>+E20</f>
        <v>0</v>
      </c>
      <c r="V20" s="139">
        <f>+U20/U$42*V$43</f>
        <v>0</v>
      </c>
      <c r="W20" s="120">
        <f>+V20*0.77776</f>
        <v>0</v>
      </c>
      <c r="Y20" s="942">
        <f>-N20*0.04428+N20</f>
        <v>0</v>
      </c>
    </row>
    <row r="21" spans="1:25" ht="15">
      <c r="A21" s="115">
        <v>4</v>
      </c>
      <c r="B21" s="564" t="s">
        <v>1298</v>
      </c>
      <c r="C21" s="1018" t="s">
        <v>1299</v>
      </c>
      <c r="D21" s="942">
        <v>44</v>
      </c>
      <c r="E21" s="942">
        <v>73433</v>
      </c>
      <c r="F21" s="943"/>
      <c r="G21" s="949">
        <v>71447.87</v>
      </c>
      <c r="H21" s="950"/>
      <c r="I21" s="949">
        <v>86003.45</v>
      </c>
      <c r="J21" s="950"/>
      <c r="K21" s="943">
        <v>69104.83</v>
      </c>
      <c r="L21" s="949">
        <v>65903.2032261</v>
      </c>
      <c r="M21" s="950"/>
      <c r="N21" s="942">
        <f>+I21-K21</f>
        <v>16898.619999999995</v>
      </c>
      <c r="O21" s="149"/>
      <c r="Q21">
        <v>0.434</v>
      </c>
      <c r="R21" s="942">
        <f>+Q21*N21</f>
        <v>7334.001079999998</v>
      </c>
      <c r="S21" s="615">
        <v>16898.61917872663</v>
      </c>
      <c r="T21" s="561">
        <f t="shared" si="0"/>
        <v>86003.45</v>
      </c>
      <c r="U21" s="770">
        <f>+E21</f>
        <v>73433</v>
      </c>
      <c r="V21" s="139">
        <f>+U21/U$42*V$43</f>
        <v>4644.97090946074</v>
      </c>
      <c r="W21" s="120">
        <f>+V21*0.77776</f>
        <v>3612.672574542185</v>
      </c>
      <c r="Y21" s="942">
        <f>-N21*0.04428+N21</f>
        <v>16150.349106399995</v>
      </c>
    </row>
    <row r="22" spans="1:27" ht="17.25">
      <c r="A22" s="115">
        <v>5</v>
      </c>
      <c r="B22" s="564" t="s">
        <v>1292</v>
      </c>
      <c r="C22" s="1019"/>
      <c r="D22" s="951">
        <f>SUM(D18:D21)</f>
        <v>148879.16666666666</v>
      </c>
      <c r="E22" s="951">
        <f>SUM(E18:E21)</f>
        <v>100526017</v>
      </c>
      <c r="F22" s="952"/>
      <c r="G22" s="953">
        <f>SUM(G18:G21)</f>
        <v>102961339.83</v>
      </c>
      <c r="H22" s="954"/>
      <c r="I22" s="953">
        <f>SUM(I18:I21)</f>
        <v>122364241.48</v>
      </c>
      <c r="J22" s="954"/>
      <c r="K22" s="955">
        <f>SUM(K18:K21)</f>
        <v>92470885.20499998</v>
      </c>
      <c r="L22" s="953">
        <f>SUM(L18:L21)</f>
        <v>88186709.09345235</v>
      </c>
      <c r="M22" s="954"/>
      <c r="N22" s="953">
        <f>SUM(N18:N21)</f>
        <v>29893356.275000013</v>
      </c>
      <c r="O22" s="566"/>
      <c r="R22" s="953">
        <f>SUM(R18:R21)</f>
        <v>9683279.399955</v>
      </c>
      <c r="S22" s="167">
        <v>29882061.855410587</v>
      </c>
      <c r="T22" s="561">
        <f t="shared" si="0"/>
        <v>122364241.48</v>
      </c>
      <c r="U22" s="565"/>
      <c r="Y22" s="953">
        <f>SUM(Y18:Y21)</f>
        <v>28569678.459143013</v>
      </c>
      <c r="Z22" s="953">
        <v>28811000</v>
      </c>
      <c r="AA22" s="953">
        <f>+Z22-Y22</f>
        <v>241321.54085698724</v>
      </c>
    </row>
    <row r="23" spans="1:25" ht="15">
      <c r="A23" s="115"/>
      <c r="B23" s="567" t="s">
        <v>1301</v>
      </c>
      <c r="C23" s="1019"/>
      <c r="D23" s="942"/>
      <c r="E23" s="949"/>
      <c r="F23" s="943"/>
      <c r="G23" s="949"/>
      <c r="H23" s="950"/>
      <c r="I23" s="949"/>
      <c r="J23" s="950"/>
      <c r="K23" s="949"/>
      <c r="L23" s="949"/>
      <c r="M23" s="950"/>
      <c r="N23" s="949"/>
      <c r="O23" s="149"/>
      <c r="R23" s="949"/>
      <c r="T23" s="561">
        <f t="shared" si="0"/>
        <v>0</v>
      </c>
      <c r="Y23" s="949"/>
    </row>
    <row r="24" spans="1:25" ht="15">
      <c r="A24" s="115">
        <v>6</v>
      </c>
      <c r="B24" s="564" t="s">
        <v>1295</v>
      </c>
      <c r="C24" s="1018" t="s">
        <v>1296</v>
      </c>
      <c r="D24" s="942">
        <v>41.916666666666664</v>
      </c>
      <c r="E24" s="949">
        <v>101667</v>
      </c>
      <c r="F24" s="943"/>
      <c r="G24" s="944">
        <v>93375.23</v>
      </c>
      <c r="H24" s="950"/>
      <c r="I24" s="944">
        <v>113338.8</v>
      </c>
      <c r="J24" s="950"/>
      <c r="K24" s="944">
        <v>93120.42</v>
      </c>
      <c r="L24" s="944">
        <v>88806.1509414</v>
      </c>
      <c r="M24" s="950"/>
      <c r="N24" s="944">
        <f>+I24-K24</f>
        <v>20218.380000000005</v>
      </c>
      <c r="O24" s="149"/>
      <c r="Q24">
        <f>-0.1525</f>
        <v>-0.1525</v>
      </c>
      <c r="R24" s="944">
        <f>+Q24*N24</f>
        <v>-3083.3029500000007</v>
      </c>
      <c r="T24" s="561">
        <f t="shared" si="0"/>
        <v>113338.8</v>
      </c>
      <c r="U24" s="770">
        <f>+E24</f>
        <v>101667</v>
      </c>
      <c r="V24" s="139">
        <f>+U24/U$42*V$43</f>
        <v>6430.89969703192</v>
      </c>
      <c r="W24" s="120">
        <f>+V24*0.77776</f>
        <v>5001.696548363547</v>
      </c>
      <c r="Y24" s="944">
        <f>-N24*0.04428+N24</f>
        <v>19323.110133600003</v>
      </c>
    </row>
    <row r="25" spans="1:25" ht="15">
      <c r="A25" s="115">
        <v>7</v>
      </c>
      <c r="B25" s="564" t="s">
        <v>1287</v>
      </c>
      <c r="C25" s="1018" t="s">
        <v>1303</v>
      </c>
      <c r="D25" s="942">
        <v>22029.5</v>
      </c>
      <c r="E25" s="949">
        <v>73180576</v>
      </c>
      <c r="F25" s="943"/>
      <c r="G25" s="949">
        <v>69207960.36</v>
      </c>
      <c r="H25" s="950"/>
      <c r="I25" s="949">
        <v>83253645.11</v>
      </c>
      <c r="J25" s="950"/>
      <c r="K25" s="949">
        <v>67157746.28525001</v>
      </c>
      <c r="L25" s="949">
        <v>64046327.89985436</v>
      </c>
      <c r="M25" s="950"/>
      <c r="N25" s="942">
        <f>+I25-K25</f>
        <v>16095898.824749991</v>
      </c>
      <c r="O25" s="149"/>
      <c r="R25" s="942">
        <v>3184102</v>
      </c>
      <c r="T25" s="561">
        <f t="shared" si="0"/>
        <v>83253645.11</v>
      </c>
      <c r="U25" s="770">
        <f>+'MPP-3 p11'!E25</f>
        <v>4439798</v>
      </c>
      <c r="V25" s="139">
        <f>+U25/U$42*V$43</f>
        <v>280837.3967273838</v>
      </c>
      <c r="W25" s="120">
        <f>+V25*0.77776</f>
        <v>218424.09367869</v>
      </c>
      <c r="Y25" s="942">
        <f>-N25*0.04428+N25</f>
        <v>15383172.424790062</v>
      </c>
    </row>
    <row r="26" spans="1:25" ht="15">
      <c r="A26" s="115">
        <v>8</v>
      </c>
      <c r="B26" s="564" t="s">
        <v>1310</v>
      </c>
      <c r="C26" s="1018" t="s">
        <v>1311</v>
      </c>
      <c r="D26" s="942">
        <v>62.75</v>
      </c>
      <c r="E26" s="949">
        <v>6477837</v>
      </c>
      <c r="F26" s="943"/>
      <c r="G26" s="949">
        <v>5515045.94</v>
      </c>
      <c r="H26" s="950"/>
      <c r="I26" s="949">
        <v>6769189.750000001</v>
      </c>
      <c r="J26" s="950"/>
      <c r="K26" s="949">
        <v>5898435.75</v>
      </c>
      <c r="L26" s="949">
        <v>5625161.2217025</v>
      </c>
      <c r="M26" s="950"/>
      <c r="N26" s="942">
        <f>+I26-K26</f>
        <v>870754.0000000009</v>
      </c>
      <c r="O26" s="149"/>
      <c r="Q26">
        <f>-0.4918</f>
        <v>-0.4918</v>
      </c>
      <c r="R26" s="942">
        <f>+Q26*N26</f>
        <v>-428236.81720000046</v>
      </c>
      <c r="T26" s="561">
        <f t="shared" si="0"/>
        <v>6769189.750000001</v>
      </c>
      <c r="U26" s="770">
        <f>+E26</f>
        <v>6477837</v>
      </c>
      <c r="V26" s="139">
        <f>+U26/U$42*V$43</f>
        <v>409752.62376899255</v>
      </c>
      <c r="W26" s="120">
        <f>+V26*0.77776</f>
        <v>318689.20066257165</v>
      </c>
      <c r="Y26" s="942">
        <f>-N26*0.04428+N26</f>
        <v>832197.0128800009</v>
      </c>
    </row>
    <row r="27" spans="1:25" ht="15">
      <c r="A27" s="115">
        <v>9</v>
      </c>
      <c r="B27" s="564" t="s">
        <v>1305</v>
      </c>
      <c r="C27" s="1018" t="s">
        <v>1306</v>
      </c>
      <c r="D27" s="942">
        <v>1</v>
      </c>
      <c r="E27" s="949">
        <v>55917</v>
      </c>
      <c r="F27" s="943"/>
      <c r="G27" s="949">
        <v>51655.92</v>
      </c>
      <c r="H27" s="950"/>
      <c r="I27" s="949">
        <v>62621.05</v>
      </c>
      <c r="J27" s="950"/>
      <c r="K27" s="949">
        <v>51332.22</v>
      </c>
      <c r="L27" s="949">
        <v>48953.9982474</v>
      </c>
      <c r="M27" s="950"/>
      <c r="N27" s="942">
        <f>+I27-K27</f>
        <v>11288.830000000002</v>
      </c>
      <c r="O27" s="149"/>
      <c r="R27" s="942">
        <v>0</v>
      </c>
      <c r="T27" s="561">
        <f t="shared" si="0"/>
        <v>62621.05</v>
      </c>
      <c r="U27" s="770">
        <f>+E27</f>
        <v>55917</v>
      </c>
      <c r="V27" s="139">
        <f>+U27/U$42*V$43</f>
        <v>3537.004321549115</v>
      </c>
      <c r="W27" s="120">
        <f>+V27*0.77776</f>
        <v>2750.9404811280397</v>
      </c>
      <c r="Y27" s="942">
        <f>-N27*0.04428+N27</f>
        <v>10788.960607600002</v>
      </c>
    </row>
    <row r="28" spans="1:25" ht="15">
      <c r="A28" s="115">
        <v>10</v>
      </c>
      <c r="B28" s="564" t="s">
        <v>1298</v>
      </c>
      <c r="C28" s="1018" t="s">
        <v>1299</v>
      </c>
      <c r="D28" s="942">
        <v>27</v>
      </c>
      <c r="E28" s="949">
        <v>88291</v>
      </c>
      <c r="F28" s="943"/>
      <c r="G28" s="949">
        <v>83408.97</v>
      </c>
      <c r="H28" s="950"/>
      <c r="I28" s="949">
        <v>100810.26</v>
      </c>
      <c r="J28" s="950"/>
      <c r="K28" s="949">
        <v>81970.47</v>
      </c>
      <c r="L28" s="949">
        <v>78172.7781249</v>
      </c>
      <c r="M28" s="950"/>
      <c r="N28" s="942">
        <f>+I28-K28</f>
        <v>18839.789999999994</v>
      </c>
      <c r="O28" s="149"/>
      <c r="Q28">
        <v>0.434</v>
      </c>
      <c r="R28" s="942">
        <f>+Q28*N28</f>
        <v>8176.468859999997</v>
      </c>
      <c r="T28" s="561">
        <f t="shared" si="0"/>
        <v>100810.26</v>
      </c>
      <c r="U28" s="770">
        <f>+E28</f>
        <v>88291</v>
      </c>
      <c r="V28" s="139">
        <f>+U28/U$42*V$43</f>
        <v>5584.806920147593</v>
      </c>
      <c r="W28" s="120">
        <f>+V28*0.77776</f>
        <v>4343.639430213992</v>
      </c>
      <c r="Y28" s="942">
        <f>-N28*0.04428+N28</f>
        <v>18005.564098799994</v>
      </c>
    </row>
    <row r="29" spans="1:27" ht="17.25">
      <c r="A29" s="115">
        <v>11</v>
      </c>
      <c r="B29" s="564" t="s">
        <v>1292</v>
      </c>
      <c r="C29" s="1019"/>
      <c r="D29" s="951">
        <f>SUM(D24:D28)</f>
        <v>22162.166666666668</v>
      </c>
      <c r="E29" s="951">
        <f>SUM(E24:E28)</f>
        <v>79904288</v>
      </c>
      <c r="F29" s="952"/>
      <c r="G29" s="953">
        <f>SUM(G24:G28)</f>
        <v>74951446.42</v>
      </c>
      <c r="H29" s="956"/>
      <c r="I29" s="953">
        <f>SUM(I24:I28)</f>
        <v>90299604.97</v>
      </c>
      <c r="J29" s="956"/>
      <c r="K29" s="953">
        <f>SUM(K24:K28)</f>
        <v>73282605.14525001</v>
      </c>
      <c r="L29" s="953">
        <f>SUM(L24:L28)</f>
        <v>69887422.04887056</v>
      </c>
      <c r="M29" s="956"/>
      <c r="N29" s="953">
        <f>SUM(N24:N28)</f>
        <v>17016999.82474999</v>
      </c>
      <c r="O29" s="150"/>
      <c r="R29" s="953">
        <f>SUM(R24:R28)</f>
        <v>2760958.3487099996</v>
      </c>
      <c r="T29" s="561">
        <f t="shared" si="0"/>
        <v>90299604.97</v>
      </c>
      <c r="Y29" s="953">
        <f>SUM(Y24:Y28)</f>
        <v>16263487.072510062</v>
      </c>
      <c r="Z29" s="953">
        <v>16235000</v>
      </c>
      <c r="AA29" s="953">
        <f>+Z29-Y29</f>
        <v>-28487.072510061786</v>
      </c>
    </row>
    <row r="30" spans="1:25" ht="15">
      <c r="A30" s="115"/>
      <c r="B30" s="567" t="s">
        <v>1313</v>
      </c>
      <c r="C30" s="1019"/>
      <c r="D30" s="634"/>
      <c r="E30" s="949"/>
      <c r="F30" s="943"/>
      <c r="G30" s="949"/>
      <c r="H30" s="950"/>
      <c r="I30" s="949"/>
      <c r="J30" s="950"/>
      <c r="K30" s="949"/>
      <c r="L30" s="949"/>
      <c r="M30" s="950"/>
      <c r="N30" s="949"/>
      <c r="O30" s="149"/>
      <c r="R30" s="949"/>
      <c r="T30" s="561">
        <f t="shared" si="0"/>
        <v>0</v>
      </c>
      <c r="Y30" s="949"/>
    </row>
    <row r="31" spans="1:25" ht="15">
      <c r="A31" s="115">
        <v>12</v>
      </c>
      <c r="B31" s="564" t="s">
        <v>1287</v>
      </c>
      <c r="C31" s="1018" t="s">
        <v>1315</v>
      </c>
      <c r="D31" s="942">
        <v>404.75</v>
      </c>
      <c r="E31" s="949">
        <v>10198314</v>
      </c>
      <c r="F31" s="943"/>
      <c r="G31" s="944">
        <v>8776625.129999999</v>
      </c>
      <c r="H31" s="950"/>
      <c r="I31" s="944">
        <v>10814281.27</v>
      </c>
      <c r="J31" s="950"/>
      <c r="K31" s="944">
        <v>9406355.89</v>
      </c>
      <c r="L31" s="944">
        <v>8970559.421616301</v>
      </c>
      <c r="M31" s="950"/>
      <c r="N31" s="944">
        <f>+I31-K31</f>
        <v>1407925.379999999</v>
      </c>
      <c r="O31" s="149"/>
      <c r="Q31">
        <v>0.3358</v>
      </c>
      <c r="R31" s="944">
        <f>+Q31*N31</f>
        <v>472781.34260399966</v>
      </c>
      <c r="T31" s="561">
        <f t="shared" si="0"/>
        <v>10814281.27</v>
      </c>
      <c r="U31" s="770">
        <f>+E31</f>
        <v>10198314</v>
      </c>
      <c r="V31" s="139">
        <f>+U31/U$42*V$43</f>
        <v>645089.6988485585</v>
      </c>
      <c r="W31" s="120">
        <f>+V31*0.77776</f>
        <v>501724.9641764548</v>
      </c>
      <c r="Y31" s="944">
        <f>-N31*0.04428+N31</f>
        <v>1345582.444173599</v>
      </c>
    </row>
    <row r="32" spans="1:25" ht="15">
      <c r="A32" s="115">
        <v>13</v>
      </c>
      <c r="B32" s="564" t="s">
        <v>1310</v>
      </c>
      <c r="C32" s="1018" t="s">
        <v>1311</v>
      </c>
      <c r="D32" s="942">
        <v>7.333333333333333</v>
      </c>
      <c r="E32" s="949">
        <v>1351604</v>
      </c>
      <c r="F32" s="943"/>
      <c r="G32" s="949">
        <v>1121837.57</v>
      </c>
      <c r="H32" s="950"/>
      <c r="I32" s="949">
        <v>1374604.04</v>
      </c>
      <c r="J32" s="950"/>
      <c r="K32" s="949">
        <v>1230644.11</v>
      </c>
      <c r="L32" s="949">
        <v>1173628.3683837</v>
      </c>
      <c r="M32" s="950"/>
      <c r="N32" s="942">
        <f>+I32-K32</f>
        <v>143959.92999999993</v>
      </c>
      <c r="O32" s="149"/>
      <c r="Q32">
        <f>-0.4918</f>
        <v>-0.4918</v>
      </c>
      <c r="R32" s="942">
        <f>+Q32*N32</f>
        <v>-70799.49357399996</v>
      </c>
      <c r="T32" s="561">
        <f t="shared" si="0"/>
        <v>1374604.04</v>
      </c>
      <c r="U32" s="770">
        <f>+E32</f>
        <v>1351604</v>
      </c>
      <c r="V32" s="139">
        <f>+U32/U$42*V$43</f>
        <v>85495.09431877731</v>
      </c>
      <c r="W32" s="120">
        <f>+V32*0.77776</f>
        <v>66494.66455737223</v>
      </c>
      <c r="Y32" s="942">
        <f>-N32*0.04428+N32</f>
        <v>137585.38429959994</v>
      </c>
    </row>
    <row r="33" spans="1:25" ht="17.25">
      <c r="A33" s="115">
        <v>14</v>
      </c>
      <c r="B33" s="564" t="s">
        <v>1305</v>
      </c>
      <c r="C33" s="1018" t="s">
        <v>1306</v>
      </c>
      <c r="D33" s="942">
        <v>1</v>
      </c>
      <c r="E33" s="949">
        <v>5379</v>
      </c>
      <c r="F33" s="957"/>
      <c r="G33" s="958">
        <v>5031.29</v>
      </c>
      <c r="H33" s="959"/>
      <c r="I33" s="958">
        <v>6099.79</v>
      </c>
      <c r="J33" s="959"/>
      <c r="K33" s="958">
        <v>4937</v>
      </c>
      <c r="L33" s="958">
        <v>4708.26879</v>
      </c>
      <c r="M33" s="959"/>
      <c r="N33" s="942">
        <f>+I33-K33</f>
        <v>1162.79</v>
      </c>
      <c r="O33" s="152"/>
      <c r="Q33">
        <v>0.434</v>
      </c>
      <c r="R33" s="942">
        <f>+Q33*N33</f>
        <v>504.65085999999997</v>
      </c>
      <c r="T33" s="561">
        <f t="shared" si="0"/>
        <v>6099.79</v>
      </c>
      <c r="U33" s="770">
        <f>+E33</f>
        <v>5379</v>
      </c>
      <c r="V33" s="139">
        <f>+U33/U$42*V$43</f>
        <v>340.24619070430623</v>
      </c>
      <c r="W33" s="120">
        <f>+V33*0.77776</f>
        <v>264.6298772821812</v>
      </c>
      <c r="Y33" s="942">
        <f>-N33*0.04428+N33</f>
        <v>1111.3016588</v>
      </c>
    </row>
    <row r="34" spans="1:25" ht="17.25">
      <c r="A34" s="115">
        <v>15</v>
      </c>
      <c r="B34" s="564" t="s">
        <v>1292</v>
      </c>
      <c r="C34" s="1019"/>
      <c r="D34" s="951">
        <f>SUM(D31:D33)</f>
        <v>413.0833333333333</v>
      </c>
      <c r="E34" s="951">
        <f>SUM(E31:E33)</f>
        <v>11555297</v>
      </c>
      <c r="F34" s="952"/>
      <c r="G34" s="953">
        <f>SUM(G31:G33)</f>
        <v>9903493.989999998</v>
      </c>
      <c r="H34" s="956"/>
      <c r="I34" s="953">
        <f>SUM(I31:I33)</f>
        <v>12194985.099999998</v>
      </c>
      <c r="J34" s="956"/>
      <c r="K34" s="953">
        <f>SUM(K31:K33)</f>
        <v>10641937</v>
      </c>
      <c r="L34" s="953">
        <f>SUM(L31:L33)</f>
        <v>10148896.05879</v>
      </c>
      <c r="M34" s="956"/>
      <c r="N34" s="953">
        <f>SUM(N31:N33)</f>
        <v>1553048.099999999</v>
      </c>
      <c r="O34" s="150"/>
      <c r="R34" s="953">
        <f>SUM(R31:R33)</f>
        <v>402486.4998899997</v>
      </c>
      <c r="T34" s="561">
        <f t="shared" si="0"/>
        <v>12194985.099999998</v>
      </c>
      <c r="Y34" s="953">
        <f>SUM(Y31:Y33)</f>
        <v>1484279.130131999</v>
      </c>
    </row>
    <row r="35" spans="1:25" ht="15">
      <c r="A35" s="115"/>
      <c r="B35" s="567" t="s">
        <v>103</v>
      </c>
      <c r="C35" s="1019"/>
      <c r="D35" s="960"/>
      <c r="E35" s="949"/>
      <c r="F35" s="943"/>
      <c r="G35" s="949"/>
      <c r="H35" s="950"/>
      <c r="I35" s="949"/>
      <c r="J35" s="950"/>
      <c r="K35" s="949"/>
      <c r="L35" s="949"/>
      <c r="M35" s="950"/>
      <c r="N35" s="949"/>
      <c r="O35" s="149"/>
      <c r="R35" s="949"/>
      <c r="T35" s="561">
        <f t="shared" si="0"/>
        <v>0</v>
      </c>
      <c r="Y35" s="949"/>
    </row>
    <row r="36" spans="1:25" ht="17.25">
      <c r="A36" s="115">
        <v>16</v>
      </c>
      <c r="B36" s="564" t="s">
        <v>1319</v>
      </c>
      <c r="C36" s="1018" t="s">
        <v>1320</v>
      </c>
      <c r="D36" s="942">
        <v>4.666666666666667</v>
      </c>
      <c r="E36" s="949">
        <v>877330</v>
      </c>
      <c r="F36" s="957"/>
      <c r="G36" s="944">
        <v>687698.88</v>
      </c>
      <c r="H36" s="950"/>
      <c r="I36" s="944">
        <v>855127.01</v>
      </c>
      <c r="J36" s="950"/>
      <c r="K36" s="944">
        <v>791398.83</v>
      </c>
      <c r="L36" s="944">
        <v>754733.3222061</v>
      </c>
      <c r="M36" s="950"/>
      <c r="N36" s="944">
        <f>+I36-K36</f>
        <v>63728.18000000005</v>
      </c>
      <c r="O36" s="149"/>
      <c r="Q36">
        <f>-0.1665</f>
        <v>-0.1665</v>
      </c>
      <c r="R36" s="944">
        <f>+Q36*N36</f>
        <v>-10610.741970000008</v>
      </c>
      <c r="T36" s="561">
        <f t="shared" si="0"/>
        <v>855127.01</v>
      </c>
      <c r="U36" s="770">
        <f>+E36</f>
        <v>877330</v>
      </c>
      <c r="V36" s="139">
        <f>+U36/U$42*V$43</f>
        <v>55495.10884748261</v>
      </c>
      <c r="W36" s="120">
        <f>+V36*0.77776</f>
        <v>43161.875857218074</v>
      </c>
      <c r="Y36" s="944">
        <f>-N36*0.04428+N36</f>
        <v>60906.29618960005</v>
      </c>
    </row>
    <row r="37" spans="1:25" ht="17.25">
      <c r="A37" s="115">
        <v>17</v>
      </c>
      <c r="B37" s="564" t="s">
        <v>1292</v>
      </c>
      <c r="C37" s="1019"/>
      <c r="D37" s="951">
        <f>SUM(D36)</f>
        <v>4.666666666666667</v>
      </c>
      <c r="E37" s="951">
        <f>SUM(E36)</f>
        <v>877330</v>
      </c>
      <c r="F37" s="952"/>
      <c r="G37" s="953">
        <f>SUM(G36)</f>
        <v>687698.88</v>
      </c>
      <c r="H37" s="956"/>
      <c r="I37" s="953">
        <f>SUM(I36)</f>
        <v>855127.01</v>
      </c>
      <c r="J37" s="956"/>
      <c r="K37" s="953">
        <f>SUM(K36)</f>
        <v>791398.83</v>
      </c>
      <c r="L37" s="953">
        <f>SUM(L36)</f>
        <v>754733.3222061</v>
      </c>
      <c r="M37" s="956"/>
      <c r="N37" s="953">
        <f>SUM(N36)</f>
        <v>63728.18000000005</v>
      </c>
      <c r="O37" s="150"/>
      <c r="R37" s="953">
        <f>SUM(R36)</f>
        <v>-10610.741970000008</v>
      </c>
      <c r="T37" s="561">
        <f t="shared" si="0"/>
        <v>855127.01</v>
      </c>
      <c r="Y37" s="953">
        <f>SUM(Y36)</f>
        <v>60906.29618960005</v>
      </c>
    </row>
    <row r="38" spans="1:25" ht="15">
      <c r="A38" s="115"/>
      <c r="B38" s="567" t="s">
        <v>1459</v>
      </c>
      <c r="C38" s="1019"/>
      <c r="D38" s="960"/>
      <c r="E38" s="949"/>
      <c r="F38" s="943"/>
      <c r="G38" s="949"/>
      <c r="H38" s="950"/>
      <c r="I38" s="949"/>
      <c r="J38" s="950"/>
      <c r="K38" s="949"/>
      <c r="L38" s="949"/>
      <c r="M38" s="950"/>
      <c r="N38" s="949"/>
      <c r="O38" s="149"/>
      <c r="R38" s="949"/>
      <c r="T38" s="561">
        <f t="shared" si="0"/>
        <v>0</v>
      </c>
      <c r="Y38" s="949"/>
    </row>
    <row r="39" spans="1:25" ht="17.25">
      <c r="A39" s="115">
        <v>18</v>
      </c>
      <c r="B39" s="564" t="s">
        <v>104</v>
      </c>
      <c r="C39" s="1018" t="s">
        <v>1320</v>
      </c>
      <c r="D39" s="942">
        <v>7</v>
      </c>
      <c r="E39" s="949">
        <v>2386834</v>
      </c>
      <c r="F39" s="957"/>
      <c r="G39" s="944">
        <v>1821142.58</v>
      </c>
      <c r="H39" s="950"/>
      <c r="I39" s="944">
        <v>2278529.13</v>
      </c>
      <c r="J39" s="950"/>
      <c r="K39" s="944">
        <v>2153115.21</v>
      </c>
      <c r="L39" s="944">
        <v>2053361.3823207</v>
      </c>
      <c r="M39" s="950"/>
      <c r="N39" s="944">
        <f>+I39-K39</f>
        <v>125413.91999999993</v>
      </c>
      <c r="O39" s="149"/>
      <c r="Q39">
        <f>-0.1665</f>
        <v>-0.1665</v>
      </c>
      <c r="R39" s="944">
        <f>+Q39*N39</f>
        <v>-20881.417679999988</v>
      </c>
      <c r="T39" s="561">
        <f t="shared" si="0"/>
        <v>2278529.13</v>
      </c>
      <c r="U39" s="770">
        <f>+E39</f>
        <v>2386834</v>
      </c>
      <c r="V39" s="139">
        <f>+U39/U$42*V$43</f>
        <v>150978.09562065848</v>
      </c>
      <c r="W39" s="120">
        <f>+V39*0.77776</f>
        <v>117424.72364992334</v>
      </c>
      <c r="Y39" s="944">
        <f>-N39*0.04428+N39</f>
        <v>119860.59162239992</v>
      </c>
    </row>
    <row r="40" spans="1:25" ht="17.25">
      <c r="A40" s="115">
        <v>19</v>
      </c>
      <c r="B40" s="564" t="s">
        <v>1322</v>
      </c>
      <c r="C40" s="1018" t="s">
        <v>1323</v>
      </c>
      <c r="D40" s="942">
        <v>3</v>
      </c>
      <c r="E40" s="958">
        <v>407759</v>
      </c>
      <c r="F40" s="957"/>
      <c r="G40" s="958">
        <v>326699.4</v>
      </c>
      <c r="H40" s="959"/>
      <c r="I40" s="958">
        <v>404807.55</v>
      </c>
      <c r="J40" s="959"/>
      <c r="K40" s="958">
        <v>367831.24</v>
      </c>
      <c r="L40" s="958">
        <v>350789.6186508</v>
      </c>
      <c r="M40" s="959"/>
      <c r="N40" s="942">
        <f>+I40-K40</f>
        <v>36976.31</v>
      </c>
      <c r="O40" s="152"/>
      <c r="Q40">
        <f>-0.3589</f>
        <v>-0.3589</v>
      </c>
      <c r="R40" s="942">
        <f>+Q40*N40</f>
        <v>-13270.797659</v>
      </c>
      <c r="T40" s="561">
        <f t="shared" si="0"/>
        <v>404807.55</v>
      </c>
      <c r="U40" s="770">
        <f>+E40</f>
        <v>407759</v>
      </c>
      <c r="V40" s="139">
        <f>+U40/U$42*V$43</f>
        <v>25792.609495333185</v>
      </c>
      <c r="W40" s="120">
        <f>+V40*0.77776</f>
        <v>20060.45996109034</v>
      </c>
      <c r="Y40" s="942">
        <f>-N40*0.04428+N40</f>
        <v>35338.998993199995</v>
      </c>
    </row>
    <row r="41" spans="1:25" ht="17.25">
      <c r="A41" s="115">
        <v>20</v>
      </c>
      <c r="B41" s="564" t="s">
        <v>1292</v>
      </c>
      <c r="C41" s="1019"/>
      <c r="D41" s="951">
        <v>10</v>
      </c>
      <c r="E41" s="951">
        <f>SUM(E39:E40)</f>
        <v>2794593</v>
      </c>
      <c r="F41" s="952"/>
      <c r="G41" s="953">
        <f>SUM(G39:G40)</f>
        <v>2147841.98</v>
      </c>
      <c r="H41" s="956"/>
      <c r="I41" s="953">
        <f>SUM(I39:I40)</f>
        <v>2683336.6799999997</v>
      </c>
      <c r="J41" s="956"/>
      <c r="K41" s="953">
        <f>SUM(K39:K40)</f>
        <v>2520946.45</v>
      </c>
      <c r="L41" s="953">
        <f>SUM(L39:L40)</f>
        <v>2404151.0009715</v>
      </c>
      <c r="M41" s="956"/>
      <c r="N41" s="953">
        <f>SUM(N39:N40)</f>
        <v>162390.22999999992</v>
      </c>
      <c r="O41" s="150"/>
      <c r="R41" s="953">
        <f>SUM(R39:R40)</f>
        <v>-34152.21533899999</v>
      </c>
      <c r="T41" s="561">
        <f t="shared" si="0"/>
        <v>2683336.6799999997</v>
      </c>
      <c r="Y41" s="953">
        <f>SUM(Y39:Y40)</f>
        <v>155199.5906155999</v>
      </c>
    </row>
    <row r="42" spans="1:25" ht="15">
      <c r="A42" s="115">
        <v>21</v>
      </c>
      <c r="B42" s="567" t="s">
        <v>105</v>
      </c>
      <c r="C42" s="1019"/>
      <c r="D42" s="961">
        <f>+D41+D37+D34+D29+D22</f>
        <v>171469.0833333333</v>
      </c>
      <c r="E42" s="961">
        <f>+E41+E37+E34+E29+E22</f>
        <v>195657525</v>
      </c>
      <c r="F42" s="962"/>
      <c r="G42" s="963">
        <f>+G41+G37+G34+G29+G22</f>
        <v>190651821.1</v>
      </c>
      <c r="H42" s="964"/>
      <c r="I42" s="963">
        <f>+I41+I37+I34+I29+I22</f>
        <v>228397295.24</v>
      </c>
      <c r="J42" s="964"/>
      <c r="K42" s="963">
        <f>+K41+K37+K34+K29+K22</f>
        <v>179707772.63024998</v>
      </c>
      <c r="L42" s="963">
        <f>+L41+L37+L34+L29+L22</f>
        <v>171381911.5242905</v>
      </c>
      <c r="M42" s="964"/>
      <c r="N42" s="963">
        <f>+N41+N37+N34+N29+N22</f>
        <v>48689522.60975</v>
      </c>
      <c r="O42" s="153"/>
      <c r="R42" s="963">
        <f>+R41+R37+R34+R29+R22</f>
        <v>12801961.291246</v>
      </c>
      <c r="T42" s="561">
        <f t="shared" si="0"/>
        <v>228397295.24</v>
      </c>
      <c r="U42" s="770">
        <f>SUM(U18:U41)</f>
        <v>33656681</v>
      </c>
      <c r="Y42" s="963">
        <f>+Y41+Y37+Y34+Y29+Y22</f>
        <v>46533550.54859027</v>
      </c>
    </row>
    <row r="43" spans="1:25" ht="15">
      <c r="A43" s="115">
        <v>22</v>
      </c>
      <c r="B43" s="15" t="s">
        <v>38</v>
      </c>
      <c r="C43" s="1019"/>
      <c r="D43" s="960"/>
      <c r="E43" s="965">
        <v>197786463</v>
      </c>
      <c r="F43" s="966"/>
      <c r="G43" s="634"/>
      <c r="H43" s="635"/>
      <c r="I43" s="634"/>
      <c r="J43" s="635"/>
      <c r="K43" s="634"/>
      <c r="L43" s="634"/>
      <c r="M43" s="635"/>
      <c r="N43" s="634"/>
      <c r="O43" s="155"/>
      <c r="R43" s="634"/>
      <c r="S43" s="121">
        <f>+L42/E43</f>
        <v>0.8664997033911795</v>
      </c>
      <c r="T43" s="561">
        <f t="shared" si="0"/>
        <v>0</v>
      </c>
      <c r="V43">
        <f>+E43-E42</f>
        <v>2128938</v>
      </c>
      <c r="W43" s="220">
        <f>SUM(W18:W42)</f>
        <v>1655802.8188799997</v>
      </c>
      <c r="Y43" s="634"/>
    </row>
    <row r="44" spans="1:25" ht="15">
      <c r="A44" s="115"/>
      <c r="B44" s="174" t="s">
        <v>106</v>
      </c>
      <c r="C44" s="969"/>
      <c r="D44" s="967"/>
      <c r="E44" s="968"/>
      <c r="F44" s="969"/>
      <c r="G44" s="970"/>
      <c r="H44" s="971"/>
      <c r="I44" s="970"/>
      <c r="J44" s="971"/>
      <c r="K44" s="969"/>
      <c r="L44" s="970"/>
      <c r="M44" s="971"/>
      <c r="N44" s="970"/>
      <c r="O44" s="183"/>
      <c r="R44" s="970"/>
      <c r="T44" s="561">
        <f t="shared" si="0"/>
        <v>0</v>
      </c>
      <c r="V44">
        <f>+E43-E42</f>
        <v>2128938</v>
      </c>
      <c r="Y44" s="970"/>
    </row>
    <row r="45" spans="1:27" ht="15">
      <c r="A45" s="154"/>
      <c r="B45" s="764"/>
      <c r="C45" s="1020"/>
      <c r="D45" s="972"/>
      <c r="E45" s="973"/>
      <c r="F45" s="972"/>
      <c r="G45" s="974"/>
      <c r="H45" s="975"/>
      <c r="I45" s="974"/>
      <c r="J45" s="975"/>
      <c r="K45" s="976"/>
      <c r="L45" s="974"/>
      <c r="M45" s="975"/>
      <c r="N45" s="974"/>
      <c r="O45" s="761"/>
      <c r="R45" s="974"/>
      <c r="T45" s="561">
        <f t="shared" si="0"/>
        <v>0</v>
      </c>
      <c r="V45">
        <f>+V44/E42</f>
        <v>0.010880941072928321</v>
      </c>
      <c r="Y45" s="944">
        <f>+Y34+Y37+Y41+Y52-Y46</f>
        <v>15072385.283926804</v>
      </c>
      <c r="Z45" s="953">
        <v>15528000</v>
      </c>
      <c r="AA45" s="953">
        <f>+Z45-Y45</f>
        <v>455614.7160731964</v>
      </c>
    </row>
    <row r="46" spans="1:27" ht="15">
      <c r="A46" s="270">
        <v>23</v>
      </c>
      <c r="B46" s="207" t="s">
        <v>107</v>
      </c>
      <c r="C46" s="93"/>
      <c r="D46" s="977"/>
      <c r="E46" s="960"/>
      <c r="F46" s="977"/>
      <c r="G46" s="960"/>
      <c r="H46" s="978"/>
      <c r="I46" s="960"/>
      <c r="J46" s="978"/>
      <c r="K46" s="979"/>
      <c r="L46" s="960"/>
      <c r="M46" s="978"/>
      <c r="N46" s="960"/>
      <c r="O46" s="571"/>
      <c r="R46" s="960"/>
      <c r="T46" s="561">
        <f t="shared" si="0"/>
        <v>0</v>
      </c>
      <c r="Y46" s="944">
        <v>6250000</v>
      </c>
      <c r="Z46" s="953">
        <v>6284000</v>
      </c>
      <c r="AA46" s="953">
        <f>+Z46-Y46</f>
        <v>34000</v>
      </c>
    </row>
    <row r="47" spans="1:26" ht="17.25">
      <c r="A47" s="270">
        <v>24</v>
      </c>
      <c r="B47" s="207" t="s">
        <v>46</v>
      </c>
      <c r="C47" s="1021" t="s">
        <v>1330</v>
      </c>
      <c r="D47" s="942">
        <v>133.33333333333334</v>
      </c>
      <c r="E47" s="949">
        <v>90046672</v>
      </c>
      <c r="F47" s="957"/>
      <c r="G47" s="944">
        <v>10501342.730000002</v>
      </c>
      <c r="H47" s="950"/>
      <c r="I47" s="944">
        <v>8700915.46</v>
      </c>
      <c r="J47" s="950"/>
      <c r="K47" s="980">
        <v>0</v>
      </c>
      <c r="L47" s="944">
        <v>0</v>
      </c>
      <c r="M47" s="950"/>
      <c r="N47" s="944">
        <f>+I47-K47</f>
        <v>8700915.46</v>
      </c>
      <c r="O47" s="149"/>
      <c r="Q47">
        <v>-0.4453</v>
      </c>
      <c r="R47" s="944">
        <f>+Q47*(N47-78000)</f>
        <v>-3839784.254338</v>
      </c>
      <c r="T47" s="561">
        <f t="shared" si="0"/>
        <v>8700915.46</v>
      </c>
      <c r="Y47" s="944">
        <f>-N47*0.04428+N47</f>
        <v>8315638.923431201</v>
      </c>
      <c r="Z47" s="953"/>
    </row>
    <row r="48" spans="1:26" ht="17.25">
      <c r="A48" s="270">
        <v>25</v>
      </c>
      <c r="B48" s="207" t="s">
        <v>1310</v>
      </c>
      <c r="C48" s="1021">
        <v>664</v>
      </c>
      <c r="D48" s="942">
        <v>24.333333333333332</v>
      </c>
      <c r="E48" s="949">
        <v>155323148</v>
      </c>
      <c r="F48" s="957"/>
      <c r="G48" s="981">
        <v>5732451.4</v>
      </c>
      <c r="H48" s="982"/>
      <c r="I48" s="981">
        <v>5998035.87</v>
      </c>
      <c r="J48" s="982"/>
      <c r="K48" s="983">
        <v>0</v>
      </c>
      <c r="L48" s="981">
        <v>0</v>
      </c>
      <c r="M48" s="982"/>
      <c r="N48" s="942">
        <f>+I48-K48</f>
        <v>5998035.87</v>
      </c>
      <c r="O48" s="573"/>
      <c r="Q48">
        <v>0.276</v>
      </c>
      <c r="R48" s="942">
        <f>+Q48*(N48-75000)</f>
        <v>1634757.9001200001</v>
      </c>
      <c r="T48" s="561">
        <f t="shared" si="0"/>
        <v>5998035.87</v>
      </c>
      <c r="Y48" s="942">
        <f>-N48*0.04428+N48</f>
        <v>5732442.8416764</v>
      </c>
      <c r="Z48" s="953"/>
    </row>
    <row r="49" spans="1:26" ht="17.25">
      <c r="A49" s="270">
        <v>26</v>
      </c>
      <c r="B49" s="207" t="s">
        <v>1332</v>
      </c>
      <c r="C49" s="1021" t="s">
        <v>1333</v>
      </c>
      <c r="D49" s="942">
        <v>0</v>
      </c>
      <c r="E49" s="949">
        <v>0</v>
      </c>
      <c r="F49" s="957"/>
      <c r="G49" s="981">
        <v>0</v>
      </c>
      <c r="H49" s="982"/>
      <c r="I49" s="981">
        <v>0</v>
      </c>
      <c r="J49" s="982"/>
      <c r="K49" s="983">
        <v>0</v>
      </c>
      <c r="L49" s="981">
        <v>0</v>
      </c>
      <c r="M49" s="982"/>
      <c r="N49" s="942">
        <f>+I49-K49</f>
        <v>0</v>
      </c>
      <c r="O49" s="575"/>
      <c r="R49" s="942"/>
      <c r="T49" s="561">
        <f t="shared" si="0"/>
        <v>0</v>
      </c>
      <c r="Y49" s="942">
        <f>-N49*0.04428+N49</f>
        <v>0</v>
      </c>
      <c r="Z49" s="953"/>
    </row>
    <row r="50" spans="1:26" ht="17.25">
      <c r="A50" s="270">
        <v>27</v>
      </c>
      <c r="B50" s="207" t="s">
        <v>1335</v>
      </c>
      <c r="C50" s="1021" t="s">
        <v>1336</v>
      </c>
      <c r="D50" s="942">
        <v>12</v>
      </c>
      <c r="E50" s="949">
        <v>257718509</v>
      </c>
      <c r="F50" s="957"/>
      <c r="G50" s="981">
        <v>5573926.82</v>
      </c>
      <c r="H50" s="982"/>
      <c r="I50" s="981">
        <v>5832166.85</v>
      </c>
      <c r="J50" s="982"/>
      <c r="K50" s="983">
        <v>0</v>
      </c>
      <c r="L50" s="981">
        <v>0</v>
      </c>
      <c r="M50" s="982"/>
      <c r="N50" s="942">
        <f>+I50-K50</f>
        <v>5832166.85</v>
      </c>
      <c r="O50" s="573"/>
      <c r="R50" s="942"/>
      <c r="T50" s="561">
        <f t="shared" si="0"/>
        <v>5832166.85</v>
      </c>
      <c r="Y50" s="942">
        <f>-N50*0.04428+N50</f>
        <v>5573918.501882</v>
      </c>
      <c r="Z50" s="953"/>
    </row>
    <row r="51" spans="1:26" ht="15">
      <c r="A51" s="248"/>
      <c r="B51" s="207"/>
      <c r="C51" s="137"/>
      <c r="D51" s="977"/>
      <c r="E51" s="634"/>
      <c r="F51" s="984"/>
      <c r="G51" s="985"/>
      <c r="H51" s="986"/>
      <c r="I51" s="985"/>
      <c r="J51" s="986"/>
      <c r="K51" s="987"/>
      <c r="L51" s="985"/>
      <c r="M51" s="986"/>
      <c r="N51" s="985"/>
      <c r="O51" s="157"/>
      <c r="R51" s="985"/>
      <c r="T51" s="561">
        <f t="shared" si="0"/>
        <v>0</v>
      </c>
      <c r="Y51" s="985"/>
      <c r="Z51" s="953"/>
    </row>
    <row r="52" spans="1:26" ht="15">
      <c r="A52" s="248">
        <v>28</v>
      </c>
      <c r="B52" s="206" t="s">
        <v>39</v>
      </c>
      <c r="C52" s="576"/>
      <c r="D52" s="988">
        <f>SUM(D47:D51)</f>
        <v>169.66666666666669</v>
      </c>
      <c r="E52" s="988">
        <f>SUM(E47:E51)</f>
        <v>503088329</v>
      </c>
      <c r="F52" s="989"/>
      <c r="G52" s="963">
        <f>SUM(G47:G51)</f>
        <v>21807720.950000003</v>
      </c>
      <c r="H52" s="990">
        <v>0</v>
      </c>
      <c r="I52" s="963">
        <f>SUM(I47:I51)</f>
        <v>20531118.18</v>
      </c>
      <c r="J52" s="990"/>
      <c r="K52" s="963">
        <f>SUM(K47:K51)</f>
        <v>0</v>
      </c>
      <c r="L52" s="963">
        <f>SUM(L47:L51)</f>
        <v>0</v>
      </c>
      <c r="M52" s="990"/>
      <c r="N52" s="963">
        <f>SUM(N47:N51)</f>
        <v>20531118.18</v>
      </c>
      <c r="O52" s="581"/>
      <c r="R52" s="963">
        <f>SUM(R47:R51)</f>
        <v>-2205026.3542179996</v>
      </c>
      <c r="T52" s="561">
        <f t="shared" si="0"/>
        <v>20531118.18</v>
      </c>
      <c r="Y52" s="963">
        <f>SUM(Y47:Y51)</f>
        <v>19622000.266989604</v>
      </c>
      <c r="Z52" s="953"/>
    </row>
    <row r="53" spans="1:26" ht="15">
      <c r="A53" s="248"/>
      <c r="B53" s="174" t="s">
        <v>40</v>
      </c>
      <c r="C53" s="175"/>
      <c r="D53" s="989"/>
      <c r="E53" s="988"/>
      <c r="F53" s="991"/>
      <c r="G53" s="989"/>
      <c r="H53" s="989"/>
      <c r="I53" s="989"/>
      <c r="J53" s="989"/>
      <c r="K53" s="989"/>
      <c r="L53" s="988"/>
      <c r="M53" s="991"/>
      <c r="N53" s="989"/>
      <c r="O53" s="177"/>
      <c r="R53" s="989"/>
      <c r="T53" s="561">
        <f t="shared" si="0"/>
        <v>0</v>
      </c>
      <c r="Y53" s="989"/>
      <c r="Z53" s="953"/>
    </row>
    <row r="54" spans="1:26" ht="15">
      <c r="A54" s="248"/>
      <c r="B54" s="579"/>
      <c r="C54" s="155"/>
      <c r="D54" s="992"/>
      <c r="E54" s="993"/>
      <c r="F54" s="994"/>
      <c r="G54" s="993"/>
      <c r="H54" s="994"/>
      <c r="I54" s="993"/>
      <c r="J54" s="994"/>
      <c r="K54" s="992"/>
      <c r="L54" s="993"/>
      <c r="M54" s="994"/>
      <c r="N54" s="993"/>
      <c r="O54" s="578"/>
      <c r="R54" s="993"/>
      <c r="T54" s="561">
        <f t="shared" si="0"/>
        <v>0</v>
      </c>
      <c r="Y54" s="993"/>
      <c r="Z54" s="953"/>
    </row>
    <row r="55" spans="1:26" ht="15">
      <c r="A55" s="248">
        <v>29</v>
      </c>
      <c r="B55" s="174" t="s">
        <v>40</v>
      </c>
      <c r="C55" s="157"/>
      <c r="D55" s="995"/>
      <c r="E55" s="996">
        <v>45794971</v>
      </c>
      <c r="F55" s="990"/>
      <c r="G55" s="997">
        <f>29510956.31-132</f>
        <v>29510824.31</v>
      </c>
      <c r="H55" s="990"/>
      <c r="I55" s="997">
        <f>30878198.92-2319.76</f>
        <v>30875879.16</v>
      </c>
      <c r="J55" s="990"/>
      <c r="K55" s="997">
        <v>28268010.29</v>
      </c>
      <c r="L55" s="997">
        <f>+K55</f>
        <v>28268010.29</v>
      </c>
      <c r="M55" s="998"/>
      <c r="N55" s="997">
        <f>+I55-L55</f>
        <v>2607868.870000001</v>
      </c>
      <c r="O55" s="581"/>
      <c r="R55" s="997"/>
      <c r="T55" s="561">
        <f t="shared" si="0"/>
        <v>30875879.16</v>
      </c>
      <c r="Y55" s="942">
        <f>-N55*0.04428+N55</f>
        <v>2492392.436436401</v>
      </c>
      <c r="Z55" s="953">
        <v>1102000</v>
      </c>
    </row>
    <row r="56" spans="1:26" ht="15">
      <c r="A56" s="248"/>
      <c r="B56" s="174"/>
      <c r="C56" s="183"/>
      <c r="D56" s="999"/>
      <c r="E56" s="988"/>
      <c r="F56" s="991"/>
      <c r="G56" s="1000"/>
      <c r="H56" s="989"/>
      <c r="I56" s="988"/>
      <c r="J56" s="991"/>
      <c r="K56" s="999"/>
      <c r="L56" s="996"/>
      <c r="M56" s="991"/>
      <c r="N56" s="989"/>
      <c r="O56" s="177"/>
      <c r="R56" s="989"/>
      <c r="T56" s="561">
        <f t="shared" si="0"/>
        <v>0</v>
      </c>
      <c r="Y56" s="989"/>
      <c r="Z56" s="953"/>
    </row>
    <row r="57" spans="1:26" ht="15">
      <c r="A57" s="248">
        <v>30</v>
      </c>
      <c r="B57" s="174" t="s">
        <v>108</v>
      </c>
      <c r="C57" s="175"/>
      <c r="D57" s="988">
        <f>+D52+D42+D55</f>
        <v>171638.74999999997</v>
      </c>
      <c r="E57" s="988">
        <f>+E52+E42</f>
        <v>698745854</v>
      </c>
      <c r="F57" s="1001"/>
      <c r="G57" s="1002">
        <f>+G52+G42+G55</f>
        <v>241970366.36</v>
      </c>
      <c r="H57" s="1001"/>
      <c r="I57" s="1002">
        <f>+I52+I42+I55</f>
        <v>279804292.58000004</v>
      </c>
      <c r="J57" s="1001"/>
      <c r="K57" s="1002">
        <f>+K52+K42+K55</f>
        <v>207975782.92024997</v>
      </c>
      <c r="L57" s="1002">
        <f>+L52+L42+L55</f>
        <v>199649921.8142905</v>
      </c>
      <c r="M57" s="998"/>
      <c r="N57" s="1002">
        <f>+N52+N42+N55</f>
        <v>71828509.65975001</v>
      </c>
      <c r="O57" s="172"/>
      <c r="R57" s="1002">
        <f>+R52+R42+R55</f>
        <v>10596934.937028002</v>
      </c>
      <c r="T57" s="561">
        <f t="shared" si="0"/>
        <v>279804292.58000004</v>
      </c>
      <c r="Y57" s="1002">
        <f>+Y52+Y42+Y55</f>
        <v>68647943.25201628</v>
      </c>
      <c r="Z57" s="953">
        <f>SUM(Z22:Z56)</f>
        <v>67960000</v>
      </c>
    </row>
    <row r="58" spans="1:25" ht="15">
      <c r="A58" s="248"/>
      <c r="B58" s="174" t="s">
        <v>109</v>
      </c>
      <c r="C58" s="175"/>
      <c r="D58" s="969"/>
      <c r="E58" s="1003"/>
      <c r="F58" s="969"/>
      <c r="G58" s="969"/>
      <c r="H58" s="969"/>
      <c r="I58" s="969"/>
      <c r="J58" s="969"/>
      <c r="K58" s="969"/>
      <c r="L58" s="634"/>
      <c r="M58" s="1004"/>
      <c r="N58" s="969"/>
      <c r="O58" s="183"/>
      <c r="R58" s="969"/>
      <c r="T58" s="561">
        <f t="shared" si="0"/>
        <v>0</v>
      </c>
      <c r="Y58" s="969"/>
    </row>
    <row r="59" spans="1:25" ht="15">
      <c r="A59" s="248">
        <v>31</v>
      </c>
      <c r="B59" s="146" t="s">
        <v>1351</v>
      </c>
      <c r="C59" s="165"/>
      <c r="D59" s="1005"/>
      <c r="E59" s="1006"/>
      <c r="F59" s="1007"/>
      <c r="G59" s="944">
        <v>8938664</v>
      </c>
      <c r="H59" s="950"/>
      <c r="I59" s="944">
        <f>+G59</f>
        <v>8938664</v>
      </c>
      <c r="J59" s="950"/>
      <c r="K59" s="944">
        <v>0</v>
      </c>
      <c r="L59" s="974">
        <v>0</v>
      </c>
      <c r="M59" s="1007"/>
      <c r="N59" s="944">
        <f>+I59</f>
        <v>8938664</v>
      </c>
      <c r="O59" s="149"/>
      <c r="R59" s="944"/>
      <c r="T59" s="561">
        <f t="shared" si="0"/>
        <v>8938664</v>
      </c>
      <c r="Y59" s="944"/>
    </row>
    <row r="60" spans="1:25" ht="15">
      <c r="A60" s="248">
        <v>32</v>
      </c>
      <c r="B60" s="765" t="s">
        <v>41</v>
      </c>
      <c r="C60" s="347"/>
      <c r="D60" s="948"/>
      <c r="E60" s="981"/>
      <c r="F60" s="982"/>
      <c r="G60" s="981">
        <v>889298</v>
      </c>
      <c r="H60" s="982"/>
      <c r="I60" s="981">
        <f>+G60+2187.4</f>
        <v>891485.4</v>
      </c>
      <c r="J60" s="982"/>
      <c r="K60" s="981">
        <v>0</v>
      </c>
      <c r="L60" s="981">
        <v>0</v>
      </c>
      <c r="M60" s="982"/>
      <c r="N60" s="981">
        <f>+I60</f>
        <v>891485.4</v>
      </c>
      <c r="O60" s="149"/>
      <c r="R60" s="981"/>
      <c r="T60" s="561">
        <f t="shared" si="0"/>
        <v>891485.4</v>
      </c>
      <c r="Y60" s="942">
        <f>-N60*0.04428+N60</f>
        <v>852010.426488</v>
      </c>
    </row>
    <row r="61" spans="1:25" ht="15">
      <c r="A61" s="248">
        <v>33</v>
      </c>
      <c r="B61" s="766" t="s">
        <v>42</v>
      </c>
      <c r="C61" s="143"/>
      <c r="D61" s="948"/>
      <c r="E61" s="981"/>
      <c r="F61" s="982"/>
      <c r="G61" s="981">
        <v>-69457.92999999993</v>
      </c>
      <c r="H61" s="982"/>
      <c r="I61" s="981">
        <f>+G61</f>
        <v>-69457.92999999993</v>
      </c>
      <c r="J61" s="982"/>
      <c r="K61" s="981">
        <v>0</v>
      </c>
      <c r="L61" s="981">
        <v>0</v>
      </c>
      <c r="M61" s="982"/>
      <c r="N61" s="981">
        <f>+G61</f>
        <v>-69457.92999999993</v>
      </c>
      <c r="O61" s="149"/>
      <c r="R61" s="981"/>
      <c r="T61" s="561">
        <f t="shared" si="0"/>
        <v>-69457.92999999993</v>
      </c>
      <c r="Y61" s="942">
        <f>-N61*0.04428+N61</f>
        <v>-66382.33285959993</v>
      </c>
    </row>
    <row r="62" spans="1:25" ht="15">
      <c r="A62" s="248">
        <v>34</v>
      </c>
      <c r="B62" s="154" t="s">
        <v>43</v>
      </c>
      <c r="C62" s="143"/>
      <c r="D62" s="984"/>
      <c r="E62" s="949"/>
      <c r="F62" s="950"/>
      <c r="G62" s="953">
        <f>SUM(G59:G61)</f>
        <v>9758504.07</v>
      </c>
      <c r="H62" s="950"/>
      <c r="I62" s="953">
        <f>SUM(I59:I61)</f>
        <v>9760691.47</v>
      </c>
      <c r="J62" s="950"/>
      <c r="K62" s="953">
        <f>SUM(K59:K61)</f>
        <v>0</v>
      </c>
      <c r="L62" s="1008">
        <f>SUM(L59:L61)</f>
        <v>0</v>
      </c>
      <c r="M62" s="1009"/>
      <c r="N62" s="953">
        <f>SUM(N59:N61)</f>
        <v>9760691.47</v>
      </c>
      <c r="O62" s="149"/>
      <c r="R62" s="953"/>
      <c r="T62" s="561">
        <f t="shared" si="0"/>
        <v>9760691.47</v>
      </c>
      <c r="Y62" s="953">
        <f>SUM(Y60:Y61)</f>
        <v>785628.0936284</v>
      </c>
    </row>
    <row r="63" spans="1:25" ht="15">
      <c r="A63" s="270">
        <v>35</v>
      </c>
      <c r="B63" s="202" t="s">
        <v>1352</v>
      </c>
      <c r="C63" s="165"/>
      <c r="D63" s="1005"/>
      <c r="E63" s="1010">
        <f>+E62+E57</f>
        <v>698745854</v>
      </c>
      <c r="F63" s="1011"/>
      <c r="G63" s="1012">
        <f>+G62+G57</f>
        <v>251728870.43</v>
      </c>
      <c r="H63" s="1011"/>
      <c r="I63" s="1012">
        <f>+I62+I57</f>
        <v>289564984.0500001</v>
      </c>
      <c r="J63" s="1011"/>
      <c r="K63" s="1012">
        <f>+K62+K57</f>
        <v>207975782.92024997</v>
      </c>
      <c r="L63" s="1012">
        <f>+L62+L57</f>
        <v>199649921.8142905</v>
      </c>
      <c r="M63" s="1013"/>
      <c r="N63" s="1012">
        <f>+N62+N57</f>
        <v>81589201.12975001</v>
      </c>
      <c r="O63" s="203"/>
      <c r="R63" s="1012"/>
      <c r="T63" s="561">
        <f t="shared" si="0"/>
        <v>289564984.0500001</v>
      </c>
      <c r="Y63" s="1012">
        <f>+Y62+Y57</f>
        <v>69433571.34564468</v>
      </c>
    </row>
    <row r="64" spans="1:25" ht="15">
      <c r="A64" s="270">
        <v>36</v>
      </c>
      <c r="B64" s="767" t="s">
        <v>44</v>
      </c>
      <c r="C64" s="143"/>
      <c r="D64" s="984"/>
      <c r="E64" s="961"/>
      <c r="F64" s="964"/>
      <c r="G64" s="963"/>
      <c r="H64" s="964"/>
      <c r="I64" s="963"/>
      <c r="J64" s="964"/>
      <c r="K64" s="963"/>
      <c r="L64" s="997">
        <v>163837631</v>
      </c>
      <c r="M64" s="1014"/>
      <c r="N64" s="1015"/>
      <c r="O64" s="583"/>
      <c r="R64" s="1015"/>
      <c r="Y64" s="1015"/>
    </row>
    <row r="65" spans="1:25" ht="15">
      <c r="A65" s="270">
        <v>37</v>
      </c>
      <c r="B65" s="767" t="s">
        <v>45</v>
      </c>
      <c r="C65" s="143"/>
      <c r="D65" s="984"/>
      <c r="E65" s="961"/>
      <c r="F65" s="964"/>
      <c r="G65" s="963"/>
      <c r="H65" s="964"/>
      <c r="I65" s="997">
        <f>+I63-G63</f>
        <v>37836113.620000064</v>
      </c>
      <c r="J65" s="1016" t="s">
        <v>295</v>
      </c>
      <c r="K65" s="963"/>
      <c r="L65" s="997">
        <f>+L63-L64</f>
        <v>35812290.814290494</v>
      </c>
      <c r="M65" s="1017" t="s">
        <v>915</v>
      </c>
      <c r="O65" s="583"/>
      <c r="R65" s="1015"/>
      <c r="Y65" s="1015">
        <f>-N63*0.04428+N63</f>
        <v>77976431.30372468</v>
      </c>
    </row>
    <row r="66" spans="1:25" ht="15">
      <c r="A66" s="270"/>
      <c r="B66" s="767"/>
      <c r="C66" s="143"/>
      <c r="D66" s="984"/>
      <c r="E66" s="961"/>
      <c r="F66" s="964"/>
      <c r="G66" s="963"/>
      <c r="H66" s="964"/>
      <c r="I66" s="963"/>
      <c r="J66" s="964"/>
      <c r="K66" s="963"/>
      <c r="L66" s="963"/>
      <c r="M66" s="1014"/>
      <c r="N66" s="1015"/>
      <c r="O66" s="583"/>
      <c r="R66" s="1015"/>
      <c r="T66" s="357">
        <v>232428111</v>
      </c>
      <c r="Y66" s="1015"/>
    </row>
    <row r="67" spans="1:25" ht="15">
      <c r="A67" s="763"/>
      <c r="B67" s="156"/>
      <c r="C67" s="166"/>
      <c r="D67" s="166"/>
      <c r="E67" s="156"/>
      <c r="F67" s="157"/>
      <c r="G67" s="584"/>
      <c r="H67" s="157"/>
      <c r="I67" s="585"/>
      <c r="J67" s="157"/>
      <c r="K67" s="156"/>
      <c r="L67" s="156"/>
      <c r="M67" s="157"/>
      <c r="N67" s="166"/>
      <c r="O67" s="157"/>
      <c r="R67" s="166"/>
      <c r="T67" s="356">
        <v>18411461</v>
      </c>
      <c r="Y67" s="166"/>
    </row>
    <row r="68" spans="1:25" ht="15">
      <c r="A68" s="347"/>
      <c r="B68" s="143"/>
      <c r="C68" s="143"/>
      <c r="D68" s="143"/>
      <c r="E68" s="143"/>
      <c r="F68" s="143"/>
      <c r="G68" s="586"/>
      <c r="H68" s="143"/>
      <c r="I68" s="587"/>
      <c r="J68" s="143"/>
      <c r="K68" s="143"/>
      <c r="L68" s="143"/>
      <c r="M68" s="143"/>
      <c r="N68" s="143"/>
      <c r="O68" s="143"/>
      <c r="R68" s="143"/>
      <c r="T68" s="358">
        <v>889298</v>
      </c>
      <c r="Y68" s="143"/>
    </row>
    <row r="69" spans="2:20" ht="15">
      <c r="B69" s="200"/>
      <c r="T69" s="359">
        <v>251728870</v>
      </c>
    </row>
    <row r="70" spans="2:20" ht="15">
      <c r="B70" s="200" t="s">
        <v>909</v>
      </c>
      <c r="T70" s="357">
        <f>+G63-T69</f>
        <v>0.4300000071525574</v>
      </c>
    </row>
    <row r="71" spans="2:20" ht="15">
      <c r="B71" s="199" t="s">
        <v>1167</v>
      </c>
      <c r="T71" s="356"/>
    </row>
    <row r="72" spans="2:20" ht="15">
      <c r="B72" s="200" t="s">
        <v>910</v>
      </c>
      <c r="T72" s="356">
        <v>163837631</v>
      </c>
    </row>
    <row r="73" ht="15">
      <c r="B73" s="199" t="s">
        <v>1168</v>
      </c>
    </row>
    <row r="74" ht="15">
      <c r="I74" s="220">
        <f>+I63-G63</f>
        <v>37836113.620000064</v>
      </c>
    </row>
    <row r="75" spans="2:25" ht="15">
      <c r="B75" t="s">
        <v>912</v>
      </c>
      <c r="E75" s="569">
        <v>2128938</v>
      </c>
      <c r="G75">
        <f>+E57-E50</f>
        <v>441027345</v>
      </c>
      <c r="K75">
        <f>+K55*1.04633</f>
        <v>29577667.2067357</v>
      </c>
      <c r="N75">
        <f>+I55-K75</f>
        <v>1298211.9532642998</v>
      </c>
      <c r="Y75" s="942">
        <f>-N75*0.04633+N75</f>
        <v>1238065.7934695648</v>
      </c>
    </row>
    <row r="76" spans="2:7" ht="15">
      <c r="B76" t="s">
        <v>913</v>
      </c>
      <c r="E76" s="139">
        <f>+E63*0.0042</f>
        <v>2934732.5867999997</v>
      </c>
      <c r="G76">
        <f>+E75/G75</f>
        <v>0.004827224488767244</v>
      </c>
    </row>
    <row r="78" spans="5:7" ht="15">
      <c r="E78" s="794">
        <v>697753159.9999999</v>
      </c>
      <c r="G78">
        <v>251728870</v>
      </c>
    </row>
    <row r="79" ht="15">
      <c r="G79">
        <f>+G63-G78</f>
        <v>0.4300000071525574</v>
      </c>
    </row>
    <row r="80" ht="15">
      <c r="E80">
        <v>195657525</v>
      </c>
    </row>
    <row r="81" ht="15">
      <c r="E81" s="139">
        <v>503418173.16</v>
      </c>
    </row>
    <row r="82" ht="15">
      <c r="E82" s="139">
        <v>89917758</v>
      </c>
    </row>
    <row r="83" ht="15">
      <c r="E83" s="139">
        <v>155331642</v>
      </c>
    </row>
  </sheetData>
  <mergeCells count="4">
    <mergeCell ref="L11:M11"/>
    <mergeCell ref="L12:M12"/>
    <mergeCell ref="L13:M13"/>
    <mergeCell ref="L14:M14"/>
  </mergeCells>
  <printOptions/>
  <pageMargins left="0.75" right="0.34" top="0.25" bottom="1" header="0.2" footer="0.5"/>
  <pageSetup fitToHeight="1" fitToWidth="1" horizontalDpi="600" verticalDpi="600" orientation="portrait" scale="63" r:id="rId1"/>
</worksheet>
</file>

<file path=xl/worksheets/sheet50.xml><?xml version="1.0" encoding="utf-8"?>
<worksheet xmlns="http://schemas.openxmlformats.org/spreadsheetml/2006/main" xmlns:r="http://schemas.openxmlformats.org/officeDocument/2006/relationships">
  <dimension ref="A1:K42"/>
  <sheetViews>
    <sheetView workbookViewId="0" topLeftCell="A13">
      <selection activeCell="G32" sqref="G32"/>
    </sheetView>
  </sheetViews>
  <sheetFormatPr defaultColWidth="9.33203125" defaultRowHeight="11.25"/>
  <cols>
    <col min="2" max="2" width="53.33203125" style="0" customWidth="1"/>
    <col min="3" max="3" width="16.66015625" style="0" customWidth="1"/>
    <col min="4" max="4" width="13.16015625" style="0" customWidth="1"/>
    <col min="5" max="5" width="13.66015625" style="0" customWidth="1"/>
    <col min="10" max="10" width="17.83203125" style="0" customWidth="1"/>
  </cols>
  <sheetData>
    <row r="1" spans="1:4" ht="15.75">
      <c r="A1" s="143"/>
      <c r="B1" s="143"/>
      <c r="C1" s="141"/>
      <c r="D1" s="367" t="s">
        <v>384</v>
      </c>
    </row>
    <row r="2" spans="1:4" ht="15.75">
      <c r="A2" s="143"/>
      <c r="B2" s="143"/>
      <c r="C2" s="141"/>
      <c r="D2" s="141" t="s">
        <v>1561</v>
      </c>
    </row>
    <row r="3" spans="1:4" ht="15.75">
      <c r="A3" s="143"/>
      <c r="B3" s="143"/>
      <c r="C3" s="141"/>
      <c r="D3" s="141" t="s">
        <v>298</v>
      </c>
    </row>
    <row r="4" spans="1:4" ht="15.75">
      <c r="A4" s="143"/>
      <c r="B4" s="143"/>
      <c r="C4" s="141"/>
      <c r="D4" s="367" t="s">
        <v>299</v>
      </c>
    </row>
    <row r="5" spans="1:2" ht="11.25">
      <c r="A5" s="143"/>
      <c r="B5" s="143"/>
    </row>
    <row r="6" spans="1:5" ht="12.75">
      <c r="A6" s="713"/>
      <c r="B6" s="713"/>
      <c r="C6" s="297"/>
      <c r="D6" s="297"/>
      <c r="E6" s="297"/>
    </row>
    <row r="7" spans="1:5" ht="12.75">
      <c r="A7" s="713"/>
      <c r="B7" s="713"/>
      <c r="C7" s="297"/>
      <c r="D7" s="297"/>
      <c r="E7" s="297"/>
    </row>
    <row r="8" spans="1:5" ht="12.75">
      <c r="A8" s="713"/>
      <c r="B8" s="297"/>
      <c r="C8" s="297"/>
      <c r="D8" s="297"/>
      <c r="E8" s="297"/>
    </row>
    <row r="9" spans="1:5" ht="15.75">
      <c r="A9" s="1294" t="s">
        <v>658</v>
      </c>
      <c r="B9" s="1295"/>
      <c r="C9" s="1295"/>
      <c r="D9" s="1295"/>
      <c r="E9" s="1296"/>
    </row>
    <row r="10" spans="1:5" ht="14.25">
      <c r="A10" s="1297" t="s">
        <v>1562</v>
      </c>
      <c r="B10" s="1298"/>
      <c r="C10" s="1298"/>
      <c r="D10" s="1298"/>
      <c r="E10" s="1299"/>
    </row>
    <row r="11" spans="1:5" ht="15.75">
      <c r="A11" s="1345" t="s">
        <v>659</v>
      </c>
      <c r="B11" s="1346"/>
      <c r="C11" s="1346"/>
      <c r="D11" s="1346"/>
      <c r="E11" s="1347"/>
    </row>
    <row r="12" spans="1:5" ht="15.75">
      <c r="A12" s="658"/>
      <c r="B12" s="605"/>
      <c r="C12" s="659"/>
      <c r="D12" s="659"/>
      <c r="E12" s="660"/>
    </row>
    <row r="13" spans="1:5" ht="12.75">
      <c r="A13" s="656" t="s">
        <v>1000</v>
      </c>
      <c r="B13" s="1105"/>
      <c r="C13" s="1105" t="s">
        <v>997</v>
      </c>
      <c r="D13" s="1105" t="s">
        <v>1563</v>
      </c>
      <c r="E13" s="657" t="s">
        <v>1564</v>
      </c>
    </row>
    <row r="14" spans="1:5" ht="12.75">
      <c r="A14" s="658" t="s">
        <v>1006</v>
      </c>
      <c r="B14" s="1106" t="s">
        <v>1007</v>
      </c>
      <c r="C14" s="1106" t="s">
        <v>1552</v>
      </c>
      <c r="D14" s="1106" t="s">
        <v>54</v>
      </c>
      <c r="E14" s="660" t="s">
        <v>1084</v>
      </c>
    </row>
    <row r="15" spans="1:11" ht="12.75">
      <c r="A15" s="714"/>
      <c r="B15" s="714" t="s">
        <v>1338</v>
      </c>
      <c r="C15" s="715" t="s">
        <v>1339</v>
      </c>
      <c r="D15" s="715" t="s">
        <v>1565</v>
      </c>
      <c r="E15" s="715" t="s">
        <v>1566</v>
      </c>
      <c r="H15">
        <v>14.29</v>
      </c>
      <c r="I15" t="s">
        <v>1590</v>
      </c>
      <c r="J15">
        <v>25000</v>
      </c>
      <c r="K15">
        <f>0.1429*J15</f>
        <v>3572.5</v>
      </c>
    </row>
    <row r="16" spans="1:11" ht="12.75">
      <c r="A16" s="716"/>
      <c r="B16" s="1107" t="s">
        <v>1567</v>
      </c>
      <c r="C16" s="292"/>
      <c r="D16" s="1114"/>
      <c r="E16" s="1110"/>
      <c r="F16" s="143"/>
      <c r="H16" s="143"/>
      <c r="I16" s="143"/>
      <c r="J16" s="143"/>
      <c r="K16" s="143"/>
    </row>
    <row r="17" spans="1:11" ht="12.75">
      <c r="A17" s="717">
        <v>1</v>
      </c>
      <c r="B17" s="1108" t="s">
        <v>1568</v>
      </c>
      <c r="C17" s="293">
        <v>50245</v>
      </c>
      <c r="D17" s="721">
        <v>0.7706</v>
      </c>
      <c r="E17" s="1030">
        <f>ROUND(D17*C17,0)</f>
        <v>38719</v>
      </c>
      <c r="F17" s="143"/>
      <c r="H17" s="143">
        <v>10.34</v>
      </c>
      <c r="I17" s="143" t="s">
        <v>1591</v>
      </c>
      <c r="J17" s="143">
        <v>25000</v>
      </c>
      <c r="K17" s="143">
        <f>+J17*0.1034</f>
        <v>2585</v>
      </c>
    </row>
    <row r="18" spans="1:11" ht="12.75">
      <c r="A18" s="717">
        <v>2</v>
      </c>
      <c r="B18" s="1109" t="s">
        <v>1569</v>
      </c>
      <c r="C18" s="720">
        <f>+I18</f>
        <v>0.12315</v>
      </c>
      <c r="D18" s="721"/>
      <c r="E18" s="826"/>
      <c r="I18">
        <f>+K18/J18</f>
        <v>0.12315</v>
      </c>
      <c r="J18">
        <f>SUM(J15:J17)</f>
        <v>50000</v>
      </c>
      <c r="K18">
        <f>SUM(K15:K17)</f>
        <v>6157.5</v>
      </c>
    </row>
    <row r="19" spans="1:11" ht="13.5" thickBot="1">
      <c r="A19" s="717">
        <v>3</v>
      </c>
      <c r="B19" s="1109" t="s">
        <v>1085</v>
      </c>
      <c r="C19" s="293">
        <f>+C18*C17</f>
        <v>6187.6717499999995</v>
      </c>
      <c r="D19" s="721">
        <v>0.7706</v>
      </c>
      <c r="E19" s="1111">
        <v>0</v>
      </c>
      <c r="F19" s="143" t="s">
        <v>295</v>
      </c>
      <c r="H19" s="143" t="s">
        <v>1592</v>
      </c>
      <c r="I19" s="143"/>
      <c r="J19" s="143"/>
      <c r="K19" s="143"/>
    </row>
    <row r="20" spans="1:11" ht="13.5" thickTop="1">
      <c r="A20" s="717"/>
      <c r="B20" s="1109"/>
      <c r="C20" s="294"/>
      <c r="D20" s="721"/>
      <c r="E20" s="826"/>
      <c r="F20" s="143"/>
      <c r="H20" s="143" t="s">
        <v>1593</v>
      </c>
      <c r="I20" s="143"/>
      <c r="J20" s="143"/>
      <c r="K20" s="143"/>
    </row>
    <row r="21" spans="1:11" ht="12.75">
      <c r="A21" s="717">
        <v>4</v>
      </c>
      <c r="B21" s="1109" t="s">
        <v>1142</v>
      </c>
      <c r="C21" s="723">
        <f>+J32</f>
        <v>0.011738896371748464</v>
      </c>
      <c r="D21" s="721"/>
      <c r="E21" s="826"/>
      <c r="F21" s="143"/>
      <c r="H21" s="143"/>
      <c r="I21" s="143"/>
      <c r="J21" s="143"/>
      <c r="K21" s="143"/>
    </row>
    <row r="22" spans="1:11" ht="13.5" thickBot="1">
      <c r="A22" s="717">
        <v>5</v>
      </c>
      <c r="B22" s="1109" t="s">
        <v>1570</v>
      </c>
      <c r="C22" s="294">
        <f>+C21*C17</f>
        <v>589.8208481985016</v>
      </c>
      <c r="D22" s="721">
        <v>0.7706</v>
      </c>
      <c r="E22" s="1111">
        <v>0</v>
      </c>
      <c r="F22" s="143" t="s">
        <v>915</v>
      </c>
      <c r="H22" s="143"/>
      <c r="I22" s="143"/>
      <c r="J22" s="143" t="s">
        <v>1142</v>
      </c>
      <c r="K22" s="143"/>
    </row>
    <row r="23" spans="1:11" ht="13.5" thickTop="1">
      <c r="A23" s="717"/>
      <c r="B23" s="1109"/>
      <c r="C23" s="294"/>
      <c r="D23" s="721"/>
      <c r="E23" s="1112"/>
      <c r="F23" s="143"/>
      <c r="H23" s="143"/>
      <c r="I23" s="143"/>
      <c r="J23" s="143"/>
      <c r="K23" s="143"/>
    </row>
    <row r="24" spans="1:11" ht="13.5" thickBot="1">
      <c r="A24" s="717">
        <v>6</v>
      </c>
      <c r="B24" s="1109" t="s">
        <v>1571</v>
      </c>
      <c r="C24" s="294">
        <v>8600</v>
      </c>
      <c r="D24" s="721">
        <v>0.7706</v>
      </c>
      <c r="E24" s="1111">
        <v>0</v>
      </c>
      <c r="F24" s="143" t="s">
        <v>1572</v>
      </c>
      <c r="H24" s="143"/>
      <c r="I24" s="143"/>
      <c r="J24" s="143"/>
      <c r="K24" s="143"/>
    </row>
    <row r="25" spans="1:11" ht="13.5" thickTop="1">
      <c r="A25" s="717"/>
      <c r="B25" s="1109"/>
      <c r="C25" s="294"/>
      <c r="D25" s="721"/>
      <c r="E25" s="826"/>
      <c r="F25" s="143"/>
      <c r="H25" s="143" t="s">
        <v>1594</v>
      </c>
      <c r="I25" s="143"/>
      <c r="J25" s="143">
        <v>2788927</v>
      </c>
      <c r="K25" s="143"/>
    </row>
    <row r="26" spans="1:11" ht="12.75">
      <c r="A26" s="717">
        <v>7</v>
      </c>
      <c r="B26" s="1109" t="s">
        <v>1143</v>
      </c>
      <c r="C26" s="294"/>
      <c r="D26" s="721"/>
      <c r="E26" s="826"/>
      <c r="F26" s="143"/>
      <c r="H26" s="143"/>
      <c r="I26" s="143"/>
      <c r="J26" s="143"/>
      <c r="K26" s="143"/>
    </row>
    <row r="27" spans="1:11" ht="12.75">
      <c r="A27" s="717">
        <v>8</v>
      </c>
      <c r="B27" s="1109" t="s">
        <v>1573</v>
      </c>
      <c r="C27" s="293">
        <f>+C17</f>
        <v>50245</v>
      </c>
      <c r="D27" s="721">
        <v>0.7706</v>
      </c>
      <c r="E27" s="826">
        <f>ROUND(D27*C27,0)</f>
        <v>38719</v>
      </c>
      <c r="F27" s="143"/>
      <c r="H27" s="143" t="s">
        <v>1595</v>
      </c>
      <c r="I27" s="143"/>
      <c r="J27" s="143"/>
      <c r="K27" s="728">
        <v>0.2</v>
      </c>
    </row>
    <row r="28" spans="1:11" ht="12.75">
      <c r="A28" s="717">
        <v>9</v>
      </c>
      <c r="B28" s="1109" t="s">
        <v>1574</v>
      </c>
      <c r="C28" s="293">
        <f>-+C19/2</f>
        <v>-3093.8358749999998</v>
      </c>
      <c r="D28" s="721">
        <v>0.7706</v>
      </c>
      <c r="E28" s="1030">
        <f>ROUND(D28*C28,0)</f>
        <v>-2384</v>
      </c>
      <c r="F28" s="143"/>
      <c r="H28" s="143" t="s">
        <v>1596</v>
      </c>
      <c r="I28" s="143"/>
      <c r="J28" s="143"/>
      <c r="K28" s="325">
        <f>+C18</f>
        <v>0.12315</v>
      </c>
    </row>
    <row r="29" spans="1:11" ht="12.75">
      <c r="A29" s="717">
        <v>10</v>
      </c>
      <c r="B29" s="1108" t="s">
        <v>1575</v>
      </c>
      <c r="C29" s="293">
        <f>-C27*K29</f>
        <v>-3861.328250000001</v>
      </c>
      <c r="D29" s="721">
        <v>0.7706</v>
      </c>
      <c r="E29" s="1113">
        <f>ROUND(D29*C29,0)</f>
        <v>-2976</v>
      </c>
      <c r="F29" s="143"/>
      <c r="H29" t="s">
        <v>1597</v>
      </c>
      <c r="K29" s="729">
        <f>+K27-K28</f>
        <v>0.07685000000000002</v>
      </c>
    </row>
    <row r="30" spans="1:11" ht="13.5" thickBot="1">
      <c r="A30" s="717">
        <v>11</v>
      </c>
      <c r="B30" s="1109" t="s">
        <v>1586</v>
      </c>
      <c r="C30" s="724">
        <f>SUM(C27:C29)</f>
        <v>43289.835875000004</v>
      </c>
      <c r="D30" s="721"/>
      <c r="E30" s="1111">
        <v>0</v>
      </c>
      <c r="F30" s="143" t="s">
        <v>1587</v>
      </c>
      <c r="H30" s="143"/>
      <c r="I30" s="143"/>
      <c r="J30" s="143"/>
      <c r="K30" s="143"/>
    </row>
    <row r="31" spans="1:5" ht="13.5" thickTop="1">
      <c r="A31" s="725"/>
      <c r="B31" s="291"/>
      <c r="C31" s="291"/>
      <c r="D31" s="291"/>
      <c r="E31" s="727"/>
    </row>
    <row r="32" spans="1:11" ht="12.75">
      <c r="A32" s="717"/>
      <c r="B32" s="719"/>
      <c r="C32" s="294"/>
      <c r="D32" s="721"/>
      <c r="E32" s="289"/>
      <c r="F32" s="143"/>
      <c r="H32" s="143" t="s">
        <v>1598</v>
      </c>
      <c r="I32" s="143"/>
      <c r="J32" s="730">
        <v>0.011738896371748464</v>
      </c>
      <c r="K32" s="143"/>
    </row>
    <row r="33" spans="1:11" ht="13.5" thickBot="1">
      <c r="A33" s="717">
        <v>112</v>
      </c>
      <c r="B33" s="719" t="s">
        <v>1588</v>
      </c>
      <c r="C33" s="293">
        <v>0</v>
      </c>
      <c r="D33" s="721">
        <v>1</v>
      </c>
      <c r="E33" s="722">
        <f>ROUND(D33*C33,0)</f>
        <v>0</v>
      </c>
      <c r="F33" s="143" t="s">
        <v>1589</v>
      </c>
      <c r="H33" s="143" t="s">
        <v>1599</v>
      </c>
      <c r="I33" s="143" t="s">
        <v>1600</v>
      </c>
      <c r="J33" s="570">
        <v>237580000</v>
      </c>
      <c r="K33" s="143"/>
    </row>
    <row r="34" spans="1:5" ht="13.5" thickTop="1">
      <c r="A34" s="725"/>
      <c r="B34" s="726"/>
      <c r="C34" s="291"/>
      <c r="D34" s="291"/>
      <c r="E34" s="291"/>
    </row>
    <row r="35" spans="1:5" ht="12.75">
      <c r="A35" s="297"/>
      <c r="B35" s="297"/>
      <c r="C35" s="297"/>
      <c r="D35" s="297"/>
      <c r="E35" s="297"/>
    </row>
    <row r="36" spans="1:5" ht="12.75">
      <c r="A36" s="297"/>
      <c r="B36" s="297"/>
      <c r="C36" s="297"/>
      <c r="D36" s="297"/>
      <c r="E36" s="297"/>
    </row>
    <row r="37" spans="1:5" ht="15.75">
      <c r="A37" s="387" t="s">
        <v>929</v>
      </c>
      <c r="B37" s="297"/>
      <c r="C37" s="297"/>
      <c r="D37" s="297"/>
      <c r="E37" s="297"/>
    </row>
    <row r="38" spans="1:5" ht="15.75">
      <c r="A38" s="387" t="s">
        <v>930</v>
      </c>
      <c r="B38" s="141"/>
      <c r="C38" s="276"/>
      <c r="D38" s="385"/>
      <c r="E38" s="276"/>
    </row>
    <row r="39" spans="1:5" ht="15.75">
      <c r="A39" s="387" t="s">
        <v>931</v>
      </c>
      <c r="B39" s="141"/>
      <c r="C39" s="276"/>
      <c r="D39" s="385"/>
      <c r="E39" s="276"/>
    </row>
    <row r="40" spans="1:5" ht="15.75">
      <c r="A40" s="387" t="s">
        <v>932</v>
      </c>
      <c r="B40" s="141"/>
      <c r="C40" s="276"/>
      <c r="D40" s="385"/>
      <c r="E40" s="276"/>
    </row>
    <row r="41" spans="1:5" ht="15.75">
      <c r="A41" s="387" t="s">
        <v>935</v>
      </c>
      <c r="B41" s="141"/>
      <c r="C41" s="276"/>
      <c r="D41" s="385"/>
      <c r="E41" s="276"/>
    </row>
    <row r="42" spans="1:5" ht="12.75">
      <c r="A42" s="297"/>
      <c r="B42" s="297"/>
      <c r="C42" s="297"/>
      <c r="D42" s="297"/>
      <c r="E42" s="297"/>
    </row>
  </sheetData>
  <mergeCells count="3">
    <mergeCell ref="A9:E9"/>
    <mergeCell ref="A10:E10"/>
    <mergeCell ref="A11:E11"/>
  </mergeCells>
  <printOptions/>
  <pageMargins left="0.75" right="0.75" top="1" bottom="1" header="0.5" footer="0.5"/>
  <pageSetup orientation="portrait" paperSize="9"/>
</worksheet>
</file>

<file path=xl/worksheets/sheet51.xml><?xml version="1.0" encoding="utf-8"?>
<worksheet xmlns="http://schemas.openxmlformats.org/spreadsheetml/2006/main" xmlns:r="http://schemas.openxmlformats.org/officeDocument/2006/relationships">
  <dimension ref="A1:L35"/>
  <sheetViews>
    <sheetView workbookViewId="0" topLeftCell="A1">
      <selection activeCell="G32" sqref="G32"/>
    </sheetView>
  </sheetViews>
  <sheetFormatPr defaultColWidth="9.33203125" defaultRowHeight="11.25"/>
  <cols>
    <col min="1" max="1" width="5.66015625" style="141" customWidth="1"/>
    <col min="2" max="2" width="68" style="141" customWidth="1"/>
    <col min="3" max="3" width="12.83203125" style="141" customWidth="1"/>
    <col min="4" max="4" width="12" style="141" customWidth="1"/>
    <col min="5" max="5" width="14.33203125" style="141" bestFit="1" customWidth="1"/>
    <col min="6" max="6" width="3.66015625" style="141" customWidth="1"/>
    <col min="7" max="9" width="9.33203125" style="141" customWidth="1"/>
    <col min="10" max="10" width="16.16015625" style="141" customWidth="1"/>
    <col min="11" max="16384" width="9.33203125" style="141" customWidth="1"/>
  </cols>
  <sheetData>
    <row r="1" spans="1:4" ht="15.75">
      <c r="A1" s="274"/>
      <c r="B1" s="274"/>
      <c r="D1" s="367" t="s">
        <v>297</v>
      </c>
    </row>
    <row r="2" spans="1:4" ht="15.75">
      <c r="A2" s="274"/>
      <c r="B2" s="274"/>
      <c r="D2" s="141" t="s">
        <v>955</v>
      </c>
    </row>
    <row r="3" spans="1:4" ht="15.75">
      <c r="A3" s="274"/>
      <c r="B3" s="274"/>
      <c r="D3" s="141" t="s">
        <v>298</v>
      </c>
    </row>
    <row r="4" spans="1:4" ht="15.75">
      <c r="A4" s="274"/>
      <c r="B4" s="274"/>
      <c r="D4" s="367" t="s">
        <v>299</v>
      </c>
    </row>
    <row r="5" spans="1:2" ht="15.75">
      <c r="A5" s="274"/>
      <c r="B5" s="274"/>
    </row>
    <row r="6" ht="15.75">
      <c r="A6" s="274"/>
    </row>
    <row r="7" ht="15.75">
      <c r="A7" s="274"/>
    </row>
    <row r="8" ht="3" customHeight="1"/>
    <row r="9" spans="1:5" ht="24.75" customHeight="1">
      <c r="A9" s="1337" t="s">
        <v>658</v>
      </c>
      <c r="B9" s="1338"/>
      <c r="C9" s="1338"/>
      <c r="D9" s="1338"/>
      <c r="E9" s="1339"/>
    </row>
    <row r="10" spans="1:5" ht="21" customHeight="1">
      <c r="A10" s="1345" t="s">
        <v>956</v>
      </c>
      <c r="B10" s="1346"/>
      <c r="C10" s="1346"/>
      <c r="D10" s="1346"/>
      <c r="E10" s="1347"/>
    </row>
    <row r="11" spans="1:5" ht="21.75" customHeight="1">
      <c r="A11" s="1348" t="s">
        <v>659</v>
      </c>
      <c r="B11" s="1336"/>
      <c r="C11" s="1336"/>
      <c r="D11" s="1336"/>
      <c r="E11" s="1349"/>
    </row>
    <row r="12" spans="1:5" ht="13.5" customHeight="1">
      <c r="A12" s="1101"/>
      <c r="B12" s="605"/>
      <c r="C12" s="605"/>
      <c r="D12" s="605"/>
      <c r="E12" s="607"/>
    </row>
    <row r="13" spans="1:5" ht="15.75">
      <c r="A13" s="230" t="s">
        <v>1000</v>
      </c>
      <c r="B13" s="230"/>
      <c r="C13" s="230" t="s">
        <v>997</v>
      </c>
      <c r="D13" s="230" t="s">
        <v>1563</v>
      </c>
      <c r="E13" s="282" t="s">
        <v>1564</v>
      </c>
    </row>
    <row r="14" spans="1:5" ht="20.25" customHeight="1">
      <c r="A14" s="231" t="s">
        <v>1006</v>
      </c>
      <c r="B14" s="231" t="s">
        <v>1007</v>
      </c>
      <c r="C14" s="231" t="s">
        <v>1552</v>
      </c>
      <c r="D14" s="231" t="s">
        <v>54</v>
      </c>
      <c r="E14" s="1103" t="s">
        <v>1084</v>
      </c>
    </row>
    <row r="15" spans="1:11" ht="15.75">
      <c r="A15" s="1127"/>
      <c r="B15" s="232" t="s">
        <v>1338</v>
      </c>
      <c r="C15" s="232" t="s">
        <v>1339</v>
      </c>
      <c r="D15" s="1128" t="s">
        <v>947</v>
      </c>
      <c r="E15" s="1128" t="s">
        <v>1566</v>
      </c>
      <c r="H15" s="141">
        <v>14.29</v>
      </c>
      <c r="I15" s="141" t="s">
        <v>1590</v>
      </c>
      <c r="J15" s="141">
        <v>0</v>
      </c>
      <c r="K15" s="141">
        <f>0.1429*J15</f>
        <v>0</v>
      </c>
    </row>
    <row r="16" spans="1:11" ht="25.5" customHeight="1">
      <c r="A16" s="610">
        <v>1</v>
      </c>
      <c r="B16" s="1122" t="s">
        <v>957</v>
      </c>
      <c r="C16" s="554">
        <f>110000+199000</f>
        <v>309000</v>
      </c>
      <c r="D16" s="1130">
        <v>0.7706</v>
      </c>
      <c r="E16" s="554">
        <f>ROUND(D16*C16,0)</f>
        <v>238115</v>
      </c>
      <c r="H16" s="141">
        <v>10.34</v>
      </c>
      <c r="I16" s="141" t="s">
        <v>1591</v>
      </c>
      <c r="J16" s="141">
        <v>309000</v>
      </c>
      <c r="K16" s="141">
        <f>+J16*0.1034</f>
        <v>31950.600000000002</v>
      </c>
    </row>
    <row r="17" spans="1:11" ht="25.5" customHeight="1">
      <c r="A17" s="610">
        <v>2</v>
      </c>
      <c r="B17" s="1123" t="s">
        <v>1569</v>
      </c>
      <c r="C17" s="593">
        <f>+I17</f>
        <v>0.1034</v>
      </c>
      <c r="D17" s="240"/>
      <c r="E17" s="236"/>
      <c r="I17" s="141">
        <f>+K17/J17</f>
        <v>0.1034</v>
      </c>
      <c r="J17" s="141">
        <f>SUM(J15:J16)</f>
        <v>309000</v>
      </c>
      <c r="K17" s="141">
        <f>SUM(K15:K16)</f>
        <v>31950.600000000002</v>
      </c>
    </row>
    <row r="18" spans="1:8" s="274" customFormat="1" ht="25.5" customHeight="1" thickBot="1">
      <c r="A18" s="610">
        <v>3</v>
      </c>
      <c r="B18" s="1123" t="s">
        <v>1085</v>
      </c>
      <c r="C18" s="546">
        <f>+C17*C16</f>
        <v>31950.600000000002</v>
      </c>
      <c r="D18" s="240">
        <v>0.7706</v>
      </c>
      <c r="E18" s="614">
        <v>0</v>
      </c>
      <c r="F18" s="274" t="s">
        <v>295</v>
      </c>
      <c r="H18" s="274" t="s">
        <v>1592</v>
      </c>
    </row>
    <row r="19" spans="1:8" s="274" customFormat="1" ht="25.5" customHeight="1" thickTop="1">
      <c r="A19" s="610"/>
      <c r="B19" s="1123"/>
      <c r="C19" s="238"/>
      <c r="D19" s="240"/>
      <c r="E19" s="236"/>
      <c r="H19" s="274" t="s">
        <v>1593</v>
      </c>
    </row>
    <row r="20" spans="1:5" s="274" customFormat="1" ht="25.5" customHeight="1">
      <c r="A20" s="610">
        <v>4</v>
      </c>
      <c r="B20" s="1123" t="s">
        <v>1142</v>
      </c>
      <c r="C20" s="1131">
        <f>+J24</f>
        <v>0.011738896371748464</v>
      </c>
      <c r="D20" s="240"/>
      <c r="E20" s="236"/>
    </row>
    <row r="21" spans="1:10" s="274" customFormat="1" ht="25.5" customHeight="1" thickBot="1">
      <c r="A21" s="610">
        <v>5</v>
      </c>
      <c r="B21" s="1123" t="s">
        <v>1570</v>
      </c>
      <c r="C21" s="546">
        <f>+C20*C16</f>
        <v>3627.3189788702753</v>
      </c>
      <c r="D21" s="240">
        <v>0.7706</v>
      </c>
      <c r="E21" s="614">
        <v>0</v>
      </c>
      <c r="F21" s="274" t="s">
        <v>915</v>
      </c>
      <c r="J21" s="274" t="s">
        <v>1142</v>
      </c>
    </row>
    <row r="22" spans="1:10" s="274" customFormat="1" ht="25.5" customHeight="1" thickTop="1">
      <c r="A22" s="610"/>
      <c r="B22" s="1123"/>
      <c r="C22" s="238"/>
      <c r="D22" s="240"/>
      <c r="E22" s="236"/>
      <c r="H22" s="274" t="s">
        <v>1594</v>
      </c>
      <c r="J22" s="274">
        <v>2788927</v>
      </c>
    </row>
    <row r="23" spans="1:10" s="274" customFormat="1" ht="25.5" customHeight="1" thickBot="1">
      <c r="A23" s="610">
        <v>6</v>
      </c>
      <c r="B23" s="1123" t="s">
        <v>958</v>
      </c>
      <c r="C23" s="546">
        <f>6700*12+(31000/3)</f>
        <v>90733.33333333333</v>
      </c>
      <c r="D23" s="240">
        <v>0.7706</v>
      </c>
      <c r="E23" s="614">
        <v>0</v>
      </c>
      <c r="F23" s="274" t="s">
        <v>1572</v>
      </c>
      <c r="H23" s="274" t="s">
        <v>1599</v>
      </c>
      <c r="I23" s="274" t="s">
        <v>1600</v>
      </c>
      <c r="J23" s="276">
        <v>237580000</v>
      </c>
    </row>
    <row r="24" spans="1:10" s="274" customFormat="1" ht="25.5" customHeight="1" thickTop="1">
      <c r="A24" s="610"/>
      <c r="B24" s="1123"/>
      <c r="C24" s="238"/>
      <c r="D24" s="240"/>
      <c r="E24" s="236"/>
      <c r="H24" s="274" t="s">
        <v>1598</v>
      </c>
      <c r="J24" s="539">
        <v>0.011738896371748464</v>
      </c>
    </row>
    <row r="25" spans="1:5" s="274" customFormat="1" ht="25.5" customHeight="1">
      <c r="A25" s="610">
        <v>7</v>
      </c>
      <c r="B25" s="1123" t="s">
        <v>1143</v>
      </c>
      <c r="C25" s="238"/>
      <c r="D25" s="240"/>
      <c r="E25" s="236"/>
    </row>
    <row r="26" spans="1:5" s="274" customFormat="1" ht="25.5" customHeight="1">
      <c r="A26" s="610">
        <v>8</v>
      </c>
      <c r="B26" s="1123" t="s">
        <v>1573</v>
      </c>
      <c r="C26" s="546">
        <f>+C16</f>
        <v>309000</v>
      </c>
      <c r="D26" s="240">
        <v>0.7706</v>
      </c>
      <c r="E26" s="554">
        <f>ROUND(D26*C26,0)</f>
        <v>238115</v>
      </c>
    </row>
    <row r="27" spans="1:5" s="274" customFormat="1" ht="25.5" customHeight="1">
      <c r="A27" s="610">
        <v>9</v>
      </c>
      <c r="B27" s="1123" t="s">
        <v>1574</v>
      </c>
      <c r="C27" s="546">
        <f>-+C18/2</f>
        <v>-15975.300000000001</v>
      </c>
      <c r="D27" s="240">
        <v>0.7706</v>
      </c>
      <c r="E27" s="554">
        <f>ROUND(D27*C27,0)</f>
        <v>-12311</v>
      </c>
    </row>
    <row r="28" spans="1:12" s="274" customFormat="1" ht="25.5" customHeight="1">
      <c r="A28" s="610">
        <v>10</v>
      </c>
      <c r="B28" s="1122" t="s">
        <v>1575</v>
      </c>
      <c r="C28" s="546">
        <f>-C26*L30</f>
        <v>-29849.4</v>
      </c>
      <c r="D28" s="240">
        <v>0.7706</v>
      </c>
      <c r="E28" s="554">
        <f>ROUND(D28*C28,0)</f>
        <v>-23002</v>
      </c>
      <c r="I28" s="274" t="s">
        <v>1595</v>
      </c>
      <c r="L28" s="1139">
        <v>0.2</v>
      </c>
    </row>
    <row r="29" spans="1:12" s="274" customFormat="1" ht="25.5" customHeight="1" thickBot="1">
      <c r="A29" s="610">
        <v>11</v>
      </c>
      <c r="B29" s="1123" t="s">
        <v>1586</v>
      </c>
      <c r="C29" s="1140">
        <f>SUM(C26:C28)</f>
        <v>263175.3</v>
      </c>
      <c r="D29" s="240"/>
      <c r="E29" s="1136">
        <v>0</v>
      </c>
      <c r="F29" s="274" t="s">
        <v>1587</v>
      </c>
      <c r="I29" s="274" t="s">
        <v>1596</v>
      </c>
      <c r="L29" s="320">
        <f>+C17</f>
        <v>0.1034</v>
      </c>
    </row>
    <row r="30" spans="1:12" ht="16.5" thickTop="1">
      <c r="A30" s="279"/>
      <c r="B30" s="235"/>
      <c r="C30" s="235"/>
      <c r="D30" s="235"/>
      <c r="E30" s="235"/>
      <c r="I30" s="141" t="s">
        <v>1597</v>
      </c>
      <c r="L30" s="1141">
        <f>+L28-L29</f>
        <v>0.0966</v>
      </c>
    </row>
    <row r="32" ht="15.75">
      <c r="A32" s="387" t="s">
        <v>959</v>
      </c>
    </row>
    <row r="33" ht="15.75">
      <c r="A33" s="387" t="s">
        <v>960</v>
      </c>
    </row>
    <row r="34" ht="15.75">
      <c r="A34" s="387" t="s">
        <v>961</v>
      </c>
    </row>
    <row r="35" ht="15.75">
      <c r="A35" s="387" t="s">
        <v>962</v>
      </c>
    </row>
  </sheetData>
  <mergeCells count="3">
    <mergeCell ref="A9:E9"/>
    <mergeCell ref="A10:E10"/>
    <mergeCell ref="A11:E11"/>
  </mergeCells>
  <printOptions/>
  <pageMargins left="0.75" right="0.75" top="1" bottom="1" header="0.5" footer="0.5"/>
  <pageSetup orientation="portrait" paperSize="9"/>
</worksheet>
</file>

<file path=xl/worksheets/sheet52.xml><?xml version="1.0" encoding="utf-8"?>
<worksheet xmlns="http://schemas.openxmlformats.org/spreadsheetml/2006/main" xmlns:r="http://schemas.openxmlformats.org/officeDocument/2006/relationships">
  <sheetPr>
    <pageSetUpPr fitToPage="1"/>
  </sheetPr>
  <dimension ref="A1:G26"/>
  <sheetViews>
    <sheetView workbookViewId="0" topLeftCell="A1">
      <selection activeCell="G32" sqref="G32"/>
    </sheetView>
  </sheetViews>
  <sheetFormatPr defaultColWidth="9.33203125" defaultRowHeight="11.25"/>
  <cols>
    <col min="1" max="1" width="8.16015625" style="0" customWidth="1"/>
    <col min="2" max="2" width="15.83203125" style="0" customWidth="1"/>
    <col min="3" max="3" width="13.16015625" style="0" customWidth="1"/>
    <col min="4" max="4" width="17.33203125" style="0" customWidth="1"/>
    <col min="5" max="5" width="15.5" style="0" customWidth="1"/>
    <col min="6" max="7" width="15.33203125" style="0" customWidth="1"/>
    <col min="9" max="9" width="14.66015625" style="0" customWidth="1"/>
    <col min="12" max="12" width="15.16015625" style="0" customWidth="1"/>
    <col min="15" max="15" width="14.83203125" style="0" customWidth="1"/>
    <col min="16" max="16" width="21.5" style="0" bestFit="1" customWidth="1"/>
    <col min="17" max="17" width="18.5" style="0" bestFit="1" customWidth="1"/>
    <col min="18" max="18" width="21.5" style="0" bestFit="1" customWidth="1"/>
  </cols>
  <sheetData>
    <row r="1" spans="1:7" ht="15.75">
      <c r="A1" s="308"/>
      <c r="G1" s="308"/>
    </row>
    <row r="2" spans="1:7" ht="15.75">
      <c r="A2" s="308"/>
      <c r="G2" s="308" t="s">
        <v>384</v>
      </c>
    </row>
    <row r="3" spans="1:7" ht="15.75">
      <c r="A3" s="308"/>
      <c r="G3" s="308" t="s">
        <v>1581</v>
      </c>
    </row>
    <row r="4" spans="1:7" ht="15.75">
      <c r="A4" s="308"/>
      <c r="G4" s="308" t="s">
        <v>1083</v>
      </c>
    </row>
    <row r="5" spans="1:7" ht="15.75">
      <c r="A5" s="308"/>
      <c r="G5" s="308" t="s">
        <v>314</v>
      </c>
    </row>
    <row r="6" ht="15.75">
      <c r="A6" s="533"/>
    </row>
    <row r="7" spans="1:6" ht="18.75">
      <c r="A7" s="1350" t="s">
        <v>1580</v>
      </c>
      <c r="B7" s="1351"/>
      <c r="C7" s="1351"/>
      <c r="D7" s="1351"/>
      <c r="E7" s="1351"/>
      <c r="F7" s="1352"/>
    </row>
    <row r="8" spans="1:6" ht="18.75">
      <c r="A8" s="1353" t="s">
        <v>658</v>
      </c>
      <c r="B8" s="1354"/>
      <c r="C8" s="1354"/>
      <c r="D8" s="1354"/>
      <c r="E8" s="1354"/>
      <c r="F8" s="1355"/>
    </row>
    <row r="9" spans="1:6" ht="31.5">
      <c r="A9" s="758" t="s">
        <v>377</v>
      </c>
      <c r="B9" s="232" t="s">
        <v>1604</v>
      </c>
      <c r="C9" s="1027" t="s">
        <v>1576</v>
      </c>
      <c r="D9" s="232" t="s">
        <v>1577</v>
      </c>
      <c r="E9" s="1027" t="s">
        <v>1578</v>
      </c>
      <c r="F9" s="232" t="s">
        <v>305</v>
      </c>
    </row>
    <row r="10" spans="1:6" ht="15.75">
      <c r="A10" s="230">
        <v>1</v>
      </c>
      <c r="B10" s="272" t="s">
        <v>14</v>
      </c>
      <c r="C10" s="233">
        <v>756.3</v>
      </c>
      <c r="D10" s="233">
        <v>656.5</v>
      </c>
      <c r="E10" s="233">
        <v>908.3</v>
      </c>
      <c r="F10" s="233">
        <v>1008</v>
      </c>
    </row>
    <row r="11" spans="1:6" ht="15.75">
      <c r="A11" s="237">
        <v>2</v>
      </c>
      <c r="B11" s="284" t="s">
        <v>15</v>
      </c>
      <c r="C11" s="236">
        <v>660.8</v>
      </c>
      <c r="D11" s="236">
        <v>580.3</v>
      </c>
      <c r="E11" s="236">
        <v>740.3</v>
      </c>
      <c r="F11" s="236">
        <v>801</v>
      </c>
    </row>
    <row r="12" spans="1:6" ht="15.75">
      <c r="A12" s="237">
        <v>3</v>
      </c>
      <c r="B12" s="284" t="s">
        <v>16</v>
      </c>
      <c r="C12" s="236">
        <v>600.8</v>
      </c>
      <c r="D12" s="236">
        <v>544.4</v>
      </c>
      <c r="E12" s="236">
        <v>527.9</v>
      </c>
      <c r="F12" s="236">
        <v>655</v>
      </c>
    </row>
    <row r="13" spans="1:6" ht="15.75">
      <c r="A13" s="237">
        <v>4</v>
      </c>
      <c r="B13" s="284" t="s">
        <v>17</v>
      </c>
      <c r="C13" s="236">
        <v>458.8</v>
      </c>
      <c r="D13" s="236">
        <v>447.8</v>
      </c>
      <c r="E13" s="236">
        <v>345.1</v>
      </c>
      <c r="F13" s="236">
        <v>465.7</v>
      </c>
    </row>
    <row r="14" spans="1:6" ht="15.75">
      <c r="A14" s="237">
        <v>5</v>
      </c>
      <c r="B14" s="284" t="s">
        <v>1477</v>
      </c>
      <c r="C14" s="236">
        <v>332.3</v>
      </c>
      <c r="D14" s="236">
        <v>358.9</v>
      </c>
      <c r="E14" s="236">
        <v>190.5</v>
      </c>
      <c r="F14" s="236">
        <v>274.2</v>
      </c>
    </row>
    <row r="15" spans="1:6" ht="15.75">
      <c r="A15" s="237">
        <v>6</v>
      </c>
      <c r="B15" s="284" t="s">
        <v>18</v>
      </c>
      <c r="C15" s="236">
        <v>187</v>
      </c>
      <c r="D15" s="236">
        <v>239.6</v>
      </c>
      <c r="E15" s="236">
        <v>53.7</v>
      </c>
      <c r="F15" s="236">
        <v>102.4</v>
      </c>
    </row>
    <row r="16" spans="1:6" ht="15.75">
      <c r="A16" s="237">
        <v>7</v>
      </c>
      <c r="B16" s="284" t="s">
        <v>19</v>
      </c>
      <c r="C16" s="236">
        <v>93.9</v>
      </c>
      <c r="D16" s="236">
        <v>144.5</v>
      </c>
      <c r="E16" s="236">
        <v>8.8</v>
      </c>
      <c r="F16" s="236">
        <v>29.2</v>
      </c>
    </row>
    <row r="17" spans="1:6" ht="15.75">
      <c r="A17" s="237">
        <v>8</v>
      </c>
      <c r="B17" s="284" t="s">
        <v>20</v>
      </c>
      <c r="C17" s="236">
        <v>83.6</v>
      </c>
      <c r="D17" s="236">
        <v>127.7</v>
      </c>
      <c r="E17" s="236">
        <v>6.5</v>
      </c>
      <c r="F17" s="236">
        <v>26.8</v>
      </c>
    </row>
    <row r="18" spans="1:6" ht="15.75">
      <c r="A18" s="237">
        <v>9</v>
      </c>
      <c r="B18" s="284" t="s">
        <v>21</v>
      </c>
      <c r="C18" s="236">
        <v>210.8</v>
      </c>
      <c r="D18" s="236">
        <v>171.7</v>
      </c>
      <c r="E18" s="236">
        <v>83.6</v>
      </c>
      <c r="F18" s="236">
        <v>151.7</v>
      </c>
    </row>
    <row r="19" spans="1:6" ht="15.75">
      <c r="A19" s="237">
        <v>10</v>
      </c>
      <c r="B19" s="284" t="s">
        <v>22</v>
      </c>
      <c r="C19" s="236">
        <v>465.2</v>
      </c>
      <c r="D19" s="236">
        <v>375.5</v>
      </c>
      <c r="E19" s="236">
        <v>330.8</v>
      </c>
      <c r="F19" s="236">
        <v>508.9</v>
      </c>
    </row>
    <row r="20" spans="1:6" ht="15.75">
      <c r="A20" s="237">
        <v>11</v>
      </c>
      <c r="B20" s="284" t="s">
        <v>23</v>
      </c>
      <c r="C20" s="236">
        <v>619.8</v>
      </c>
      <c r="D20" s="236">
        <v>546</v>
      </c>
      <c r="E20" s="236">
        <v>679.7</v>
      </c>
      <c r="F20" s="236">
        <v>825.5</v>
      </c>
    </row>
    <row r="21" spans="1:6" ht="15.75">
      <c r="A21" s="237">
        <v>12</v>
      </c>
      <c r="B21" s="284" t="s">
        <v>24</v>
      </c>
      <c r="C21" s="236">
        <v>826.5</v>
      </c>
      <c r="D21" s="236">
        <v>695.9</v>
      </c>
      <c r="E21" s="236">
        <v>1000.2</v>
      </c>
      <c r="F21" s="236">
        <v>1112.5</v>
      </c>
    </row>
    <row r="22" spans="1:6" ht="15.75">
      <c r="A22" s="237"/>
      <c r="B22" s="284"/>
      <c r="C22" s="236"/>
      <c r="D22" s="236"/>
      <c r="E22" s="236"/>
      <c r="F22" s="236"/>
    </row>
    <row r="23" spans="1:6" ht="15.75">
      <c r="A23" s="237">
        <v>13</v>
      </c>
      <c r="B23" s="284" t="s">
        <v>1579</v>
      </c>
      <c r="C23" s="236">
        <f>SUM(C10:C21)</f>
        <v>5295.8</v>
      </c>
      <c r="D23" s="236">
        <f>SUM(D10:D21)</f>
        <v>4888.799999999999</v>
      </c>
      <c r="E23" s="236">
        <f>SUM(E10:E21)</f>
        <v>4875.4</v>
      </c>
      <c r="F23" s="236">
        <f>SUM(F10:F21)</f>
        <v>5960.9</v>
      </c>
    </row>
    <row r="24" spans="1:6" ht="15.75">
      <c r="A24" s="378"/>
      <c r="B24" s="157"/>
      <c r="C24" s="118"/>
      <c r="D24" s="118"/>
      <c r="E24" s="118"/>
      <c r="F24" s="118"/>
    </row>
    <row r="25" ht="15.75">
      <c r="A25" s="308"/>
    </row>
    <row r="26" spans="1:2" ht="15.75">
      <c r="A26" s="308"/>
      <c r="B26" s="141"/>
    </row>
  </sheetData>
  <mergeCells count="2">
    <mergeCell ref="A7:F7"/>
    <mergeCell ref="A8:F8"/>
  </mergeCells>
  <printOptions/>
  <pageMargins left="1.25" right="0.25" top="0.36" bottom="1" header="0.5" footer="0.5"/>
  <pageSetup fitToHeight="1" fitToWidth="1" horizontalDpi="600" verticalDpi="600" orientation="portrait" scale="93" r:id="rId1"/>
</worksheet>
</file>

<file path=xl/worksheets/sheet53.xml><?xml version="1.0" encoding="utf-8"?>
<worksheet xmlns="http://schemas.openxmlformats.org/spreadsheetml/2006/main" xmlns:r="http://schemas.openxmlformats.org/officeDocument/2006/relationships">
  <sheetPr>
    <pageSetUpPr fitToPage="1"/>
  </sheetPr>
  <dimension ref="A1:F5"/>
  <sheetViews>
    <sheetView workbookViewId="0" topLeftCell="A1">
      <selection activeCell="G32" sqref="G32"/>
    </sheetView>
  </sheetViews>
  <sheetFormatPr defaultColWidth="9.33203125" defaultRowHeight="11.25"/>
  <cols>
    <col min="1" max="1" width="27.66015625" style="0" customWidth="1"/>
    <col min="2" max="2" width="15.66015625" style="0" customWidth="1"/>
    <col min="3" max="3" width="14.66015625" style="0" customWidth="1"/>
    <col min="6" max="6" width="15.16015625" style="0" customWidth="1"/>
    <col min="9" max="9" width="14.83203125" style="0" customWidth="1"/>
    <col min="10" max="10" width="21.5" style="0" bestFit="1" customWidth="1"/>
    <col min="11" max="11" width="18.5" style="0" bestFit="1" customWidth="1"/>
    <col min="12" max="12" width="21.5" style="0" bestFit="1" customWidth="1"/>
  </cols>
  <sheetData>
    <row r="1" ht="15.75">
      <c r="A1" s="308"/>
    </row>
    <row r="2" ht="15.75">
      <c r="F2" s="308" t="s">
        <v>297</v>
      </c>
    </row>
    <row r="3" ht="15.75">
      <c r="F3" s="308" t="s">
        <v>927</v>
      </c>
    </row>
    <row r="4" ht="15.75">
      <c r="F4" s="308" t="s">
        <v>1083</v>
      </c>
    </row>
    <row r="5" ht="15.75">
      <c r="F5" s="308" t="s">
        <v>314</v>
      </c>
    </row>
  </sheetData>
  <printOptions/>
  <pageMargins left="1.25" right="0.25" top="0.36" bottom="1" header="0.5" footer="0.5"/>
  <pageSetup fitToHeight="1" fitToWidth="1" horizontalDpi="600" verticalDpi="600" orientation="portrait" r:id="rId2"/>
  <drawing r:id="rId1"/>
</worksheet>
</file>

<file path=xl/worksheets/sheet54.xml><?xml version="1.0" encoding="utf-8"?>
<worksheet xmlns="http://schemas.openxmlformats.org/spreadsheetml/2006/main" xmlns:r="http://schemas.openxmlformats.org/officeDocument/2006/relationships">
  <dimension ref="A3:E30"/>
  <sheetViews>
    <sheetView workbookViewId="0" topLeftCell="A19">
      <selection activeCell="G32" sqref="G32"/>
    </sheetView>
  </sheetViews>
  <sheetFormatPr defaultColWidth="9.33203125" defaultRowHeight="11.25"/>
  <cols>
    <col min="1" max="1" width="8.33203125" style="308" customWidth="1"/>
    <col min="2" max="2" width="43.83203125" style="308" customWidth="1"/>
    <col min="3" max="3" width="17.66015625" style="308" bestFit="1" customWidth="1"/>
    <col min="4" max="4" width="15.16015625" style="308" customWidth="1"/>
    <col min="5" max="5" width="14" style="308" customWidth="1"/>
    <col min="6" max="6" width="17.33203125" style="308" customWidth="1"/>
    <col min="7" max="16384" width="9.33203125" style="308" customWidth="1"/>
  </cols>
  <sheetData>
    <row r="3" ht="15.75">
      <c r="D3" s="308" t="s">
        <v>309</v>
      </c>
    </row>
    <row r="4" ht="15.75">
      <c r="D4" s="308" t="s">
        <v>313</v>
      </c>
    </row>
    <row r="5" ht="15.75">
      <c r="D5" s="308" t="s">
        <v>1083</v>
      </c>
    </row>
    <row r="6" ht="15.75">
      <c r="D6" s="308" t="s">
        <v>314</v>
      </c>
    </row>
    <row r="7" ht="20.25">
      <c r="A7" s="529"/>
    </row>
    <row r="9" spans="1:5" ht="15.75">
      <c r="A9" s="1223" t="s">
        <v>658</v>
      </c>
      <c r="B9" s="1223"/>
      <c r="C9" s="1223"/>
      <c r="D9" s="1223"/>
      <c r="E9" s="1223"/>
    </row>
    <row r="10" spans="1:5" ht="20.25" customHeight="1">
      <c r="A10" s="1210" t="s">
        <v>343</v>
      </c>
      <c r="B10" s="1210"/>
      <c r="C10" s="1210"/>
      <c r="D10" s="1210"/>
      <c r="E10" s="1210"/>
    </row>
    <row r="11" spans="1:5" ht="15.75">
      <c r="A11" s="1356" t="s">
        <v>659</v>
      </c>
      <c r="B11" s="1356"/>
      <c r="C11" s="1356"/>
      <c r="D11" s="1356"/>
      <c r="E11" s="1356"/>
    </row>
    <row r="13" spans="1:5" ht="15.75">
      <c r="A13" s="530" t="s">
        <v>316</v>
      </c>
      <c r="B13" s="530" t="s">
        <v>1007</v>
      </c>
      <c r="C13" s="531" t="s">
        <v>1084</v>
      </c>
      <c r="D13" s="531" t="s">
        <v>344</v>
      </c>
      <c r="E13" s="531"/>
    </row>
    <row r="14" spans="1:5" ht="15.75">
      <c r="A14" s="530"/>
      <c r="B14" s="530" t="s">
        <v>1012</v>
      </c>
      <c r="C14" s="531" t="s">
        <v>1013</v>
      </c>
      <c r="D14" s="531" t="s">
        <v>1014</v>
      </c>
      <c r="E14" s="531"/>
    </row>
    <row r="15" spans="1:5" ht="15.75">
      <c r="A15" s="553">
        <v>1</v>
      </c>
      <c r="B15" s="543" t="s">
        <v>345</v>
      </c>
      <c r="C15" s="554"/>
      <c r="D15" s="554"/>
      <c r="E15" s="554"/>
    </row>
    <row r="16" spans="1:5" ht="15.75">
      <c r="A16" s="545">
        <v>2</v>
      </c>
      <c r="B16" s="238" t="s">
        <v>346</v>
      </c>
      <c r="C16" s="546">
        <v>25875000</v>
      </c>
      <c r="D16" s="240">
        <f>+C16/$C$19</f>
        <v>0.0809267469277735</v>
      </c>
      <c r="E16" s="238"/>
    </row>
    <row r="17" spans="1:5" ht="15.75">
      <c r="A17" s="545">
        <v>3</v>
      </c>
      <c r="B17" s="238" t="s">
        <v>347</v>
      </c>
      <c r="C17" s="238">
        <v>156354166.66666666</v>
      </c>
      <c r="D17" s="240">
        <f>+C17/$C$19</f>
        <v>0.489013877369517</v>
      </c>
      <c r="E17" s="238"/>
    </row>
    <row r="18" spans="1:5" ht="15.75">
      <c r="A18" s="545">
        <v>4</v>
      </c>
      <c r="B18" s="238" t="s">
        <v>348</v>
      </c>
      <c r="C18" s="238">
        <v>137504431.70833334</v>
      </c>
      <c r="D18" s="240">
        <f>+C18/$C$19</f>
        <v>0.43005937570270947</v>
      </c>
      <c r="E18" s="547"/>
    </row>
    <row r="19" spans="1:5" ht="16.5" thickBot="1">
      <c r="A19" s="545">
        <v>5</v>
      </c>
      <c r="B19" s="238"/>
      <c r="C19" s="555">
        <f>SUM(C16:C18)</f>
        <v>319733598.375</v>
      </c>
      <c r="D19" s="549">
        <f>SUM(D16:D18)</f>
        <v>1</v>
      </c>
      <c r="E19" s="238"/>
    </row>
    <row r="20" spans="1:5" ht="15.75">
      <c r="A20" s="545">
        <v>6</v>
      </c>
      <c r="B20" s="238"/>
      <c r="C20" s="238"/>
      <c r="D20" s="240"/>
      <c r="E20" s="238"/>
    </row>
    <row r="21" spans="1:5" ht="15.75">
      <c r="A21" s="545">
        <v>7</v>
      </c>
      <c r="B21" s="238" t="s">
        <v>349</v>
      </c>
      <c r="C21" s="238"/>
      <c r="D21" s="240"/>
      <c r="E21" s="238"/>
    </row>
    <row r="22" spans="1:5" ht="15.75">
      <c r="A22" s="545">
        <v>8</v>
      </c>
      <c r="B22" s="238" t="s">
        <v>346</v>
      </c>
      <c r="C22" s="238">
        <v>12500000</v>
      </c>
      <c r="D22" s="240">
        <f>+C22/$C$25</f>
        <v>0.03926221819264131</v>
      </c>
      <c r="E22" s="238"/>
    </row>
    <row r="23" spans="1:5" ht="15.75">
      <c r="A23" s="545">
        <v>9</v>
      </c>
      <c r="B23" s="238" t="s">
        <v>347</v>
      </c>
      <c r="C23" s="238">
        <v>173840000</v>
      </c>
      <c r="D23" s="240">
        <f>+C23/$C$25</f>
        <v>0.5460275208487012</v>
      </c>
      <c r="E23" s="238"/>
    </row>
    <row r="24" spans="1:5" ht="15.75">
      <c r="A24" s="545">
        <v>10</v>
      </c>
      <c r="B24" s="238" t="s">
        <v>348</v>
      </c>
      <c r="C24" s="238">
        <v>132032231</v>
      </c>
      <c r="D24" s="240">
        <f>+C24/$C$25</f>
        <v>0.41471026095865754</v>
      </c>
      <c r="E24" s="238"/>
    </row>
    <row r="25" spans="1:5" ht="16.5" thickBot="1">
      <c r="A25" s="545">
        <v>11</v>
      </c>
      <c r="B25" s="238"/>
      <c r="C25" s="555">
        <f>SUM(C22:C24)</f>
        <v>318372231</v>
      </c>
      <c r="D25" s="549">
        <f>SUM(D22:D24)</f>
        <v>1</v>
      </c>
      <c r="E25" s="238"/>
    </row>
    <row r="26" spans="1:5" ht="15.75">
      <c r="A26" s="545"/>
      <c r="B26" s="238"/>
      <c r="C26" s="238"/>
      <c r="D26" s="240"/>
      <c r="E26" s="238"/>
    </row>
    <row r="27" spans="1:5" ht="15.75">
      <c r="A27" s="545"/>
      <c r="B27" s="238"/>
      <c r="C27" s="238"/>
      <c r="D27" s="240"/>
      <c r="E27" s="238"/>
    </row>
    <row r="28" spans="1:5" ht="15.75">
      <c r="A28" s="551"/>
      <c r="B28" s="378"/>
      <c r="C28" s="552"/>
      <c r="D28" s="552"/>
      <c r="E28" s="552"/>
    </row>
    <row r="30" ht="15.75">
      <c r="A30" s="308" t="s">
        <v>326</v>
      </c>
    </row>
  </sheetData>
  <mergeCells count="3">
    <mergeCell ref="A9:E9"/>
    <mergeCell ref="A10:E10"/>
    <mergeCell ref="A11:E11"/>
  </mergeCells>
  <printOptions/>
  <pageMargins left="0.75" right="0.75" top="1" bottom="1" header="0.5" footer="0.5"/>
  <pageSetup orientation="portrait" paperSize="9"/>
</worksheet>
</file>

<file path=xl/worksheets/sheet55.xml><?xml version="1.0" encoding="utf-8"?>
<worksheet xmlns="http://schemas.openxmlformats.org/spreadsheetml/2006/main" xmlns:r="http://schemas.openxmlformats.org/officeDocument/2006/relationships">
  <dimension ref="A3:E52"/>
  <sheetViews>
    <sheetView workbookViewId="0" topLeftCell="A10">
      <selection activeCell="G32" sqref="G32"/>
    </sheetView>
  </sheetViews>
  <sheetFormatPr defaultColWidth="9.33203125" defaultRowHeight="11.25"/>
  <cols>
    <col min="1" max="1" width="8.33203125" style="308" customWidth="1"/>
    <col min="2" max="2" width="26.5" style="308" customWidth="1"/>
    <col min="3" max="3" width="17.66015625" style="308" customWidth="1"/>
    <col min="4" max="4" width="16.83203125" style="308" customWidth="1"/>
    <col min="5" max="5" width="17.33203125" style="308" customWidth="1"/>
    <col min="6" max="16384" width="9.33203125" style="308" customWidth="1"/>
  </cols>
  <sheetData>
    <row r="3" ht="15.75">
      <c r="D3" s="308" t="s">
        <v>309</v>
      </c>
    </row>
    <row r="4" ht="15.75">
      <c r="D4" s="308" t="s">
        <v>140</v>
      </c>
    </row>
    <row r="5" ht="15.75">
      <c r="D5" s="308" t="s">
        <v>1083</v>
      </c>
    </row>
    <row r="6" ht="15.75">
      <c r="D6" s="308" t="s">
        <v>314</v>
      </c>
    </row>
    <row r="7" ht="20.25">
      <c r="A7" s="529"/>
    </row>
    <row r="9" spans="1:4" ht="15.75">
      <c r="A9" s="1223" t="s">
        <v>658</v>
      </c>
      <c r="B9" s="1223"/>
      <c r="C9" s="1223"/>
      <c r="D9" s="1223"/>
    </row>
    <row r="10" spans="1:5" ht="39.75" customHeight="1">
      <c r="A10" s="1357" t="s">
        <v>141</v>
      </c>
      <c r="B10" s="1357"/>
      <c r="C10" s="1357"/>
      <c r="D10" s="1357"/>
      <c r="E10" s="1357"/>
    </row>
    <row r="11" spans="1:4" ht="15.75">
      <c r="A11" s="1356" t="s">
        <v>659</v>
      </c>
      <c r="B11" s="1356"/>
      <c r="C11" s="1356"/>
      <c r="D11" s="1356"/>
    </row>
    <row r="13" spans="1:5" ht="31.5">
      <c r="A13" s="530" t="s">
        <v>316</v>
      </c>
      <c r="B13" s="530" t="s">
        <v>142</v>
      </c>
      <c r="C13" s="531" t="s">
        <v>143</v>
      </c>
      <c r="D13" s="531" t="s">
        <v>144</v>
      </c>
      <c r="E13" s="531" t="s">
        <v>145</v>
      </c>
    </row>
    <row r="14" spans="1:5" ht="15.75">
      <c r="A14" s="530"/>
      <c r="B14" s="530" t="s">
        <v>1012</v>
      </c>
      <c r="C14" s="531" t="s">
        <v>1013</v>
      </c>
      <c r="D14" s="531" t="s">
        <v>1014</v>
      </c>
      <c r="E14" s="531" t="s">
        <v>1074</v>
      </c>
    </row>
    <row r="15" spans="1:5" ht="15.75">
      <c r="A15" s="543"/>
      <c r="B15" s="543"/>
      <c r="C15" s="543"/>
      <c r="D15" s="544"/>
      <c r="E15" s="544"/>
    </row>
    <row r="16" spans="1:5" ht="15.75">
      <c r="A16" s="545">
        <v>1</v>
      </c>
      <c r="B16" s="820">
        <v>38718</v>
      </c>
      <c r="C16" s="238">
        <v>18900000</v>
      </c>
      <c r="D16" s="546">
        <v>1573137.42</v>
      </c>
      <c r="E16" s="546">
        <f>+D16-C16</f>
        <v>-17326862.58</v>
      </c>
    </row>
    <row r="17" spans="1:5" ht="15.75">
      <c r="A17" s="545">
        <v>2</v>
      </c>
      <c r="B17" s="820">
        <v>38719</v>
      </c>
      <c r="C17" s="238">
        <v>18900000</v>
      </c>
      <c r="D17" s="238">
        <v>1573137.42</v>
      </c>
      <c r="E17" s="238">
        <f>+D17-C17</f>
        <v>-17326862.58</v>
      </c>
    </row>
    <row r="18" spans="1:5" ht="15.75">
      <c r="A18" s="545">
        <v>3</v>
      </c>
      <c r="B18" s="820">
        <v>38720</v>
      </c>
      <c r="C18" s="238">
        <v>15900000</v>
      </c>
      <c r="D18" s="238">
        <v>44198.95</v>
      </c>
      <c r="E18" s="238">
        <f aca="true" t="shared" si="0" ref="E18:E46">+D18-C18</f>
        <v>-15855801.05</v>
      </c>
    </row>
    <row r="19" spans="1:5" ht="15.75">
      <c r="A19" s="545">
        <v>4</v>
      </c>
      <c r="B19" s="820">
        <v>38721</v>
      </c>
      <c r="C19" s="238">
        <v>14100000</v>
      </c>
      <c r="D19" s="238">
        <v>1129274.13</v>
      </c>
      <c r="E19" s="238">
        <f t="shared" si="0"/>
        <v>-12970725.870000001</v>
      </c>
    </row>
    <row r="20" spans="1:5" ht="15.75">
      <c r="A20" s="545">
        <v>5</v>
      </c>
      <c r="B20" s="820">
        <v>38722</v>
      </c>
      <c r="C20" s="238">
        <v>11200000</v>
      </c>
      <c r="D20" s="238">
        <v>0</v>
      </c>
      <c r="E20" s="238">
        <f t="shared" si="0"/>
        <v>-11200000</v>
      </c>
    </row>
    <row r="21" spans="1:5" ht="15.75">
      <c r="A21" s="545">
        <v>6</v>
      </c>
      <c r="B21" s="820">
        <v>38723</v>
      </c>
      <c r="C21" s="238">
        <v>10100000</v>
      </c>
      <c r="D21" s="238">
        <v>1169309.81</v>
      </c>
      <c r="E21" s="238">
        <f t="shared" si="0"/>
        <v>-8930690.19</v>
      </c>
    </row>
    <row r="22" spans="1:5" ht="15.75">
      <c r="A22" s="545">
        <v>7</v>
      </c>
      <c r="B22" s="820">
        <v>38724</v>
      </c>
      <c r="C22" s="238">
        <v>10100000</v>
      </c>
      <c r="D22" s="238">
        <v>1169309.81</v>
      </c>
      <c r="E22" s="238">
        <f t="shared" si="0"/>
        <v>-8930690.19</v>
      </c>
    </row>
    <row r="23" spans="1:5" ht="15.75">
      <c r="A23" s="545">
        <v>8</v>
      </c>
      <c r="B23" s="820">
        <v>38725</v>
      </c>
      <c r="C23" s="238">
        <v>10100000</v>
      </c>
      <c r="D23" s="238">
        <v>1169309.81</v>
      </c>
      <c r="E23" s="238">
        <f t="shared" si="0"/>
        <v>-8930690.19</v>
      </c>
    </row>
    <row r="24" spans="1:5" ht="15.75">
      <c r="A24" s="545">
        <v>9</v>
      </c>
      <c r="B24" s="820">
        <v>38726</v>
      </c>
      <c r="C24" s="238">
        <v>7000000</v>
      </c>
      <c r="D24" s="238">
        <v>5509866.47</v>
      </c>
      <c r="E24" s="238">
        <f t="shared" si="0"/>
        <v>-1490133.5300000003</v>
      </c>
    </row>
    <row r="25" spans="1:5" ht="15.75">
      <c r="A25" s="545">
        <v>10</v>
      </c>
      <c r="B25" s="820">
        <v>38727</v>
      </c>
      <c r="C25" s="238">
        <v>0</v>
      </c>
      <c r="D25" s="238">
        <v>3432857.08</v>
      </c>
      <c r="E25" s="238">
        <f t="shared" si="0"/>
        <v>3432857.08</v>
      </c>
    </row>
    <row r="26" spans="1:5" ht="15.75">
      <c r="A26" s="545">
        <v>11</v>
      </c>
      <c r="B26" s="820">
        <v>38728</v>
      </c>
      <c r="C26" s="238">
        <v>0</v>
      </c>
      <c r="D26" s="238">
        <v>5507087.89</v>
      </c>
      <c r="E26" s="238">
        <f t="shared" si="0"/>
        <v>5507087.89</v>
      </c>
    </row>
    <row r="27" spans="1:5" ht="15.75">
      <c r="A27" s="545">
        <v>12</v>
      </c>
      <c r="B27" s="820">
        <v>38729</v>
      </c>
      <c r="C27" s="238">
        <v>0</v>
      </c>
      <c r="D27" s="238">
        <v>8247287.3</v>
      </c>
      <c r="E27" s="238">
        <f t="shared" si="0"/>
        <v>8247287.3</v>
      </c>
    </row>
    <row r="28" spans="1:5" ht="15.75">
      <c r="A28" s="545">
        <v>13</v>
      </c>
      <c r="B28" s="820">
        <v>38730</v>
      </c>
      <c r="C28" s="238">
        <v>0</v>
      </c>
      <c r="D28" s="238">
        <v>9814618.19</v>
      </c>
      <c r="E28" s="238">
        <f t="shared" si="0"/>
        <v>9814618.19</v>
      </c>
    </row>
    <row r="29" spans="1:5" ht="15.75">
      <c r="A29" s="545">
        <v>14</v>
      </c>
      <c r="B29" s="820">
        <v>38731</v>
      </c>
      <c r="C29" s="238">
        <v>0</v>
      </c>
      <c r="D29" s="238">
        <v>9814618.19</v>
      </c>
      <c r="E29" s="238">
        <f t="shared" si="0"/>
        <v>9814618.19</v>
      </c>
    </row>
    <row r="30" spans="1:5" ht="15.75">
      <c r="A30" s="545">
        <v>15</v>
      </c>
      <c r="B30" s="820">
        <v>38732</v>
      </c>
      <c r="C30" s="238">
        <v>0</v>
      </c>
      <c r="D30" s="238">
        <v>9814618.19</v>
      </c>
      <c r="E30" s="238">
        <f t="shared" si="0"/>
        <v>9814618.19</v>
      </c>
    </row>
    <row r="31" spans="1:5" ht="15.75">
      <c r="A31" s="545">
        <v>16</v>
      </c>
      <c r="B31" s="820">
        <v>38733</v>
      </c>
      <c r="C31" s="238">
        <v>0</v>
      </c>
      <c r="D31" s="238">
        <v>9814618.19</v>
      </c>
      <c r="E31" s="238">
        <f t="shared" si="0"/>
        <v>9814618.19</v>
      </c>
    </row>
    <row r="32" spans="1:5" ht="15.75">
      <c r="A32" s="545">
        <v>17</v>
      </c>
      <c r="B32" s="820">
        <v>38734</v>
      </c>
      <c r="C32" s="238">
        <v>0</v>
      </c>
      <c r="D32" s="238">
        <v>12458513.62</v>
      </c>
      <c r="E32" s="238">
        <f t="shared" si="0"/>
        <v>12458513.62</v>
      </c>
    </row>
    <row r="33" spans="1:5" ht="15.75">
      <c r="A33" s="545">
        <v>18</v>
      </c>
      <c r="B33" s="820">
        <v>38735</v>
      </c>
      <c r="C33" s="238">
        <v>0</v>
      </c>
      <c r="D33" s="238">
        <v>15773817.15</v>
      </c>
      <c r="E33" s="238">
        <f t="shared" si="0"/>
        <v>15773817.15</v>
      </c>
    </row>
    <row r="34" spans="1:5" ht="15.75">
      <c r="A34" s="545">
        <v>19</v>
      </c>
      <c r="B34" s="820">
        <v>38736</v>
      </c>
      <c r="C34" s="238">
        <v>0</v>
      </c>
      <c r="D34" s="238">
        <v>19098114.49</v>
      </c>
      <c r="E34" s="238">
        <f t="shared" si="0"/>
        <v>19098114.49</v>
      </c>
    </row>
    <row r="35" spans="1:5" ht="15.75">
      <c r="A35" s="545">
        <v>20</v>
      </c>
      <c r="B35" s="820">
        <v>38737</v>
      </c>
      <c r="C35" s="238">
        <v>0</v>
      </c>
      <c r="D35" s="238">
        <v>23864207.44</v>
      </c>
      <c r="E35" s="238">
        <f t="shared" si="0"/>
        <v>23864207.44</v>
      </c>
    </row>
    <row r="36" spans="1:5" ht="15.75">
      <c r="A36" s="545">
        <v>21</v>
      </c>
      <c r="B36" s="820">
        <v>38738</v>
      </c>
      <c r="C36" s="238">
        <v>0</v>
      </c>
      <c r="D36" s="238">
        <v>23864207.44</v>
      </c>
      <c r="E36" s="238">
        <f t="shared" si="0"/>
        <v>23864207.44</v>
      </c>
    </row>
    <row r="37" spans="1:5" ht="15.75">
      <c r="A37" s="545">
        <v>22</v>
      </c>
      <c r="B37" s="820">
        <v>38739</v>
      </c>
      <c r="C37" s="238">
        <v>0</v>
      </c>
      <c r="D37" s="238">
        <v>23864207.44</v>
      </c>
      <c r="E37" s="238">
        <f t="shared" si="0"/>
        <v>23864207.44</v>
      </c>
    </row>
    <row r="38" spans="1:5" ht="15.75">
      <c r="A38" s="545">
        <v>23</v>
      </c>
      <c r="B38" s="820">
        <v>38740</v>
      </c>
      <c r="C38" s="238">
        <v>0</v>
      </c>
      <c r="D38" s="238">
        <v>27915902.53</v>
      </c>
      <c r="E38" s="238">
        <f t="shared" si="0"/>
        <v>27915902.53</v>
      </c>
    </row>
    <row r="39" spans="1:5" ht="15.75">
      <c r="A39" s="545">
        <v>24</v>
      </c>
      <c r="B39" s="820">
        <v>38741</v>
      </c>
      <c r="C39" s="238">
        <v>0</v>
      </c>
      <c r="D39" s="238">
        <v>30880476.37</v>
      </c>
      <c r="E39" s="238">
        <f t="shared" si="0"/>
        <v>30880476.37</v>
      </c>
    </row>
    <row r="40" spans="1:5" ht="15.75">
      <c r="A40" s="545">
        <v>25</v>
      </c>
      <c r="B40" s="820">
        <v>38742</v>
      </c>
      <c r="C40" s="238">
        <v>23400000</v>
      </c>
      <c r="D40" s="238">
        <v>5523798.45</v>
      </c>
      <c r="E40" s="238">
        <f t="shared" si="0"/>
        <v>-17876201.55</v>
      </c>
    </row>
    <row r="41" spans="1:5" ht="15.75">
      <c r="A41" s="545">
        <v>26</v>
      </c>
      <c r="B41" s="820">
        <v>38743</v>
      </c>
      <c r="C41" s="238">
        <v>17400000</v>
      </c>
      <c r="D41" s="238">
        <v>753501.7</v>
      </c>
      <c r="E41" s="238">
        <f t="shared" si="0"/>
        <v>-16646498.3</v>
      </c>
    </row>
    <row r="42" spans="1:5" ht="15.75">
      <c r="A42" s="545">
        <v>27</v>
      </c>
      <c r="B42" s="820">
        <v>38744</v>
      </c>
      <c r="C42" s="238">
        <v>19900000</v>
      </c>
      <c r="D42" s="238">
        <v>848168.05</v>
      </c>
      <c r="E42" s="238">
        <f t="shared" si="0"/>
        <v>-19051831.95</v>
      </c>
    </row>
    <row r="43" spans="1:5" ht="15.75">
      <c r="A43" s="545">
        <v>28</v>
      </c>
      <c r="B43" s="820">
        <v>38745</v>
      </c>
      <c r="C43" s="238">
        <v>19900000</v>
      </c>
      <c r="D43" s="238">
        <v>848168.05</v>
      </c>
      <c r="E43" s="238">
        <f t="shared" si="0"/>
        <v>-19051831.95</v>
      </c>
    </row>
    <row r="44" spans="1:5" ht="15.75">
      <c r="A44" s="545">
        <v>29</v>
      </c>
      <c r="B44" s="820">
        <v>38746</v>
      </c>
      <c r="C44" s="238">
        <v>19900000</v>
      </c>
      <c r="D44" s="238">
        <v>848168.05</v>
      </c>
      <c r="E44" s="238">
        <f t="shared" si="0"/>
        <v>-19051831.95</v>
      </c>
    </row>
    <row r="45" spans="1:5" ht="15.75">
      <c r="A45" s="545">
        <v>30</v>
      </c>
      <c r="B45" s="820">
        <v>38747</v>
      </c>
      <c r="C45" s="238">
        <v>17400000</v>
      </c>
      <c r="D45" s="238">
        <v>768095.11</v>
      </c>
      <c r="E45" s="238">
        <f t="shared" si="0"/>
        <v>-16631904.89</v>
      </c>
    </row>
    <row r="46" spans="1:5" ht="15.75">
      <c r="A46" s="545">
        <v>31</v>
      </c>
      <c r="B46" s="820">
        <v>38748</v>
      </c>
      <c r="C46" s="238">
        <v>15400000</v>
      </c>
      <c r="D46" s="238">
        <v>1579422.63</v>
      </c>
      <c r="E46" s="238">
        <f t="shared" si="0"/>
        <v>-13820577.370000001</v>
      </c>
    </row>
    <row r="47" spans="1:5" ht="15.75">
      <c r="A47" s="545">
        <v>32</v>
      </c>
      <c r="B47" s="238"/>
      <c r="C47" s="238"/>
      <c r="D47" s="238"/>
      <c r="E47" s="821">
        <f>SUM(E16:E46)</f>
        <v>9072017.369999994</v>
      </c>
    </row>
    <row r="48" spans="1:5" ht="15.75">
      <c r="A48" s="545">
        <v>33</v>
      </c>
      <c r="B48" s="238"/>
      <c r="C48" s="238"/>
      <c r="D48" s="238"/>
      <c r="E48" s="546"/>
    </row>
    <row r="49" spans="1:5" ht="15.75">
      <c r="A49" s="545">
        <v>34</v>
      </c>
      <c r="B49" s="238" t="s">
        <v>146</v>
      </c>
      <c r="C49" s="238"/>
      <c r="D49" s="238"/>
      <c r="E49" s="546">
        <f>AVERAGE(E16:E46)</f>
        <v>292645.721612903</v>
      </c>
    </row>
    <row r="50" spans="1:5" ht="15.75">
      <c r="A50" s="545">
        <v>35</v>
      </c>
      <c r="B50" s="238"/>
      <c r="C50" s="238"/>
      <c r="D50" s="238"/>
      <c r="E50" s="546"/>
    </row>
    <row r="51" spans="1:5" ht="15.75">
      <c r="A51" s="545">
        <v>36</v>
      </c>
      <c r="B51" s="238"/>
      <c r="C51" s="238"/>
      <c r="D51" s="240"/>
      <c r="E51" s="240"/>
    </row>
    <row r="52" spans="1:5" ht="15.75">
      <c r="A52" s="551"/>
      <c r="B52" s="378"/>
      <c r="C52" s="378"/>
      <c r="D52" s="552"/>
      <c r="E52" s="552"/>
    </row>
  </sheetData>
  <mergeCells count="3">
    <mergeCell ref="A9:D9"/>
    <mergeCell ref="A11:D11"/>
    <mergeCell ref="A10:E10"/>
  </mergeCells>
  <printOptions/>
  <pageMargins left="0.75" right="0.75" top="1" bottom="1" header="0.5" footer="0.5"/>
  <pageSetup orientation="portrait" paperSize="9"/>
</worksheet>
</file>

<file path=xl/worksheets/sheet56.xml><?xml version="1.0" encoding="utf-8"?>
<worksheet xmlns="http://schemas.openxmlformats.org/spreadsheetml/2006/main" xmlns:r="http://schemas.openxmlformats.org/officeDocument/2006/relationships">
  <dimension ref="A3:F32"/>
  <sheetViews>
    <sheetView workbookViewId="0" topLeftCell="A10">
      <selection activeCell="G32" sqref="G32"/>
    </sheetView>
  </sheetViews>
  <sheetFormatPr defaultColWidth="9.33203125" defaultRowHeight="11.25"/>
  <cols>
    <col min="1" max="1" width="8.33203125" style="308" customWidth="1"/>
    <col min="2" max="2" width="43.83203125" style="308" customWidth="1"/>
    <col min="3" max="3" width="17.66015625" style="308" bestFit="1" customWidth="1"/>
    <col min="4" max="4" width="15.83203125" style="308" customWidth="1"/>
    <col min="5" max="5" width="4" style="308" customWidth="1"/>
    <col min="6" max="6" width="16.33203125" style="308" bestFit="1" customWidth="1"/>
    <col min="7" max="7" width="17.33203125" style="308" customWidth="1"/>
    <col min="8" max="16384" width="9.33203125" style="308" customWidth="1"/>
  </cols>
  <sheetData>
    <row r="3" ht="15.75">
      <c r="D3" s="308" t="s">
        <v>309</v>
      </c>
    </row>
    <row r="4" ht="15.75">
      <c r="D4" s="308" t="s">
        <v>135</v>
      </c>
    </row>
    <row r="5" ht="15.75">
      <c r="D5" s="308" t="s">
        <v>1083</v>
      </c>
    </row>
    <row r="6" ht="15.75">
      <c r="D6" s="308" t="s">
        <v>314</v>
      </c>
    </row>
    <row r="7" ht="20.25">
      <c r="A7" s="529"/>
    </row>
    <row r="9" spans="1:6" ht="15.75">
      <c r="A9" s="1223" t="s">
        <v>658</v>
      </c>
      <c r="B9" s="1223"/>
      <c r="C9" s="1223"/>
      <c r="D9" s="1223"/>
      <c r="E9" s="1223"/>
      <c r="F9" s="1223"/>
    </row>
    <row r="10" spans="1:6" ht="20.25" customHeight="1">
      <c r="A10" s="1210" t="s">
        <v>136</v>
      </c>
      <c r="B10" s="1210"/>
      <c r="C10" s="1210"/>
      <c r="D10" s="1210"/>
      <c r="E10" s="1210"/>
      <c r="F10" s="1210"/>
    </row>
    <row r="11" spans="1:6" ht="15.75">
      <c r="A11" s="1356" t="s">
        <v>659</v>
      </c>
      <c r="B11" s="1356"/>
      <c r="C11" s="1356"/>
      <c r="D11" s="1356"/>
      <c r="E11" s="1356"/>
      <c r="F11" s="1356"/>
    </row>
    <row r="13" spans="1:6" ht="31.5">
      <c r="A13" s="530" t="s">
        <v>316</v>
      </c>
      <c r="B13" s="530" t="s">
        <v>1007</v>
      </c>
      <c r="C13" s="531" t="s">
        <v>1084</v>
      </c>
      <c r="D13" s="531" t="s">
        <v>330</v>
      </c>
      <c r="E13" s="531"/>
      <c r="F13" s="531" t="s">
        <v>331</v>
      </c>
    </row>
    <row r="14" spans="1:6" ht="15.75">
      <c r="A14" s="530"/>
      <c r="B14" s="530" t="s">
        <v>1012</v>
      </c>
      <c r="C14" s="531" t="s">
        <v>1013</v>
      </c>
      <c r="D14" s="531" t="s">
        <v>1074</v>
      </c>
      <c r="E14" s="531"/>
      <c r="F14" s="531" t="s">
        <v>1016</v>
      </c>
    </row>
    <row r="15" spans="1:6" ht="15.75">
      <c r="A15" s="543"/>
      <c r="B15" s="543"/>
      <c r="C15" s="544"/>
      <c r="D15" s="544"/>
      <c r="E15" s="544"/>
      <c r="F15" s="544"/>
    </row>
    <row r="16" spans="1:6" ht="15.75">
      <c r="A16" s="545">
        <v>1</v>
      </c>
      <c r="B16" s="238" t="s">
        <v>332</v>
      </c>
      <c r="C16" s="546">
        <v>14000000</v>
      </c>
      <c r="D16" s="240">
        <v>0.091216</v>
      </c>
      <c r="E16" s="546"/>
      <c r="F16" s="546">
        <f>C16*D16</f>
        <v>1277024</v>
      </c>
    </row>
    <row r="17" spans="1:6" ht="15.75">
      <c r="A17" s="545">
        <v>2</v>
      </c>
      <c r="B17" s="238" t="s">
        <v>333</v>
      </c>
      <c r="C17" s="238">
        <v>5000000</v>
      </c>
      <c r="D17" s="240">
        <v>0.082032</v>
      </c>
      <c r="E17" s="238"/>
      <c r="F17" s="546">
        <f aca="true" t="shared" si="0" ref="F17:F27">C17*D17</f>
        <v>410159.99999999994</v>
      </c>
    </row>
    <row r="18" spans="1:6" ht="15.75">
      <c r="A18" s="545">
        <v>3</v>
      </c>
      <c r="B18" s="238" t="s">
        <v>334</v>
      </c>
      <c r="C18" s="238">
        <v>3000000</v>
      </c>
      <c r="D18" s="240">
        <v>0.082133</v>
      </c>
      <c r="E18" s="238"/>
      <c r="F18" s="546">
        <f t="shared" si="0"/>
        <v>246399</v>
      </c>
    </row>
    <row r="19" spans="1:6" ht="15.75">
      <c r="A19" s="545">
        <v>4</v>
      </c>
      <c r="B19" s="238" t="s">
        <v>335</v>
      </c>
      <c r="C19" s="238">
        <v>4000000</v>
      </c>
      <c r="D19" s="240">
        <v>0.09646</v>
      </c>
      <c r="E19" s="238"/>
      <c r="F19" s="546">
        <f t="shared" si="0"/>
        <v>385840</v>
      </c>
    </row>
    <row r="20" spans="1:6" ht="15.75">
      <c r="A20" s="545">
        <v>5</v>
      </c>
      <c r="B20" s="238" t="s">
        <v>336</v>
      </c>
      <c r="C20" s="238">
        <v>10000000</v>
      </c>
      <c r="D20" s="240">
        <v>0.097141</v>
      </c>
      <c r="E20" s="238"/>
      <c r="F20" s="546">
        <f t="shared" si="0"/>
        <v>971410</v>
      </c>
    </row>
    <row r="21" spans="1:6" s="276" customFormat="1" ht="15.75">
      <c r="A21" s="545">
        <v>6</v>
      </c>
      <c r="B21" s="238" t="s">
        <v>337</v>
      </c>
      <c r="C21" s="238">
        <v>10000000</v>
      </c>
      <c r="D21" s="240">
        <v>0.09646</v>
      </c>
      <c r="E21" s="238"/>
      <c r="F21" s="546">
        <f t="shared" si="0"/>
        <v>964600</v>
      </c>
    </row>
    <row r="22" spans="1:6" s="276" customFormat="1" ht="15.75">
      <c r="A22" s="545">
        <v>7</v>
      </c>
      <c r="B22" s="238" t="s">
        <v>338</v>
      </c>
      <c r="C22" s="238">
        <v>8000000</v>
      </c>
      <c r="D22" s="240">
        <v>0.086194</v>
      </c>
      <c r="E22" s="238"/>
      <c r="F22" s="546">
        <f t="shared" si="0"/>
        <v>689552</v>
      </c>
    </row>
    <row r="23" spans="1:6" s="276" customFormat="1" ht="15.75">
      <c r="A23" s="545">
        <v>8</v>
      </c>
      <c r="B23" s="238" t="s">
        <v>339</v>
      </c>
      <c r="C23" s="238">
        <v>20000000</v>
      </c>
      <c r="D23" s="240">
        <v>0.075654</v>
      </c>
      <c r="E23" s="238"/>
      <c r="F23" s="546">
        <f t="shared" si="0"/>
        <v>1513080</v>
      </c>
    </row>
    <row r="24" spans="1:6" s="276" customFormat="1" ht="15.75">
      <c r="A24" s="545">
        <v>9</v>
      </c>
      <c r="B24" s="238" t="s">
        <v>340</v>
      </c>
      <c r="C24" s="238">
        <v>15000000</v>
      </c>
      <c r="D24" s="240">
        <v>0.071802</v>
      </c>
      <c r="E24" s="238"/>
      <c r="F24" s="546">
        <f t="shared" si="0"/>
        <v>1077030</v>
      </c>
    </row>
    <row r="25" spans="1:6" s="276" customFormat="1" ht="15.75">
      <c r="A25" s="545">
        <v>13</v>
      </c>
      <c r="B25" s="238" t="s">
        <v>137</v>
      </c>
      <c r="C25" s="238">
        <v>39840000</v>
      </c>
      <c r="D25" s="240">
        <v>0.078232</v>
      </c>
      <c r="E25" s="238"/>
      <c r="F25" s="546">
        <f t="shared" si="0"/>
        <v>3116762.88</v>
      </c>
    </row>
    <row r="26" spans="1:6" s="276" customFormat="1" ht="15.75">
      <c r="A26" s="545">
        <v>14</v>
      </c>
      <c r="B26" s="238" t="s">
        <v>341</v>
      </c>
      <c r="C26" s="238">
        <v>30000000</v>
      </c>
      <c r="D26" s="240">
        <v>0.056932</v>
      </c>
      <c r="E26" s="238"/>
      <c r="F26" s="546">
        <f t="shared" si="0"/>
        <v>1707960</v>
      </c>
    </row>
    <row r="27" spans="1:6" ht="15.75">
      <c r="A27" s="545">
        <v>15</v>
      </c>
      <c r="B27" s="238" t="s">
        <v>138</v>
      </c>
      <c r="C27" s="238">
        <v>15000000</v>
      </c>
      <c r="D27" s="240">
        <v>0.053947</v>
      </c>
      <c r="E27" s="238"/>
      <c r="F27" s="546">
        <f t="shared" si="0"/>
        <v>809205</v>
      </c>
    </row>
    <row r="28" spans="1:6" ht="15.75">
      <c r="A28" s="545">
        <v>16</v>
      </c>
      <c r="B28" s="238"/>
      <c r="C28" s="238"/>
      <c r="D28" s="240"/>
      <c r="E28" s="238"/>
      <c r="F28" s="238"/>
    </row>
    <row r="29" spans="1:6" ht="16.5" thickBot="1">
      <c r="A29" s="545">
        <v>17</v>
      </c>
      <c r="B29" s="238" t="s">
        <v>342</v>
      </c>
      <c r="C29" s="548">
        <f>SUM(C16:C28)</f>
        <v>173840000</v>
      </c>
      <c r="D29" s="549">
        <f>+F29/C29</f>
        <v>0.07575369811320753</v>
      </c>
      <c r="E29" s="550" t="s">
        <v>295</v>
      </c>
      <c r="F29" s="548">
        <f>SUM(F16:F28)</f>
        <v>13169022.879999999</v>
      </c>
    </row>
    <row r="30" spans="1:6" ht="15.75">
      <c r="A30" s="551"/>
      <c r="B30" s="378"/>
      <c r="C30" s="552"/>
      <c r="D30" s="552"/>
      <c r="E30" s="552"/>
      <c r="F30" s="552"/>
    </row>
    <row r="32" ht="15.75">
      <c r="A32" s="308" t="s">
        <v>139</v>
      </c>
    </row>
  </sheetData>
  <mergeCells count="3">
    <mergeCell ref="A9:F9"/>
    <mergeCell ref="A10:F10"/>
    <mergeCell ref="A11:F11"/>
  </mergeCells>
  <printOptions/>
  <pageMargins left="0.75" right="0.75" top="1" bottom="1" header="0.5" footer="0.5"/>
  <pageSetup orientation="portrait" paperSize="9"/>
</worksheet>
</file>

<file path=xl/worksheets/sheet57.xml><?xml version="1.0" encoding="utf-8"?>
<worksheet xmlns="http://schemas.openxmlformats.org/spreadsheetml/2006/main" xmlns:r="http://schemas.openxmlformats.org/officeDocument/2006/relationships">
  <dimension ref="A3:F31"/>
  <sheetViews>
    <sheetView workbookViewId="0" topLeftCell="A14">
      <selection activeCell="G32" sqref="G32"/>
    </sheetView>
  </sheetViews>
  <sheetFormatPr defaultColWidth="9.33203125" defaultRowHeight="11.25"/>
  <cols>
    <col min="1" max="1" width="8.33203125" style="308" customWidth="1"/>
    <col min="2" max="2" width="43.83203125" style="308" customWidth="1"/>
    <col min="3" max="4" width="15.16015625" style="308" customWidth="1"/>
    <col min="5" max="5" width="4.66015625" style="308" customWidth="1"/>
    <col min="6" max="6" width="14" style="308" customWidth="1"/>
    <col min="7" max="7" width="17.33203125" style="308" customWidth="1"/>
    <col min="8" max="16384" width="9.33203125" style="308" customWidth="1"/>
  </cols>
  <sheetData>
    <row r="3" ht="15.75">
      <c r="D3" s="308" t="s">
        <v>309</v>
      </c>
    </row>
    <row r="4" ht="15.75">
      <c r="D4" s="308" t="s">
        <v>128</v>
      </c>
    </row>
    <row r="5" ht="15.75">
      <c r="D5" s="308" t="s">
        <v>1083</v>
      </c>
    </row>
    <row r="6" ht="15.75">
      <c r="D6" s="308" t="s">
        <v>314</v>
      </c>
    </row>
    <row r="7" ht="20.25">
      <c r="A7" s="529"/>
    </row>
    <row r="9" spans="1:6" ht="15.75">
      <c r="A9" s="1224" t="s">
        <v>658</v>
      </c>
      <c r="B9" s="1225"/>
      <c r="C9" s="1225"/>
      <c r="D9" s="1225"/>
      <c r="E9" s="1225"/>
      <c r="F9" s="1226"/>
    </row>
    <row r="10" spans="1:6" ht="20.25" customHeight="1">
      <c r="A10" s="1358" t="s">
        <v>129</v>
      </c>
      <c r="B10" s="1359"/>
      <c r="C10" s="1359"/>
      <c r="D10" s="1359"/>
      <c r="E10" s="1359"/>
      <c r="F10" s="1360"/>
    </row>
    <row r="11" spans="1:6" ht="15.75">
      <c r="A11" s="818"/>
      <c r="B11" s="536"/>
      <c r="C11" s="536"/>
      <c r="D11" s="536"/>
      <c r="E11" s="536"/>
      <c r="F11" s="285"/>
    </row>
    <row r="12" spans="1:6" ht="15.75">
      <c r="A12" s="530" t="s">
        <v>316</v>
      </c>
      <c r="B12" s="530" t="s">
        <v>1007</v>
      </c>
      <c r="C12" s="531" t="s">
        <v>130</v>
      </c>
      <c r="D12" s="531" t="s">
        <v>1141</v>
      </c>
      <c r="E12" s="531"/>
      <c r="F12" s="531" t="s">
        <v>131</v>
      </c>
    </row>
    <row r="13" spans="1:6" ht="15.75">
      <c r="A13" s="530"/>
      <c r="B13" s="530" t="s">
        <v>1012</v>
      </c>
      <c r="C13" s="531" t="s">
        <v>1013</v>
      </c>
      <c r="D13" s="531" t="s">
        <v>1014</v>
      </c>
      <c r="E13" s="531"/>
      <c r="F13" s="531" t="s">
        <v>1074</v>
      </c>
    </row>
    <row r="14" spans="1:6" ht="15.75">
      <c r="A14" s="543"/>
      <c r="B14" s="543"/>
      <c r="C14" s="544"/>
      <c r="D14" s="544"/>
      <c r="E14" s="544"/>
      <c r="F14" s="544"/>
    </row>
    <row r="15" spans="1:6" ht="15.75">
      <c r="A15" s="545" t="s">
        <v>1021</v>
      </c>
      <c r="B15" s="238" t="s">
        <v>132</v>
      </c>
      <c r="C15" s="240">
        <v>0.5</v>
      </c>
      <c r="D15" s="240">
        <v>0.0758</v>
      </c>
      <c r="E15" s="819"/>
      <c r="F15" s="240">
        <f>+D15*C15</f>
        <v>0.0379</v>
      </c>
    </row>
    <row r="16" spans="1:6" ht="15.75">
      <c r="A16" s="545" t="s">
        <v>1023</v>
      </c>
      <c r="B16" s="238" t="s">
        <v>133</v>
      </c>
      <c r="C16" s="240">
        <v>0.5</v>
      </c>
      <c r="D16" s="240">
        <v>0.1115</v>
      </c>
      <c r="E16" s="819"/>
      <c r="F16" s="240">
        <f>+D16*C16</f>
        <v>0.05575</v>
      </c>
    </row>
    <row r="17" spans="1:6" ht="16.5" thickBot="1">
      <c r="A17" s="545" t="s">
        <v>1025</v>
      </c>
      <c r="B17" s="238"/>
      <c r="C17" s="549">
        <f>SUM(C15:C16)</f>
        <v>1</v>
      </c>
      <c r="D17" s="549"/>
      <c r="E17" s="240"/>
      <c r="F17" s="549">
        <f>SUM(F15:F16)</f>
        <v>0.09365000000000001</v>
      </c>
    </row>
    <row r="18" spans="1:6" ht="15.75">
      <c r="A18" s="551"/>
      <c r="B18" s="378"/>
      <c r="C18" s="552"/>
      <c r="D18" s="552"/>
      <c r="E18" s="552"/>
      <c r="F18" s="552"/>
    </row>
    <row r="21" spans="1:6" ht="15.75">
      <c r="A21" s="1224" t="s">
        <v>658</v>
      </c>
      <c r="B21" s="1225"/>
      <c r="C21" s="1225"/>
      <c r="D21" s="1225"/>
      <c r="E21" s="1225"/>
      <c r="F21" s="1226"/>
    </row>
    <row r="22" spans="1:6" ht="20.25">
      <c r="A22" s="1358" t="s">
        <v>160</v>
      </c>
      <c r="B22" s="1359"/>
      <c r="C22" s="1359"/>
      <c r="D22" s="1359"/>
      <c r="E22" s="1359"/>
      <c r="F22" s="1360"/>
    </row>
    <row r="23" spans="1:6" ht="15.75">
      <c r="A23" s="818"/>
      <c r="B23" s="536"/>
      <c r="C23" s="536"/>
      <c r="D23" s="536"/>
      <c r="E23" s="536"/>
      <c r="F23" s="285"/>
    </row>
    <row r="24" spans="1:6" ht="15.75">
      <c r="A24" s="530" t="s">
        <v>316</v>
      </c>
      <c r="B24" s="530" t="s">
        <v>1007</v>
      </c>
      <c r="C24" s="531" t="s">
        <v>130</v>
      </c>
      <c r="D24" s="531" t="s">
        <v>1141</v>
      </c>
      <c r="E24" s="531"/>
      <c r="F24" s="531" t="s">
        <v>131</v>
      </c>
    </row>
    <row r="25" spans="1:6" ht="15.75">
      <c r="A25" s="530"/>
      <c r="B25" s="530" t="s">
        <v>1012</v>
      </c>
      <c r="C25" s="531" t="s">
        <v>1013</v>
      </c>
      <c r="D25" s="531" t="s">
        <v>1014</v>
      </c>
      <c r="E25" s="531"/>
      <c r="F25" s="531" t="s">
        <v>1074</v>
      </c>
    </row>
    <row r="26" spans="1:6" ht="15.75">
      <c r="A26" s="543"/>
      <c r="B26" s="543"/>
      <c r="C26" s="544"/>
      <c r="D26" s="544"/>
      <c r="E26" s="544"/>
      <c r="F26" s="544"/>
    </row>
    <row r="27" spans="1:6" ht="15.75">
      <c r="A27" s="545" t="s">
        <v>1021</v>
      </c>
      <c r="B27" s="238" t="s">
        <v>132</v>
      </c>
      <c r="C27" s="240">
        <v>0.5478</v>
      </c>
      <c r="D27" s="240">
        <v>0.0758</v>
      </c>
      <c r="E27" s="819"/>
      <c r="F27" s="240">
        <f>+D27*C27</f>
        <v>0.04152324</v>
      </c>
    </row>
    <row r="28" spans="1:6" ht="15.75">
      <c r="A28" s="545" t="s">
        <v>1023</v>
      </c>
      <c r="B28" s="238" t="s">
        <v>346</v>
      </c>
      <c r="C28" s="240">
        <v>0.0409</v>
      </c>
      <c r="D28" s="240">
        <v>0.0659</v>
      </c>
      <c r="E28" s="819"/>
      <c r="F28" s="240">
        <f>+D28*C28</f>
        <v>0.00269531</v>
      </c>
    </row>
    <row r="29" spans="1:6" ht="15.75">
      <c r="A29" s="545" t="s">
        <v>1025</v>
      </c>
      <c r="B29" s="238" t="s">
        <v>133</v>
      </c>
      <c r="C29" s="240">
        <v>0.4113</v>
      </c>
      <c r="D29" s="240">
        <v>0.095</v>
      </c>
      <c r="E29" s="819"/>
      <c r="F29" s="240">
        <f>+D29*C29</f>
        <v>0.0390735</v>
      </c>
    </row>
    <row r="30" spans="1:6" ht="16.5" thickBot="1">
      <c r="A30" s="545" t="s">
        <v>1027</v>
      </c>
      <c r="B30" s="238"/>
      <c r="C30" s="549">
        <f>SUM(C27:C29)</f>
        <v>1</v>
      </c>
      <c r="D30" s="549"/>
      <c r="E30" s="240"/>
      <c r="F30" s="549">
        <f>SUM(F27:F29)</f>
        <v>0.08329205</v>
      </c>
    </row>
    <row r="31" spans="1:6" ht="15.75">
      <c r="A31" s="551"/>
      <c r="B31" s="378"/>
      <c r="C31" s="552"/>
      <c r="D31" s="552"/>
      <c r="E31" s="552"/>
      <c r="F31" s="552"/>
    </row>
  </sheetData>
  <mergeCells count="4">
    <mergeCell ref="A9:F9"/>
    <mergeCell ref="A10:F10"/>
    <mergeCell ref="A21:F21"/>
    <mergeCell ref="A22:F22"/>
  </mergeCells>
  <printOptions/>
  <pageMargins left="0.75" right="0.75" top="1" bottom="1" header="0.5" footer="0.5"/>
  <pageSetup horizontalDpi="600" verticalDpi="600" orientation="portrait" r:id="rId1"/>
</worksheet>
</file>

<file path=xl/worksheets/sheet58.xml><?xml version="1.0" encoding="utf-8"?>
<worksheet xmlns="http://schemas.openxmlformats.org/spreadsheetml/2006/main" xmlns:r="http://schemas.openxmlformats.org/officeDocument/2006/relationships">
  <dimension ref="A9:O114"/>
  <sheetViews>
    <sheetView showGridLines="0" workbookViewId="0" topLeftCell="A1">
      <selection activeCell="G32" sqref="G32"/>
    </sheetView>
  </sheetViews>
  <sheetFormatPr defaultColWidth="9.33203125" defaultRowHeight="11.25"/>
  <cols>
    <col min="2" max="2" width="35.83203125" style="0" customWidth="1"/>
    <col min="3" max="3" width="11.66015625" style="0" customWidth="1"/>
    <col min="4" max="4" width="14.83203125" style="0" customWidth="1"/>
    <col min="5" max="5" width="11.16015625" style="0" customWidth="1"/>
    <col min="6" max="6" width="10.83203125" style="0" customWidth="1"/>
    <col min="7" max="7" width="12.16015625" style="0" customWidth="1"/>
    <col min="13" max="13" width="12.66015625" style="0" customWidth="1"/>
    <col min="14" max="14" width="16.33203125" style="0" customWidth="1"/>
  </cols>
  <sheetData>
    <row r="9" spans="8:11" ht="11.25">
      <c r="H9">
        <f aca="true" t="shared" si="0" ref="H9:H17">+G105-E105</f>
        <v>-6.12</v>
      </c>
      <c r="I9">
        <f aca="true" t="shared" si="1" ref="I9:I17">+H9/C105</f>
        <v>-0.05941747572815534</v>
      </c>
      <c r="J9">
        <v>-0.03133</v>
      </c>
      <c r="K9">
        <f>+I9-J9</f>
        <v>-0.028087475728155342</v>
      </c>
    </row>
    <row r="10" spans="8:11" ht="11.25">
      <c r="H10">
        <f t="shared" si="0"/>
        <v>-9.629999999999999</v>
      </c>
      <c r="I10">
        <f t="shared" si="1"/>
        <v>-0.05944444444444444</v>
      </c>
      <c r="J10">
        <v>-0.03133</v>
      </c>
      <c r="K10">
        <f>+I10-J10</f>
        <v>-0.028114444444444442</v>
      </c>
    </row>
    <row r="11" spans="8:9" ht="11.25">
      <c r="H11">
        <f t="shared" si="0"/>
        <v>-1.6600000000000001</v>
      </c>
      <c r="I11">
        <f t="shared" si="1"/>
        <v>-0.05928571428571429</v>
      </c>
    </row>
    <row r="12" spans="8:9" ht="11.25">
      <c r="H12">
        <f t="shared" si="0"/>
        <v>-18.71</v>
      </c>
      <c r="I12">
        <f t="shared" si="1"/>
        <v>-0.0593968253968254</v>
      </c>
    </row>
    <row r="13" spans="8:9" ht="11.25">
      <c r="H13">
        <f t="shared" si="0"/>
        <v>-217.21</v>
      </c>
      <c r="I13">
        <f t="shared" si="1"/>
        <v>-0.05941192560175055</v>
      </c>
    </row>
    <row r="14" spans="8:9" ht="11.25">
      <c r="H14">
        <f t="shared" si="0"/>
        <v>-3255.4300000000003</v>
      </c>
      <c r="I14">
        <f t="shared" si="1"/>
        <v>-0.05940999343017739</v>
      </c>
    </row>
    <row r="15" spans="8:9" ht="11.25">
      <c r="H15">
        <f t="shared" si="0"/>
        <v>-4795.0599999999995</v>
      </c>
      <c r="I15">
        <f t="shared" si="1"/>
        <v>-0.059378606632488784</v>
      </c>
    </row>
    <row r="16" spans="8:9" ht="11.25">
      <c r="H16">
        <f t="shared" si="0"/>
        <v>-1438.73</v>
      </c>
      <c r="I16">
        <f t="shared" si="1"/>
        <v>-0.059409918652186484</v>
      </c>
    </row>
    <row r="17" spans="8:10" ht="11.25">
      <c r="H17">
        <f t="shared" si="0"/>
        <v>9.37974000000031</v>
      </c>
      <c r="I17">
        <f t="shared" si="1"/>
        <v>3.0000000000000993E-05</v>
      </c>
      <c r="J17" s="220">
        <f>+C113*0.00003</f>
        <v>9.37974</v>
      </c>
    </row>
    <row r="19" ht="11.25">
      <c r="A19" s="138"/>
    </row>
    <row r="20" ht="11.25">
      <c r="A20" s="138"/>
    </row>
    <row r="21" ht="11.25">
      <c r="A21" s="138"/>
    </row>
    <row r="22" spans="1:5" ht="11.25">
      <c r="A22" s="253"/>
      <c r="B22" s="254"/>
      <c r="C22" s="254"/>
      <c r="D22" s="254" t="s">
        <v>1357</v>
      </c>
      <c r="E22" s="255" t="s">
        <v>1358</v>
      </c>
    </row>
    <row r="23" spans="1:5" ht="11.25">
      <c r="A23" s="256"/>
      <c r="B23" s="257"/>
      <c r="C23" s="257" t="s">
        <v>1280</v>
      </c>
      <c r="D23" s="257" t="s">
        <v>1280</v>
      </c>
      <c r="E23" s="258" t="s">
        <v>1280</v>
      </c>
    </row>
    <row r="24" spans="1:5" ht="11.25">
      <c r="A24" s="256" t="s">
        <v>1359</v>
      </c>
      <c r="B24" s="257"/>
      <c r="C24" s="257" t="s">
        <v>1360</v>
      </c>
      <c r="D24" s="257" t="s">
        <v>1277</v>
      </c>
      <c r="E24" s="258" t="s">
        <v>1277</v>
      </c>
    </row>
    <row r="25" spans="1:5" ht="11.25">
      <c r="A25" s="259" t="s">
        <v>1281</v>
      </c>
      <c r="B25" s="260" t="s">
        <v>1361</v>
      </c>
      <c r="C25" s="260" t="s">
        <v>1362</v>
      </c>
      <c r="D25" s="260" t="s">
        <v>1363</v>
      </c>
      <c r="E25" s="261" t="s">
        <v>1363</v>
      </c>
    </row>
    <row r="27" ht="11.25">
      <c r="A27" s="138">
        <v>503</v>
      </c>
    </row>
    <row r="28" ht="11.25">
      <c r="A28" s="138"/>
    </row>
    <row r="29" spans="1:11" ht="11.25">
      <c r="A29" s="138"/>
      <c r="D29" s="184" t="s">
        <v>1364</v>
      </c>
      <c r="E29" s="184" t="s">
        <v>1365</v>
      </c>
      <c r="F29" s="184"/>
      <c r="G29" s="184"/>
      <c r="H29" s="184"/>
      <c r="I29">
        <v>0.6563</v>
      </c>
      <c r="J29">
        <f>0.01017+I29</f>
        <v>0.66647</v>
      </c>
      <c r="K29">
        <f>+J29-0.05941</f>
        <v>0.60706</v>
      </c>
    </row>
    <row r="30" spans="1:11" ht="11.25">
      <c r="A30" s="138"/>
      <c r="D30" s="184" t="s">
        <v>1366</v>
      </c>
      <c r="E30" s="184" t="s">
        <v>1367</v>
      </c>
      <c r="F30" s="184"/>
      <c r="G30" s="184"/>
      <c r="H30" s="184"/>
      <c r="I30">
        <v>0.43663</v>
      </c>
      <c r="J30">
        <f>0.01017+I30</f>
        <v>0.44680000000000003</v>
      </c>
      <c r="K30">
        <f>+J30-0.05941</f>
        <v>0.38739</v>
      </c>
    </row>
    <row r="31" spans="1:8" ht="11.25">
      <c r="A31" s="138">
        <v>504</v>
      </c>
      <c r="D31" s="184"/>
      <c r="E31" s="184"/>
      <c r="F31" s="184"/>
      <c r="G31" s="184"/>
      <c r="H31" s="184"/>
    </row>
    <row r="32" spans="1:8" ht="11.25">
      <c r="A32" s="138"/>
      <c r="D32" s="184"/>
      <c r="E32" s="184"/>
      <c r="F32" s="184"/>
      <c r="G32" s="184"/>
      <c r="H32" s="184"/>
    </row>
    <row r="33" spans="1:14" ht="18.75">
      <c r="A33" s="138"/>
      <c r="D33" s="184"/>
      <c r="E33" s="184"/>
      <c r="F33" s="184"/>
      <c r="G33" s="184"/>
      <c r="H33" s="184"/>
      <c r="M33" s="266">
        <v>95796</v>
      </c>
      <c r="N33" t="s">
        <v>1368</v>
      </c>
    </row>
    <row r="34" spans="1:13" ht="11.25">
      <c r="A34" s="138"/>
      <c r="D34" s="184" t="s">
        <v>1369</v>
      </c>
      <c r="E34" s="184" t="s">
        <v>1370</v>
      </c>
      <c r="F34" s="184"/>
      <c r="G34" s="184"/>
      <c r="H34" s="184"/>
      <c r="I34">
        <v>0.70823</v>
      </c>
      <c r="J34">
        <f>0.01017+I34</f>
        <v>0.7184</v>
      </c>
      <c r="K34">
        <f>+J34-0.05941</f>
        <v>0.6589900000000001</v>
      </c>
      <c r="L34">
        <v>36100</v>
      </c>
      <c r="M34">
        <f>+L34*12</f>
        <v>433200</v>
      </c>
    </row>
    <row r="35" spans="1:14" ht="11.25">
      <c r="A35" s="138"/>
      <c r="D35" s="184" t="s">
        <v>1371</v>
      </c>
      <c r="E35" s="184" t="s">
        <v>1372</v>
      </c>
      <c r="F35" s="184"/>
      <c r="G35" s="184"/>
      <c r="H35" s="184"/>
      <c r="I35">
        <v>0.50661</v>
      </c>
      <c r="J35">
        <f>0.01017+I35</f>
        <v>0.51678</v>
      </c>
      <c r="K35">
        <f>+J35-0.05941</f>
        <v>0.45737</v>
      </c>
      <c r="M35">
        <f>50*K$34+(L34-50)*K$35+20</f>
        <v>16541.138</v>
      </c>
      <c r="N35">
        <f>+M35-M42</f>
        <v>2406.8809999999994</v>
      </c>
    </row>
    <row r="36" spans="1:14" ht="11.25">
      <c r="A36" s="138">
        <v>505</v>
      </c>
      <c r="D36" s="184"/>
      <c r="E36" s="184"/>
      <c r="F36" s="184"/>
      <c r="G36" s="184"/>
      <c r="H36" s="184"/>
      <c r="N36">
        <f>+N35/(K43-K35)</f>
        <v>-28117.768691588775</v>
      </c>
    </row>
    <row r="37" spans="1:8" ht="11.25">
      <c r="A37" s="138"/>
      <c r="D37" s="184"/>
      <c r="E37" s="184"/>
      <c r="F37" s="184"/>
      <c r="G37" s="184"/>
      <c r="H37" s="184"/>
    </row>
    <row r="38" spans="1:14" ht="11.25">
      <c r="A38" s="138"/>
      <c r="D38" s="184" t="s">
        <v>1373</v>
      </c>
      <c r="E38" s="184" t="s">
        <v>1374</v>
      </c>
      <c r="F38" s="184"/>
      <c r="G38" s="184"/>
      <c r="H38" s="184"/>
      <c r="I38">
        <v>0.56694</v>
      </c>
      <c r="J38">
        <f>0.01017+I38</f>
        <v>0.57711</v>
      </c>
      <c r="K38">
        <f>+J38-0.05941</f>
        <v>0.5177</v>
      </c>
      <c r="M38">
        <f>1000*K38+(L34-1000)*K39+20</f>
        <v>14134.387</v>
      </c>
      <c r="N38">
        <f>+M38-M42</f>
        <v>0.13000000000101863</v>
      </c>
    </row>
    <row r="39" spans="1:14" ht="11.25">
      <c r="A39" s="138"/>
      <c r="D39" s="184" t="s">
        <v>1375</v>
      </c>
      <c r="E39" s="184" t="s">
        <v>1376</v>
      </c>
      <c r="F39" s="184"/>
      <c r="G39" s="184"/>
      <c r="H39" s="184"/>
      <c r="I39">
        <v>0.43661</v>
      </c>
      <c r="J39">
        <f>0.01017+I39</f>
        <v>0.44678</v>
      </c>
      <c r="K39">
        <f>+J39-0.05941</f>
        <v>0.38737</v>
      </c>
      <c r="N39">
        <f>+N38/(K43-K39)</f>
        <v>-8.33333333339863</v>
      </c>
    </row>
    <row r="40" spans="1:8" ht="11.25">
      <c r="A40" s="138">
        <v>511</v>
      </c>
      <c r="D40" s="184"/>
      <c r="E40" s="184"/>
      <c r="F40" s="184"/>
      <c r="G40" s="184"/>
      <c r="H40" s="184"/>
    </row>
    <row r="41" spans="1:8" ht="11.25">
      <c r="A41" s="138"/>
      <c r="D41" s="184"/>
      <c r="E41" s="184"/>
      <c r="F41" s="184"/>
      <c r="G41" s="184"/>
      <c r="H41" s="184"/>
    </row>
    <row r="42" spans="1:15" ht="18.75">
      <c r="A42" s="138"/>
      <c r="D42" s="184" t="s">
        <v>1377</v>
      </c>
      <c r="E42" s="184" t="s">
        <v>1378</v>
      </c>
      <c r="F42" s="184"/>
      <c r="G42" s="184"/>
      <c r="H42" s="184"/>
      <c r="I42">
        <v>0.59935</v>
      </c>
      <c r="J42">
        <f>0.01017+I42</f>
        <v>0.6095200000000001</v>
      </c>
      <c r="K42">
        <f>+J42-0.05941</f>
        <v>0.5501100000000001</v>
      </c>
      <c r="M42">
        <f>4000*K42+(L34-4000)*K43</f>
        <v>14134.257</v>
      </c>
      <c r="N42" s="266">
        <v>433200</v>
      </c>
      <c r="O42" t="s">
        <v>1368</v>
      </c>
    </row>
    <row r="43" spans="1:11" ht="11.25">
      <c r="A43" s="138"/>
      <c r="D43" s="184" t="s">
        <v>1379</v>
      </c>
      <c r="E43" s="184" t="s">
        <v>1380</v>
      </c>
      <c r="F43" s="184"/>
      <c r="G43" s="184"/>
      <c r="H43" s="184"/>
      <c r="I43">
        <v>0.42101</v>
      </c>
      <c r="J43">
        <f>0.01017+I43</f>
        <v>0.43118</v>
      </c>
      <c r="K43">
        <f>+J43-0.05941</f>
        <v>0.37177</v>
      </c>
    </row>
    <row r="44" spans="1:8" ht="11.25">
      <c r="A44" s="138">
        <v>502</v>
      </c>
      <c r="D44" s="184"/>
      <c r="E44" s="184"/>
      <c r="F44" s="184"/>
      <c r="G44" s="184"/>
      <c r="H44" s="184"/>
    </row>
    <row r="45" spans="1:11" ht="11.25">
      <c r="A45" s="138"/>
      <c r="D45" s="184" t="s">
        <v>1381</v>
      </c>
      <c r="E45" s="184" t="s">
        <v>1382</v>
      </c>
      <c r="F45" s="184"/>
      <c r="G45" s="184"/>
      <c r="H45" s="184"/>
      <c r="I45">
        <v>0.63515</v>
      </c>
      <c r="J45">
        <f>0.01017+I45</f>
        <v>0.64532</v>
      </c>
      <c r="K45">
        <f>+J45-0.05941</f>
        <v>0.58591</v>
      </c>
    </row>
    <row r="46" spans="1:8" ht="11.25">
      <c r="A46" s="138"/>
      <c r="D46" s="184"/>
      <c r="E46" s="184"/>
      <c r="F46" s="184"/>
      <c r="G46" s="184"/>
      <c r="H46" s="184"/>
    </row>
    <row r="47" spans="1:11" ht="11.25">
      <c r="A47" s="138">
        <v>512</v>
      </c>
      <c r="C47" s="220">
        <v>1.2</v>
      </c>
      <c r="D47" s="184" t="s">
        <v>1383</v>
      </c>
      <c r="E47" s="184" t="s">
        <v>1384</v>
      </c>
      <c r="F47" s="184"/>
      <c r="G47" s="184"/>
      <c r="H47" s="184"/>
      <c r="I47">
        <v>0.51619</v>
      </c>
      <c r="J47">
        <f>0.01017+I47</f>
        <v>0.52636</v>
      </c>
      <c r="K47">
        <f>+J47-0.05941</f>
        <v>0.46695000000000003</v>
      </c>
    </row>
    <row r="48" spans="1:8" ht="11.25">
      <c r="A48" s="138"/>
      <c r="D48" s="184"/>
      <c r="E48" s="184"/>
      <c r="F48" s="184"/>
      <c r="G48" s="184"/>
      <c r="H48" s="184"/>
    </row>
    <row r="49" spans="1:8" ht="11.25">
      <c r="A49" s="138"/>
      <c r="D49" s="184"/>
      <c r="E49" s="184"/>
      <c r="F49" s="184"/>
      <c r="G49" s="184"/>
      <c r="H49" s="184"/>
    </row>
    <row r="50" spans="1:8" ht="11.25">
      <c r="A50" s="138">
        <v>541</v>
      </c>
      <c r="D50" s="184"/>
      <c r="E50" s="184"/>
      <c r="F50" s="184"/>
      <c r="G50" s="184"/>
      <c r="H50" s="184"/>
    </row>
    <row r="51" spans="2:8" ht="11.25">
      <c r="B51" t="s">
        <v>1385</v>
      </c>
      <c r="D51" s="184"/>
      <c r="E51" s="184"/>
      <c r="F51" s="184"/>
      <c r="G51" s="184"/>
      <c r="H51" s="184"/>
    </row>
    <row r="52" spans="1:8" ht="11.25">
      <c r="A52" s="138"/>
      <c r="B52" t="s">
        <v>1386</v>
      </c>
      <c r="D52" s="264">
        <f>30*0.52636</f>
        <v>15.7908</v>
      </c>
      <c r="E52" s="264">
        <f>30*0.46695</f>
        <v>14.0085</v>
      </c>
      <c r="F52" s="184"/>
      <c r="G52" s="184"/>
      <c r="H52" s="184"/>
    </row>
    <row r="53" spans="1:11" ht="11.25">
      <c r="A53" s="138"/>
      <c r="B53" t="s">
        <v>1387</v>
      </c>
      <c r="D53" s="184" t="s">
        <v>1388</v>
      </c>
      <c r="E53" s="184" t="s">
        <v>1389</v>
      </c>
      <c r="F53" s="184"/>
      <c r="G53" s="184"/>
      <c r="H53" s="184"/>
      <c r="I53">
        <v>0.49203</v>
      </c>
      <c r="J53">
        <f>0.01017+I53</f>
        <v>0.5022</v>
      </c>
      <c r="K53">
        <f>+J53-0.05941</f>
        <v>0.44278999999999996</v>
      </c>
    </row>
    <row r="54" spans="1:8" ht="11.25">
      <c r="A54" s="138"/>
      <c r="B54" t="s">
        <v>1390</v>
      </c>
      <c r="D54" s="184"/>
      <c r="E54" s="184"/>
      <c r="F54" s="184"/>
      <c r="G54" s="184"/>
      <c r="H54" s="184"/>
    </row>
    <row r="55" spans="1:8" ht="11.25">
      <c r="A55" s="138"/>
      <c r="B55" t="s">
        <v>1391</v>
      </c>
      <c r="D55" s="264">
        <f>10*0.60941</f>
        <v>6.0941</v>
      </c>
      <c r="E55" s="264">
        <f>10*0.55</f>
        <v>5.5</v>
      </c>
      <c r="F55" s="184"/>
      <c r="G55" s="184"/>
      <c r="H55" s="184"/>
    </row>
    <row r="56" spans="1:11" ht="11.25">
      <c r="A56" s="138"/>
      <c r="B56" t="s">
        <v>1392</v>
      </c>
      <c r="D56" s="184" t="s">
        <v>1393</v>
      </c>
      <c r="E56" s="184" t="s">
        <v>1394</v>
      </c>
      <c r="F56" s="184"/>
      <c r="G56" s="184"/>
      <c r="H56" s="184"/>
      <c r="I56">
        <v>0.59924</v>
      </c>
      <c r="J56">
        <f>0.01017+I56</f>
        <v>0.60941</v>
      </c>
      <c r="K56">
        <f>+J56-0.05941</f>
        <v>0.55</v>
      </c>
    </row>
    <row r="57" spans="1:11" ht="11.25">
      <c r="A57" s="138"/>
      <c r="B57" t="s">
        <v>1395</v>
      </c>
      <c r="D57" s="184" t="s">
        <v>1396</v>
      </c>
      <c r="E57" s="184" t="s">
        <v>1397</v>
      </c>
      <c r="F57" s="184"/>
      <c r="G57" s="184"/>
      <c r="H57" s="184"/>
      <c r="I57">
        <v>0.5162</v>
      </c>
      <c r="J57">
        <f>0.01017+I57</f>
        <v>0.52637</v>
      </c>
      <c r="K57">
        <f>+J57-0.05941</f>
        <v>0.46696</v>
      </c>
    </row>
    <row r="58" spans="1:8" ht="11.25">
      <c r="A58" s="138">
        <v>545</v>
      </c>
      <c r="D58" s="184"/>
      <c r="E58" s="184"/>
      <c r="F58" s="184"/>
      <c r="G58" s="184"/>
      <c r="H58" s="184"/>
    </row>
    <row r="59" spans="1:9" ht="11.25">
      <c r="A59" s="138"/>
      <c r="D59" s="138" t="s">
        <v>1398</v>
      </c>
      <c r="E59" s="138" t="s">
        <v>1398</v>
      </c>
      <c r="F59" s="138"/>
      <c r="G59" s="138"/>
      <c r="H59" s="138"/>
      <c r="I59" t="s">
        <v>1398</v>
      </c>
    </row>
    <row r="60" spans="1:8" ht="11.25">
      <c r="A60" s="138"/>
      <c r="D60" s="184"/>
      <c r="E60" s="184"/>
      <c r="F60" s="184"/>
      <c r="G60" s="184"/>
      <c r="H60" s="184"/>
    </row>
    <row r="61" spans="1:11" ht="11.25">
      <c r="A61" s="138">
        <v>570</v>
      </c>
      <c r="B61" t="s">
        <v>1399</v>
      </c>
      <c r="D61" s="184" t="s">
        <v>1400</v>
      </c>
      <c r="E61" s="184" t="s">
        <v>1401</v>
      </c>
      <c r="F61" s="184"/>
      <c r="G61" s="184"/>
      <c r="H61" s="184"/>
      <c r="I61">
        <v>0.41505</v>
      </c>
      <c r="J61">
        <f>0.01032+I61</f>
        <v>0.42536999999999997</v>
      </c>
      <c r="K61">
        <f>+J61-0.0596</f>
        <v>0.36577</v>
      </c>
    </row>
    <row r="62" spans="1:11" ht="11.25">
      <c r="A62" s="138"/>
      <c r="B62" t="s">
        <v>1402</v>
      </c>
      <c r="D62" s="184" t="s">
        <v>1403</v>
      </c>
      <c r="E62" s="184" t="s">
        <v>1404</v>
      </c>
      <c r="F62" s="184"/>
      <c r="G62" s="184"/>
      <c r="H62" s="184"/>
      <c r="I62">
        <v>0.44661</v>
      </c>
      <c r="J62">
        <f>0.01032+I62</f>
        <v>0.45693</v>
      </c>
      <c r="K62">
        <f>+J62-0.0596</f>
        <v>0.39733</v>
      </c>
    </row>
    <row r="63" spans="1:11" ht="11.25">
      <c r="A63" s="138">
        <v>577</v>
      </c>
      <c r="B63" t="s">
        <v>1405</v>
      </c>
      <c r="D63" s="184" t="s">
        <v>1406</v>
      </c>
      <c r="E63" s="184" t="s">
        <v>1407</v>
      </c>
      <c r="F63" s="184"/>
      <c r="G63" s="184"/>
      <c r="H63" s="184"/>
      <c r="I63">
        <v>0.43652</v>
      </c>
      <c r="J63">
        <f>0.01032+I63</f>
        <v>0.44684</v>
      </c>
      <c r="K63">
        <f>+J63-0.0596</f>
        <v>0.38724000000000003</v>
      </c>
    </row>
    <row r="64" spans="1:11" ht="11.25">
      <c r="A64" s="138"/>
      <c r="B64" t="s">
        <v>1408</v>
      </c>
      <c r="D64" s="184" t="s">
        <v>1409</v>
      </c>
      <c r="E64" s="184" t="s">
        <v>1410</v>
      </c>
      <c r="F64" s="184"/>
      <c r="G64" s="184"/>
      <c r="H64" s="184"/>
      <c r="I64">
        <v>0.45896</v>
      </c>
      <c r="J64">
        <f>0.01032+I64</f>
        <v>0.46928</v>
      </c>
      <c r="K64">
        <f>+J64-0.0596</f>
        <v>0.40968</v>
      </c>
    </row>
    <row r="65" spans="1:8" ht="11.25">
      <c r="A65" s="138"/>
      <c r="D65" s="184"/>
      <c r="E65" s="184"/>
      <c r="F65" s="184"/>
      <c r="G65" s="184"/>
      <c r="H65" s="184"/>
    </row>
    <row r="66" spans="1:8" ht="11.25">
      <c r="A66" s="138">
        <v>663</v>
      </c>
      <c r="D66" s="184"/>
      <c r="E66" s="184"/>
      <c r="F66" s="184"/>
      <c r="G66" s="184"/>
      <c r="H66" s="184"/>
    </row>
    <row r="67" spans="1:11" ht="11.25">
      <c r="A67" s="138"/>
      <c r="D67" s="184" t="s">
        <v>1411</v>
      </c>
      <c r="E67" s="184" t="s">
        <v>1412</v>
      </c>
      <c r="F67" s="184"/>
      <c r="G67" s="184"/>
      <c r="H67" s="184"/>
      <c r="I67">
        <v>0.1001</v>
      </c>
      <c r="J67">
        <f aca="true" t="shared" si="2" ref="J67:J72">-0.00027+I67</f>
        <v>0.09982999999999999</v>
      </c>
      <c r="K67">
        <f aca="true" t="shared" si="3" ref="K67:K72">+J67+0.00003</f>
        <v>0.09985999999999999</v>
      </c>
    </row>
    <row r="68" spans="1:11" ht="11.25">
      <c r="A68" s="138"/>
      <c r="D68" s="184" t="s">
        <v>1413</v>
      </c>
      <c r="E68" s="184" t="s">
        <v>1414</v>
      </c>
      <c r="F68" s="184"/>
      <c r="G68" s="184"/>
      <c r="H68" s="184"/>
      <c r="I68">
        <v>0.0882</v>
      </c>
      <c r="J68">
        <f t="shared" si="2"/>
        <v>0.08793</v>
      </c>
      <c r="K68">
        <f t="shared" si="3"/>
        <v>0.08796</v>
      </c>
    </row>
    <row r="69" spans="1:11" ht="11.25">
      <c r="A69" s="138"/>
      <c r="D69" s="184" t="s">
        <v>1415</v>
      </c>
      <c r="E69" s="184" t="s">
        <v>1416</v>
      </c>
      <c r="F69" s="184"/>
      <c r="G69" s="184"/>
      <c r="H69" s="184"/>
      <c r="I69">
        <v>0.07974</v>
      </c>
      <c r="J69">
        <f t="shared" si="2"/>
        <v>0.07947</v>
      </c>
      <c r="K69">
        <f t="shared" si="3"/>
        <v>0.0795</v>
      </c>
    </row>
    <row r="70" spans="1:11" ht="11.25">
      <c r="A70" s="138"/>
      <c r="D70" s="184" t="s">
        <v>1417</v>
      </c>
      <c r="E70" s="184" t="s">
        <v>1418</v>
      </c>
      <c r="F70" s="184"/>
      <c r="G70" s="184"/>
      <c r="H70" s="184"/>
      <c r="I70">
        <v>0.0367</v>
      </c>
      <c r="J70">
        <f t="shared" si="2"/>
        <v>0.036430000000000004</v>
      </c>
      <c r="K70">
        <f t="shared" si="3"/>
        <v>0.036460000000000006</v>
      </c>
    </row>
    <row r="71" spans="1:11" ht="11.25">
      <c r="A71" s="138"/>
      <c r="D71" s="184" t="s">
        <v>1419</v>
      </c>
      <c r="E71" s="184" t="s">
        <v>1420</v>
      </c>
      <c r="F71" s="184"/>
      <c r="G71" s="184"/>
      <c r="H71" s="184"/>
      <c r="I71">
        <v>0.02098</v>
      </c>
      <c r="J71">
        <f t="shared" si="2"/>
        <v>0.02071</v>
      </c>
      <c r="K71">
        <f t="shared" si="3"/>
        <v>0.020739999999999998</v>
      </c>
    </row>
    <row r="72" spans="1:11" ht="11.25">
      <c r="A72" s="138"/>
      <c r="D72" s="184" t="s">
        <v>1421</v>
      </c>
      <c r="E72" s="184" t="s">
        <v>1422</v>
      </c>
      <c r="F72" s="184"/>
      <c r="G72" s="184"/>
      <c r="H72" s="184"/>
      <c r="I72">
        <v>0.008</v>
      </c>
      <c r="J72">
        <f t="shared" si="2"/>
        <v>0.00773</v>
      </c>
      <c r="K72">
        <f t="shared" si="3"/>
        <v>0.0077599999999999995</v>
      </c>
    </row>
    <row r="73" ht="11.25">
      <c r="A73" s="138"/>
    </row>
    <row r="74" ht="11.25">
      <c r="A74" s="138"/>
    </row>
    <row r="88" spans="1:7" ht="12" thickBot="1">
      <c r="A88" s="265"/>
      <c r="B88" s="265"/>
      <c r="C88" s="265"/>
      <c r="D88" s="265"/>
      <c r="E88" s="265"/>
      <c r="F88" s="265"/>
      <c r="G88" s="265"/>
    </row>
    <row r="89" spans="1:7" ht="3" customHeight="1" thickBot="1">
      <c r="A89" s="265"/>
      <c r="B89" s="265"/>
      <c r="C89" s="265"/>
      <c r="D89" s="265"/>
      <c r="E89" s="265"/>
      <c r="F89" s="265"/>
      <c r="G89" s="265"/>
    </row>
    <row r="99" spans="1:7" ht="11.25">
      <c r="A99" s="253"/>
      <c r="B99" s="254"/>
      <c r="C99" s="254" t="s">
        <v>1423</v>
      </c>
      <c r="D99" s="254" t="s">
        <v>1280</v>
      </c>
      <c r="E99" s="254" t="s">
        <v>1354</v>
      </c>
      <c r="F99" s="254" t="s">
        <v>1424</v>
      </c>
      <c r="G99" s="255" t="s">
        <v>1425</v>
      </c>
    </row>
    <row r="100" spans="1:7" ht="11.25">
      <c r="A100" s="256"/>
      <c r="B100" s="257"/>
      <c r="C100" s="257" t="s">
        <v>1426</v>
      </c>
      <c r="D100" s="257" t="s">
        <v>1427</v>
      </c>
      <c r="E100" s="257" t="s">
        <v>1428</v>
      </c>
      <c r="F100" s="257" t="s">
        <v>1429</v>
      </c>
      <c r="G100" s="258" t="s">
        <v>1428</v>
      </c>
    </row>
    <row r="101" spans="1:7" ht="11.25">
      <c r="A101" s="256" t="s">
        <v>1359</v>
      </c>
      <c r="B101" s="257"/>
      <c r="C101" s="257" t="s">
        <v>1430</v>
      </c>
      <c r="D101" s="257" t="s">
        <v>1424</v>
      </c>
      <c r="E101" s="257" t="s">
        <v>1434</v>
      </c>
      <c r="F101" s="257" t="s">
        <v>1435</v>
      </c>
      <c r="G101" s="258" t="s">
        <v>1436</v>
      </c>
    </row>
    <row r="102" spans="1:7" ht="11.25">
      <c r="A102" s="259" t="s">
        <v>1281</v>
      </c>
      <c r="B102" s="260" t="s">
        <v>1437</v>
      </c>
      <c r="C102" s="260" t="s">
        <v>1438</v>
      </c>
      <c r="D102" s="260" t="s">
        <v>1363</v>
      </c>
      <c r="E102" s="260" t="s">
        <v>1357</v>
      </c>
      <c r="F102" s="260" t="s">
        <v>1363</v>
      </c>
      <c r="G102" s="261" t="s">
        <v>1439</v>
      </c>
    </row>
    <row r="103" spans="1:7" ht="11.25">
      <c r="A103" s="247" t="s">
        <v>1440</v>
      </c>
      <c r="B103" s="165" t="s">
        <v>1441</v>
      </c>
      <c r="C103" s="165"/>
      <c r="D103" s="165"/>
      <c r="E103" s="165"/>
      <c r="F103" s="165"/>
      <c r="G103" s="147"/>
    </row>
    <row r="104" spans="1:7" ht="11.25">
      <c r="A104" s="248"/>
      <c r="B104" s="143" t="s">
        <v>1442</v>
      </c>
      <c r="C104" s="143"/>
      <c r="D104" s="143"/>
      <c r="E104" s="143"/>
      <c r="F104" s="143"/>
      <c r="G104" s="155"/>
    </row>
    <row r="105" spans="1:7" ht="11.25">
      <c r="A105" s="248"/>
      <c r="B105" s="143" t="s">
        <v>1443</v>
      </c>
      <c r="C105" s="218">
        <v>103</v>
      </c>
      <c r="D105" s="262" t="s">
        <v>1444</v>
      </c>
      <c r="E105" s="250">
        <v>7.8</v>
      </c>
      <c r="F105" s="263" t="s">
        <v>1445</v>
      </c>
      <c r="G105" s="251">
        <v>1.68</v>
      </c>
    </row>
    <row r="106" spans="1:7" ht="11.25">
      <c r="A106" s="248"/>
      <c r="B106" s="143" t="s">
        <v>1446</v>
      </c>
      <c r="C106" s="218">
        <v>162</v>
      </c>
      <c r="D106" s="262" t="s">
        <v>1447</v>
      </c>
      <c r="E106" s="250">
        <v>1.11</v>
      </c>
      <c r="F106" s="263" t="s">
        <v>1445</v>
      </c>
      <c r="G106" s="251">
        <v>-8.52</v>
      </c>
    </row>
    <row r="107" spans="1:7" ht="11.25">
      <c r="A107" s="248"/>
      <c r="B107" s="143" t="s">
        <v>1448</v>
      </c>
      <c r="C107" s="218">
        <v>28</v>
      </c>
      <c r="D107" s="262" t="s">
        <v>1449</v>
      </c>
      <c r="E107" s="250">
        <v>2.97</v>
      </c>
      <c r="F107" s="263" t="s">
        <v>1445</v>
      </c>
      <c r="G107" s="251">
        <v>1.31</v>
      </c>
    </row>
    <row r="108" spans="1:7" ht="11.25">
      <c r="A108" s="248">
        <v>504</v>
      </c>
      <c r="B108" s="143" t="s">
        <v>1450</v>
      </c>
      <c r="C108" s="218">
        <v>315</v>
      </c>
      <c r="D108" s="262" t="s">
        <v>1451</v>
      </c>
      <c r="E108" s="250">
        <v>24.05</v>
      </c>
      <c r="F108" s="263" t="s">
        <v>1445</v>
      </c>
      <c r="G108" s="251">
        <v>5.34</v>
      </c>
    </row>
    <row r="109" spans="1:7" ht="11.25">
      <c r="A109" s="248">
        <v>505</v>
      </c>
      <c r="B109" s="143" t="s">
        <v>1452</v>
      </c>
      <c r="C109" s="218">
        <v>3656</v>
      </c>
      <c r="D109" s="262" t="s">
        <v>1453</v>
      </c>
      <c r="E109" s="250">
        <v>44.63</v>
      </c>
      <c r="F109" s="263" t="s">
        <v>1445</v>
      </c>
      <c r="G109" s="251">
        <v>-172.58</v>
      </c>
    </row>
    <row r="110" spans="1:7" ht="11.25">
      <c r="A110" s="248">
        <v>511</v>
      </c>
      <c r="B110" s="143" t="s">
        <v>1454</v>
      </c>
      <c r="C110" s="218">
        <v>54796</v>
      </c>
      <c r="D110" s="262" t="s">
        <v>1455</v>
      </c>
      <c r="E110" s="250">
        <v>223.59</v>
      </c>
      <c r="F110" s="263" t="s">
        <v>1445</v>
      </c>
      <c r="G110" s="251">
        <v>-3031.84</v>
      </c>
    </row>
    <row r="111" spans="1:7" ht="11.25">
      <c r="A111" s="248">
        <v>570</v>
      </c>
      <c r="B111" s="143" t="s">
        <v>1456</v>
      </c>
      <c r="C111" s="218">
        <v>80754</v>
      </c>
      <c r="D111" s="262" t="s">
        <v>1457</v>
      </c>
      <c r="E111" s="250">
        <v>4548.37</v>
      </c>
      <c r="F111" s="263" t="s">
        <v>1458</v>
      </c>
      <c r="G111" s="251">
        <v>-246.69</v>
      </c>
    </row>
    <row r="112" spans="1:7" ht="11.25">
      <c r="A112" s="248">
        <v>577</v>
      </c>
      <c r="B112" s="143" t="s">
        <v>1459</v>
      </c>
      <c r="C112" s="218">
        <v>24217</v>
      </c>
      <c r="D112" s="262" t="s">
        <v>1460</v>
      </c>
      <c r="E112" s="250">
        <v>672.79</v>
      </c>
      <c r="F112" s="263" t="s">
        <v>1458</v>
      </c>
      <c r="G112" s="251">
        <v>-765.94</v>
      </c>
    </row>
    <row r="113" spans="1:7" ht="11.25">
      <c r="A113" s="248">
        <v>663</v>
      </c>
      <c r="B113" s="143" t="s">
        <v>1461</v>
      </c>
      <c r="C113" s="218">
        <v>312658</v>
      </c>
      <c r="D113" s="263" t="s">
        <v>1462</v>
      </c>
      <c r="E113" s="250">
        <v>-8133.2</v>
      </c>
      <c r="F113" s="262" t="s">
        <v>1463</v>
      </c>
      <c r="G113" s="251">
        <f>-8133.2+J17</f>
        <v>-8123.8202599999995</v>
      </c>
    </row>
    <row r="114" spans="1:7" ht="11.25">
      <c r="A114" s="249"/>
      <c r="B114" s="166"/>
      <c r="C114" s="166"/>
      <c r="D114" s="252"/>
      <c r="E114" s="166"/>
      <c r="F114" s="166"/>
      <c r="G114" s="157"/>
    </row>
  </sheetData>
  <printOptions/>
  <pageMargins left="0.75" right="0.75" top="1" bottom="1" header="0.5" footer="0.5"/>
  <pageSetup horizontalDpi="300" verticalDpi="300" orientation="portrait" r:id="rId2"/>
  <headerFooter alignWithMargins="0">
    <oddHeader>&amp;C&amp;A</oddHeader>
    <oddFooter>&amp;CPage &amp;P</oddFooter>
  </headerFooter>
  <drawing r:id="rId1"/>
</worksheet>
</file>

<file path=xl/worksheets/sheet59.xml><?xml version="1.0" encoding="utf-8"?>
<worksheet xmlns="http://schemas.openxmlformats.org/spreadsheetml/2006/main" xmlns:r="http://schemas.openxmlformats.org/officeDocument/2006/relationships">
  <dimension ref="A3:M114"/>
  <sheetViews>
    <sheetView showGridLines="0" workbookViewId="0" topLeftCell="A4">
      <selection activeCell="G32" sqref="G32"/>
    </sheetView>
  </sheetViews>
  <sheetFormatPr defaultColWidth="9.33203125" defaultRowHeight="11.25"/>
  <cols>
    <col min="2" max="2" width="29.5" style="0" customWidth="1"/>
    <col min="3" max="3" width="13" style="0" customWidth="1"/>
    <col min="4" max="4" width="11.33203125" style="0" customWidth="1"/>
    <col min="5" max="5" width="15.83203125" style="0" customWidth="1"/>
    <col min="6" max="6" width="12.83203125" style="0" customWidth="1"/>
    <col min="7" max="8" width="12.33203125" style="0" customWidth="1"/>
    <col min="9" max="9" width="14.83203125" style="0" customWidth="1"/>
    <col min="10" max="10" width="12.5" style="0" customWidth="1"/>
    <col min="11" max="11" width="11.33203125" style="0" customWidth="1"/>
    <col min="12" max="12" width="15.33203125" style="0" customWidth="1"/>
  </cols>
  <sheetData>
    <row r="3" spans="1:2" ht="11.25">
      <c r="A3" s="6" t="s">
        <v>399</v>
      </c>
      <c r="B3" s="1" t="s">
        <v>400</v>
      </c>
    </row>
    <row r="4" spans="1:4" ht="11.25">
      <c r="A4" s="1" t="s">
        <v>401</v>
      </c>
      <c r="B4" s="1" t="s">
        <v>402</v>
      </c>
      <c r="C4" s="1" t="s">
        <v>296</v>
      </c>
      <c r="D4" s="1" t="s">
        <v>403</v>
      </c>
    </row>
    <row r="5" spans="1:4" ht="11.25">
      <c r="A5" s="1" t="s">
        <v>404</v>
      </c>
      <c r="B5" s="1" t="s">
        <v>405</v>
      </c>
      <c r="C5" s="296">
        <v>38625</v>
      </c>
      <c r="D5" s="1" t="s">
        <v>403</v>
      </c>
    </row>
    <row r="6" spans="1:4" ht="11.25">
      <c r="A6" s="1" t="s">
        <v>406</v>
      </c>
      <c r="B6" s="1" t="s">
        <v>407</v>
      </c>
      <c r="C6" s="296">
        <v>38260</v>
      </c>
      <c r="D6" s="1" t="s">
        <v>403</v>
      </c>
    </row>
    <row r="7" spans="1:10" ht="11.25">
      <c r="A7" s="1" t="s">
        <v>408</v>
      </c>
      <c r="B7" s="1" t="s">
        <v>409</v>
      </c>
      <c r="C7" s="296">
        <v>38260</v>
      </c>
      <c r="D7" s="1" t="s">
        <v>403</v>
      </c>
      <c r="E7" s="2">
        <f>REVDATE</f>
        <v>38260</v>
      </c>
      <c r="F7" s="7">
        <v>1</v>
      </c>
      <c r="I7">
        <v>16530161</v>
      </c>
      <c r="J7">
        <v>11372356</v>
      </c>
    </row>
    <row r="8" spans="1:10" ht="11.25">
      <c r="A8" s="1" t="s">
        <v>410</v>
      </c>
      <c r="B8" s="1" t="s">
        <v>411</v>
      </c>
      <c r="C8" s="2" t="e">
        <f>+#REF!</f>
        <v>#REF!</v>
      </c>
      <c r="D8" s="1" t="s">
        <v>403</v>
      </c>
      <c r="F8" s="2">
        <f>PFU</f>
        <v>0.003079319973151928</v>
      </c>
      <c r="I8">
        <v>70860296</v>
      </c>
      <c r="J8">
        <v>60922450</v>
      </c>
    </row>
    <row r="9" spans="1:13" ht="11.25">
      <c r="A9" s="1" t="s">
        <v>412</v>
      </c>
      <c r="B9" s="1" t="s">
        <v>413</v>
      </c>
      <c r="C9" s="2">
        <v>0</v>
      </c>
      <c r="D9" s="1" t="s">
        <v>403</v>
      </c>
      <c r="F9" s="2">
        <f>F7-F8</f>
        <v>0.9969206800268481</v>
      </c>
      <c r="I9" s="121">
        <f>+I7/I8</f>
        <v>0.23327818162091787</v>
      </c>
      <c r="J9" s="121">
        <f>+J7/J8</f>
        <v>0.1866693804993069</v>
      </c>
      <c r="L9" s="1" t="s">
        <v>414</v>
      </c>
      <c r="M9" s="1" t="s">
        <v>415</v>
      </c>
    </row>
    <row r="10" spans="1:13" ht="11.25">
      <c r="A10" s="1" t="s">
        <v>416</v>
      </c>
      <c r="B10" s="1" t="s">
        <v>417</v>
      </c>
      <c r="C10" s="296">
        <v>38292</v>
      </c>
      <c r="D10" s="1" t="s">
        <v>403</v>
      </c>
      <c r="E10" s="7">
        <f>C13</f>
        <v>0.0019</v>
      </c>
      <c r="F10" s="7"/>
      <c r="I10">
        <v>2685990</v>
      </c>
      <c r="J10">
        <v>2685990</v>
      </c>
      <c r="L10" s="1" t="s">
        <v>418</v>
      </c>
      <c r="M10" s="1" t="s">
        <v>419</v>
      </c>
    </row>
    <row r="11" spans="1:13" ht="11.25">
      <c r="A11" s="1" t="s">
        <v>420</v>
      </c>
      <c r="B11" s="1" t="s">
        <v>421</v>
      </c>
      <c r="C11" s="2">
        <f>-'MPP-3 p1'!C17</f>
        <v>-163837631</v>
      </c>
      <c r="D11" s="1" t="s">
        <v>403</v>
      </c>
      <c r="E11" s="7">
        <f>C15</f>
        <v>0</v>
      </c>
      <c r="F11" s="7"/>
      <c r="I11" s="120">
        <f>+I10*I9</f>
        <v>626582.8630519692</v>
      </c>
      <c r="J11" s="120">
        <f>+J10*J9</f>
        <v>501392.0893273333</v>
      </c>
      <c r="L11" s="1" t="s">
        <v>422</v>
      </c>
      <c r="M11" s="1" t="s">
        <v>423</v>
      </c>
    </row>
    <row r="12" spans="1:13" ht="11.25">
      <c r="A12" s="1" t="s">
        <v>424</v>
      </c>
      <c r="B12" s="1" t="s">
        <v>425</v>
      </c>
      <c r="C12" s="267">
        <f>+'MPP-3 p25'!E14</f>
        <v>0.003079319973151928</v>
      </c>
      <c r="D12" s="1" t="s">
        <v>403</v>
      </c>
      <c r="E12" s="7">
        <f>SUT</f>
        <v>0.038401384594634186</v>
      </c>
      <c r="F12" s="7">
        <f>SUM(E10:E12)</f>
        <v>0.040301384594634185</v>
      </c>
      <c r="J12" s="120">
        <f>SUM(I11:J11)</f>
        <v>1127974.9523793026</v>
      </c>
      <c r="L12" s="1" t="s">
        <v>426</v>
      </c>
      <c r="M12" s="1" t="s">
        <v>427</v>
      </c>
    </row>
    <row r="13" spans="1:13" ht="11.25">
      <c r="A13" s="1" t="s">
        <v>428</v>
      </c>
      <c r="B13" s="1" t="s">
        <v>429</v>
      </c>
      <c r="C13" s="267">
        <f>+'MPP-3 p25'!D18</f>
        <v>0.0019</v>
      </c>
      <c r="D13" s="1" t="s">
        <v>403</v>
      </c>
      <c r="E13" s="268">
        <f>SUM(C12:C15)</f>
        <v>0.043380704567786116</v>
      </c>
      <c r="F13" s="7">
        <f>F9-F12</f>
        <v>0.9566192954322139</v>
      </c>
      <c r="L13" s="1" t="s">
        <v>430</v>
      </c>
      <c r="M13" s="1" t="s">
        <v>431</v>
      </c>
    </row>
    <row r="14" spans="1:13" ht="11.25">
      <c r="A14" s="1" t="s">
        <v>432</v>
      </c>
      <c r="B14" s="1" t="s">
        <v>433</v>
      </c>
      <c r="C14" s="267">
        <f>+'MPP-3 p25'!D20</f>
        <v>0.038401384594634186</v>
      </c>
      <c r="D14" s="1" t="s">
        <v>403</v>
      </c>
      <c r="E14" s="7">
        <f>1/(1-E13)</f>
        <v>1.0453479297092645</v>
      </c>
      <c r="F14" s="7">
        <f>F13*FIT</f>
        <v>0.3252505604469528</v>
      </c>
      <c r="L14" s="1" t="s">
        <v>434</v>
      </c>
      <c r="M14" s="1" t="s">
        <v>435</v>
      </c>
    </row>
    <row r="15" spans="1:13" ht="11.25">
      <c r="A15" s="1" t="s">
        <v>436</v>
      </c>
      <c r="B15" s="1" t="s">
        <v>437</v>
      </c>
      <c r="C15" s="267">
        <f>+'MPP-3 p25'!D19</f>
        <v>0</v>
      </c>
      <c r="D15" s="1" t="s">
        <v>403</v>
      </c>
      <c r="E15" s="9">
        <f>ROUND(I15/$I$18,6)</f>
        <v>0.536535</v>
      </c>
      <c r="F15" s="2">
        <v>12.11</v>
      </c>
      <c r="G15" s="10">
        <f>ROUND(F15*E15/100,6)</f>
        <v>0.064974</v>
      </c>
      <c r="I15" s="11">
        <v>63625032</v>
      </c>
      <c r="L15" s="1" t="s">
        <v>438</v>
      </c>
      <c r="M15" s="1" t="s">
        <v>439</v>
      </c>
    </row>
    <row r="16" spans="1:13" ht="11.25">
      <c r="A16" s="1" t="s">
        <v>440</v>
      </c>
      <c r="B16" s="1" t="s">
        <v>441</v>
      </c>
      <c r="C16" s="193">
        <v>0.34</v>
      </c>
      <c r="D16" s="1" t="s">
        <v>403</v>
      </c>
      <c r="E16" s="9">
        <f>ROUND(I16/$I$18,6)</f>
        <v>0.030631</v>
      </c>
      <c r="F16" s="2">
        <v>6.05</v>
      </c>
      <c r="G16" s="10">
        <f>ROUND(F16*E16/100,6)</f>
        <v>0.001853</v>
      </c>
      <c r="I16" s="11">
        <v>3632414</v>
      </c>
      <c r="L16" s="1" t="s">
        <v>442</v>
      </c>
      <c r="M16" s="1" t="s">
        <v>443</v>
      </c>
    </row>
    <row r="17" spans="1:13" ht="11.25">
      <c r="A17" s="1" t="s">
        <v>444</v>
      </c>
      <c r="B17" s="1" t="s">
        <v>445</v>
      </c>
      <c r="C17" s="2">
        <f>F13-F14</f>
        <v>0.6313687349852611</v>
      </c>
      <c r="D17" s="1" t="s">
        <v>403</v>
      </c>
      <c r="E17" s="9">
        <f>ROUND(I17/$I$18,6)</f>
        <v>0.432834</v>
      </c>
      <c r="F17" s="2">
        <v>13.25</v>
      </c>
      <c r="G17" s="10">
        <f>ROUND(F17*E17/100,6)</f>
        <v>0.057351</v>
      </c>
      <c r="I17" s="11">
        <v>51327655</v>
      </c>
      <c r="L17" s="1" t="s">
        <v>446</v>
      </c>
      <c r="M17" s="1" t="s">
        <v>447</v>
      </c>
    </row>
    <row r="18" spans="1:13" ht="11.25">
      <c r="A18" s="1" t="s">
        <v>448</v>
      </c>
      <c r="B18" s="1" t="s">
        <v>449</v>
      </c>
      <c r="C18" s="2">
        <f>C13+SUT+C15</f>
        <v>0.040301384594634185</v>
      </c>
      <c r="D18" s="1" t="s">
        <v>403</v>
      </c>
      <c r="E18">
        <f>1/(1-C18)</f>
        <v>1.0419937925799876</v>
      </c>
      <c r="G18" s="10">
        <f>G16+G17+G15</f>
        <v>0.12417800000000001</v>
      </c>
      <c r="I18" s="11">
        <f>SUM(I15:I17)</f>
        <v>118585101</v>
      </c>
      <c r="L18" s="1" t="s">
        <v>450</v>
      </c>
      <c r="M18" s="1" t="s">
        <v>451</v>
      </c>
    </row>
    <row r="19" spans="1:13" ht="11.25">
      <c r="A19" s="1" t="s">
        <v>452</v>
      </c>
      <c r="B19" s="1" t="s">
        <v>453</v>
      </c>
      <c r="C19" s="10">
        <f>G24</f>
        <v>0.08329205</v>
      </c>
      <c r="D19" s="1" t="s">
        <v>403</v>
      </c>
      <c r="E19" s="10">
        <v>0.05</v>
      </c>
      <c r="F19" s="10">
        <v>0.0682</v>
      </c>
      <c r="G19" s="10">
        <f>F19*E19</f>
        <v>0.00341</v>
      </c>
      <c r="L19" s="1" t="s">
        <v>454</v>
      </c>
      <c r="M19" s="1" t="s">
        <v>455</v>
      </c>
    </row>
    <row r="20" spans="1:13" ht="11.25">
      <c r="A20" s="1" t="s">
        <v>456</v>
      </c>
      <c r="B20" s="1" t="s">
        <v>457</v>
      </c>
      <c r="C20" s="2">
        <v>0</v>
      </c>
      <c r="D20" s="1" t="s">
        <v>458</v>
      </c>
      <c r="E20" s="10">
        <v>0.45</v>
      </c>
      <c r="F20" s="10">
        <v>0.0884</v>
      </c>
      <c r="G20" s="10">
        <f>F20*E20</f>
        <v>0.03978</v>
      </c>
      <c r="L20" s="1" t="s">
        <v>459</v>
      </c>
      <c r="M20" s="1" t="s">
        <v>460</v>
      </c>
    </row>
    <row r="21" spans="1:13" ht="11.25">
      <c r="A21" s="1" t="s">
        <v>461</v>
      </c>
      <c r="B21" s="1" t="s">
        <v>462</v>
      </c>
      <c r="C21" s="2">
        <v>0</v>
      </c>
      <c r="E21" s="10">
        <v>0.05</v>
      </c>
      <c r="F21" s="10">
        <v>0.0755</v>
      </c>
      <c r="G21" s="10">
        <f>F21*E21</f>
        <v>0.003775</v>
      </c>
      <c r="I21" s="120">
        <v>7529044</v>
      </c>
      <c r="L21" s="1" t="s">
        <v>463</v>
      </c>
      <c r="M21" s="1" t="s">
        <v>464</v>
      </c>
    </row>
    <row r="22" spans="1:13" ht="11.25">
      <c r="A22" s="1" t="s">
        <v>465</v>
      </c>
      <c r="B22" s="1" t="s">
        <v>466</v>
      </c>
      <c r="C22" s="2">
        <v>0</v>
      </c>
      <c r="E22" s="10">
        <v>0.45</v>
      </c>
      <c r="F22" s="10">
        <v>0.1125</v>
      </c>
      <c r="G22" s="10">
        <f>F22*E22</f>
        <v>0.050625</v>
      </c>
      <c r="I22" s="120" t="e">
        <f>'MPP-3 p1'!#REF!</f>
        <v>#REF!</v>
      </c>
      <c r="L22" s="1" t="s">
        <v>467</v>
      </c>
      <c r="M22" s="1" t="s">
        <v>468</v>
      </c>
    </row>
    <row r="23" spans="1:13" ht="11.25">
      <c r="A23" s="1" t="s">
        <v>469</v>
      </c>
      <c r="B23" s="1" t="s">
        <v>470</v>
      </c>
      <c r="C23" s="2">
        <v>123719</v>
      </c>
      <c r="D23" s="1" t="s">
        <v>403</v>
      </c>
      <c r="E23" s="10"/>
      <c r="F23" s="10"/>
      <c r="G23" s="10"/>
      <c r="I23" s="120" t="e">
        <f>+I22-I21</f>
        <v>#REF!</v>
      </c>
      <c r="L23" s="1" t="s">
        <v>471</v>
      </c>
      <c r="M23" s="1" t="s">
        <v>472</v>
      </c>
    </row>
    <row r="24" spans="1:13" ht="11.25">
      <c r="A24" s="1" t="s">
        <v>473</v>
      </c>
      <c r="B24" s="1" t="s">
        <v>474</v>
      </c>
      <c r="C24" s="2">
        <v>423649</v>
      </c>
      <c r="D24" s="1" t="s">
        <v>403</v>
      </c>
      <c r="E24" s="10"/>
      <c r="F24" s="10"/>
      <c r="G24" s="10">
        <f>+'MPP-3 p1'!I57</f>
        <v>0.08329205</v>
      </c>
      <c r="I24" s="10">
        <v>0.4477</v>
      </c>
      <c r="J24" s="10">
        <v>0.0886</v>
      </c>
      <c r="K24" s="10">
        <f>J24*I24</f>
        <v>0.039666219999999995</v>
      </c>
      <c r="L24" s="1" t="s">
        <v>475</v>
      </c>
      <c r="M24" s="1" t="s">
        <v>476</v>
      </c>
    </row>
    <row r="25" spans="1:13" ht="11.25">
      <c r="A25" s="1" t="s">
        <v>477</v>
      </c>
      <c r="B25" s="1" t="s">
        <v>478</v>
      </c>
      <c r="C25" s="2">
        <f>2863079+D25</f>
        <v>2827274</v>
      </c>
      <c r="D25" s="2">
        <f>ROUND(5280965*(0.00788-0.01466),0)</f>
        <v>-35805</v>
      </c>
      <c r="E25" s="10"/>
      <c r="F25" s="10"/>
      <c r="G25" s="10"/>
      <c r="I25" s="10">
        <v>0.0638</v>
      </c>
      <c r="J25" s="10">
        <v>0.068</v>
      </c>
      <c r="K25" s="10">
        <f>J25*I25</f>
        <v>0.0043384</v>
      </c>
      <c r="L25" s="1" t="s">
        <v>479</v>
      </c>
      <c r="M25" s="1" t="s">
        <v>480</v>
      </c>
    </row>
    <row r="26" spans="1:13" ht="11.25">
      <c r="A26" s="1" t="s">
        <v>481</v>
      </c>
      <c r="B26" s="1" t="s">
        <v>482</v>
      </c>
      <c r="C26" s="2">
        <v>834705</v>
      </c>
      <c r="D26" s="1" t="s">
        <v>403</v>
      </c>
      <c r="E26" s="2">
        <f>3138463*0.17613</f>
        <v>552777.4881900001</v>
      </c>
      <c r="I26" s="10">
        <v>0.02921</v>
      </c>
      <c r="J26" s="10">
        <v>0.0798</v>
      </c>
      <c r="K26" s="10">
        <f>J26*I26</f>
        <v>0.0023309579999999997</v>
      </c>
      <c r="L26" s="1" t="s">
        <v>483</v>
      </c>
      <c r="M26" s="1" t="s">
        <v>484</v>
      </c>
    </row>
    <row r="27" spans="1:13" ht="11.25">
      <c r="A27" s="1" t="s">
        <v>485</v>
      </c>
      <c r="B27" s="1" t="s">
        <v>486</v>
      </c>
      <c r="C27" s="2">
        <v>92453</v>
      </c>
      <c r="D27" s="1" t="s">
        <v>403</v>
      </c>
      <c r="I27" s="10">
        <v>0.45924</v>
      </c>
      <c r="J27" s="10">
        <v>0.1125</v>
      </c>
      <c r="K27" s="10">
        <f>J27*I27</f>
        <v>0.0516645</v>
      </c>
      <c r="L27" s="1" t="s">
        <v>487</v>
      </c>
      <c r="M27" s="1" t="s">
        <v>488</v>
      </c>
    </row>
    <row r="28" spans="1:13" ht="11.25">
      <c r="A28" s="1" t="s">
        <v>489</v>
      </c>
      <c r="B28" s="1" t="s">
        <v>490</v>
      </c>
      <c r="C28" s="2">
        <v>0</v>
      </c>
      <c r="F28" s="2">
        <v>168285180</v>
      </c>
      <c r="G28" s="2">
        <v>182396280</v>
      </c>
      <c r="I28" s="10"/>
      <c r="J28" s="10"/>
      <c r="K28" s="10"/>
      <c r="L28" s="1" t="s">
        <v>491</v>
      </c>
      <c r="M28" s="1" t="s">
        <v>492</v>
      </c>
    </row>
    <row r="29" spans="1:13" ht="11.25">
      <c r="A29" s="1" t="s">
        <v>493</v>
      </c>
      <c r="B29" s="1" t="s">
        <v>494</v>
      </c>
      <c r="C29" s="2">
        <v>0</v>
      </c>
      <c r="F29" s="2">
        <v>4735738</v>
      </c>
      <c r="G29" s="2">
        <v>176903260</v>
      </c>
      <c r="I29" s="10">
        <f>SUM(I24:I27)</f>
        <v>0.9999499999999999</v>
      </c>
      <c r="J29" s="10"/>
      <c r="K29" s="10">
        <f>SUM(K24:K27)</f>
        <v>0.09800007799999999</v>
      </c>
      <c r="L29" s="1" t="s">
        <v>495</v>
      </c>
      <c r="M29" s="1" t="s">
        <v>492</v>
      </c>
    </row>
    <row r="30" spans="1:13" ht="11.25">
      <c r="A30" s="1" t="s">
        <v>496</v>
      </c>
      <c r="B30" s="1" t="s">
        <v>497</v>
      </c>
      <c r="C30" s="2">
        <v>0</v>
      </c>
      <c r="F30" s="2">
        <v>5032013</v>
      </c>
      <c r="G30" s="2">
        <f>G28-G29</f>
        <v>5493020</v>
      </c>
      <c r="I30" s="10"/>
      <c r="J30" s="10"/>
      <c r="K30" s="10"/>
      <c r="L30" s="1" t="s">
        <v>498</v>
      </c>
      <c r="M30" s="1" t="s">
        <v>499</v>
      </c>
    </row>
    <row r="31" spans="1:13" ht="11.25">
      <c r="A31" s="1" t="s">
        <v>500</v>
      </c>
      <c r="B31" s="1" t="s">
        <v>501</v>
      </c>
      <c r="C31" s="2">
        <v>0</v>
      </c>
      <c r="F31" s="2">
        <v>4043349</v>
      </c>
      <c r="I31" s="10"/>
      <c r="J31" s="10"/>
      <c r="K31" s="10"/>
      <c r="L31" s="1" t="s">
        <v>502</v>
      </c>
      <c r="M31" s="1" t="s">
        <v>503</v>
      </c>
    </row>
    <row r="32" spans="1:13" ht="11.25">
      <c r="A32" s="1" t="s">
        <v>504</v>
      </c>
      <c r="B32" s="1" t="s">
        <v>505</v>
      </c>
      <c r="C32" s="2">
        <v>0</v>
      </c>
      <c r="F32" s="2">
        <v>300000</v>
      </c>
      <c r="G32" s="2">
        <v>168285180</v>
      </c>
      <c r="I32" s="10"/>
      <c r="J32" s="10"/>
      <c r="K32" s="10"/>
      <c r="L32" s="1" t="s">
        <v>506</v>
      </c>
      <c r="M32" s="1" t="s">
        <v>509</v>
      </c>
    </row>
    <row r="33" spans="1:13" ht="11.25">
      <c r="A33" s="1" t="s">
        <v>510</v>
      </c>
      <c r="B33" s="1" t="s">
        <v>511</v>
      </c>
      <c r="C33" s="2">
        <v>0</v>
      </c>
      <c r="D33" s="1" t="s">
        <v>403</v>
      </c>
      <c r="F33" s="2">
        <f>SUM(F28:F32)</f>
        <v>182396280</v>
      </c>
      <c r="G33" s="2">
        <v>160265090</v>
      </c>
      <c r="I33" s="10"/>
      <c r="J33" s="10"/>
      <c r="K33" s="10"/>
      <c r="L33" s="1" t="s">
        <v>512</v>
      </c>
      <c r="M33" s="1" t="s">
        <v>513</v>
      </c>
    </row>
    <row r="34" spans="1:13" ht="11.25">
      <c r="A34" s="1" t="s">
        <v>514</v>
      </c>
      <c r="B34" s="1" t="s">
        <v>515</v>
      </c>
      <c r="C34" s="2">
        <v>0</v>
      </c>
      <c r="D34" s="1" t="s">
        <v>403</v>
      </c>
      <c r="F34" s="2">
        <f>136539575+26252585</f>
        <v>162792160</v>
      </c>
      <c r="G34" s="2">
        <f>G32-G33</f>
        <v>8020090</v>
      </c>
      <c r="H34" s="2">
        <f>G34*0.16865</f>
        <v>1352588.1785</v>
      </c>
      <c r="I34" s="10"/>
      <c r="J34" s="10"/>
      <c r="L34" s="1" t="s">
        <v>516</v>
      </c>
      <c r="M34" s="1" t="s">
        <v>517</v>
      </c>
    </row>
    <row r="35" spans="1:13" ht="11.25">
      <c r="A35" s="1" t="s">
        <v>518</v>
      </c>
      <c r="B35" s="1" t="s">
        <v>519</v>
      </c>
      <c r="C35" s="2">
        <v>0</v>
      </c>
      <c r="D35" s="1" t="s">
        <v>403</v>
      </c>
      <c r="H35" s="2">
        <v>55005289</v>
      </c>
      <c r="L35" s="1" t="s">
        <v>520</v>
      </c>
      <c r="M35" s="1" t="s">
        <v>521</v>
      </c>
    </row>
    <row r="36" spans="1:13" ht="11.25">
      <c r="A36" s="1" t="s">
        <v>522</v>
      </c>
      <c r="B36" s="1" t="s">
        <v>523</v>
      </c>
      <c r="C36" s="2">
        <v>0</v>
      </c>
      <c r="D36" s="1" t="s">
        <v>403</v>
      </c>
      <c r="G36" s="2">
        <f>G34-G30</f>
        <v>2527070</v>
      </c>
      <c r="H36" s="2">
        <f>H35+H34</f>
        <v>56357877.1785</v>
      </c>
      <c r="L36" s="1" t="s">
        <v>524</v>
      </c>
      <c r="M36" s="1" t="s">
        <v>525</v>
      </c>
    </row>
    <row r="37" spans="1:13" ht="11.25">
      <c r="A37" s="1" t="s">
        <v>526</v>
      </c>
      <c r="B37" s="1" t="s">
        <v>527</v>
      </c>
      <c r="C37" s="2">
        <v>0</v>
      </c>
      <c r="D37" s="1" t="s">
        <v>403</v>
      </c>
      <c r="F37" s="2">
        <f>168285180-166058110</f>
        <v>2227070</v>
      </c>
      <c r="G37" s="2">
        <f>166058110-136539575</f>
        <v>29518535</v>
      </c>
      <c r="H37" s="2">
        <f>G37*0.0058</f>
        <v>171207.503</v>
      </c>
      <c r="L37" s="1" t="s">
        <v>528</v>
      </c>
      <c r="M37" s="1" t="s">
        <v>529</v>
      </c>
    </row>
    <row r="38" spans="1:13" ht="11.25">
      <c r="A38" s="1" t="s">
        <v>530</v>
      </c>
      <c r="B38" s="1" t="s">
        <v>531</v>
      </c>
      <c r="C38" s="2">
        <v>2311</v>
      </c>
      <c r="D38" s="1" t="s">
        <v>403</v>
      </c>
      <c r="H38" s="2">
        <f>H37+H36</f>
        <v>56529084.681499995</v>
      </c>
      <c r="L38" s="1" t="s">
        <v>532</v>
      </c>
      <c r="M38" s="1" t="s">
        <v>533</v>
      </c>
    </row>
    <row r="39" spans="1:13" ht="11.25">
      <c r="A39" s="1" t="s">
        <v>534</v>
      </c>
      <c r="B39" s="1" t="s">
        <v>535</v>
      </c>
      <c r="C39" s="2">
        <f>'MPP-3 p16'!G26</f>
        <v>520000</v>
      </c>
      <c r="D39" s="1" t="s">
        <v>403</v>
      </c>
      <c r="E39" s="2">
        <v>-42878591</v>
      </c>
      <c r="H39" s="2">
        <f>G36*0.0058</f>
        <v>14657.006</v>
      </c>
      <c r="L39" s="1" t="s">
        <v>536</v>
      </c>
      <c r="M39" s="1" t="s">
        <v>537</v>
      </c>
    </row>
    <row r="40" spans="1:13" ht="11.25">
      <c r="A40" s="1" t="s">
        <v>538</v>
      </c>
      <c r="B40" s="1" t="s">
        <v>539</v>
      </c>
      <c r="C40" s="2">
        <v>0</v>
      </c>
      <c r="E40" s="1" t="s">
        <v>458</v>
      </c>
      <c r="L40" s="1" t="s">
        <v>540</v>
      </c>
      <c r="M40" s="1" t="s">
        <v>541</v>
      </c>
    </row>
    <row r="41" spans="1:13" ht="11.25">
      <c r="A41" s="1" t="s">
        <v>542</v>
      </c>
      <c r="B41" s="1" t="s">
        <v>543</v>
      </c>
      <c r="C41" s="2">
        <v>0</v>
      </c>
      <c r="E41" s="2">
        <v>-7089409</v>
      </c>
      <c r="L41" s="1" t="s">
        <v>544</v>
      </c>
      <c r="M41" s="1" t="s">
        <v>545</v>
      </c>
    </row>
    <row r="42" spans="1:13" ht="11.25">
      <c r="A42" s="1" t="s">
        <v>546</v>
      </c>
      <c r="B42" s="1" t="s">
        <v>547</v>
      </c>
      <c r="C42" s="2">
        <v>0</v>
      </c>
      <c r="E42" s="2">
        <v>-10908555</v>
      </c>
      <c r="L42" s="1" t="s">
        <v>548</v>
      </c>
      <c r="M42" s="1" t="s">
        <v>549</v>
      </c>
    </row>
    <row r="43" spans="1:13" ht="11.25">
      <c r="A43" s="1" t="s">
        <v>550</v>
      </c>
      <c r="B43" s="1" t="s">
        <v>551</v>
      </c>
      <c r="C43" s="2">
        <v>0</v>
      </c>
      <c r="F43" s="2" t="e">
        <f>D59+REVCHANGE</f>
        <v>#REF!</v>
      </c>
      <c r="G43" s="2">
        <v>10267</v>
      </c>
      <c r="L43" s="1" t="s">
        <v>552</v>
      </c>
      <c r="M43" s="1" t="s">
        <v>553</v>
      </c>
    </row>
    <row r="44" spans="1:13" ht="11.25">
      <c r="A44" s="1" t="s">
        <v>554</v>
      </c>
      <c r="B44" s="1" t="s">
        <v>555</v>
      </c>
      <c r="C44" s="2">
        <v>0</v>
      </c>
      <c r="F44" s="2">
        <f>GASCOST+3371524-232684</f>
        <v>-160698791</v>
      </c>
      <c r="G44" s="2">
        <v>162173</v>
      </c>
      <c r="L44" s="1" t="s">
        <v>556</v>
      </c>
      <c r="M44" s="1" t="s">
        <v>557</v>
      </c>
    </row>
    <row r="45" spans="1:13" ht="11.25">
      <c r="A45" s="1" t="s">
        <v>558</v>
      </c>
      <c r="B45" s="1" t="s">
        <v>559</v>
      </c>
      <c r="C45" s="2">
        <v>0</v>
      </c>
      <c r="F45" s="2" t="e">
        <f>F43-F44</f>
        <v>#REF!</v>
      </c>
      <c r="G45" s="2">
        <f>G43/G44</f>
        <v>0.06330893551947611</v>
      </c>
      <c r="L45" s="1" t="s">
        <v>560</v>
      </c>
      <c r="M45" s="1" t="s">
        <v>561</v>
      </c>
    </row>
    <row r="46" spans="1:13" ht="11.25">
      <c r="A46" s="1" t="s">
        <v>562</v>
      </c>
      <c r="B46" s="1" t="s">
        <v>563</v>
      </c>
      <c r="C46" s="2">
        <v>0</v>
      </c>
      <c r="F46" s="2" t="e">
        <f>F43/F44</f>
        <v>#REF!</v>
      </c>
      <c r="L46" s="1" t="s">
        <v>564</v>
      </c>
      <c r="M46" s="1" t="s">
        <v>565</v>
      </c>
    </row>
    <row r="47" spans="1:13" ht="11.25">
      <c r="A47" s="1" t="s">
        <v>566</v>
      </c>
      <c r="B47" s="1" t="s">
        <v>567</v>
      </c>
      <c r="C47" s="2">
        <v>0</v>
      </c>
      <c r="L47" s="1" t="s">
        <v>568</v>
      </c>
      <c r="M47" s="1" t="s">
        <v>569</v>
      </c>
    </row>
    <row r="48" spans="1:13" ht="11.25">
      <c r="A48" s="1" t="s">
        <v>570</v>
      </c>
      <c r="B48" s="1" t="s">
        <v>571</v>
      </c>
      <c r="C48" s="2">
        <v>0</v>
      </c>
      <c r="L48" s="1" t="s">
        <v>572</v>
      </c>
      <c r="M48" s="1" t="s">
        <v>573</v>
      </c>
    </row>
    <row r="49" spans="1:13" ht="11.25">
      <c r="A49" s="1" t="s">
        <v>574</v>
      </c>
      <c r="B49" s="1" t="s">
        <v>575</v>
      </c>
      <c r="C49" s="2">
        <v>0</v>
      </c>
      <c r="L49" s="1" t="s">
        <v>576</v>
      </c>
      <c r="M49" s="1" t="s">
        <v>577</v>
      </c>
    </row>
    <row r="50" spans="1:13" ht="11.25">
      <c r="A50" s="1" t="s">
        <v>578</v>
      </c>
      <c r="B50" s="1" t="s">
        <v>575</v>
      </c>
      <c r="C50" s="2">
        <v>0</v>
      </c>
      <c r="L50" s="1" t="s">
        <v>579</v>
      </c>
      <c r="M50" s="1" t="s">
        <v>580</v>
      </c>
    </row>
    <row r="51" spans="1:13" ht="11.25">
      <c r="A51" s="1" t="s">
        <v>581</v>
      </c>
      <c r="B51" s="1" t="s">
        <v>582</v>
      </c>
      <c r="C51" s="2">
        <v>0</v>
      </c>
      <c r="D51" s="1" t="s">
        <v>403</v>
      </c>
      <c r="L51" s="1" t="s">
        <v>583</v>
      </c>
      <c r="M51" s="1" t="s">
        <v>584</v>
      </c>
    </row>
    <row r="52" spans="1:13" ht="11.25">
      <c r="A52" s="1" t="s">
        <v>585</v>
      </c>
      <c r="B52" s="1" t="s">
        <v>586</v>
      </c>
      <c r="C52" s="2">
        <v>0</v>
      </c>
      <c r="D52" s="1" t="s">
        <v>403</v>
      </c>
      <c r="F52" s="2">
        <v>5315424</v>
      </c>
      <c r="L52" s="1" t="s">
        <v>587</v>
      </c>
      <c r="M52" s="1" t="s">
        <v>492</v>
      </c>
    </row>
    <row r="53" spans="1:13" ht="11.25">
      <c r="A53" s="1" t="s">
        <v>588</v>
      </c>
      <c r="B53" s="1" t="s">
        <v>589</v>
      </c>
      <c r="C53" s="2">
        <v>0</v>
      </c>
      <c r="D53" s="1" t="s">
        <v>403</v>
      </c>
      <c r="F53" s="2">
        <v>159413980</v>
      </c>
      <c r="L53" s="1" t="s">
        <v>590</v>
      </c>
      <c r="M53" s="1" t="s">
        <v>591</v>
      </c>
    </row>
    <row r="54" spans="1:13" ht="11.25">
      <c r="A54" s="1" t="s">
        <v>592</v>
      </c>
      <c r="B54" s="1" t="s">
        <v>593</v>
      </c>
      <c r="C54" s="2">
        <v>0</v>
      </c>
      <c r="D54" s="1" t="s">
        <v>403</v>
      </c>
      <c r="F54" s="2">
        <f>F53+F52</f>
        <v>164729404</v>
      </c>
      <c r="L54" s="1" t="s">
        <v>594</v>
      </c>
      <c r="M54" s="1" t="s">
        <v>595</v>
      </c>
    </row>
    <row r="55" spans="1:13" ht="11.25">
      <c r="A55" s="1" t="s">
        <v>596</v>
      </c>
      <c r="B55" s="1" t="s">
        <v>597</v>
      </c>
      <c r="C55" s="2">
        <v>0</v>
      </c>
      <c r="D55" s="1" t="s">
        <v>403</v>
      </c>
      <c r="L55" s="1" t="s">
        <v>598</v>
      </c>
      <c r="M55" s="1" t="s">
        <v>599</v>
      </c>
    </row>
    <row r="56" spans="1:13" ht="11.25">
      <c r="A56" s="1" t="s">
        <v>600</v>
      </c>
      <c r="B56" s="1" t="s">
        <v>601</v>
      </c>
      <c r="C56" s="2">
        <v>0</v>
      </c>
      <c r="D56" s="1" t="s">
        <v>403</v>
      </c>
      <c r="F56" s="2">
        <v>164729404</v>
      </c>
      <c r="L56" s="1" t="s">
        <v>602</v>
      </c>
      <c r="M56" s="1" t="s">
        <v>603</v>
      </c>
    </row>
    <row r="57" spans="1:13" ht="11.25">
      <c r="A57" s="1" t="s">
        <v>604</v>
      </c>
      <c r="B57" s="1" t="s">
        <v>605</v>
      </c>
      <c r="C57" s="2">
        <v>0</v>
      </c>
      <c r="D57" s="1" t="s">
        <v>403</v>
      </c>
      <c r="F57" s="2">
        <v>4735738</v>
      </c>
      <c r="L57" s="1" t="s">
        <v>606</v>
      </c>
      <c r="M57" s="1" t="s">
        <v>607</v>
      </c>
    </row>
    <row r="58" spans="1:13" ht="11.25">
      <c r="A58" s="1" t="s">
        <v>608</v>
      </c>
      <c r="B58" s="1" t="s">
        <v>609</v>
      </c>
      <c r="C58" s="2">
        <v>0</v>
      </c>
      <c r="D58" s="1" t="s">
        <v>403</v>
      </c>
      <c r="F58" s="2">
        <v>5032013</v>
      </c>
      <c r="L58" s="1" t="s">
        <v>610</v>
      </c>
      <c r="M58" s="1" t="s">
        <v>611</v>
      </c>
    </row>
    <row r="59" spans="1:13" ht="11.25">
      <c r="A59" s="1" t="s">
        <v>612</v>
      </c>
      <c r="B59" s="1" t="s">
        <v>597</v>
      </c>
      <c r="C59" s="2">
        <v>1413354</v>
      </c>
      <c r="D59" s="2">
        <f>ROUND(180732884*(0.00788-0.01466),0)</f>
        <v>-1225369</v>
      </c>
      <c r="F59" s="2">
        <v>4043349</v>
      </c>
      <c r="L59" s="1" t="s">
        <v>613</v>
      </c>
      <c r="M59" s="1" t="s">
        <v>614</v>
      </c>
    </row>
    <row r="60" spans="6:13" ht="11.25">
      <c r="F60" s="2">
        <v>2527070</v>
      </c>
      <c r="L60" s="1" t="s">
        <v>615</v>
      </c>
      <c r="M60" s="1" t="s">
        <v>616</v>
      </c>
    </row>
    <row r="61" spans="6:13" ht="11.25">
      <c r="F61" s="2">
        <v>2527070</v>
      </c>
      <c r="L61" s="1" t="s">
        <v>617</v>
      </c>
      <c r="M61" s="1" t="s">
        <v>618</v>
      </c>
    </row>
    <row r="62" spans="5:13" ht="11.25">
      <c r="E62" s="2">
        <v>6696173</v>
      </c>
      <c r="F62" s="2">
        <v>300000</v>
      </c>
      <c r="I62" s="2">
        <v>176903260</v>
      </c>
      <c r="L62" s="1" t="s">
        <v>619</v>
      </c>
      <c r="M62" s="1" t="s">
        <v>620</v>
      </c>
    </row>
    <row r="63" spans="5:13" ht="11.25">
      <c r="E63" s="2">
        <v>0.0102769</v>
      </c>
      <c r="I63" s="2">
        <v>175084480</v>
      </c>
      <c r="L63" s="1" t="s">
        <v>621</v>
      </c>
      <c r="M63" s="1" t="s">
        <v>622</v>
      </c>
    </row>
    <row r="64" spans="5:13" ht="11.25">
      <c r="E64" s="2">
        <f>E63*E62</f>
        <v>68815.90030370001</v>
      </c>
      <c r="F64" s="2">
        <f>SUM(F56:F62)</f>
        <v>183894644</v>
      </c>
      <c r="I64" s="2">
        <f>I62-I63</f>
        <v>1818780</v>
      </c>
      <c r="L64" s="1" t="s">
        <v>623</v>
      </c>
      <c r="M64" s="1" t="s">
        <v>624</v>
      </c>
    </row>
    <row r="65" spans="5:13" ht="11.25">
      <c r="E65" s="2">
        <v>6000</v>
      </c>
      <c r="I65" s="2">
        <f>I66-I75</f>
        <v>1890664</v>
      </c>
      <c r="L65" s="1" t="s">
        <v>628</v>
      </c>
      <c r="M65" s="1" t="s">
        <v>629</v>
      </c>
    </row>
    <row r="66" spans="5:13" ht="11.25">
      <c r="E66" s="2">
        <f>E65+E64</f>
        <v>74815.90030370001</v>
      </c>
      <c r="F66" s="2">
        <v>165758110</v>
      </c>
      <c r="G66" s="2">
        <v>140911398</v>
      </c>
      <c r="I66" s="2">
        <v>183894644</v>
      </c>
      <c r="L66" s="1" t="s">
        <v>630</v>
      </c>
      <c r="M66" s="1" t="s">
        <v>631</v>
      </c>
    </row>
    <row r="67" spans="6:13" ht="11.25">
      <c r="F67" s="2">
        <v>4735738</v>
      </c>
      <c r="G67" s="2">
        <v>5077926</v>
      </c>
      <c r="I67" s="2">
        <v>176903260</v>
      </c>
      <c r="L67" s="1" t="s">
        <v>632</v>
      </c>
      <c r="M67" s="1" t="s">
        <v>633</v>
      </c>
    </row>
    <row r="68" spans="6:13" ht="11.25">
      <c r="F68" s="2">
        <v>5032013</v>
      </c>
      <c r="G68" s="2">
        <v>5395623</v>
      </c>
      <c r="I68" s="2">
        <f>I66-I67</f>
        <v>6991384</v>
      </c>
      <c r="J68" s="2">
        <f>0.16865+0.0058</f>
        <v>0.17445</v>
      </c>
      <c r="L68" s="1" t="s">
        <v>634</v>
      </c>
      <c r="M68" s="1" t="s">
        <v>635</v>
      </c>
    </row>
    <row r="69" spans="6:13" ht="11.25">
      <c r="F69" s="2">
        <v>4043349</v>
      </c>
      <c r="G69" s="2">
        <v>4337276</v>
      </c>
      <c r="I69" s="2">
        <f>I68*J68</f>
        <v>1219646.9388</v>
      </c>
      <c r="L69" s="1" t="s">
        <v>636</v>
      </c>
      <c r="M69" s="1" t="s">
        <v>637</v>
      </c>
    </row>
    <row r="70" spans="6:13" ht="11.25">
      <c r="F70" s="2">
        <v>2527070</v>
      </c>
      <c r="G70" s="2">
        <v>2709669</v>
      </c>
      <c r="I70" s="2">
        <v>55005289</v>
      </c>
      <c r="L70" s="1" t="s">
        <v>638</v>
      </c>
      <c r="M70" s="1" t="s">
        <v>639</v>
      </c>
    </row>
    <row r="71" spans="6:13" ht="11.25">
      <c r="F71" s="2">
        <v>300000</v>
      </c>
      <c r="G71" s="2">
        <v>325160</v>
      </c>
      <c r="I71" s="2">
        <f>I70+I69</f>
        <v>56224935.9388</v>
      </c>
      <c r="L71" s="1" t="s">
        <v>640</v>
      </c>
      <c r="M71" s="1" t="s">
        <v>641</v>
      </c>
    </row>
    <row r="72" spans="7:13" ht="11.25">
      <c r="G72" s="2">
        <v>23639227</v>
      </c>
      <c r="I72" s="2">
        <v>59732388</v>
      </c>
      <c r="L72" s="1" t="s">
        <v>642</v>
      </c>
      <c r="M72" s="1" t="s">
        <v>643</v>
      </c>
    </row>
    <row r="73" spans="6:13" ht="11.25">
      <c r="F73" s="2">
        <f>SUM(F66:F71)</f>
        <v>182396280</v>
      </c>
      <c r="G73" s="2">
        <f>SUM(G66:G72)</f>
        <v>182396279</v>
      </c>
      <c r="I73" s="2">
        <f>I72-I71</f>
        <v>3507452.0612000003</v>
      </c>
      <c r="L73" s="1" t="s">
        <v>644</v>
      </c>
      <c r="M73" s="1" t="s">
        <v>645</v>
      </c>
    </row>
    <row r="74" spans="9:13" ht="11.25">
      <c r="I74" s="2">
        <f>I73*1.0453</f>
        <v>3666339.63957236</v>
      </c>
      <c r="L74" s="1" t="s">
        <v>646</v>
      </c>
      <c r="M74" s="1" t="s">
        <v>647</v>
      </c>
    </row>
    <row r="75" spans="6:13" ht="11.25">
      <c r="F75" s="2">
        <v>164786160</v>
      </c>
      <c r="G75" s="2">
        <v>163508445</v>
      </c>
      <c r="I75" s="2">
        <v>182003980</v>
      </c>
      <c r="L75" s="1" t="s">
        <v>648</v>
      </c>
      <c r="M75" s="1" t="s">
        <v>649</v>
      </c>
    </row>
    <row r="76" spans="6:13" ht="11.25">
      <c r="F76" s="2">
        <v>4735738</v>
      </c>
      <c r="G76" s="2">
        <v>5077926</v>
      </c>
      <c r="I76" s="2">
        <f>I74/I75</f>
        <v>0.020144282776521482</v>
      </c>
      <c r="L76" s="1" t="s">
        <v>650</v>
      </c>
      <c r="M76" s="1" t="s">
        <v>651</v>
      </c>
    </row>
    <row r="77" spans="6:13" ht="11.25">
      <c r="F77" s="2">
        <v>5032013</v>
      </c>
      <c r="G77" s="2">
        <v>5395623</v>
      </c>
      <c r="L77" s="1" t="s">
        <v>652</v>
      </c>
      <c r="M77" s="1" t="s">
        <v>653</v>
      </c>
    </row>
    <row r="78" spans="6:13" ht="11.25">
      <c r="F78" s="2">
        <v>4043349</v>
      </c>
      <c r="G78" s="2">
        <v>4337276</v>
      </c>
      <c r="I78" s="2">
        <f>I72/I75</f>
        <v>0.3281927571034436</v>
      </c>
      <c r="L78" s="1" t="s">
        <v>654</v>
      </c>
      <c r="M78" s="1" t="s">
        <v>655</v>
      </c>
    </row>
    <row r="79" spans="6:13" ht="11.25">
      <c r="F79" s="2">
        <f>3000000*0.4</f>
        <v>1200000</v>
      </c>
      <c r="G79" s="2">
        <f>2709669*(200/520)</f>
        <v>1042180.3846153846</v>
      </c>
      <c r="I79" s="2">
        <f>I71/I75</f>
        <v>0.3089214639086464</v>
      </c>
      <c r="L79" s="1" t="s">
        <v>656</v>
      </c>
      <c r="M79" s="1" t="s">
        <v>657</v>
      </c>
    </row>
    <row r="80" spans="6:9" ht="11.25">
      <c r="F80" s="2">
        <v>300000</v>
      </c>
      <c r="G80" s="2">
        <v>325160</v>
      </c>
      <c r="I80" s="2">
        <f>I78-I79</f>
        <v>0.0192712931947972</v>
      </c>
    </row>
    <row r="81" ht="11.25">
      <c r="I81" s="2">
        <f>I80*1.0453</f>
        <v>0.020144282776521513</v>
      </c>
    </row>
    <row r="82" spans="6:9" ht="11.25">
      <c r="F82" s="2">
        <f>SUM(F75:F80)</f>
        <v>180097260</v>
      </c>
      <c r="G82" s="2">
        <f>SUM(G75:G80)</f>
        <v>179686610.3846154</v>
      </c>
      <c r="I82" s="2">
        <v>55005289</v>
      </c>
    </row>
    <row r="83" ht="11.25">
      <c r="I83" s="2">
        <f>I63</f>
        <v>175084480</v>
      </c>
    </row>
    <row r="84" spans="6:9" ht="11.25">
      <c r="F84" s="2">
        <f>F73-F82</f>
        <v>2299020</v>
      </c>
      <c r="G84" s="2">
        <f>G73-G82</f>
        <v>2709668.6153846085</v>
      </c>
      <c r="I84" s="2">
        <f>I82/I83</f>
        <v>0.31416427658236756</v>
      </c>
    </row>
    <row r="85" ht="11.25">
      <c r="I85" s="2">
        <f>I78-I84</f>
        <v>0.014028480521076026</v>
      </c>
    </row>
    <row r="86" spans="6:9" ht="11.25">
      <c r="F86" s="2">
        <f>2527070-F79</f>
        <v>1327070</v>
      </c>
      <c r="G86" s="2">
        <f>2709669-G79</f>
        <v>1667488.6153846155</v>
      </c>
      <c r="I86" s="2">
        <f>I85*1.0453</f>
        <v>0.014663970688680769</v>
      </c>
    </row>
    <row r="87" spans="6:7" ht="11.25">
      <c r="F87" s="2">
        <f>165758110-164786160</f>
        <v>971950</v>
      </c>
      <c r="G87" s="2">
        <f>140911398+23639227-163508445</f>
        <v>1042180</v>
      </c>
    </row>
    <row r="88" spans="6:9" ht="11.25">
      <c r="F88" s="2">
        <f>F87+F86</f>
        <v>2299020</v>
      </c>
      <c r="G88" s="2">
        <f>G87+G86</f>
        <v>2709668.6153846155</v>
      </c>
      <c r="I88" s="2">
        <f>I85*I75</f>
        <v>2553239.2881883103</v>
      </c>
    </row>
    <row r="90" spans="6:12" ht="11.25">
      <c r="F90" s="2">
        <f>F84*0.00119</f>
        <v>2735.8338000000003</v>
      </c>
      <c r="G90" s="2">
        <f>G84*0.00119</f>
        <v>3224.505652307684</v>
      </c>
      <c r="I90" s="2">
        <f>30838384+I69</f>
        <v>32058030.9388</v>
      </c>
      <c r="J90" s="2">
        <v>24166905</v>
      </c>
      <c r="L90" s="2">
        <f>I90+J90</f>
        <v>56224935.9388</v>
      </c>
    </row>
    <row r="91" spans="9:12" ht="11.25">
      <c r="I91" s="2">
        <f>I75</f>
        <v>182003980</v>
      </c>
      <c r="J91" s="2">
        <f>I91</f>
        <v>182003980</v>
      </c>
      <c r="L91" s="2">
        <f>J91</f>
        <v>182003980</v>
      </c>
    </row>
    <row r="92" spans="9:12" ht="11.25">
      <c r="I92" s="2">
        <f>I90/I91</f>
        <v>0.1761391753015511</v>
      </c>
      <c r="J92" s="2">
        <f>J90/J91</f>
        <v>0.1327822886070953</v>
      </c>
      <c r="L92" s="2">
        <f>L90/L91</f>
        <v>0.3089214639086464</v>
      </c>
    </row>
    <row r="94" spans="9:12" ht="11.25">
      <c r="I94" s="2">
        <v>30838384</v>
      </c>
      <c r="J94" s="2">
        <v>24166905</v>
      </c>
      <c r="L94" s="2">
        <f>I94+J94</f>
        <v>55005289</v>
      </c>
    </row>
    <row r="95" spans="9:12" ht="11.25">
      <c r="I95" s="2">
        <v>175084480</v>
      </c>
      <c r="J95" s="2">
        <f>I95</f>
        <v>175084480</v>
      </c>
      <c r="L95" s="2">
        <f>J95</f>
        <v>175084480</v>
      </c>
    </row>
    <row r="96" spans="9:12" ht="11.25">
      <c r="I96" s="2">
        <f>I94/I95</f>
        <v>0.17613430956301782</v>
      </c>
      <c r="J96" s="2">
        <f>J94/J95</f>
        <v>0.13802996701934975</v>
      </c>
      <c r="L96" s="2">
        <f>L94/L95</f>
        <v>0.31416427658236756</v>
      </c>
    </row>
    <row r="102" spans="3:7" ht="11.25">
      <c r="C102">
        <v>512874</v>
      </c>
      <c r="D102">
        <v>58496</v>
      </c>
      <c r="E102">
        <v>115605</v>
      </c>
      <c r="F102">
        <v>415955</v>
      </c>
      <c r="G102">
        <v>102359</v>
      </c>
    </row>
    <row r="103" spans="3:7" ht="11.25">
      <c r="C103">
        <f>NTG</f>
        <v>0.6313687349852611</v>
      </c>
      <c r="D103">
        <f>NTG</f>
        <v>0.6313687349852611</v>
      </c>
      <c r="E103">
        <f>NTG</f>
        <v>0.6313687349852611</v>
      </c>
      <c r="F103">
        <f>NTG</f>
        <v>0.6313687349852611</v>
      </c>
      <c r="G103">
        <f>NTG</f>
        <v>0.6313687349852611</v>
      </c>
    </row>
    <row r="104" spans="3:8" ht="11.25">
      <c r="C104" s="120">
        <f>+C102/C103</f>
        <v>812320.8698510748</v>
      </c>
      <c r="D104" s="120">
        <f>+D102/D103</f>
        <v>92649.50378223203</v>
      </c>
      <c r="E104" s="120">
        <f>+E102/E103</f>
        <v>183102.19305157504</v>
      </c>
      <c r="F104" s="120">
        <f>+F102/F103</f>
        <v>658814.6940942684</v>
      </c>
      <c r="G104" s="120">
        <f>+G102/G103</f>
        <v>162122.37687441</v>
      </c>
      <c r="H104" s="120">
        <f>SUM(C104:G104)</f>
        <v>1909009.6376535604</v>
      </c>
    </row>
    <row r="105" ht="11.25">
      <c r="H105" s="120"/>
    </row>
    <row r="106" spans="3:8" ht="11.25">
      <c r="C106">
        <v>719699</v>
      </c>
      <c r="D106">
        <v>198348</v>
      </c>
      <c r="E106">
        <v>177124</v>
      </c>
      <c r="F106">
        <v>46048</v>
      </c>
      <c r="H106" s="120"/>
    </row>
    <row r="107" spans="3:8" ht="11.25">
      <c r="C107">
        <f>NTG</f>
        <v>0.6313687349852611</v>
      </c>
      <c r="D107">
        <f>NTG</f>
        <v>0.6313687349852611</v>
      </c>
      <c r="E107">
        <f>NTG</f>
        <v>0.6313687349852611</v>
      </c>
      <c r="F107">
        <f>NTG</f>
        <v>0.6313687349852611</v>
      </c>
      <c r="H107" s="120"/>
    </row>
    <row r="108" spans="3:8" ht="11.25">
      <c r="C108" s="120">
        <f>+C106/C107</f>
        <v>1139902.8176724666</v>
      </c>
      <c r="D108" s="120">
        <f>+D106/D107</f>
        <v>314155.56236662605</v>
      </c>
      <c r="E108" s="120">
        <f>+E106/E107</f>
        <v>280539.7071239754</v>
      </c>
      <c r="F108" s="120">
        <f>+F106/F107</f>
        <v>72933.60828371547</v>
      </c>
      <c r="G108" s="269">
        <f>SUM(C108:F108)</f>
        <v>1807531.6954467834</v>
      </c>
      <c r="H108" s="120">
        <f>+H104+G108</f>
        <v>3716541.333100344</v>
      </c>
    </row>
    <row r="112" spans="3:11" ht="11.25">
      <c r="C112">
        <v>2996325</v>
      </c>
      <c r="D112">
        <v>3167</v>
      </c>
      <c r="E112">
        <v>1717811</v>
      </c>
      <c r="F112">
        <v>6817134</v>
      </c>
      <c r="G112">
        <v>7667536</v>
      </c>
      <c r="H112">
        <v>8932611</v>
      </c>
      <c r="I112">
        <v>6724093</v>
      </c>
      <c r="J112">
        <v>107132</v>
      </c>
      <c r="K112">
        <v>361064</v>
      </c>
    </row>
    <row r="113" spans="3:11" ht="11.25">
      <c r="C113">
        <v>0.0976</v>
      </c>
      <c r="D113">
        <v>0.0976</v>
      </c>
      <c r="E113">
        <v>0.0976</v>
      </c>
      <c r="F113">
        <v>0.0976</v>
      </c>
      <c r="G113">
        <v>0.0976</v>
      </c>
      <c r="H113">
        <v>0.0976</v>
      </c>
      <c r="I113">
        <v>0.0976</v>
      </c>
      <c r="J113">
        <v>0.0976</v>
      </c>
      <c r="K113">
        <v>0.0976</v>
      </c>
    </row>
    <row r="114" spans="3:11" ht="11.25">
      <c r="C114">
        <f>+C113*C112</f>
        <v>292441.32</v>
      </c>
      <c r="D114">
        <f aca="true" t="shared" si="0" ref="D114:K114">+D113*D112</f>
        <v>309.0992</v>
      </c>
      <c r="E114">
        <f t="shared" si="0"/>
        <v>167658.3536</v>
      </c>
      <c r="F114">
        <f t="shared" si="0"/>
        <v>665352.2784000001</v>
      </c>
      <c r="G114">
        <f t="shared" si="0"/>
        <v>748351.5136000001</v>
      </c>
      <c r="H114">
        <f t="shared" si="0"/>
        <v>871822.8336</v>
      </c>
      <c r="I114">
        <f t="shared" si="0"/>
        <v>656271.4768000001</v>
      </c>
      <c r="J114">
        <f t="shared" si="0"/>
        <v>10456.083200000001</v>
      </c>
      <c r="K114">
        <f t="shared" si="0"/>
        <v>35239.8464</v>
      </c>
    </row>
  </sheetData>
  <printOptions/>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44"/>
  <sheetViews>
    <sheetView workbookViewId="0" topLeftCell="A1">
      <selection activeCell="F1" sqref="F1"/>
    </sheetView>
  </sheetViews>
  <sheetFormatPr defaultColWidth="9.33203125" defaultRowHeight="11.25"/>
  <cols>
    <col min="1" max="1" width="5.83203125" style="395" customWidth="1"/>
    <col min="2" max="2" width="43.66015625" style="395" customWidth="1"/>
    <col min="3" max="3" width="16.16015625" style="395" customWidth="1"/>
    <col min="4" max="4" width="11.83203125" style="395" customWidth="1"/>
    <col min="5" max="5" width="15.5" style="395" bestFit="1" customWidth="1"/>
    <col min="6" max="6" width="22" style="395" customWidth="1"/>
    <col min="7" max="7" width="4" style="395" customWidth="1"/>
    <col min="8" max="16384" width="9.33203125" style="395" customWidth="1"/>
  </cols>
  <sheetData>
    <row r="1" ht="15.75">
      <c r="F1" s="367" t="s">
        <v>1522</v>
      </c>
    </row>
    <row r="2" ht="15.75">
      <c r="F2" s="141" t="s">
        <v>1177</v>
      </c>
    </row>
    <row r="3" ht="15.75">
      <c r="F3" s="367" t="s">
        <v>1179</v>
      </c>
    </row>
    <row r="5" ht="15.75">
      <c r="F5" s="367"/>
    </row>
    <row r="6" ht="15.75">
      <c r="F6" s="367"/>
    </row>
    <row r="7" ht="15.75">
      <c r="F7" s="367"/>
    </row>
    <row r="8" ht="15.75">
      <c r="F8" s="367"/>
    </row>
    <row r="9" ht="15.75">
      <c r="F9" s="367"/>
    </row>
    <row r="11" spans="1:6" ht="15.75">
      <c r="A11" s="396" t="s">
        <v>658</v>
      </c>
      <c r="B11" s="397"/>
      <c r="C11" s="399"/>
      <c r="D11" s="399"/>
      <c r="E11" s="399"/>
      <c r="F11" s="400"/>
    </row>
    <row r="12" spans="1:6" ht="15.75">
      <c r="A12" s="601" t="s">
        <v>93</v>
      </c>
      <c r="B12" s="401"/>
      <c r="C12" s="403"/>
      <c r="D12" s="403"/>
      <c r="E12" s="403"/>
      <c r="F12" s="404"/>
    </row>
    <row r="13" spans="1:6" ht="15.75">
      <c r="A13" s="1142" t="s">
        <v>659</v>
      </c>
      <c r="B13" s="406"/>
      <c r="C13" s="403"/>
      <c r="D13" s="408"/>
      <c r="E13" s="408"/>
      <c r="F13" s="409"/>
    </row>
    <row r="14" spans="1:6" ht="15.75">
      <c r="A14" s="410" t="s">
        <v>1000</v>
      </c>
      <c r="B14" s="439"/>
      <c r="C14" s="440"/>
      <c r="D14" s="440" t="s">
        <v>54</v>
      </c>
      <c r="E14" s="413"/>
      <c r="F14" s="414"/>
    </row>
    <row r="15" spans="1:6" ht="15.75">
      <c r="A15" s="415" t="s">
        <v>1006</v>
      </c>
      <c r="B15" s="416" t="s">
        <v>1007</v>
      </c>
      <c r="C15" s="442" t="s">
        <v>997</v>
      </c>
      <c r="D15" s="442" t="s">
        <v>94</v>
      </c>
      <c r="E15" s="417" t="s">
        <v>382</v>
      </c>
      <c r="F15" s="418" t="s">
        <v>1073</v>
      </c>
    </row>
    <row r="16" spans="1:6" ht="15.75">
      <c r="A16" s="419"/>
      <c r="B16" s="420" t="s">
        <v>1012</v>
      </c>
      <c r="C16" s="421" t="s">
        <v>1013</v>
      </c>
      <c r="D16" s="422" t="s">
        <v>1014</v>
      </c>
      <c r="E16" s="422" t="s">
        <v>1074</v>
      </c>
      <c r="F16" s="422" t="s">
        <v>1016</v>
      </c>
    </row>
    <row r="17" spans="1:6" ht="11.25">
      <c r="A17" s="423"/>
      <c r="B17" s="424"/>
      <c r="C17" s="443"/>
      <c r="D17" s="424"/>
      <c r="E17" s="424"/>
      <c r="F17" s="425"/>
    </row>
    <row r="18" spans="1:6" ht="12.75">
      <c r="A18" s="426"/>
      <c r="B18" s="427"/>
      <c r="C18" s="444"/>
      <c r="D18" s="428"/>
      <c r="E18" s="428"/>
      <c r="F18" s="429"/>
    </row>
    <row r="19" spans="1:6" ht="15.75">
      <c r="A19" s="445"/>
      <c r="B19" s="315" t="s">
        <v>55</v>
      </c>
      <c r="C19" s="446"/>
      <c r="D19" s="447"/>
      <c r="E19" s="447"/>
      <c r="F19" s="431"/>
    </row>
    <row r="20" spans="1:6" s="1147" customFormat="1" ht="15.75">
      <c r="A20" s="793">
        <v>1</v>
      </c>
      <c r="B20" s="315" t="s">
        <v>56</v>
      </c>
      <c r="C20" s="1143">
        <v>338697.16</v>
      </c>
      <c r="D20" s="1144">
        <v>0.7706</v>
      </c>
      <c r="E20" s="1145">
        <f>+D20*C20</f>
        <v>261000.03149599995</v>
      </c>
      <c r="F20" s="1146">
        <f>-E20</f>
        <v>-261000.03149599995</v>
      </c>
    </row>
    <row r="21" spans="1:6" s="1147" customFormat="1" ht="15.75">
      <c r="A21" s="793">
        <v>2</v>
      </c>
      <c r="B21" s="315" t="s">
        <v>57</v>
      </c>
      <c r="C21" s="1143">
        <v>13537</v>
      </c>
      <c r="D21" s="1144">
        <v>0.7706</v>
      </c>
      <c r="E21" s="1145">
        <f>ROUND(+C21*D21,2)</f>
        <v>10431.61</v>
      </c>
      <c r="F21" s="1146">
        <f>-E21</f>
        <v>-10431.61</v>
      </c>
    </row>
    <row r="22" spans="1:6" ht="15.75">
      <c r="A22" s="234"/>
      <c r="B22" s="315"/>
      <c r="C22" s="446"/>
      <c r="D22" s="447"/>
      <c r="E22" s="1148"/>
      <c r="F22" s="277"/>
    </row>
    <row r="23" spans="1:8" ht="15.75">
      <c r="A23" s="234"/>
      <c r="B23" s="315" t="s">
        <v>58</v>
      </c>
      <c r="C23" s="1149"/>
      <c r="E23" s="1148"/>
      <c r="F23" s="277"/>
      <c r="H23" s="448"/>
    </row>
    <row r="24" spans="1:8" ht="15.75">
      <c r="A24" s="234">
        <v>3</v>
      </c>
      <c r="B24" s="315" t="s">
        <v>59</v>
      </c>
      <c r="C24" s="446">
        <v>1436748.71</v>
      </c>
      <c r="D24" s="449">
        <v>0.7706</v>
      </c>
      <c r="E24" s="1148">
        <f>ROUND(+C24*D24,2)</f>
        <v>1107158.56</v>
      </c>
      <c r="F24" s="277">
        <f>-E24</f>
        <v>-1107158.56</v>
      </c>
      <c r="H24" s="448"/>
    </row>
    <row r="25" spans="1:8" ht="15.75">
      <c r="A25" s="234">
        <v>4</v>
      </c>
      <c r="B25" s="315" t="s">
        <v>57</v>
      </c>
      <c r="C25" s="446">
        <v>20723.1</v>
      </c>
      <c r="D25" s="449">
        <v>0.7706</v>
      </c>
      <c r="E25" s="1148">
        <f>ROUND(+C25*D25,2)</f>
        <v>15969.22</v>
      </c>
      <c r="F25" s="277">
        <f>-E25</f>
        <v>-15969.22</v>
      </c>
      <c r="H25" s="448"/>
    </row>
    <row r="26" spans="1:6" ht="14.25" customHeight="1">
      <c r="A26" s="234"/>
      <c r="B26" s="315"/>
      <c r="C26" s="446"/>
      <c r="D26" s="447"/>
      <c r="E26" s="1148"/>
      <c r="F26" s="277"/>
    </row>
    <row r="27" spans="1:6" ht="15.75">
      <c r="A27" s="445"/>
      <c r="B27" s="315" t="s">
        <v>60</v>
      </c>
      <c r="C27" s="451"/>
      <c r="D27" s="433"/>
      <c r="E27" s="546"/>
      <c r="F27" s="277"/>
    </row>
    <row r="28" spans="1:6" ht="15.75">
      <c r="A28" s="234">
        <v>5</v>
      </c>
      <c r="B28" s="315" t="s">
        <v>61</v>
      </c>
      <c r="C28" s="286">
        <v>926940</v>
      </c>
      <c r="D28" s="449">
        <v>0.7706</v>
      </c>
      <c r="E28" s="1148">
        <f>+D28*C28</f>
        <v>714299.9639999999</v>
      </c>
      <c r="F28" s="277">
        <f>-E28</f>
        <v>-714299.9639999999</v>
      </c>
    </row>
    <row r="29" spans="1:6" ht="15.75">
      <c r="A29" s="234">
        <v>6</v>
      </c>
      <c r="B29" s="315" t="s">
        <v>57</v>
      </c>
      <c r="C29" s="286">
        <v>45117.15</v>
      </c>
      <c r="D29" s="449">
        <v>0.7706</v>
      </c>
      <c r="E29" s="1148">
        <f>ROUND(+C29*D29,2)</f>
        <v>34767.28</v>
      </c>
      <c r="F29" s="277">
        <f>-E29</f>
        <v>-34767.28</v>
      </c>
    </row>
    <row r="30" spans="1:6" ht="15.75">
      <c r="A30" s="234"/>
      <c r="B30" s="315"/>
      <c r="C30" s="451"/>
      <c r="D30" s="433"/>
      <c r="E30" s="433"/>
      <c r="F30" s="431"/>
    </row>
    <row r="31" spans="1:7" ht="18">
      <c r="A31" s="234">
        <v>7</v>
      </c>
      <c r="B31" s="316" t="s">
        <v>62</v>
      </c>
      <c r="C31" s="451"/>
      <c r="D31" s="433"/>
      <c r="E31" s="433"/>
      <c r="F31" s="317">
        <f>SUM(F20:F30)</f>
        <v>-2143626.6654959996</v>
      </c>
      <c r="G31" s="375" t="s">
        <v>295</v>
      </c>
    </row>
    <row r="32" spans="1:6" ht="18">
      <c r="A32" s="234"/>
      <c r="B32" s="428"/>
      <c r="C32" s="452"/>
      <c r="D32" s="435"/>
      <c r="E32" s="435"/>
      <c r="F32" s="431"/>
    </row>
    <row r="33" spans="1:6" ht="11.25">
      <c r="A33" s="436"/>
      <c r="B33" s="437"/>
      <c r="C33" s="453"/>
      <c r="D33" s="437"/>
      <c r="E33" s="437"/>
      <c r="F33" s="438"/>
    </row>
    <row r="35" ht="12.75">
      <c r="A35" s="363" t="s">
        <v>95</v>
      </c>
    </row>
    <row r="37" ht="15.75">
      <c r="A37" s="387" t="s">
        <v>1238</v>
      </c>
    </row>
    <row r="39" ht="15.75">
      <c r="A39" s="387"/>
    </row>
    <row r="40" spans="2:7" ht="12.75">
      <c r="B40" s="304"/>
      <c r="C40" s="306"/>
      <c r="D40" s="306"/>
      <c r="E40" s="304"/>
      <c r="F40" s="304"/>
      <c r="G40" s="307"/>
    </row>
    <row r="41" spans="1:8" ht="15.75">
      <c r="A41" s="305"/>
      <c r="B41" s="303"/>
      <c r="C41" s="308"/>
      <c r="D41" s="308"/>
      <c r="E41" s="309"/>
      <c r="F41" s="309"/>
      <c r="G41" s="309"/>
      <c r="H41" s="310"/>
    </row>
    <row r="42" spans="1:8" ht="15.75">
      <c r="A42" s="303"/>
      <c r="B42" s="305"/>
      <c r="C42" s="308"/>
      <c r="D42" s="308"/>
      <c r="E42" s="309"/>
      <c r="F42" s="309"/>
      <c r="G42" s="311"/>
      <c r="H42" s="312"/>
    </row>
    <row r="43" spans="1:8" ht="15.75">
      <c r="A43" s="303"/>
      <c r="B43" s="305"/>
      <c r="C43" s="308"/>
      <c r="D43" s="308"/>
      <c r="E43" s="309"/>
      <c r="F43" s="309"/>
      <c r="G43" s="309"/>
      <c r="H43" s="312"/>
    </row>
    <row r="44" spans="1:8" ht="18">
      <c r="A44" s="303"/>
      <c r="B44" s="303"/>
      <c r="C44" s="308"/>
      <c r="D44" s="308"/>
      <c r="E44" s="309"/>
      <c r="F44" s="309"/>
      <c r="G44" s="309"/>
      <c r="H44" s="313"/>
    </row>
  </sheetData>
  <printOptions/>
  <pageMargins left="0.75" right="0.75" top="1" bottom="1" header="0.5" footer="0.5"/>
  <pageSetup fitToHeight="1" fitToWidth="1" horizontalDpi="600" verticalDpi="600" orientation="portrait" scale="90" r:id="rId1"/>
</worksheet>
</file>

<file path=xl/worksheets/sheet7.xml><?xml version="1.0" encoding="utf-8"?>
<worksheet xmlns="http://schemas.openxmlformats.org/spreadsheetml/2006/main" xmlns:r="http://schemas.openxmlformats.org/officeDocument/2006/relationships">
  <sheetPr>
    <pageSetUpPr fitToPage="1"/>
  </sheetPr>
  <dimension ref="A1:G26"/>
  <sheetViews>
    <sheetView workbookViewId="0" topLeftCell="A1">
      <selection activeCell="D1" sqref="D1"/>
    </sheetView>
  </sheetViews>
  <sheetFormatPr defaultColWidth="9.33203125" defaultRowHeight="11.25"/>
  <cols>
    <col min="1" max="1" width="6" style="0" customWidth="1"/>
    <col min="2" max="2" width="65.5" style="0" bestFit="1" customWidth="1"/>
    <col min="4" max="4" width="15.5" style="0" customWidth="1"/>
    <col min="5" max="5" width="16.33203125" style="0" bestFit="1" customWidth="1"/>
    <col min="6" max="6" width="4" style="0" customWidth="1"/>
  </cols>
  <sheetData>
    <row r="1" spans="3:4" ht="15.75">
      <c r="C1" s="141"/>
      <c r="D1" s="367" t="s">
        <v>1522</v>
      </c>
    </row>
    <row r="2" spans="3:4" ht="15.75">
      <c r="C2" s="141"/>
      <c r="D2" s="141" t="s">
        <v>1177</v>
      </c>
    </row>
    <row r="3" spans="3:4" ht="15.75">
      <c r="C3" s="141"/>
      <c r="D3" s="367" t="s">
        <v>1180</v>
      </c>
    </row>
    <row r="4" ht="15.75">
      <c r="C4" s="141"/>
    </row>
    <row r="9" spans="1:6" ht="15.75">
      <c r="A9" s="141"/>
      <c r="B9" s="141"/>
      <c r="C9" s="141"/>
      <c r="D9" s="141"/>
      <c r="E9" s="141"/>
      <c r="F9" s="141"/>
    </row>
    <row r="10" spans="1:6" ht="15.75">
      <c r="A10" s="141"/>
      <c r="B10" s="141"/>
      <c r="C10" s="141"/>
      <c r="D10" s="141"/>
      <c r="E10" s="141"/>
      <c r="F10" s="141"/>
    </row>
    <row r="11" spans="1:6" ht="3" customHeight="1">
      <c r="A11" s="141"/>
      <c r="B11" s="141"/>
      <c r="C11" s="141"/>
      <c r="D11" s="141"/>
      <c r="E11" s="141"/>
      <c r="F11" s="141"/>
    </row>
    <row r="12" spans="1:5" s="395" customFormat="1" ht="15.75">
      <c r="A12" s="396"/>
      <c r="B12" s="397" t="s">
        <v>658</v>
      </c>
      <c r="C12" s="398"/>
      <c r="D12" s="399"/>
      <c r="E12" s="400"/>
    </row>
    <row r="13" spans="1:7" s="395" customFormat="1" ht="15.75">
      <c r="A13" s="601" t="s">
        <v>96</v>
      </c>
      <c r="B13" s="401"/>
      <c r="C13" s="402"/>
      <c r="D13" s="403"/>
      <c r="E13" s="404"/>
      <c r="G13" s="448"/>
    </row>
    <row r="14" spans="1:5" s="395" customFormat="1" ht="15.75">
      <c r="A14" s="405"/>
      <c r="B14" s="406" t="s">
        <v>659</v>
      </c>
      <c r="C14" s="407"/>
      <c r="D14" s="408"/>
      <c r="E14" s="409"/>
    </row>
    <row r="15" spans="1:5" s="395" customFormat="1" ht="15.75">
      <c r="A15" s="396"/>
      <c r="B15" s="397"/>
      <c r="C15" s="398"/>
      <c r="D15" s="399"/>
      <c r="E15" s="400"/>
    </row>
    <row r="16" spans="1:6" ht="15.75">
      <c r="A16" s="410" t="s">
        <v>1000</v>
      </c>
      <c r="B16" s="603"/>
      <c r="C16" s="603"/>
      <c r="D16" s="603"/>
      <c r="E16" s="604"/>
      <c r="F16" s="141"/>
    </row>
    <row r="17" spans="1:6" ht="20.25" customHeight="1">
      <c r="A17" s="415" t="s">
        <v>1006</v>
      </c>
      <c r="B17" s="606" t="s">
        <v>1007</v>
      </c>
      <c r="C17" s="606"/>
      <c r="D17" s="606" t="s">
        <v>1084</v>
      </c>
      <c r="E17" s="607" t="s">
        <v>1084</v>
      </c>
      <c r="F17" s="141"/>
    </row>
    <row r="18" spans="1:6" ht="15.75">
      <c r="A18" s="608"/>
      <c r="B18" s="652" t="s">
        <v>1338</v>
      </c>
      <c r="C18" s="652"/>
      <c r="D18" s="652" t="s">
        <v>1339</v>
      </c>
      <c r="E18" s="652" t="s">
        <v>1565</v>
      </c>
      <c r="F18" s="141"/>
    </row>
    <row r="19" spans="1:6" ht="25.5" customHeight="1">
      <c r="A19" s="610">
        <v>1</v>
      </c>
      <c r="B19" s="1122" t="s">
        <v>943</v>
      </c>
      <c r="C19" s="233"/>
      <c r="D19" s="554">
        <v>177654</v>
      </c>
      <c r="E19" s="233"/>
      <c r="F19" s="141"/>
    </row>
    <row r="20" spans="1:6" ht="25.5" customHeight="1">
      <c r="A20" s="610">
        <v>2</v>
      </c>
      <c r="B20" s="1123" t="s">
        <v>398</v>
      </c>
      <c r="C20" s="235"/>
      <c r="D20" s="552">
        <v>10907</v>
      </c>
      <c r="E20" s="236"/>
      <c r="F20" s="141"/>
    </row>
    <row r="21" spans="1:6" ht="24.75" customHeight="1" thickBot="1">
      <c r="A21" s="610">
        <v>3</v>
      </c>
      <c r="B21" s="1122" t="s">
        <v>997</v>
      </c>
      <c r="C21" s="379"/>
      <c r="D21" s="1150"/>
      <c r="E21" s="614">
        <f>+D19+D20</f>
        <v>188561</v>
      </c>
      <c r="F21" s="375" t="s">
        <v>295</v>
      </c>
    </row>
    <row r="22" spans="1:6" ht="16.5" thickTop="1">
      <c r="A22" s="279"/>
      <c r="B22" s="235"/>
      <c r="C22" s="235"/>
      <c r="D22" s="235"/>
      <c r="E22" s="235"/>
      <c r="F22" s="141"/>
    </row>
    <row r="23" spans="1:6" ht="15.75">
      <c r="A23" s="141"/>
      <c r="B23" s="141"/>
      <c r="C23" s="141"/>
      <c r="D23" s="141"/>
      <c r="E23" s="141"/>
      <c r="F23" s="141"/>
    </row>
    <row r="24" spans="1:6" ht="15.75">
      <c r="A24" s="141"/>
      <c r="B24" s="141"/>
      <c r="C24" s="141"/>
      <c r="D24" s="141"/>
      <c r="E24" s="141"/>
      <c r="F24" s="141"/>
    </row>
    <row r="26" ht="15.75">
      <c r="A26" s="387" t="s">
        <v>1181</v>
      </c>
    </row>
  </sheetData>
  <printOptions/>
  <pageMargins left="0.75" right="0.75" top="1" bottom="1" header="0.5" footer="0.5"/>
  <pageSetup fitToHeight="1" fitToWidth="1" horizontalDpi="600" verticalDpi="600" orientation="portrait" scale="99" r:id="rId1"/>
</worksheet>
</file>

<file path=xl/worksheets/sheet8.xml><?xml version="1.0" encoding="utf-8"?>
<worksheet xmlns="http://schemas.openxmlformats.org/spreadsheetml/2006/main" xmlns:r="http://schemas.openxmlformats.org/officeDocument/2006/relationships">
  <sheetPr>
    <pageSetUpPr fitToPage="1"/>
  </sheetPr>
  <dimension ref="A1:H37"/>
  <sheetViews>
    <sheetView workbookViewId="0" topLeftCell="A1">
      <selection activeCell="E1" sqref="E1"/>
    </sheetView>
  </sheetViews>
  <sheetFormatPr defaultColWidth="9.33203125" defaultRowHeight="11.25"/>
  <cols>
    <col min="1" max="1" width="5.16015625" style="395" customWidth="1"/>
    <col min="2" max="2" width="47" style="395" customWidth="1"/>
    <col min="3" max="3" width="9.33203125" style="395" customWidth="1"/>
    <col min="4" max="4" width="16" style="395" bestFit="1" customWidth="1"/>
    <col min="5" max="5" width="16.33203125" style="395" bestFit="1" customWidth="1"/>
    <col min="6" max="6" width="13.83203125" style="395" customWidth="1"/>
    <col min="7" max="7" width="13.5" style="395" customWidth="1"/>
    <col min="8" max="16384" width="9.33203125" style="395" customWidth="1"/>
  </cols>
  <sheetData>
    <row r="1" ht="15.75">
      <c r="E1" s="367" t="s">
        <v>1522</v>
      </c>
    </row>
    <row r="2" ht="15.75">
      <c r="E2" s="141" t="s">
        <v>1177</v>
      </c>
    </row>
    <row r="3" ht="15.75">
      <c r="E3" s="367" t="s">
        <v>1182</v>
      </c>
    </row>
    <row r="8" spans="1:5" ht="15.75">
      <c r="A8" s="396" t="s">
        <v>658</v>
      </c>
      <c r="B8" s="397"/>
      <c r="C8" s="398"/>
      <c r="D8" s="399"/>
      <c r="E8" s="400"/>
    </row>
    <row r="9" spans="1:5" ht="15.75">
      <c r="A9" s="601" t="s">
        <v>99</v>
      </c>
      <c r="B9" s="401"/>
      <c r="C9" s="402"/>
      <c r="D9" s="403"/>
      <c r="E9" s="404"/>
    </row>
    <row r="10" spans="1:5" ht="15.75">
      <c r="A10" s="1142" t="s">
        <v>659</v>
      </c>
      <c r="B10" s="406"/>
      <c r="C10" s="407"/>
      <c r="D10" s="408"/>
      <c r="E10" s="409"/>
    </row>
    <row r="11" spans="1:5" ht="15.75">
      <c r="A11" s="410" t="s">
        <v>1000</v>
      </c>
      <c r="B11" s="411"/>
      <c r="C11" s="412"/>
      <c r="D11" s="413"/>
      <c r="E11" s="414"/>
    </row>
    <row r="12" spans="1:5" ht="15.75">
      <c r="A12" s="415" t="s">
        <v>1006</v>
      </c>
      <c r="B12" s="416" t="s">
        <v>1007</v>
      </c>
      <c r="D12" s="417" t="s">
        <v>1084</v>
      </c>
      <c r="E12" s="418" t="s">
        <v>1084</v>
      </c>
    </row>
    <row r="13" spans="1:5" ht="15.75">
      <c r="A13" s="419"/>
      <c r="B13" s="420" t="s">
        <v>1012</v>
      </c>
      <c r="D13" s="421" t="s">
        <v>1013</v>
      </c>
      <c r="E13" s="421" t="s">
        <v>1014</v>
      </c>
    </row>
    <row r="14" spans="1:5" ht="11.25">
      <c r="A14" s="423"/>
      <c r="B14" s="424"/>
      <c r="C14" s="423"/>
      <c r="D14" s="424"/>
      <c r="E14" s="425"/>
    </row>
    <row r="15" spans="1:5" ht="15.75">
      <c r="A15" s="793">
        <v>1</v>
      </c>
      <c r="B15" s="315" t="s">
        <v>100</v>
      </c>
      <c r="C15" s="426"/>
      <c r="D15" s="318">
        <v>2788927</v>
      </c>
      <c r="E15" s="429"/>
    </row>
    <row r="16" spans="1:5" ht="15.75">
      <c r="A16" s="793">
        <v>2</v>
      </c>
      <c r="B16" s="315" t="s">
        <v>101</v>
      </c>
      <c r="C16" s="430"/>
      <c r="D16" s="318">
        <v>2701953</v>
      </c>
      <c r="E16" s="431"/>
    </row>
    <row r="17" spans="1:6" ht="16.5" thickBot="1">
      <c r="A17" s="793">
        <v>3</v>
      </c>
      <c r="B17" s="316" t="s">
        <v>1073</v>
      </c>
      <c r="C17" s="432"/>
      <c r="D17" s="433"/>
      <c r="E17" s="1155">
        <f>+D15-D16</f>
        <v>86974</v>
      </c>
      <c r="F17" s="375" t="s">
        <v>295</v>
      </c>
    </row>
    <row r="18" spans="1:5" ht="16.5" thickTop="1">
      <c r="A18" s="426"/>
      <c r="B18" s="316"/>
      <c r="C18" s="432"/>
      <c r="D18" s="433"/>
      <c r="E18" s="318"/>
    </row>
    <row r="19" spans="1:5" ht="15.75" hidden="1">
      <c r="A19" s="426"/>
      <c r="B19" s="427" t="s">
        <v>376</v>
      </c>
      <c r="C19" s="432"/>
      <c r="D19" s="433"/>
      <c r="E19" s="318"/>
    </row>
    <row r="20" spans="1:5" ht="15.75" hidden="1">
      <c r="A20" s="793">
        <v>3</v>
      </c>
      <c r="B20" s="315" t="s">
        <v>53</v>
      </c>
      <c r="C20" s="432"/>
      <c r="D20" s="318">
        <v>123315</v>
      </c>
      <c r="E20" s="318"/>
    </row>
    <row r="21" spans="1:5" ht="15.75" hidden="1">
      <c r="A21" s="793">
        <v>4</v>
      </c>
      <c r="B21" s="316" t="s">
        <v>375</v>
      </c>
      <c r="C21" s="432"/>
      <c r="D21" s="433"/>
      <c r="E21" s="318">
        <f>-D20</f>
        <v>-123315</v>
      </c>
    </row>
    <row r="22" spans="1:5" ht="18" hidden="1">
      <c r="A22" s="426"/>
      <c r="B22" s="316"/>
      <c r="C22" s="432"/>
      <c r="D22" s="433"/>
      <c r="E22" s="317"/>
    </row>
    <row r="23" spans="1:5" ht="18" hidden="1">
      <c r="A23" s="793">
        <v>5</v>
      </c>
      <c r="B23" s="433" t="s">
        <v>997</v>
      </c>
      <c r="C23" s="434"/>
      <c r="D23" s="435"/>
      <c r="E23" s="317">
        <f>SUM(E17:E21)</f>
        <v>-36341</v>
      </c>
    </row>
    <row r="24" spans="1:5" ht="11.25">
      <c r="A24" s="436"/>
      <c r="B24" s="437"/>
      <c r="C24" s="436"/>
      <c r="D24" s="437"/>
      <c r="E24" s="438"/>
    </row>
    <row r="25" spans="1:8" ht="18.75">
      <c r="A25" s="300"/>
      <c r="B25" s="300"/>
      <c r="C25" s="300"/>
      <c r="D25" s="300"/>
      <c r="E25" s="300"/>
      <c r="F25" s="300"/>
      <c r="G25" s="300"/>
      <c r="H25" s="300"/>
    </row>
    <row r="26" spans="2:8" ht="18.75">
      <c r="B26" s="301"/>
      <c r="C26" s="301"/>
      <c r="D26" s="301"/>
      <c r="E26" s="301"/>
      <c r="F26" s="301"/>
      <c r="G26" s="301"/>
      <c r="H26" s="301"/>
    </row>
    <row r="27" spans="1:8" ht="15.75">
      <c r="A27" s="302"/>
      <c r="B27" s="302"/>
      <c r="C27" s="302"/>
      <c r="D27" s="302"/>
      <c r="E27" s="302"/>
      <c r="F27" s="302"/>
      <c r="G27" s="302"/>
      <c r="H27" s="302"/>
    </row>
    <row r="28" spans="1:8" ht="15.75">
      <c r="A28" s="387" t="s">
        <v>1183</v>
      </c>
      <c r="B28" s="303"/>
      <c r="C28" s="303"/>
      <c r="D28" s="303"/>
      <c r="E28" s="303"/>
      <c r="F28" s="303"/>
      <c r="G28" s="303"/>
      <c r="H28" s="303"/>
    </row>
    <row r="29" spans="1:8" ht="12.75">
      <c r="A29" s="304" t="s">
        <v>458</v>
      </c>
      <c r="B29" s="304"/>
      <c r="C29" s="304"/>
      <c r="D29" s="304"/>
      <c r="E29" s="304"/>
      <c r="F29" s="304"/>
      <c r="G29" s="304"/>
      <c r="H29" s="304"/>
    </row>
    <row r="30" spans="1:8" ht="12.75">
      <c r="A30" s="304"/>
      <c r="B30" s="303"/>
      <c r="C30" s="304"/>
      <c r="D30" s="304"/>
      <c r="E30" s="304"/>
      <c r="F30" s="304"/>
      <c r="G30" s="304"/>
      <c r="H30" s="304"/>
    </row>
    <row r="31" spans="1:8" ht="12.75">
      <c r="A31" s="305"/>
      <c r="B31" s="304"/>
      <c r="C31" s="306"/>
      <c r="D31" s="304"/>
      <c r="E31" s="304"/>
      <c r="F31" s="304"/>
      <c r="G31" s="307"/>
      <c r="H31" s="304"/>
    </row>
    <row r="32" spans="1:8" ht="12.75">
      <c r="A32" s="305"/>
      <c r="B32" s="304"/>
      <c r="C32" s="306"/>
      <c r="D32" s="304"/>
      <c r="E32" s="304"/>
      <c r="F32" s="304"/>
      <c r="G32" s="307"/>
      <c r="H32" s="304"/>
    </row>
    <row r="33" spans="1:8" ht="15.75">
      <c r="A33" s="303"/>
      <c r="B33" s="303"/>
      <c r="D33" s="309"/>
      <c r="E33" s="309"/>
      <c r="F33" s="309"/>
      <c r="H33" s="304"/>
    </row>
    <row r="34" spans="1:8" ht="15.75">
      <c r="A34" s="303"/>
      <c r="B34" s="303"/>
      <c r="C34" s="309"/>
      <c r="D34" s="309"/>
      <c r="E34" s="309"/>
      <c r="F34" s="311"/>
      <c r="G34" s="312"/>
      <c r="H34" s="304"/>
    </row>
    <row r="35" spans="1:8" ht="15.75">
      <c r="A35" s="303"/>
      <c r="B35" s="305"/>
      <c r="C35" s="308"/>
      <c r="D35" s="309"/>
      <c r="E35" s="309"/>
      <c r="F35" s="309"/>
      <c r="G35" s="312"/>
      <c r="H35" s="304"/>
    </row>
    <row r="36" spans="1:8" ht="18">
      <c r="A36" s="303"/>
      <c r="B36" s="303"/>
      <c r="D36" s="309"/>
      <c r="E36" s="309"/>
      <c r="F36" s="309"/>
      <c r="G36" s="313"/>
      <c r="H36" s="304"/>
    </row>
    <row r="37" spans="1:8" ht="12.75">
      <c r="A37" s="305"/>
      <c r="B37" s="306"/>
      <c r="C37" s="306"/>
      <c r="D37" s="304"/>
      <c r="E37" s="304"/>
      <c r="F37" s="304"/>
      <c r="G37" s="304"/>
      <c r="H37" s="304"/>
    </row>
  </sheetData>
  <printOptions/>
  <pageMargins left="0.75" right="0.75" top="1" bottom="1" header="0.5" footer="0.5"/>
  <pageSetup fitToHeight="1" fitToWidth="1" horizontalDpi="600" verticalDpi="600" orientation="portrait" scale="89" r:id="rId1"/>
</worksheet>
</file>

<file path=xl/worksheets/sheet9.xml><?xml version="1.0" encoding="utf-8"?>
<worksheet xmlns="http://schemas.openxmlformats.org/spreadsheetml/2006/main" xmlns:r="http://schemas.openxmlformats.org/officeDocument/2006/relationships">
  <sheetPr>
    <pageSetUpPr fitToPage="1"/>
  </sheetPr>
  <dimension ref="A1:J103"/>
  <sheetViews>
    <sheetView workbookViewId="0" topLeftCell="A1">
      <selection activeCell="E1" sqref="E1"/>
    </sheetView>
  </sheetViews>
  <sheetFormatPr defaultColWidth="9.33203125" defaultRowHeight="11.25"/>
  <cols>
    <col min="1" max="1" width="6.83203125" style="141" customWidth="1"/>
    <col min="2" max="2" width="33.16015625" style="141" customWidth="1"/>
    <col min="3" max="3" width="27.66015625" style="141" customWidth="1"/>
    <col min="4" max="4" width="5.83203125" style="141" customWidth="1"/>
    <col min="5" max="5" width="25.66015625" style="141" customWidth="1"/>
    <col min="6" max="6" width="3.16015625" style="141" bestFit="1" customWidth="1"/>
    <col min="7" max="7" width="3.33203125" style="141" customWidth="1"/>
    <col min="8" max="9" width="9.33203125" style="141" customWidth="1"/>
    <col min="10" max="10" width="15" style="141" customWidth="1"/>
    <col min="11" max="16384" width="9.33203125" style="141" customWidth="1"/>
  </cols>
  <sheetData>
    <row r="1" spans="5:7" ht="15.75">
      <c r="E1" s="367" t="s">
        <v>1522</v>
      </c>
      <c r="G1"/>
    </row>
    <row r="2" spans="5:7" ht="15.75">
      <c r="E2" s="141" t="s">
        <v>1177</v>
      </c>
      <c r="G2" s="368"/>
    </row>
    <row r="3" spans="5:7" ht="15.75">
      <c r="E3" s="367" t="s">
        <v>1184</v>
      </c>
      <c r="G3" s="368"/>
    </row>
    <row r="4" ht="15.75">
      <c r="G4" s="368"/>
    </row>
    <row r="7" spans="1:7" ht="15.75">
      <c r="A7" s="1238" t="s">
        <v>97</v>
      </c>
      <c r="B7" s="1239"/>
      <c r="C7" s="1239"/>
      <c r="D7" s="1239"/>
      <c r="E7" s="1239"/>
      <c r="F7" s="1240"/>
      <c r="G7" s="369"/>
    </row>
    <row r="8" spans="1:7" s="211" customFormat="1" ht="18.75">
      <c r="A8" s="1235" t="s">
        <v>98</v>
      </c>
      <c r="B8" s="1236"/>
      <c r="C8" s="1236"/>
      <c r="D8" s="1236"/>
      <c r="E8" s="1236"/>
      <c r="F8" s="1237"/>
      <c r="G8" s="370"/>
    </row>
    <row r="9" spans="1:6" ht="15.75">
      <c r="A9" s="405" t="s">
        <v>659</v>
      </c>
      <c r="B9" s="406"/>
      <c r="C9" s="407"/>
      <c r="D9" s="408"/>
      <c r="E9" s="408"/>
      <c r="F9" s="1151"/>
    </row>
    <row r="10" spans="1:8" ht="15.75">
      <c r="A10" s="233"/>
      <c r="B10" s="371"/>
      <c r="C10" s="230" t="s">
        <v>382</v>
      </c>
      <c r="D10" s="233"/>
      <c r="E10" s="233"/>
      <c r="F10" s="1152"/>
      <c r="G10" s="372"/>
      <c r="H10" s="274"/>
    </row>
    <row r="11" spans="1:8" ht="15.75">
      <c r="A11" s="236" t="s">
        <v>1000</v>
      </c>
      <c r="B11" s="373"/>
      <c r="C11" s="374" t="s">
        <v>301</v>
      </c>
      <c r="D11" s="237"/>
      <c r="E11" s="237" t="s">
        <v>1002</v>
      </c>
      <c r="F11" s="1153"/>
      <c r="G11" s="274"/>
      <c r="H11" s="274"/>
    </row>
    <row r="12" spans="1:8" ht="15.75">
      <c r="A12" s="231" t="s">
        <v>1006</v>
      </c>
      <c r="B12" s="231" t="s">
        <v>1007</v>
      </c>
      <c r="C12" s="376" t="s">
        <v>303</v>
      </c>
      <c r="D12" s="377"/>
      <c r="E12" s="376" t="s">
        <v>1073</v>
      </c>
      <c r="F12" s="1153"/>
      <c r="G12" s="274"/>
      <c r="H12" s="274"/>
    </row>
    <row r="13" spans="1:8" ht="15.75">
      <c r="A13" s="379"/>
      <c r="B13" s="380" t="s">
        <v>1012</v>
      </c>
      <c r="C13" s="381" t="s">
        <v>1013</v>
      </c>
      <c r="D13" s="380"/>
      <c r="E13" s="380" t="s">
        <v>1014</v>
      </c>
      <c r="F13" s="1153"/>
      <c r="G13" s="274"/>
      <c r="H13" s="274"/>
    </row>
    <row r="14" spans="1:8" ht="15.75">
      <c r="A14" s="234">
        <v>1</v>
      </c>
      <c r="B14" s="236" t="s">
        <v>304</v>
      </c>
      <c r="C14" s="546">
        <v>52134</v>
      </c>
      <c r="D14" s="382"/>
      <c r="E14" s="546">
        <f>-C14</f>
        <v>-52134</v>
      </c>
      <c r="F14" s="1153"/>
      <c r="G14" s="274"/>
      <c r="H14" s="274"/>
    </row>
    <row r="15" spans="1:8" ht="15.75">
      <c r="A15" s="234">
        <v>2</v>
      </c>
      <c r="B15" s="236" t="s">
        <v>305</v>
      </c>
      <c r="C15" s="546">
        <v>374324</v>
      </c>
      <c r="D15" s="382"/>
      <c r="E15" s="546">
        <f>-C15</f>
        <v>-374324</v>
      </c>
      <c r="F15" s="1153"/>
      <c r="G15" s="274"/>
      <c r="H15" s="274"/>
    </row>
    <row r="16" spans="1:8" ht="15.75">
      <c r="A16" s="234">
        <v>3</v>
      </c>
      <c r="B16" s="236" t="s">
        <v>306</v>
      </c>
      <c r="C16" s="546">
        <v>32963</v>
      </c>
      <c r="D16" s="382"/>
      <c r="E16" s="546">
        <f>-C16</f>
        <v>-32963</v>
      </c>
      <c r="F16" s="1153"/>
      <c r="G16" s="274"/>
      <c r="H16" s="274"/>
    </row>
    <row r="17" spans="1:8" ht="15.75">
      <c r="A17" s="234">
        <v>4</v>
      </c>
      <c r="B17" s="236" t="s">
        <v>307</v>
      </c>
      <c r="C17" s="552">
        <v>35581</v>
      </c>
      <c r="D17" s="382"/>
      <c r="E17" s="552">
        <f>-C17</f>
        <v>-35581</v>
      </c>
      <c r="F17" s="1153"/>
      <c r="G17" s="274"/>
      <c r="H17" s="274"/>
    </row>
    <row r="18" spans="1:10" ht="15.75">
      <c r="A18" s="236"/>
      <c r="B18" s="236"/>
      <c r="C18" s="238"/>
      <c r="D18" s="383"/>
      <c r="E18" s="238"/>
      <c r="F18" s="1153"/>
      <c r="G18" s="274"/>
      <c r="H18" s="274"/>
      <c r="J18" s="384"/>
    </row>
    <row r="19" spans="1:8" ht="16.5" thickBot="1">
      <c r="A19" s="234">
        <v>5</v>
      </c>
      <c r="B19" s="236" t="s">
        <v>997</v>
      </c>
      <c r="C19" s="1119">
        <f>SUM(C14:C18)</f>
        <v>495002</v>
      </c>
      <c r="D19" s="383"/>
      <c r="E19" s="1120">
        <f>SUM(E14:E18)</f>
        <v>-495002</v>
      </c>
      <c r="F19" s="1153" t="s">
        <v>295</v>
      </c>
      <c r="G19" s="274"/>
      <c r="H19" s="274"/>
    </row>
    <row r="20" spans="1:8" ht="6" customHeight="1" thickTop="1">
      <c r="A20" s="235"/>
      <c r="B20" s="235"/>
      <c r="C20" s="378"/>
      <c r="D20" s="377"/>
      <c r="E20" s="378"/>
      <c r="F20" s="1154"/>
      <c r="G20" s="274"/>
      <c r="H20" s="274"/>
    </row>
    <row r="21" spans="2:8" ht="15.75">
      <c r="B21" s="274"/>
      <c r="C21" s="276"/>
      <c r="D21" s="385"/>
      <c r="E21" s="276"/>
      <c r="F21" s="274"/>
      <c r="G21" s="274"/>
      <c r="H21" s="274"/>
    </row>
    <row r="22" spans="3:8" ht="15.75">
      <c r="C22" s="276"/>
      <c r="D22" s="386"/>
      <c r="E22" s="276"/>
      <c r="F22" s="274"/>
      <c r="G22" s="274"/>
      <c r="H22" s="274"/>
    </row>
    <row r="23" spans="2:8" ht="15.75">
      <c r="B23" s="274"/>
      <c r="C23" s="276"/>
      <c r="D23" s="385"/>
      <c r="E23" s="276"/>
      <c r="F23" s="274"/>
      <c r="G23" s="274"/>
      <c r="H23" s="274"/>
    </row>
    <row r="24" spans="1:8" s="395" customFormat="1" ht="15.75">
      <c r="A24" s="387" t="s">
        <v>1237</v>
      </c>
      <c r="B24" s="303"/>
      <c r="C24" s="303"/>
      <c r="D24" s="303"/>
      <c r="E24" s="303"/>
      <c r="F24" s="303"/>
      <c r="G24" s="303"/>
      <c r="H24" s="303"/>
    </row>
    <row r="25" spans="2:8" ht="15.75">
      <c r="B25" s="274"/>
      <c r="C25" s="276"/>
      <c r="D25" s="385"/>
      <c r="E25" s="276"/>
      <c r="F25" s="274"/>
      <c r="G25" s="274"/>
      <c r="H25" s="274"/>
    </row>
    <row r="26" spans="2:8" ht="15.75">
      <c r="B26" s="274"/>
      <c r="C26" s="276"/>
      <c r="D26" s="385"/>
      <c r="E26" s="276"/>
      <c r="F26" s="274"/>
      <c r="G26" s="274"/>
      <c r="H26" s="274"/>
    </row>
    <row r="27" spans="2:8" ht="15.75">
      <c r="B27" s="274"/>
      <c r="C27" s="276"/>
      <c r="D27" s="385"/>
      <c r="E27" s="388"/>
      <c r="F27" s="274"/>
      <c r="G27" s="274"/>
      <c r="H27" s="274"/>
    </row>
    <row r="28" spans="2:8" ht="15.75">
      <c r="B28" s="274"/>
      <c r="C28" s="276"/>
      <c r="D28" s="385"/>
      <c r="E28" s="276"/>
      <c r="F28" s="274"/>
      <c r="G28" s="274"/>
      <c r="H28" s="274"/>
    </row>
    <row r="29" spans="2:8" ht="15.75">
      <c r="B29" s="389"/>
      <c r="C29" s="276"/>
      <c r="D29" s="385"/>
      <c r="E29" s="276"/>
      <c r="F29" s="274"/>
      <c r="G29" s="274"/>
      <c r="H29" s="274"/>
    </row>
    <row r="30" spans="2:8" ht="15.75">
      <c r="B30" s="274"/>
      <c r="C30" s="276"/>
      <c r="D30" s="385"/>
      <c r="E30" s="276"/>
      <c r="F30" s="274"/>
      <c r="G30" s="274"/>
      <c r="H30" s="274"/>
    </row>
    <row r="31" spans="2:8" ht="15.75">
      <c r="B31" s="274"/>
      <c r="C31" s="276"/>
      <c r="D31" s="385"/>
      <c r="E31" s="276"/>
      <c r="F31" s="274"/>
      <c r="G31" s="274"/>
      <c r="H31" s="274"/>
    </row>
    <row r="32" spans="2:8" ht="15.75">
      <c r="B32" s="274"/>
      <c r="C32" s="276"/>
      <c r="D32" s="386"/>
      <c r="E32" s="276"/>
      <c r="F32" s="274"/>
      <c r="G32" s="274"/>
      <c r="H32" s="274"/>
    </row>
    <row r="33" spans="2:8" ht="15.75">
      <c r="B33" s="274"/>
      <c r="C33" s="276"/>
      <c r="D33" s="385"/>
      <c r="E33" s="276"/>
      <c r="F33" s="274"/>
      <c r="G33" s="274"/>
      <c r="H33" s="274"/>
    </row>
    <row r="34" spans="2:8" ht="15.75">
      <c r="B34" s="389"/>
      <c r="C34" s="276"/>
      <c r="D34" s="385"/>
      <c r="E34" s="276"/>
      <c r="F34" s="274"/>
      <c r="G34" s="274"/>
      <c r="H34" s="274"/>
    </row>
    <row r="35" spans="2:8" ht="15.75">
      <c r="B35" s="274"/>
      <c r="C35" s="276"/>
      <c r="D35" s="385"/>
      <c r="E35" s="276"/>
      <c r="F35" s="274"/>
      <c r="G35" s="274"/>
      <c r="H35" s="274"/>
    </row>
    <row r="36" spans="2:8" ht="15.75">
      <c r="B36" s="274"/>
      <c r="C36" s="276"/>
      <c r="D36" s="385"/>
      <c r="E36" s="276"/>
      <c r="F36" s="274"/>
      <c r="G36" s="274"/>
      <c r="H36" s="274"/>
    </row>
    <row r="37" spans="2:8" ht="15.75">
      <c r="B37" s="274"/>
      <c r="C37" s="276"/>
      <c r="D37" s="386"/>
      <c r="E37" s="276"/>
      <c r="F37" s="274"/>
      <c r="G37" s="274"/>
      <c r="H37" s="274"/>
    </row>
    <row r="38" spans="2:8" ht="15.75">
      <c r="B38" s="274"/>
      <c r="C38" s="274"/>
      <c r="D38" s="274"/>
      <c r="E38" s="274"/>
      <c r="F38" s="274"/>
      <c r="G38" s="274"/>
      <c r="H38" s="274"/>
    </row>
    <row r="39" spans="2:8" ht="15.75">
      <c r="B39" s="274"/>
      <c r="C39" s="388"/>
      <c r="D39" s="274"/>
      <c r="E39" s="388"/>
      <c r="F39" s="274"/>
      <c r="G39" s="274"/>
      <c r="H39" s="274"/>
    </row>
    <row r="40" spans="2:8" ht="15.75">
      <c r="B40" s="274"/>
      <c r="C40" s="274"/>
      <c r="D40" s="274"/>
      <c r="E40" s="274"/>
      <c r="F40" s="274"/>
      <c r="G40" s="274"/>
      <c r="H40" s="274"/>
    </row>
    <row r="41" spans="2:8" ht="15.75">
      <c r="B41" s="274"/>
      <c r="C41" s="274"/>
      <c r="D41" s="274"/>
      <c r="E41" s="274"/>
      <c r="F41" s="274"/>
      <c r="G41" s="274"/>
      <c r="H41" s="274"/>
    </row>
    <row r="42" spans="2:8" ht="15.75">
      <c r="B42" s="274"/>
      <c r="C42" s="274"/>
      <c r="D42" s="274"/>
      <c r="E42" s="274"/>
      <c r="F42" s="274"/>
      <c r="G42" s="274"/>
      <c r="H42" s="274"/>
    </row>
    <row r="43" spans="2:8" ht="15.75">
      <c r="B43" s="274"/>
      <c r="C43" s="274"/>
      <c r="D43" s="274"/>
      <c r="E43" s="274"/>
      <c r="F43" s="274"/>
      <c r="G43" s="274"/>
      <c r="H43" s="274"/>
    </row>
    <row r="44" spans="2:8" ht="15.75">
      <c r="B44" s="274"/>
      <c r="C44" s="274"/>
      <c r="D44" s="274"/>
      <c r="E44" s="274"/>
      <c r="F44" s="274"/>
      <c r="G44" s="274"/>
      <c r="H44" s="274"/>
    </row>
    <row r="45" spans="2:8" ht="15.75">
      <c r="B45" s="390"/>
      <c r="C45" s="243"/>
      <c r="D45" s="243"/>
      <c r="E45" s="243"/>
      <c r="F45" s="274"/>
      <c r="G45" s="274"/>
      <c r="H45" s="274"/>
    </row>
    <row r="46" spans="2:8" ht="15.75">
      <c r="B46" s="243"/>
      <c r="C46" s="243"/>
      <c r="D46" s="243"/>
      <c r="E46" s="243"/>
      <c r="F46" s="274"/>
      <c r="G46" s="274"/>
      <c r="H46" s="274"/>
    </row>
    <row r="47" spans="2:8" ht="15.75">
      <c r="B47" s="274"/>
      <c r="C47" s="274"/>
      <c r="D47" s="274"/>
      <c r="E47" s="274"/>
      <c r="F47" s="274"/>
      <c r="G47" s="274"/>
      <c r="H47" s="274"/>
    </row>
    <row r="48" spans="2:8" ht="15.75">
      <c r="B48" s="274"/>
      <c r="C48" s="274"/>
      <c r="D48" s="274"/>
      <c r="E48" s="274"/>
      <c r="F48" s="274"/>
      <c r="G48" s="274"/>
      <c r="H48" s="274"/>
    </row>
    <row r="49" spans="2:8" ht="15.75">
      <c r="B49" s="274"/>
      <c r="C49" s="274"/>
      <c r="D49" s="274"/>
      <c r="E49" s="274"/>
      <c r="F49" s="274"/>
      <c r="G49" s="274"/>
      <c r="H49" s="274"/>
    </row>
    <row r="50" spans="2:8" ht="15.75">
      <c r="B50" s="274"/>
      <c r="C50" s="274"/>
      <c r="D50" s="274"/>
      <c r="E50" s="274"/>
      <c r="F50" s="274"/>
      <c r="G50" s="274"/>
      <c r="H50" s="274"/>
    </row>
    <row r="51" spans="2:8" ht="15.75">
      <c r="B51" s="274"/>
      <c r="C51" s="274"/>
      <c r="D51" s="274"/>
      <c r="E51" s="274"/>
      <c r="F51" s="274"/>
      <c r="G51" s="274"/>
      <c r="H51" s="274"/>
    </row>
    <row r="52" spans="2:8" ht="15.75">
      <c r="B52" s="274"/>
      <c r="C52" s="274"/>
      <c r="D52" s="274"/>
      <c r="E52" s="274"/>
      <c r="F52" s="274"/>
      <c r="G52" s="274"/>
      <c r="H52" s="274"/>
    </row>
    <row r="53" spans="2:8" ht="15.75">
      <c r="B53" s="274"/>
      <c r="C53" s="274"/>
      <c r="D53" s="274"/>
      <c r="E53" s="274"/>
      <c r="F53" s="274"/>
      <c r="G53" s="274"/>
      <c r="H53" s="274"/>
    </row>
    <row r="54" spans="2:8" ht="15.75">
      <c r="B54" s="274"/>
      <c r="C54" s="274"/>
      <c r="D54" s="274"/>
      <c r="E54" s="274"/>
      <c r="F54" s="274"/>
      <c r="G54" s="274"/>
      <c r="H54" s="274"/>
    </row>
    <row r="55" spans="2:8" ht="15.75">
      <c r="B55" s="274"/>
      <c r="C55" s="274"/>
      <c r="D55" s="274"/>
      <c r="E55" s="274"/>
      <c r="F55" s="274"/>
      <c r="G55" s="274"/>
      <c r="H55" s="274"/>
    </row>
    <row r="56" spans="2:8" ht="15.75">
      <c r="B56" s="274"/>
      <c r="C56" s="274"/>
      <c r="D56" s="274"/>
      <c r="E56" s="274"/>
      <c r="F56" s="274"/>
      <c r="G56" s="274"/>
      <c r="H56" s="274"/>
    </row>
    <row r="57" spans="2:8" ht="15.75">
      <c r="B57" s="274"/>
      <c r="C57" s="274"/>
      <c r="D57" s="274"/>
      <c r="E57" s="274"/>
      <c r="F57" s="274"/>
      <c r="G57" s="274"/>
      <c r="H57" s="274"/>
    </row>
    <row r="58" spans="2:8" ht="15.75">
      <c r="B58" s="274"/>
      <c r="C58" s="274"/>
      <c r="D58" s="274"/>
      <c r="E58" s="274"/>
      <c r="F58" s="274"/>
      <c r="G58" s="274"/>
      <c r="H58" s="274"/>
    </row>
    <row r="59" spans="2:8" ht="15.75">
      <c r="B59" s="274"/>
      <c r="C59" s="274"/>
      <c r="D59" s="274"/>
      <c r="E59" s="274"/>
      <c r="F59" s="274"/>
      <c r="G59" s="274"/>
      <c r="H59" s="274"/>
    </row>
    <row r="60" spans="2:8" ht="15.75">
      <c r="B60" s="274"/>
      <c r="C60" s="274"/>
      <c r="D60" s="274"/>
      <c r="E60" s="274"/>
      <c r="F60" s="274"/>
      <c r="G60" s="274"/>
      <c r="H60" s="274"/>
    </row>
    <row r="61" spans="2:8" ht="15.75">
      <c r="B61" s="274"/>
      <c r="C61" s="274"/>
      <c r="D61" s="274"/>
      <c r="E61" s="274"/>
      <c r="F61" s="274"/>
      <c r="G61" s="274"/>
      <c r="H61" s="274"/>
    </row>
    <row r="62" spans="2:8" ht="15.75">
      <c r="B62" s="274"/>
      <c r="C62" s="274"/>
      <c r="D62" s="274"/>
      <c r="E62" s="274"/>
      <c r="F62" s="274"/>
      <c r="G62" s="274"/>
      <c r="H62" s="274"/>
    </row>
    <row r="63" spans="2:8" ht="15.75">
      <c r="B63" s="274"/>
      <c r="C63" s="274"/>
      <c r="D63" s="274"/>
      <c r="E63" s="274"/>
      <c r="F63" s="274"/>
      <c r="G63" s="274"/>
      <c r="H63" s="274"/>
    </row>
    <row r="64" spans="2:8" ht="15.75">
      <c r="B64" s="274"/>
      <c r="C64" s="274"/>
      <c r="D64" s="274"/>
      <c r="E64" s="274"/>
      <c r="F64" s="274"/>
      <c r="G64" s="274"/>
      <c r="H64" s="274"/>
    </row>
    <row r="65" spans="2:8" ht="15.75">
      <c r="B65" s="274"/>
      <c r="C65" s="274"/>
      <c r="D65" s="274"/>
      <c r="E65" s="274"/>
      <c r="F65" s="274"/>
      <c r="G65" s="274"/>
      <c r="H65" s="274"/>
    </row>
    <row r="66" spans="2:8" ht="15.75">
      <c r="B66" s="274"/>
      <c r="C66" s="274"/>
      <c r="D66" s="274"/>
      <c r="E66" s="274"/>
      <c r="F66" s="274"/>
      <c r="G66" s="274"/>
      <c r="H66" s="274"/>
    </row>
    <row r="67" spans="2:8" ht="15.75">
      <c r="B67" s="274"/>
      <c r="C67" s="274"/>
      <c r="D67" s="274"/>
      <c r="E67" s="274"/>
      <c r="F67" s="274"/>
      <c r="G67" s="274"/>
      <c r="H67" s="274"/>
    </row>
    <row r="68" spans="2:8" ht="15.75">
      <c r="B68" s="274"/>
      <c r="C68" s="274"/>
      <c r="D68" s="274"/>
      <c r="E68" s="274"/>
      <c r="F68" s="274"/>
      <c r="G68" s="274"/>
      <c r="H68" s="274"/>
    </row>
    <row r="69" spans="2:8" ht="15.75">
      <c r="B69" s="274"/>
      <c r="C69" s="274"/>
      <c r="D69" s="274"/>
      <c r="E69" s="274"/>
      <c r="F69" s="274"/>
      <c r="G69" s="274"/>
      <c r="H69" s="274"/>
    </row>
    <row r="70" spans="2:8" ht="15.75">
      <c r="B70" s="274"/>
      <c r="C70" s="274"/>
      <c r="D70" s="274"/>
      <c r="E70" s="274"/>
      <c r="F70" s="274"/>
      <c r="G70" s="274"/>
      <c r="H70" s="274"/>
    </row>
    <row r="71" spans="2:8" ht="15.75">
      <c r="B71" s="274"/>
      <c r="C71" s="274"/>
      <c r="D71" s="274"/>
      <c r="E71" s="274"/>
      <c r="F71" s="274"/>
      <c r="G71" s="274"/>
      <c r="H71" s="274"/>
    </row>
    <row r="72" spans="2:8" ht="15.75">
      <c r="B72" s="274"/>
      <c r="C72" s="274"/>
      <c r="D72" s="274"/>
      <c r="E72" s="274"/>
      <c r="F72" s="274"/>
      <c r="G72" s="274"/>
      <c r="H72" s="274"/>
    </row>
    <row r="73" spans="2:8" ht="15.75">
      <c r="B73" s="274"/>
      <c r="C73" s="274"/>
      <c r="D73" s="274"/>
      <c r="E73" s="274"/>
      <c r="F73" s="274"/>
      <c r="G73" s="274"/>
      <c r="H73" s="274"/>
    </row>
    <row r="74" spans="2:8" ht="15.75">
      <c r="B74" s="274"/>
      <c r="C74" s="274"/>
      <c r="D74" s="274"/>
      <c r="E74" s="274"/>
      <c r="F74" s="274"/>
      <c r="G74" s="274"/>
      <c r="H74" s="274"/>
    </row>
    <row r="75" spans="2:8" ht="15.75">
      <c r="B75" s="274"/>
      <c r="C75" s="274"/>
      <c r="D75" s="274"/>
      <c r="E75" s="274"/>
      <c r="F75" s="274"/>
      <c r="G75" s="274"/>
      <c r="H75" s="274"/>
    </row>
    <row r="76" spans="2:8" ht="15.75">
      <c r="B76" s="274"/>
      <c r="C76" s="274"/>
      <c r="D76" s="274"/>
      <c r="E76" s="274"/>
      <c r="F76" s="274"/>
      <c r="G76" s="274"/>
      <c r="H76" s="274"/>
    </row>
    <row r="77" spans="2:8" ht="15.75">
      <c r="B77" s="274"/>
      <c r="C77" s="274"/>
      <c r="D77" s="274"/>
      <c r="E77" s="274"/>
      <c r="F77" s="274"/>
      <c r="G77" s="274"/>
      <c r="H77" s="274"/>
    </row>
    <row r="78" spans="2:8" ht="15.75">
      <c r="B78" s="274"/>
      <c r="C78" s="274"/>
      <c r="D78" s="274"/>
      <c r="E78" s="274"/>
      <c r="F78" s="274"/>
      <c r="G78" s="274"/>
      <c r="H78" s="274"/>
    </row>
    <row r="79" spans="2:8" ht="15.75">
      <c r="B79" s="274"/>
      <c r="C79" s="274"/>
      <c r="D79" s="274"/>
      <c r="E79" s="274"/>
      <c r="F79" s="274"/>
      <c r="G79" s="274"/>
      <c r="H79" s="274"/>
    </row>
    <row r="80" spans="2:8" ht="15.75">
      <c r="B80" s="274"/>
      <c r="C80" s="274"/>
      <c r="D80" s="274"/>
      <c r="E80" s="274"/>
      <c r="F80" s="274"/>
      <c r="G80" s="274"/>
      <c r="H80" s="274"/>
    </row>
    <row r="81" spans="2:8" ht="15.75">
      <c r="B81" s="274"/>
      <c r="C81" s="274"/>
      <c r="D81" s="274"/>
      <c r="E81" s="274"/>
      <c r="F81" s="274"/>
      <c r="G81" s="274"/>
      <c r="H81" s="274"/>
    </row>
    <row r="82" spans="2:8" ht="15.75">
      <c r="B82" s="274"/>
      <c r="C82" s="274"/>
      <c r="D82" s="274"/>
      <c r="E82" s="274"/>
      <c r="F82" s="274"/>
      <c r="G82" s="274"/>
      <c r="H82" s="274"/>
    </row>
    <row r="83" spans="2:8" ht="15.75">
      <c r="B83" s="274"/>
      <c r="C83" s="274"/>
      <c r="D83" s="274"/>
      <c r="E83" s="274"/>
      <c r="F83" s="274"/>
      <c r="G83" s="274"/>
      <c r="H83" s="274"/>
    </row>
    <row r="84" spans="2:8" ht="15.75">
      <c r="B84" s="274"/>
      <c r="C84" s="274"/>
      <c r="D84" s="274"/>
      <c r="E84" s="274"/>
      <c r="F84" s="274"/>
      <c r="G84" s="274"/>
      <c r="H84" s="274"/>
    </row>
    <row r="85" spans="2:8" ht="15.75">
      <c r="B85" s="274"/>
      <c r="C85" s="274"/>
      <c r="D85" s="274"/>
      <c r="E85" s="274"/>
      <c r="F85" s="274"/>
      <c r="G85" s="274"/>
      <c r="H85" s="274"/>
    </row>
    <row r="86" spans="2:8" ht="15.75">
      <c r="B86" s="274"/>
      <c r="C86" s="274"/>
      <c r="D86" s="274"/>
      <c r="E86" s="274"/>
      <c r="F86" s="274"/>
      <c r="G86" s="274"/>
      <c r="H86" s="274"/>
    </row>
    <row r="87" spans="2:8" ht="15.75">
      <c r="B87" s="274"/>
      <c r="C87" s="274"/>
      <c r="D87" s="274"/>
      <c r="E87" s="274"/>
      <c r="F87" s="274"/>
      <c r="G87" s="274"/>
      <c r="H87" s="274"/>
    </row>
    <row r="88" spans="2:8" ht="15.75">
      <c r="B88" s="274"/>
      <c r="C88" s="274"/>
      <c r="D88" s="274"/>
      <c r="E88" s="274"/>
      <c r="F88" s="274"/>
      <c r="G88" s="274"/>
      <c r="H88" s="274"/>
    </row>
    <row r="89" spans="2:8" ht="15.75">
      <c r="B89" s="274"/>
      <c r="C89" s="274"/>
      <c r="D89" s="274"/>
      <c r="E89" s="274"/>
      <c r="F89" s="274"/>
      <c r="G89" s="274"/>
      <c r="H89" s="274"/>
    </row>
    <row r="90" spans="2:8" ht="15.75">
      <c r="B90" s="274"/>
      <c r="C90" s="274"/>
      <c r="D90" s="274"/>
      <c r="E90" s="274"/>
      <c r="F90" s="274"/>
      <c r="G90" s="274"/>
      <c r="H90" s="274"/>
    </row>
    <row r="91" spans="2:8" ht="15.75">
      <c r="B91" s="274"/>
      <c r="C91" s="274"/>
      <c r="D91" s="274"/>
      <c r="E91" s="274"/>
      <c r="F91" s="274"/>
      <c r="G91" s="274"/>
      <c r="H91" s="274"/>
    </row>
    <row r="92" spans="2:8" ht="15.75">
      <c r="B92" s="274"/>
      <c r="C92" s="274"/>
      <c r="D92" s="274"/>
      <c r="E92" s="274"/>
      <c r="F92" s="274"/>
      <c r="G92" s="274"/>
      <c r="H92" s="274"/>
    </row>
    <row r="93" spans="2:8" ht="15.75">
      <c r="B93" s="274"/>
      <c r="C93" s="274"/>
      <c r="D93" s="274"/>
      <c r="E93" s="274"/>
      <c r="F93" s="274"/>
      <c r="G93" s="274"/>
      <c r="H93" s="274"/>
    </row>
    <row r="94" spans="2:8" ht="15.75">
      <c r="B94" s="274"/>
      <c r="C94" s="274"/>
      <c r="D94" s="274"/>
      <c r="E94" s="274"/>
      <c r="F94" s="274"/>
      <c r="G94" s="274"/>
      <c r="H94" s="274"/>
    </row>
    <row r="95" spans="2:8" ht="15.75">
      <c r="B95" s="274"/>
      <c r="C95" s="274"/>
      <c r="D95" s="274"/>
      <c r="E95" s="274"/>
      <c r="F95" s="274"/>
      <c r="G95" s="274"/>
      <c r="H95" s="274"/>
    </row>
    <row r="96" spans="2:8" ht="15.75">
      <c r="B96" s="274"/>
      <c r="C96" s="274"/>
      <c r="D96" s="274"/>
      <c r="E96" s="274"/>
      <c r="F96" s="274"/>
      <c r="G96" s="274"/>
      <c r="H96" s="274"/>
    </row>
    <row r="97" spans="2:8" ht="15.75">
      <c r="B97" s="274"/>
      <c r="C97" s="274"/>
      <c r="D97" s="274"/>
      <c r="E97" s="274"/>
      <c r="F97" s="274"/>
      <c r="G97" s="274"/>
      <c r="H97" s="274"/>
    </row>
    <row r="98" spans="2:8" ht="15.75">
      <c r="B98" s="274"/>
      <c r="C98" s="274"/>
      <c r="D98" s="274"/>
      <c r="E98" s="274"/>
      <c r="F98" s="274"/>
      <c r="G98" s="274"/>
      <c r="H98" s="274"/>
    </row>
    <row r="99" spans="2:8" ht="15.75">
      <c r="B99" s="274"/>
      <c r="C99" s="274"/>
      <c r="D99" s="274"/>
      <c r="E99" s="274"/>
      <c r="F99" s="274"/>
      <c r="G99" s="274"/>
      <c r="H99" s="274"/>
    </row>
    <row r="100" spans="2:8" ht="15.75">
      <c r="B100" s="274"/>
      <c r="C100" s="274"/>
      <c r="D100" s="274"/>
      <c r="E100" s="274"/>
      <c r="F100" s="274"/>
      <c r="G100" s="274"/>
      <c r="H100" s="274"/>
    </row>
    <row r="101" spans="2:8" ht="15.75">
      <c r="B101" s="274"/>
      <c r="C101" s="274"/>
      <c r="D101" s="274"/>
      <c r="E101" s="274"/>
      <c r="F101" s="274"/>
      <c r="G101" s="274"/>
      <c r="H101" s="274"/>
    </row>
    <row r="102" spans="2:8" ht="15.75">
      <c r="B102" s="274"/>
      <c r="C102" s="274"/>
      <c r="D102" s="274"/>
      <c r="E102" s="274"/>
      <c r="F102" s="274"/>
      <c r="G102" s="274"/>
      <c r="H102" s="274"/>
    </row>
    <row r="103" spans="2:8" ht="15.75">
      <c r="B103" s="274"/>
      <c r="C103" s="274"/>
      <c r="D103" s="274"/>
      <c r="E103" s="274"/>
      <c r="F103" s="274"/>
      <c r="G103" s="274"/>
      <c r="H103" s="274"/>
    </row>
  </sheetData>
  <mergeCells count="2">
    <mergeCell ref="A8:F8"/>
    <mergeCell ref="A7:F7"/>
  </mergeCells>
  <printOptions/>
  <pageMargins left="0.75" right="0.75" top="1" bottom="1" header="0.5" footer="0.5"/>
  <pageSetup fitToHeight="1" fitToWidth="1" horizontalDpi="600" verticalDpi="600" orientation="portrait"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1994 rate case</dc:title>
  <dc:subject/>
  <dc:creator>Jon Stoltz</dc:creator>
  <cp:keywords/>
  <dc:description/>
  <cp:lastModifiedBy>Talia Wilson</cp:lastModifiedBy>
  <cp:lastPrinted>2006-08-15T16:08:28Z</cp:lastPrinted>
  <dcterms:created xsi:type="dcterms:W3CDTF">1997-11-06T19:37:30Z</dcterms:created>
  <dcterms:modified xsi:type="dcterms:W3CDTF">2006-08-15T17:23:34Z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Testimony</vt:lpwstr>
  </property>
  <property fmtid="{D5CDD505-2E9C-101B-9397-08002B2CF9AE}" pid="4" name="IsHighlyConfidenti">
    <vt:lpwstr>0</vt:lpwstr>
  </property>
  <property fmtid="{D5CDD505-2E9C-101B-9397-08002B2CF9AE}" pid="5" name="DocketNumb">
    <vt:lpwstr>060256</vt:lpwstr>
  </property>
  <property fmtid="{D5CDD505-2E9C-101B-9397-08002B2CF9AE}" pid="6" name="IsConfidenti">
    <vt:lpwstr>0</vt:lpwstr>
  </property>
  <property fmtid="{D5CDD505-2E9C-101B-9397-08002B2CF9AE}" pid="7" name="Dat">
    <vt:lpwstr>2006-08-15T00:00:00Z</vt:lpwstr>
  </property>
  <property fmtid="{D5CDD505-2E9C-101B-9397-08002B2CF9AE}" pid="8" name="CaseTy">
    <vt:lpwstr>Tariff Revision</vt:lpwstr>
  </property>
  <property fmtid="{D5CDD505-2E9C-101B-9397-08002B2CF9AE}" pid="9" name="OpenedDa">
    <vt:lpwstr>2006-02-14T00:00:00Z</vt:lpwstr>
  </property>
  <property fmtid="{D5CDD505-2E9C-101B-9397-08002B2CF9AE}" pid="10" name="Pref">
    <vt:lpwstr>UG</vt:lpwstr>
  </property>
  <property fmtid="{D5CDD505-2E9C-101B-9397-08002B2CF9AE}" pid="11" name="CaseCompanyNam">
    <vt:lpwstr>Cascade Natural Gas Corporation</vt:lpwstr>
  </property>
  <property fmtid="{D5CDD505-2E9C-101B-9397-08002B2CF9AE}" pid="12" name="IndustryCo">
    <vt:lpwstr>150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