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customProperty2.bin" ContentType="application/vnd.openxmlformats-officedocument.spreadsheetml.customProperty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3.bin" ContentType="application/vnd.openxmlformats-officedocument.spreadsheetml.customProperty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3\TO FILE 2023 CBR WP\"/>
    </mc:Choice>
  </mc:AlternateContent>
  <bookViews>
    <workbookView xWindow="0" yWindow="0" windowWidth="28800" windowHeight="11868" tabRatio="835"/>
  </bookViews>
  <sheets>
    <sheet name="G Lead Sheet" sheetId="21" r:id="rId1"/>
    <sheet name="Weather Adj. For CBR" sheetId="22" r:id="rId2"/>
    <sheet name="Weather Adj. Volumes" sheetId="23" r:id="rId3"/>
  </sheets>
  <externalReferences>
    <externalReference r:id="rId4"/>
  </externalReferences>
  <definedNames>
    <definedName name="ee" localSheetId="0" hidden="1">{#N/A,#N/A,FALSE,"Month ";#N/A,#N/A,FALSE,"YTD";#N/A,#N/A,FALSE,"12 mo ended"}</definedName>
    <definedName name="ee" hidden="1">{#N/A,#N/A,FALSE,"Month ";#N/A,#N/A,FALSE,"YTD";#N/A,#N/A,FALSE,"12 mo ended"}</definedName>
    <definedName name="EPMWorkbookOptions_1" hidden="1">"hgEAAB+LCAAAAAAABACFkD9rwzAQR/dCv4PQHstuoUOwlaFdCg0uDbRZL/LZFnEkc7pE/vgVISn5M3R9vMePu3Ix7QZxQArWu0oWWS4FOuMb67pK7rmdFS9yoR8fyh9P243323rkpAaROhfmU7CV7JnHuVIxxiw+Z5469ZTnhVovP1amxx3MrAsMzqD8q5r/K5lWhSi/sCUMfe3qEZ1uYQhYqmt49F4HBHoDhtqt4IBn8xYf3fMtn+QZDWOj"</definedName>
    <definedName name="EPMWorkbookOptions_2" hidden="1">"mfZJvufXemy0gRGnCzOenPfwDWRhM+ASqUvlaf+Op1eqm1/qX0N0MeyGAQAA"</definedName>
    <definedName name="fdasfdas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0" hidden="1">{#N/A,#N/A,FALSE,"Month ";#N/A,#N/A,FALSE,"YTD";#N/A,#N/A,FALSE,"12 mo ended"}</definedName>
    <definedName name="fdsafdasfdsa" hidden="1">{#N/A,#N/A,FALSE,"Month ";#N/A,#N/A,FALSE,"YTD";#N/A,#N/A,FALSE,"12 mo ended"}</definedName>
    <definedName name="k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p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e" localSheetId="0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MARGIN_WO_QTR." localSheetId="0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y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 concurrentManualCount="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21" l="1"/>
  <c r="D42" i="21"/>
  <c r="D41" i="21"/>
  <c r="E34" i="21" l="1"/>
  <c r="E33" i="21"/>
  <c r="E32" i="21"/>
  <c r="E31" i="21"/>
  <c r="E30" i="21"/>
  <c r="D27" i="21"/>
  <c r="D26" i="21"/>
  <c r="D25" i="21"/>
  <c r="D24" i="21"/>
  <c r="D23" i="21"/>
  <c r="D22" i="21"/>
  <c r="D21" i="21"/>
  <c r="D20" i="21"/>
  <c r="D19" i="21"/>
  <c r="D18" i="21"/>
  <c r="D17" i="21"/>
  <c r="D16" i="21"/>
  <c r="C27" i="21"/>
  <c r="C26" i="21"/>
  <c r="C25" i="21"/>
  <c r="C24" i="21"/>
  <c r="C23" i="21"/>
  <c r="C22" i="21"/>
  <c r="C21" i="21"/>
  <c r="C20" i="21"/>
  <c r="C19" i="21"/>
  <c r="C18" i="21"/>
  <c r="C17" i="21"/>
  <c r="C16" i="21"/>
  <c r="L243" i="23"/>
  <c r="F224" i="23"/>
  <c r="H220" i="23"/>
  <c r="D213" i="23"/>
  <c r="D214" i="23" s="1"/>
  <c r="O212" i="23"/>
  <c r="N212" i="23"/>
  <c r="M212" i="23"/>
  <c r="L212" i="23"/>
  <c r="K212" i="23"/>
  <c r="J212" i="23"/>
  <c r="I212" i="23"/>
  <c r="H212" i="23"/>
  <c r="P212" i="23" s="1"/>
  <c r="G212" i="23"/>
  <c r="F212" i="23"/>
  <c r="E212" i="23"/>
  <c r="D212" i="23"/>
  <c r="O211" i="23"/>
  <c r="N211" i="23"/>
  <c r="M211" i="23"/>
  <c r="L211" i="23"/>
  <c r="K211" i="23"/>
  <c r="J211" i="23"/>
  <c r="I211" i="23"/>
  <c r="H211" i="23"/>
  <c r="G211" i="23"/>
  <c r="F211" i="23"/>
  <c r="E211" i="23"/>
  <c r="P211" i="23" s="1"/>
  <c r="D211" i="23"/>
  <c r="O210" i="23"/>
  <c r="N210" i="23"/>
  <c r="M210" i="23"/>
  <c r="L210" i="23"/>
  <c r="K210" i="23"/>
  <c r="J210" i="23"/>
  <c r="P210" i="23" s="1"/>
  <c r="I210" i="23"/>
  <c r="H210" i="23"/>
  <c r="G210" i="23"/>
  <c r="F210" i="23"/>
  <c r="E210" i="23"/>
  <c r="D210" i="23"/>
  <c r="O209" i="23"/>
  <c r="N209" i="23"/>
  <c r="M209" i="23"/>
  <c r="L209" i="23"/>
  <c r="K209" i="23"/>
  <c r="J209" i="23"/>
  <c r="I209" i="23"/>
  <c r="H209" i="23"/>
  <c r="G209" i="23"/>
  <c r="P209" i="23" s="1"/>
  <c r="F209" i="23"/>
  <c r="E209" i="23"/>
  <c r="D209" i="23"/>
  <c r="O208" i="23"/>
  <c r="N208" i="23"/>
  <c r="M208" i="23"/>
  <c r="L208" i="23"/>
  <c r="L213" i="23" s="1"/>
  <c r="L214" i="23" s="1"/>
  <c r="K208" i="23"/>
  <c r="J208" i="23"/>
  <c r="I208" i="23"/>
  <c r="H208" i="23"/>
  <c r="G208" i="23"/>
  <c r="F208" i="23"/>
  <c r="E208" i="23"/>
  <c r="D208" i="23"/>
  <c r="P208" i="23" s="1"/>
  <c r="O207" i="23"/>
  <c r="N207" i="23"/>
  <c r="M207" i="23"/>
  <c r="L207" i="23"/>
  <c r="K207" i="23"/>
  <c r="J207" i="23"/>
  <c r="I207" i="23"/>
  <c r="P207" i="23" s="1"/>
  <c r="H207" i="23"/>
  <c r="G207" i="23"/>
  <c r="F207" i="23"/>
  <c r="E207" i="23"/>
  <c r="D207" i="23"/>
  <c r="O206" i="23"/>
  <c r="N206" i="23"/>
  <c r="N213" i="23" s="1"/>
  <c r="M206" i="23"/>
  <c r="L206" i="23"/>
  <c r="K206" i="23"/>
  <c r="J206" i="23"/>
  <c r="I206" i="23"/>
  <c r="H206" i="23"/>
  <c r="G206" i="23"/>
  <c r="F206" i="23"/>
  <c r="E206" i="23"/>
  <c r="D206" i="23"/>
  <c r="O205" i="23"/>
  <c r="N205" i="23"/>
  <c r="M205" i="23"/>
  <c r="L205" i="23"/>
  <c r="K205" i="23"/>
  <c r="J205" i="23"/>
  <c r="I205" i="23"/>
  <c r="H205" i="23"/>
  <c r="G205" i="23"/>
  <c r="F205" i="23"/>
  <c r="E205" i="23"/>
  <c r="D205" i="23"/>
  <c r="O204" i="23"/>
  <c r="N204" i="23"/>
  <c r="M204" i="23"/>
  <c r="L204" i="23"/>
  <c r="K204" i="23"/>
  <c r="J204" i="23"/>
  <c r="I204" i="23"/>
  <c r="H204" i="23"/>
  <c r="H213" i="23" s="1"/>
  <c r="G204" i="23"/>
  <c r="F204" i="23"/>
  <c r="E204" i="23"/>
  <c r="D204" i="23"/>
  <c r="O203" i="23"/>
  <c r="N203" i="23"/>
  <c r="M203" i="23"/>
  <c r="L203" i="23"/>
  <c r="K203" i="23"/>
  <c r="J203" i="23"/>
  <c r="I203" i="23"/>
  <c r="H203" i="23"/>
  <c r="G203" i="23"/>
  <c r="F203" i="23"/>
  <c r="E203" i="23"/>
  <c r="D203" i="23"/>
  <c r="P202" i="23"/>
  <c r="O202" i="23"/>
  <c r="N202" i="23"/>
  <c r="M202" i="23"/>
  <c r="L202" i="23"/>
  <c r="K202" i="23"/>
  <c r="J202" i="23"/>
  <c r="I202" i="23"/>
  <c r="H202" i="23"/>
  <c r="G202" i="23"/>
  <c r="F202" i="23"/>
  <c r="E202" i="23"/>
  <c r="D202" i="23"/>
  <c r="O201" i="23"/>
  <c r="N201" i="23"/>
  <c r="M201" i="23"/>
  <c r="L201" i="23"/>
  <c r="K201" i="23"/>
  <c r="J201" i="23"/>
  <c r="I201" i="23"/>
  <c r="H201" i="23"/>
  <c r="G201" i="23"/>
  <c r="F201" i="23"/>
  <c r="E201" i="23"/>
  <c r="D201" i="23"/>
  <c r="P200" i="23"/>
  <c r="O200" i="23"/>
  <c r="N200" i="23"/>
  <c r="M200" i="23"/>
  <c r="L200" i="23"/>
  <c r="K200" i="23"/>
  <c r="J200" i="23"/>
  <c r="I200" i="23"/>
  <c r="H200" i="23"/>
  <c r="G200" i="23"/>
  <c r="F200" i="23"/>
  <c r="E200" i="23"/>
  <c r="D200" i="23"/>
  <c r="O199" i="23"/>
  <c r="N199" i="23"/>
  <c r="M199" i="23"/>
  <c r="L199" i="23"/>
  <c r="K199" i="23"/>
  <c r="J199" i="23"/>
  <c r="I199" i="23"/>
  <c r="P199" i="23" s="1"/>
  <c r="H199" i="23"/>
  <c r="G199" i="23"/>
  <c r="F199" i="23"/>
  <c r="E199" i="23"/>
  <c r="D199" i="23"/>
  <c r="L192" i="23"/>
  <c r="L227" i="23" s="1"/>
  <c r="D192" i="23"/>
  <c r="D227" i="23" s="1"/>
  <c r="P185" i="23"/>
  <c r="G184" i="23"/>
  <c r="G220" i="23" s="1"/>
  <c r="L180" i="23"/>
  <c r="D180" i="23"/>
  <c r="P173" i="23"/>
  <c r="P170" i="23"/>
  <c r="P166" i="23"/>
  <c r="P165" i="23"/>
  <c r="P161" i="23"/>
  <c r="N155" i="23"/>
  <c r="O150" i="23"/>
  <c r="O174" i="23" s="1"/>
  <c r="G149" i="23"/>
  <c r="G172" i="23" s="1"/>
  <c r="O140" i="23"/>
  <c r="G140" i="23"/>
  <c r="O139" i="23"/>
  <c r="N139" i="23"/>
  <c r="M139" i="23"/>
  <c r="L139" i="23"/>
  <c r="K139" i="23"/>
  <c r="J139" i="23"/>
  <c r="I139" i="23"/>
  <c r="H139" i="23"/>
  <c r="G139" i="23"/>
  <c r="F139" i="23"/>
  <c r="E139" i="23"/>
  <c r="D139" i="23"/>
  <c r="P139" i="23" s="1"/>
  <c r="O138" i="23"/>
  <c r="O192" i="23" s="1"/>
  <c r="O227" i="23" s="1"/>
  <c r="N138" i="23"/>
  <c r="M138" i="23"/>
  <c r="L138" i="23"/>
  <c r="K138" i="23"/>
  <c r="J138" i="23"/>
  <c r="I138" i="23"/>
  <c r="H138" i="23"/>
  <c r="G138" i="23"/>
  <c r="G192" i="23" s="1"/>
  <c r="G227" i="23" s="1"/>
  <c r="F138" i="23"/>
  <c r="E138" i="23"/>
  <c r="D138" i="23"/>
  <c r="O137" i="23"/>
  <c r="N137" i="23"/>
  <c r="M137" i="23"/>
  <c r="L137" i="23"/>
  <c r="K137" i="23"/>
  <c r="J137" i="23"/>
  <c r="I137" i="23"/>
  <c r="H137" i="23"/>
  <c r="G137" i="23"/>
  <c r="F137" i="23"/>
  <c r="E137" i="23"/>
  <c r="D137" i="23"/>
  <c r="O136" i="23"/>
  <c r="N136" i="23"/>
  <c r="M136" i="23"/>
  <c r="L136" i="23"/>
  <c r="K136" i="23"/>
  <c r="J136" i="23"/>
  <c r="I136" i="23"/>
  <c r="H136" i="23"/>
  <c r="G136" i="23"/>
  <c r="F136" i="23"/>
  <c r="E136" i="23"/>
  <c r="D136" i="23"/>
  <c r="O135" i="23"/>
  <c r="N135" i="23"/>
  <c r="M135" i="23"/>
  <c r="L135" i="23"/>
  <c r="K135" i="23"/>
  <c r="J135" i="23"/>
  <c r="I135" i="23"/>
  <c r="H135" i="23"/>
  <c r="P135" i="23" s="1"/>
  <c r="G135" i="23"/>
  <c r="F135" i="23"/>
  <c r="E135" i="23"/>
  <c r="D135" i="23"/>
  <c r="C135" i="23"/>
  <c r="O244" i="23" s="1"/>
  <c r="B135" i="23"/>
  <c r="O134" i="23"/>
  <c r="N134" i="23"/>
  <c r="M134" i="23"/>
  <c r="L134" i="23"/>
  <c r="K134" i="23"/>
  <c r="J134" i="23"/>
  <c r="I134" i="23"/>
  <c r="H134" i="23"/>
  <c r="G134" i="23"/>
  <c r="F134" i="23"/>
  <c r="E134" i="23"/>
  <c r="D134" i="23"/>
  <c r="C134" i="23"/>
  <c r="B134" i="23"/>
  <c r="O133" i="23"/>
  <c r="N133" i="23"/>
  <c r="M133" i="23"/>
  <c r="L133" i="23"/>
  <c r="K133" i="23"/>
  <c r="J133" i="23"/>
  <c r="I133" i="23"/>
  <c r="H133" i="23"/>
  <c r="G133" i="23"/>
  <c r="F133" i="23"/>
  <c r="E133" i="23"/>
  <c r="D133" i="23"/>
  <c r="C133" i="23"/>
  <c r="B133" i="23"/>
  <c r="O132" i="23"/>
  <c r="N132" i="23"/>
  <c r="M132" i="23"/>
  <c r="L132" i="23"/>
  <c r="K132" i="23"/>
  <c r="J132" i="23"/>
  <c r="I132" i="23"/>
  <c r="H132" i="23"/>
  <c r="H192" i="23" s="1"/>
  <c r="H227" i="23" s="1"/>
  <c r="G132" i="23"/>
  <c r="F132" i="23"/>
  <c r="E132" i="23"/>
  <c r="P132" i="23" s="1"/>
  <c r="D132" i="23"/>
  <c r="O131" i="23"/>
  <c r="O189" i="23" s="1"/>
  <c r="O224" i="23" s="1"/>
  <c r="N131" i="23"/>
  <c r="N189" i="23" s="1"/>
  <c r="N224" i="23" s="1"/>
  <c r="M131" i="23"/>
  <c r="M189" i="23" s="1"/>
  <c r="M224" i="23" s="1"/>
  <c r="L131" i="23"/>
  <c r="L189" i="23" s="1"/>
  <c r="L224" i="23" s="1"/>
  <c r="K131" i="23"/>
  <c r="K189" i="23" s="1"/>
  <c r="K224" i="23" s="1"/>
  <c r="J131" i="23"/>
  <c r="J189" i="23" s="1"/>
  <c r="J224" i="23" s="1"/>
  <c r="I131" i="23"/>
  <c r="I189" i="23" s="1"/>
  <c r="I224" i="23" s="1"/>
  <c r="H131" i="23"/>
  <c r="H189" i="23" s="1"/>
  <c r="H224" i="23" s="1"/>
  <c r="G131" i="23"/>
  <c r="G189" i="23" s="1"/>
  <c r="G224" i="23" s="1"/>
  <c r="F131" i="23"/>
  <c r="F189" i="23" s="1"/>
  <c r="E131" i="23"/>
  <c r="E189" i="23" s="1"/>
  <c r="E224" i="23" s="1"/>
  <c r="D131" i="23"/>
  <c r="D189" i="23" s="1"/>
  <c r="O130" i="23"/>
  <c r="O184" i="23" s="1"/>
  <c r="O220" i="23" s="1"/>
  <c r="N130" i="23"/>
  <c r="N184" i="23" s="1"/>
  <c r="N220" i="23" s="1"/>
  <c r="M130" i="23"/>
  <c r="M184" i="23" s="1"/>
  <c r="M220" i="23" s="1"/>
  <c r="L130" i="23"/>
  <c r="L184" i="23" s="1"/>
  <c r="L220" i="23" s="1"/>
  <c r="K130" i="23"/>
  <c r="K184" i="23" s="1"/>
  <c r="K220" i="23" s="1"/>
  <c r="J130" i="23"/>
  <c r="J184" i="23" s="1"/>
  <c r="J220" i="23" s="1"/>
  <c r="I130" i="23"/>
  <c r="I184" i="23" s="1"/>
  <c r="I220" i="23" s="1"/>
  <c r="H130" i="23"/>
  <c r="H184" i="23" s="1"/>
  <c r="G130" i="23"/>
  <c r="F130" i="23"/>
  <c r="F184" i="23" s="1"/>
  <c r="F220" i="23" s="1"/>
  <c r="E130" i="23"/>
  <c r="E184" i="23" s="1"/>
  <c r="E220" i="23" s="1"/>
  <c r="D130" i="23"/>
  <c r="D184" i="23" s="1"/>
  <c r="O129" i="23"/>
  <c r="N129" i="23"/>
  <c r="M129" i="23"/>
  <c r="L129" i="23"/>
  <c r="K129" i="23"/>
  <c r="J129" i="23"/>
  <c r="J140" i="23" s="1"/>
  <c r="I129" i="23"/>
  <c r="H129" i="23"/>
  <c r="P129" i="23" s="1"/>
  <c r="G129" i="23"/>
  <c r="F129" i="23"/>
  <c r="E129" i="23"/>
  <c r="D129" i="23"/>
  <c r="C129" i="23"/>
  <c r="B129" i="23"/>
  <c r="O128" i="23"/>
  <c r="O180" i="23" s="1"/>
  <c r="N128" i="23"/>
  <c r="M128" i="23"/>
  <c r="M180" i="23" s="1"/>
  <c r="L128" i="23"/>
  <c r="L140" i="23" s="1"/>
  <c r="K128" i="23"/>
  <c r="J128" i="23"/>
  <c r="J180" i="23" s="1"/>
  <c r="I128" i="23"/>
  <c r="H128" i="23"/>
  <c r="H180" i="23" s="1"/>
  <c r="G128" i="23"/>
  <c r="G180" i="23" s="1"/>
  <c r="F128" i="23"/>
  <c r="F180" i="23" s="1"/>
  <c r="E128" i="23"/>
  <c r="E180" i="23" s="1"/>
  <c r="D128" i="23"/>
  <c r="D140" i="23" s="1"/>
  <c r="L122" i="23"/>
  <c r="I122" i="23"/>
  <c r="I121" i="23"/>
  <c r="I187" i="23" s="1"/>
  <c r="I222" i="23" s="1"/>
  <c r="D121" i="23"/>
  <c r="N120" i="23"/>
  <c r="I120" i="23"/>
  <c r="N119" i="23"/>
  <c r="H119" i="23"/>
  <c r="F119" i="23"/>
  <c r="O115" i="23"/>
  <c r="O114" i="23"/>
  <c r="O181" i="23" s="1"/>
  <c r="G114" i="23"/>
  <c r="G126" i="23" s="1"/>
  <c r="G142" i="23" s="1"/>
  <c r="G253" i="23" s="1"/>
  <c r="N111" i="23"/>
  <c r="N125" i="23" s="1"/>
  <c r="F111" i="23"/>
  <c r="F125" i="23" s="1"/>
  <c r="N110" i="23"/>
  <c r="N124" i="23" s="1"/>
  <c r="K110" i="23"/>
  <c r="K124" i="23" s="1"/>
  <c r="K155" i="23" s="1"/>
  <c r="F110" i="23"/>
  <c r="F124" i="23" s="1"/>
  <c r="F155" i="23" s="1"/>
  <c r="K109" i="23"/>
  <c r="K123" i="23" s="1"/>
  <c r="K154" i="23" s="1"/>
  <c r="K108" i="23"/>
  <c r="K122" i="23" s="1"/>
  <c r="H107" i="23"/>
  <c r="H121" i="23" s="1"/>
  <c r="O106" i="23"/>
  <c r="O120" i="23" s="1"/>
  <c r="G106" i="23"/>
  <c r="G120" i="23" s="1"/>
  <c r="O105" i="23"/>
  <c r="O119" i="23" s="1"/>
  <c r="L105" i="23"/>
  <c r="L119" i="23" s="1"/>
  <c r="G105" i="23"/>
  <c r="G119" i="23" s="1"/>
  <c r="D105" i="23"/>
  <c r="L104" i="23"/>
  <c r="L118" i="23" s="1"/>
  <c r="I104" i="23"/>
  <c r="I118" i="23" s="1"/>
  <c r="G104" i="23"/>
  <c r="G118" i="23" s="1"/>
  <c r="D104" i="23"/>
  <c r="N103" i="23"/>
  <c r="N117" i="23" s="1"/>
  <c r="I103" i="23"/>
  <c r="I117" i="23" s="1"/>
  <c r="F103" i="23"/>
  <c r="F117" i="23" s="1"/>
  <c r="K102" i="23"/>
  <c r="K116" i="23" s="1"/>
  <c r="H101" i="23"/>
  <c r="H115" i="23" s="1"/>
  <c r="M100" i="23"/>
  <c r="M114" i="23" s="1"/>
  <c r="O83" i="23"/>
  <c r="N83" i="23"/>
  <c r="M83" i="23"/>
  <c r="M107" i="23" s="1"/>
  <c r="M121" i="23" s="1"/>
  <c r="L83" i="23"/>
  <c r="K83" i="23"/>
  <c r="J83" i="23"/>
  <c r="J106" i="23" s="1"/>
  <c r="J120" i="23" s="1"/>
  <c r="I83" i="23"/>
  <c r="H83" i="23"/>
  <c r="H108" i="23" s="1"/>
  <c r="H122" i="23" s="1"/>
  <c r="G83" i="23"/>
  <c r="F83" i="23"/>
  <c r="E83" i="23"/>
  <c r="E100" i="23" s="1"/>
  <c r="D83" i="23"/>
  <c r="P82" i="23"/>
  <c r="P81" i="23"/>
  <c r="P83" i="23" s="1"/>
  <c r="O78" i="23"/>
  <c r="O111" i="23" s="1"/>
  <c r="O125" i="23" s="1"/>
  <c r="N78" i="23"/>
  <c r="M78" i="23"/>
  <c r="M111" i="23" s="1"/>
  <c r="M125" i="23" s="1"/>
  <c r="L78" i="23"/>
  <c r="L111" i="23" s="1"/>
  <c r="L125" i="23" s="1"/>
  <c r="K78" i="23"/>
  <c r="K111" i="23" s="1"/>
  <c r="K125" i="23" s="1"/>
  <c r="J78" i="23"/>
  <c r="J111" i="23" s="1"/>
  <c r="J125" i="23" s="1"/>
  <c r="I78" i="23"/>
  <c r="I111" i="23" s="1"/>
  <c r="I125" i="23" s="1"/>
  <c r="H78" i="23"/>
  <c r="H111" i="23" s="1"/>
  <c r="H125" i="23" s="1"/>
  <c r="G78" i="23"/>
  <c r="G111" i="23" s="1"/>
  <c r="G125" i="23" s="1"/>
  <c r="F78" i="23"/>
  <c r="E78" i="23"/>
  <c r="E111" i="23" s="1"/>
  <c r="E125" i="23" s="1"/>
  <c r="D78" i="23"/>
  <c r="O77" i="23"/>
  <c r="O109" i="23" s="1"/>
  <c r="O123" i="23" s="1"/>
  <c r="O154" i="23" s="1"/>
  <c r="N77" i="23"/>
  <c r="N109" i="23" s="1"/>
  <c r="N123" i="23" s="1"/>
  <c r="N154" i="23" s="1"/>
  <c r="M77" i="23"/>
  <c r="L77" i="23"/>
  <c r="L109" i="23" s="1"/>
  <c r="L123" i="23" s="1"/>
  <c r="L154" i="23" s="1"/>
  <c r="K77" i="23"/>
  <c r="J77" i="23"/>
  <c r="I77" i="23"/>
  <c r="I109" i="23" s="1"/>
  <c r="I123" i="23" s="1"/>
  <c r="I154" i="23" s="1"/>
  <c r="H77" i="23"/>
  <c r="G77" i="23"/>
  <c r="G109" i="23" s="1"/>
  <c r="G123" i="23" s="1"/>
  <c r="G154" i="23" s="1"/>
  <c r="F77" i="23"/>
  <c r="F109" i="23" s="1"/>
  <c r="F123" i="23" s="1"/>
  <c r="F154" i="23" s="1"/>
  <c r="E77" i="23"/>
  <c r="D77" i="23"/>
  <c r="O76" i="23"/>
  <c r="O108" i="23" s="1"/>
  <c r="O122" i="23" s="1"/>
  <c r="N76" i="23"/>
  <c r="N108" i="23" s="1"/>
  <c r="N122" i="23" s="1"/>
  <c r="M76" i="23"/>
  <c r="L76" i="23"/>
  <c r="L108" i="23" s="1"/>
  <c r="K76" i="23"/>
  <c r="J76" i="23"/>
  <c r="J108" i="23" s="1"/>
  <c r="J122" i="23" s="1"/>
  <c r="I76" i="23"/>
  <c r="I108" i="23" s="1"/>
  <c r="H76" i="23"/>
  <c r="G76" i="23"/>
  <c r="G108" i="23" s="1"/>
  <c r="G122" i="23" s="1"/>
  <c r="F76" i="23"/>
  <c r="F108" i="23" s="1"/>
  <c r="F122" i="23" s="1"/>
  <c r="E76" i="23"/>
  <c r="D76" i="23"/>
  <c r="O75" i="23"/>
  <c r="O107" i="23" s="1"/>
  <c r="O121" i="23" s="1"/>
  <c r="N75" i="23"/>
  <c r="N107" i="23" s="1"/>
  <c r="N121" i="23" s="1"/>
  <c r="M75" i="23"/>
  <c r="L75" i="23"/>
  <c r="L107" i="23" s="1"/>
  <c r="L121" i="23" s="1"/>
  <c r="K75" i="23"/>
  <c r="K107" i="23" s="1"/>
  <c r="K121" i="23" s="1"/>
  <c r="J75" i="23"/>
  <c r="I75" i="23"/>
  <c r="I107" i="23" s="1"/>
  <c r="H75" i="23"/>
  <c r="P75" i="23" s="1"/>
  <c r="G75" i="23"/>
  <c r="G107" i="23" s="1"/>
  <c r="G121" i="23" s="1"/>
  <c r="F75" i="23"/>
  <c r="F107" i="23" s="1"/>
  <c r="F121" i="23" s="1"/>
  <c r="E75" i="23"/>
  <c r="D75" i="23"/>
  <c r="D107" i="23" s="1"/>
  <c r="O74" i="23"/>
  <c r="N74" i="23"/>
  <c r="N106" i="23" s="1"/>
  <c r="M74" i="23"/>
  <c r="M106" i="23" s="1"/>
  <c r="M120" i="23" s="1"/>
  <c r="L74" i="23"/>
  <c r="L106" i="23" s="1"/>
  <c r="L120" i="23" s="1"/>
  <c r="K74" i="23"/>
  <c r="K106" i="23" s="1"/>
  <c r="K120" i="23" s="1"/>
  <c r="J74" i="23"/>
  <c r="I74" i="23"/>
  <c r="I106" i="23" s="1"/>
  <c r="H74" i="23"/>
  <c r="H106" i="23" s="1"/>
  <c r="H120" i="23" s="1"/>
  <c r="G74" i="23"/>
  <c r="F74" i="23"/>
  <c r="F106" i="23" s="1"/>
  <c r="F120" i="23" s="1"/>
  <c r="E74" i="23"/>
  <c r="P74" i="23" s="1"/>
  <c r="D74" i="23"/>
  <c r="D106" i="23" s="1"/>
  <c r="O73" i="23"/>
  <c r="N73" i="23"/>
  <c r="N105" i="23" s="1"/>
  <c r="M73" i="23"/>
  <c r="L73" i="23"/>
  <c r="K73" i="23"/>
  <c r="K105" i="23" s="1"/>
  <c r="K119" i="23" s="1"/>
  <c r="J73" i="23"/>
  <c r="J105" i="23" s="1"/>
  <c r="J119" i="23" s="1"/>
  <c r="I73" i="23"/>
  <c r="I105" i="23" s="1"/>
  <c r="I119" i="23" s="1"/>
  <c r="H73" i="23"/>
  <c r="H105" i="23" s="1"/>
  <c r="G73" i="23"/>
  <c r="F73" i="23"/>
  <c r="F105" i="23" s="1"/>
  <c r="E73" i="23"/>
  <c r="D73" i="23"/>
  <c r="O72" i="23"/>
  <c r="O104" i="23" s="1"/>
  <c r="O118" i="23" s="1"/>
  <c r="N72" i="23"/>
  <c r="N104" i="23" s="1"/>
  <c r="N118" i="23" s="1"/>
  <c r="M72" i="23"/>
  <c r="M104" i="23" s="1"/>
  <c r="M118" i="23" s="1"/>
  <c r="L72" i="23"/>
  <c r="K72" i="23"/>
  <c r="K104" i="23" s="1"/>
  <c r="K118" i="23" s="1"/>
  <c r="J72" i="23"/>
  <c r="I72" i="23"/>
  <c r="H72" i="23"/>
  <c r="H104" i="23" s="1"/>
  <c r="H118" i="23" s="1"/>
  <c r="G72" i="23"/>
  <c r="F72" i="23"/>
  <c r="F104" i="23" s="1"/>
  <c r="F118" i="23" s="1"/>
  <c r="E72" i="23"/>
  <c r="E104" i="23" s="1"/>
  <c r="E118" i="23" s="1"/>
  <c r="D72" i="23"/>
  <c r="O71" i="23"/>
  <c r="O103" i="23" s="1"/>
  <c r="O117" i="23" s="1"/>
  <c r="N71" i="23"/>
  <c r="M71" i="23"/>
  <c r="L71" i="23"/>
  <c r="L103" i="23" s="1"/>
  <c r="L117" i="23" s="1"/>
  <c r="K71" i="23"/>
  <c r="K103" i="23" s="1"/>
  <c r="K117" i="23" s="1"/>
  <c r="J71" i="23"/>
  <c r="I71" i="23"/>
  <c r="H71" i="23"/>
  <c r="H103" i="23" s="1"/>
  <c r="H117" i="23" s="1"/>
  <c r="G71" i="23"/>
  <c r="G103" i="23" s="1"/>
  <c r="G117" i="23" s="1"/>
  <c r="F71" i="23"/>
  <c r="E71" i="23"/>
  <c r="D71" i="23"/>
  <c r="D103" i="23" s="1"/>
  <c r="O70" i="23"/>
  <c r="O110" i="23" s="1"/>
  <c r="O124" i="23" s="1"/>
  <c r="O155" i="23" s="1"/>
  <c r="N70" i="23"/>
  <c r="M70" i="23"/>
  <c r="M110" i="23" s="1"/>
  <c r="M124" i="23" s="1"/>
  <c r="M155" i="23" s="1"/>
  <c r="L70" i="23"/>
  <c r="L110" i="23" s="1"/>
  <c r="L124" i="23" s="1"/>
  <c r="L155" i="23" s="1"/>
  <c r="K70" i="23"/>
  <c r="J70" i="23"/>
  <c r="I70" i="23"/>
  <c r="I110" i="23" s="1"/>
  <c r="I124" i="23" s="1"/>
  <c r="I155" i="23" s="1"/>
  <c r="H70" i="23"/>
  <c r="H110" i="23" s="1"/>
  <c r="H124" i="23" s="1"/>
  <c r="H155" i="23" s="1"/>
  <c r="G70" i="23"/>
  <c r="G110" i="23" s="1"/>
  <c r="G124" i="23" s="1"/>
  <c r="G155" i="23" s="1"/>
  <c r="F70" i="23"/>
  <c r="E70" i="23"/>
  <c r="E110" i="23" s="1"/>
  <c r="E124" i="23" s="1"/>
  <c r="E155" i="23" s="1"/>
  <c r="D70" i="23"/>
  <c r="O69" i="23"/>
  <c r="O102" i="23" s="1"/>
  <c r="O116" i="23" s="1"/>
  <c r="N69" i="23"/>
  <c r="N102" i="23" s="1"/>
  <c r="N116" i="23" s="1"/>
  <c r="M69" i="23"/>
  <c r="L69" i="23"/>
  <c r="L102" i="23" s="1"/>
  <c r="L116" i="23" s="1"/>
  <c r="K69" i="23"/>
  <c r="J69" i="23"/>
  <c r="I69" i="23"/>
  <c r="I102" i="23" s="1"/>
  <c r="I116" i="23" s="1"/>
  <c r="H69" i="23"/>
  <c r="H102" i="23" s="1"/>
  <c r="H116" i="23" s="1"/>
  <c r="G69" i="23"/>
  <c r="G102" i="23" s="1"/>
  <c r="G116" i="23" s="1"/>
  <c r="F69" i="23"/>
  <c r="F102" i="23" s="1"/>
  <c r="F116" i="23" s="1"/>
  <c r="E69" i="23"/>
  <c r="D69" i="23"/>
  <c r="O68" i="23"/>
  <c r="O101" i="23" s="1"/>
  <c r="N68" i="23"/>
  <c r="N101" i="23" s="1"/>
  <c r="N115" i="23" s="1"/>
  <c r="M68" i="23"/>
  <c r="M101" i="23" s="1"/>
  <c r="M115" i="23" s="1"/>
  <c r="L68" i="23"/>
  <c r="L101" i="23" s="1"/>
  <c r="L115" i="23" s="1"/>
  <c r="K68" i="23"/>
  <c r="K101" i="23" s="1"/>
  <c r="K115" i="23" s="1"/>
  <c r="J68" i="23"/>
  <c r="I68" i="23"/>
  <c r="I101" i="23" s="1"/>
  <c r="I115" i="23" s="1"/>
  <c r="H68" i="23"/>
  <c r="G68" i="23"/>
  <c r="G101" i="23" s="1"/>
  <c r="G115" i="23" s="1"/>
  <c r="F68" i="23"/>
  <c r="F101" i="23" s="1"/>
  <c r="F115" i="23" s="1"/>
  <c r="E68" i="23"/>
  <c r="E101" i="23" s="1"/>
  <c r="E115" i="23" s="1"/>
  <c r="D68" i="23"/>
  <c r="O67" i="23"/>
  <c r="O100" i="23" s="1"/>
  <c r="N67" i="23"/>
  <c r="N100" i="23" s="1"/>
  <c r="N114" i="23" s="1"/>
  <c r="M67" i="23"/>
  <c r="L67" i="23"/>
  <c r="L100" i="23" s="1"/>
  <c r="L114" i="23" s="1"/>
  <c r="K67" i="23"/>
  <c r="K100" i="23" s="1"/>
  <c r="K114" i="23" s="1"/>
  <c r="J67" i="23"/>
  <c r="J100" i="23" s="1"/>
  <c r="J114" i="23" s="1"/>
  <c r="I67" i="23"/>
  <c r="I100" i="23" s="1"/>
  <c r="I114" i="23" s="1"/>
  <c r="H67" i="23"/>
  <c r="H100" i="23" s="1"/>
  <c r="H114" i="23" s="1"/>
  <c r="G67" i="23"/>
  <c r="G100" i="23" s="1"/>
  <c r="F67" i="23"/>
  <c r="F100" i="23" s="1"/>
  <c r="F114" i="23" s="1"/>
  <c r="E67" i="23"/>
  <c r="D67" i="23"/>
  <c r="D100" i="23" s="1"/>
  <c r="D114" i="23" s="1"/>
  <c r="O64" i="23"/>
  <c r="N64" i="23"/>
  <c r="N214" i="23" s="1"/>
  <c r="M64" i="23"/>
  <c r="L64" i="23"/>
  <c r="K64" i="23"/>
  <c r="J64" i="23"/>
  <c r="I64" i="23"/>
  <c r="H64" i="23"/>
  <c r="G64" i="23"/>
  <c r="F64" i="23"/>
  <c r="E64" i="23"/>
  <c r="P64" i="23" s="1"/>
  <c r="D64" i="23"/>
  <c r="P63" i="23"/>
  <c r="P62" i="23"/>
  <c r="P61" i="23"/>
  <c r="P60" i="23"/>
  <c r="P59" i="23"/>
  <c r="P58" i="23"/>
  <c r="P57" i="23"/>
  <c r="P56" i="23"/>
  <c r="P55" i="23"/>
  <c r="P54" i="23"/>
  <c r="P53" i="23"/>
  <c r="P52" i="23"/>
  <c r="P51" i="23"/>
  <c r="P50" i="23"/>
  <c r="P49" i="23"/>
  <c r="P48" i="23"/>
  <c r="P47" i="23"/>
  <c r="P46" i="23"/>
  <c r="P45" i="23"/>
  <c r="P44" i="23"/>
  <c r="P43" i="23"/>
  <c r="P42" i="23"/>
  <c r="P41" i="23"/>
  <c r="P40" i="23"/>
  <c r="P39" i="23"/>
  <c r="P38" i="23"/>
  <c r="P37" i="23"/>
  <c r="P36" i="23"/>
  <c r="O34" i="23"/>
  <c r="N34" i="23"/>
  <c r="M34" i="23"/>
  <c r="L34" i="23"/>
  <c r="K34" i="23"/>
  <c r="J34" i="23"/>
  <c r="I34" i="23"/>
  <c r="H34" i="23"/>
  <c r="G34" i="23"/>
  <c r="F34" i="23"/>
  <c r="E34" i="23"/>
  <c r="D34" i="23"/>
  <c r="O33" i="23"/>
  <c r="N33" i="23"/>
  <c r="M33" i="23"/>
  <c r="L33" i="23"/>
  <c r="K33" i="23"/>
  <c r="J33" i="23"/>
  <c r="I33" i="23"/>
  <c r="H33" i="23"/>
  <c r="G33" i="23"/>
  <c r="F33" i="23"/>
  <c r="E33" i="23"/>
  <c r="D33" i="23"/>
  <c r="O32" i="23"/>
  <c r="N32" i="23"/>
  <c r="M32" i="23"/>
  <c r="L32" i="23"/>
  <c r="K32" i="23"/>
  <c r="J32" i="23"/>
  <c r="I32" i="23"/>
  <c r="H32" i="23"/>
  <c r="P32" i="23" s="1"/>
  <c r="G32" i="23"/>
  <c r="F32" i="23"/>
  <c r="E32" i="23"/>
  <c r="D32" i="23"/>
  <c r="P31" i="23"/>
  <c r="P30" i="23"/>
  <c r="P29" i="23"/>
  <c r="P28" i="23"/>
  <c r="P27" i="23"/>
  <c r="P26" i="23"/>
  <c r="P25" i="23"/>
  <c r="P24" i="23"/>
  <c r="P23" i="23"/>
  <c r="P22" i="23"/>
  <c r="P21" i="23"/>
  <c r="P20" i="23"/>
  <c r="P19" i="23"/>
  <c r="P18" i="23"/>
  <c r="P17" i="23"/>
  <c r="P16" i="23"/>
  <c r="P15" i="23"/>
  <c r="P14" i="23"/>
  <c r="P13" i="23"/>
  <c r="P12" i="23"/>
  <c r="P11" i="23"/>
  <c r="P10" i="23"/>
  <c r="P9" i="23"/>
  <c r="P8" i="23"/>
  <c r="G6" i="23"/>
  <c r="H6" i="23" s="1"/>
  <c r="I6" i="23" s="1"/>
  <c r="J6" i="23" s="1"/>
  <c r="K6" i="23" s="1"/>
  <c r="L6" i="23" s="1"/>
  <c r="M6" i="23" s="1"/>
  <c r="N6" i="23" s="1"/>
  <c r="O6" i="23" s="1"/>
  <c r="E6" i="23"/>
  <c r="F6" i="23" s="1"/>
  <c r="P51" i="22"/>
  <c r="O43" i="22"/>
  <c r="N43" i="22"/>
  <c r="M43" i="22"/>
  <c r="L43" i="22"/>
  <c r="K43" i="22"/>
  <c r="J43" i="22"/>
  <c r="I43" i="22"/>
  <c r="H43" i="22"/>
  <c r="G43" i="22"/>
  <c r="F43" i="22"/>
  <c r="E43" i="22"/>
  <c r="D43" i="22"/>
  <c r="O36" i="22"/>
  <c r="N36" i="22"/>
  <c r="M36" i="22"/>
  <c r="L36" i="22"/>
  <c r="K36" i="22"/>
  <c r="J36" i="22"/>
  <c r="I36" i="22"/>
  <c r="H36" i="22"/>
  <c r="G36" i="22"/>
  <c r="F36" i="22"/>
  <c r="E36" i="22"/>
  <c r="D36" i="22"/>
  <c r="O29" i="22"/>
  <c r="N29" i="22"/>
  <c r="M29" i="22"/>
  <c r="L29" i="22"/>
  <c r="K29" i="22"/>
  <c r="J29" i="22"/>
  <c r="I29" i="22"/>
  <c r="H29" i="22"/>
  <c r="G29" i="22"/>
  <c r="F29" i="22"/>
  <c r="E29" i="22"/>
  <c r="D29" i="22"/>
  <c r="O22" i="22"/>
  <c r="N22" i="22"/>
  <c r="M22" i="22"/>
  <c r="L22" i="22"/>
  <c r="K22" i="22"/>
  <c r="J22" i="22"/>
  <c r="I22" i="22"/>
  <c r="H22" i="22"/>
  <c r="G22" i="22"/>
  <c r="F22" i="22"/>
  <c r="E22" i="22"/>
  <c r="D22" i="22"/>
  <c r="O11" i="22"/>
  <c r="O50" i="22" s="1"/>
  <c r="G9" i="22"/>
  <c r="E6" i="22"/>
  <c r="F6" i="22" s="1"/>
  <c r="G6" i="22" s="1"/>
  <c r="H6" i="22" s="1"/>
  <c r="I6" i="22" s="1"/>
  <c r="J6" i="22" s="1"/>
  <c r="K6" i="22" s="1"/>
  <c r="L6" i="22" s="1"/>
  <c r="M6" i="22" s="1"/>
  <c r="N6" i="22" s="1"/>
  <c r="O6" i="22" s="1"/>
  <c r="I239" i="23" l="1"/>
  <c r="I145" i="23"/>
  <c r="I126" i="23"/>
  <c r="I181" i="23"/>
  <c r="M149" i="23"/>
  <c r="M191" i="23"/>
  <c r="M226" i="23" s="1"/>
  <c r="M246" i="23"/>
  <c r="K239" i="23"/>
  <c r="K181" i="23"/>
  <c r="K145" i="23"/>
  <c r="K126" i="23"/>
  <c r="G240" i="23"/>
  <c r="G182" i="23"/>
  <c r="G218" i="23" s="1"/>
  <c r="G146" i="23"/>
  <c r="G163" i="23" s="1"/>
  <c r="O191" i="23"/>
  <c r="O226" i="23" s="1"/>
  <c r="O246" i="23"/>
  <c r="O149" i="23"/>
  <c r="K248" i="23"/>
  <c r="K150" i="23"/>
  <c r="K193" i="23"/>
  <c r="K228" i="23" s="1"/>
  <c r="G251" i="23"/>
  <c r="G188" i="23"/>
  <c r="G223" i="23" s="1"/>
  <c r="G153" i="23"/>
  <c r="O251" i="23"/>
  <c r="O153" i="23"/>
  <c r="O188" i="23"/>
  <c r="O223" i="23" s="1"/>
  <c r="D239" i="23"/>
  <c r="D145" i="23"/>
  <c r="D181" i="23"/>
  <c r="L239" i="23"/>
  <c r="L145" i="23"/>
  <c r="L126" i="23"/>
  <c r="L142" i="23" s="1"/>
  <c r="L253" i="23" s="1"/>
  <c r="L181" i="23"/>
  <c r="D117" i="23"/>
  <c r="L190" i="23"/>
  <c r="L225" i="23" s="1"/>
  <c r="L234" i="23" s="1"/>
  <c r="L245" i="23"/>
  <c r="L148" i="23"/>
  <c r="L171" i="23" s="1"/>
  <c r="H246" i="23"/>
  <c r="H191" i="23"/>
  <c r="H226" i="23" s="1"/>
  <c r="H149" i="23"/>
  <c r="L250" i="23"/>
  <c r="L152" i="23"/>
  <c r="L168" i="23" s="1"/>
  <c r="L187" i="23"/>
  <c r="L222" i="23" s="1"/>
  <c r="J249" i="23"/>
  <c r="J186" i="23"/>
  <c r="J151" i="23"/>
  <c r="N240" i="23"/>
  <c r="N182" i="23"/>
  <c r="N218" i="23" s="1"/>
  <c r="N146" i="23"/>
  <c r="N163" i="23" s="1"/>
  <c r="N126" i="23"/>
  <c r="J248" i="23"/>
  <c r="J193" i="23"/>
  <c r="J228" i="23" s="1"/>
  <c r="J150" i="23"/>
  <c r="F186" i="23"/>
  <c r="F249" i="23"/>
  <c r="F151" i="23"/>
  <c r="H251" i="23"/>
  <c r="H188" i="23"/>
  <c r="H223" i="23" s="1"/>
  <c r="H153" i="23"/>
  <c r="I252" i="23"/>
  <c r="I194" i="23"/>
  <c r="I229" i="23" s="1"/>
  <c r="I156" i="23"/>
  <c r="F147" i="23"/>
  <c r="F164" i="23" s="1"/>
  <c r="F183" i="23"/>
  <c r="F219" i="23" s="1"/>
  <c r="F241" i="23"/>
  <c r="N241" i="23"/>
  <c r="N147" i="23"/>
  <c r="N164" i="23" s="1"/>
  <c r="N183" i="23"/>
  <c r="N219" i="23" s="1"/>
  <c r="F250" i="23"/>
  <c r="F187" i="23"/>
  <c r="F222" i="23" s="1"/>
  <c r="F152" i="23"/>
  <c r="F168" i="23" s="1"/>
  <c r="N250" i="23"/>
  <c r="N152" i="23"/>
  <c r="N168" i="23" s="1"/>
  <c r="N187" i="23"/>
  <c r="N222" i="23" s="1"/>
  <c r="E191" i="23"/>
  <c r="E226" i="23" s="1"/>
  <c r="E149" i="23"/>
  <c r="E246" i="23"/>
  <c r="I241" i="23"/>
  <c r="I183" i="23"/>
  <c r="I219" i="23" s="1"/>
  <c r="I147" i="23"/>
  <c r="I164" i="23" s="1"/>
  <c r="K240" i="23"/>
  <c r="K146" i="23"/>
  <c r="K163" i="23" s="1"/>
  <c r="K182" i="23"/>
  <c r="K218" i="23" s="1"/>
  <c r="G241" i="23"/>
  <c r="G183" i="23"/>
  <c r="G219" i="23" s="1"/>
  <c r="G147" i="23"/>
  <c r="G164" i="23" s="1"/>
  <c r="O241" i="23"/>
  <c r="O183" i="23"/>
  <c r="O219" i="23" s="1"/>
  <c r="O147" i="23"/>
  <c r="O164" i="23" s="1"/>
  <c r="K246" i="23"/>
  <c r="K191" i="23"/>
  <c r="K226" i="23" s="1"/>
  <c r="K234" i="23" s="1"/>
  <c r="K149" i="23"/>
  <c r="K249" i="23"/>
  <c r="K151" i="23"/>
  <c r="K186" i="23"/>
  <c r="E114" i="23"/>
  <c r="P114" i="23" s="1"/>
  <c r="P100" i="23"/>
  <c r="M250" i="23"/>
  <c r="M187" i="23"/>
  <c r="M222" i="23" s="1"/>
  <c r="M152" i="23"/>
  <c r="M168" i="23" s="1"/>
  <c r="H239" i="23"/>
  <c r="H181" i="23"/>
  <c r="H145" i="23"/>
  <c r="L240" i="23"/>
  <c r="L182" i="23"/>
  <c r="L218" i="23" s="1"/>
  <c r="L146" i="23"/>
  <c r="L163" i="23" s="1"/>
  <c r="H245" i="23"/>
  <c r="H190" i="23"/>
  <c r="H225" i="23" s="1"/>
  <c r="H148" i="23"/>
  <c r="H171" i="23" s="1"/>
  <c r="L252" i="23"/>
  <c r="L194" i="23"/>
  <c r="L229" i="23" s="1"/>
  <c r="L156" i="23"/>
  <c r="F217" i="23"/>
  <c r="M249" i="23"/>
  <c r="M186" i="23"/>
  <c r="M151" i="23"/>
  <c r="E252" i="23"/>
  <c r="E194" i="23"/>
  <c r="E229" i="23" s="1"/>
  <c r="E156" i="23"/>
  <c r="F240" i="23"/>
  <c r="F182" i="23"/>
  <c r="F218" i="23" s="1"/>
  <c r="F146" i="23"/>
  <c r="F163" i="23" s="1"/>
  <c r="G48" i="22"/>
  <c r="P67" i="23"/>
  <c r="G245" i="23"/>
  <c r="G190" i="23"/>
  <c r="G225" i="23" s="1"/>
  <c r="G148" i="23"/>
  <c r="G171" i="23" s="1"/>
  <c r="D109" i="23"/>
  <c r="P77" i="23"/>
  <c r="H194" i="23"/>
  <c r="H229" i="23" s="1"/>
  <c r="H252" i="23"/>
  <c r="H156" i="23"/>
  <c r="G248" i="23"/>
  <c r="G193" i="23"/>
  <c r="G228" i="23" s="1"/>
  <c r="G150" i="23"/>
  <c r="K251" i="23"/>
  <c r="K188" i="23"/>
  <c r="K223" i="23" s="1"/>
  <c r="K153" i="23"/>
  <c r="I249" i="23"/>
  <c r="I186" i="23"/>
  <c r="I151" i="23"/>
  <c r="N140" i="23"/>
  <c r="P68" i="23"/>
  <c r="H147" i="23"/>
  <c r="H164" i="23" s="1"/>
  <c r="H183" i="23"/>
  <c r="H219" i="23" s="1"/>
  <c r="H241" i="23"/>
  <c r="D110" i="23"/>
  <c r="P70" i="23"/>
  <c r="P72" i="23"/>
  <c r="P73" i="23"/>
  <c r="E109" i="23"/>
  <c r="E123" i="23" s="1"/>
  <c r="E154" i="23" s="1"/>
  <c r="M109" i="23"/>
  <c r="M123" i="23" s="1"/>
  <c r="M154" i="23" s="1"/>
  <c r="N245" i="23"/>
  <c r="N190" i="23"/>
  <c r="N225" i="23" s="1"/>
  <c r="N148" i="23"/>
  <c r="N171" i="23" s="1"/>
  <c r="E107" i="23"/>
  <c r="M108" i="23"/>
  <c r="M122" i="23" s="1"/>
  <c r="E192" i="23"/>
  <c r="E227" i="23" s="1"/>
  <c r="M192" i="23"/>
  <c r="M227" i="23" s="1"/>
  <c r="E240" i="23"/>
  <c r="E146" i="23"/>
  <c r="E182" i="23"/>
  <c r="E218" i="23" s="1"/>
  <c r="D120" i="23"/>
  <c r="O250" i="23"/>
  <c r="O187" i="23"/>
  <c r="O222" i="23" s="1"/>
  <c r="O152" i="23"/>
  <c r="O168" i="23" s="1"/>
  <c r="J252" i="23"/>
  <c r="J156" i="23"/>
  <c r="J194" i="23"/>
  <c r="J229" i="23" s="1"/>
  <c r="D118" i="23"/>
  <c r="O240" i="23"/>
  <c r="O182" i="23"/>
  <c r="O218" i="23" s="1"/>
  <c r="O146" i="23"/>
  <c r="O163" i="23" s="1"/>
  <c r="F248" i="23"/>
  <c r="F193" i="23"/>
  <c r="F228" i="23" s="1"/>
  <c r="F150" i="23"/>
  <c r="I251" i="23"/>
  <c r="I153" i="23"/>
  <c r="P33" i="23"/>
  <c r="J102" i="23"/>
  <c r="J116" i="23" s="1"/>
  <c r="J103" i="23"/>
  <c r="J117" i="23" s="1"/>
  <c r="F191" i="23"/>
  <c r="F226" i="23" s="1"/>
  <c r="F234" i="23" s="1"/>
  <c r="F246" i="23"/>
  <c r="F149" i="23"/>
  <c r="N191" i="23"/>
  <c r="N226" i="23" s="1"/>
  <c r="N246" i="23"/>
  <c r="N149" i="23"/>
  <c r="K252" i="23"/>
  <c r="K156" i="23"/>
  <c r="K194" i="23"/>
  <c r="K229" i="23" s="1"/>
  <c r="K241" i="23"/>
  <c r="K183" i="23"/>
  <c r="K219" i="23" s="1"/>
  <c r="G191" i="23"/>
  <c r="G226" i="23" s="1"/>
  <c r="G246" i="23"/>
  <c r="O248" i="23"/>
  <c r="O193" i="23"/>
  <c r="O228" i="23" s="1"/>
  <c r="J107" i="23"/>
  <c r="J121" i="23" s="1"/>
  <c r="H248" i="23"/>
  <c r="H150" i="23"/>
  <c r="H193" i="23"/>
  <c r="H228" i="23" s="1"/>
  <c r="H234" i="23" s="1"/>
  <c r="D250" i="23"/>
  <c r="D187" i="23"/>
  <c r="D152" i="23"/>
  <c r="L251" i="23"/>
  <c r="L153" i="23"/>
  <c r="L188" i="23"/>
  <c r="L223" i="23" s="1"/>
  <c r="I140" i="23"/>
  <c r="I180" i="23"/>
  <c r="M146" i="23"/>
  <c r="M182" i="23"/>
  <c r="M218" i="23" s="1"/>
  <c r="L249" i="23"/>
  <c r="L186" i="23"/>
  <c r="L151" i="23"/>
  <c r="M239" i="23"/>
  <c r="M181" i="23"/>
  <c r="M145" i="23"/>
  <c r="H250" i="23"/>
  <c r="H187" i="23"/>
  <c r="H222" i="23" s="1"/>
  <c r="H152" i="23"/>
  <c r="H168" i="23" s="1"/>
  <c r="G239" i="23"/>
  <c r="G145" i="23"/>
  <c r="G181" i="23"/>
  <c r="N186" i="23"/>
  <c r="N151" i="23"/>
  <c r="N249" i="23"/>
  <c r="P34" i="23"/>
  <c r="K190" i="23"/>
  <c r="K225" i="23" s="1"/>
  <c r="K245" i="23"/>
  <c r="K148" i="23"/>
  <c r="K171" i="23" s="1"/>
  <c r="P76" i="23"/>
  <c r="P78" i="23"/>
  <c r="I246" i="23"/>
  <c r="I191" i="23"/>
  <c r="I226" i="23" s="1"/>
  <c r="I234" i="23" s="1"/>
  <c r="I149" i="23"/>
  <c r="E106" i="23"/>
  <c r="E120" i="23" s="1"/>
  <c r="H109" i="23"/>
  <c r="H123" i="23" s="1"/>
  <c r="H154" i="23" s="1"/>
  <c r="D111" i="23"/>
  <c r="J145" i="23"/>
  <c r="J181" i="23"/>
  <c r="J239" i="23"/>
  <c r="J251" i="23"/>
  <c r="J188" i="23"/>
  <c r="J223" i="23" s="1"/>
  <c r="J153" i="23"/>
  <c r="P69" i="23"/>
  <c r="D102" i="23"/>
  <c r="L246" i="23"/>
  <c r="L191" i="23"/>
  <c r="L226" i="23" s="1"/>
  <c r="L149" i="23"/>
  <c r="O239" i="23"/>
  <c r="O145" i="23"/>
  <c r="O126" i="23"/>
  <c r="O142" i="23" s="1"/>
  <c r="O253" i="23" s="1"/>
  <c r="I248" i="23"/>
  <c r="I193" i="23"/>
  <c r="I228" i="23" s="1"/>
  <c r="I150" i="23"/>
  <c r="G250" i="23"/>
  <c r="G187" i="23"/>
  <c r="G222" i="23" s="1"/>
  <c r="G152" i="23"/>
  <c r="G168" i="23" s="1"/>
  <c r="L193" i="23"/>
  <c r="L228" i="23" s="1"/>
  <c r="L248" i="23"/>
  <c r="L150" i="23"/>
  <c r="M252" i="23"/>
  <c r="M194" i="23"/>
  <c r="M229" i="23" s="1"/>
  <c r="M156" i="23"/>
  <c r="G186" i="23"/>
  <c r="G249" i="23"/>
  <c r="G151" i="23"/>
  <c r="F252" i="23"/>
  <c r="F194" i="23"/>
  <c r="F229" i="23" s="1"/>
  <c r="F156" i="23"/>
  <c r="F239" i="23"/>
  <c r="F181" i="23"/>
  <c r="F195" i="23" s="1"/>
  <c r="F145" i="23"/>
  <c r="F126" i="23"/>
  <c r="N239" i="23"/>
  <c r="N181" i="23"/>
  <c r="N145" i="23"/>
  <c r="I240" i="23"/>
  <c r="I182" i="23"/>
  <c r="I218" i="23" s="1"/>
  <c r="I146" i="23"/>
  <c r="I163" i="23" s="1"/>
  <c r="E102" i="23"/>
  <c r="E116" i="23" s="1"/>
  <c r="M102" i="23"/>
  <c r="M116" i="23" s="1"/>
  <c r="E103" i="23"/>
  <c r="E117" i="23" s="1"/>
  <c r="M103" i="23"/>
  <c r="M117" i="23" s="1"/>
  <c r="M126" i="23" s="1"/>
  <c r="M142" i="23" s="1"/>
  <c r="M253" i="23" s="1"/>
  <c r="E105" i="23"/>
  <c r="E119" i="23" s="1"/>
  <c r="M105" i="23"/>
  <c r="M119" i="23" s="1"/>
  <c r="H186" i="23"/>
  <c r="H249" i="23"/>
  <c r="H151" i="23"/>
  <c r="K187" i="23"/>
  <c r="K222" i="23" s="1"/>
  <c r="K250" i="23"/>
  <c r="K152" i="23"/>
  <c r="K168" i="23" s="1"/>
  <c r="F188" i="23"/>
  <c r="F223" i="23" s="1"/>
  <c r="F251" i="23"/>
  <c r="F153" i="23"/>
  <c r="N188" i="23"/>
  <c r="N223" i="23" s="1"/>
  <c r="N251" i="23"/>
  <c r="N153" i="23"/>
  <c r="J109" i="23"/>
  <c r="J123" i="23" s="1"/>
  <c r="J154" i="23" s="1"/>
  <c r="F245" i="23"/>
  <c r="F190" i="23"/>
  <c r="F225" i="23" s="1"/>
  <c r="E108" i="23"/>
  <c r="E122" i="23" s="1"/>
  <c r="K147" i="23"/>
  <c r="K164" i="23" s="1"/>
  <c r="I188" i="23"/>
  <c r="I223" i="23" s="1"/>
  <c r="L241" i="23"/>
  <c r="L147" i="23"/>
  <c r="L164" i="23" s="1"/>
  <c r="L183" i="23"/>
  <c r="L219" i="23" s="1"/>
  <c r="P71" i="23"/>
  <c r="H240" i="23"/>
  <c r="H182" i="23"/>
  <c r="H218" i="23" s="1"/>
  <c r="H146" i="23"/>
  <c r="H163" i="23" s="1"/>
  <c r="N248" i="23"/>
  <c r="N150" i="23"/>
  <c r="N193" i="23"/>
  <c r="N228" i="23" s="1"/>
  <c r="I250" i="23"/>
  <c r="I152" i="23"/>
  <c r="I168" i="23" s="1"/>
  <c r="P189" i="23"/>
  <c r="D224" i="23"/>
  <c r="J101" i="23"/>
  <c r="J115" i="23" s="1"/>
  <c r="J126" i="23" s="1"/>
  <c r="J142" i="23" s="1"/>
  <c r="J253" i="23" s="1"/>
  <c r="J110" i="23"/>
  <c r="J124" i="23" s="1"/>
  <c r="J155" i="23" s="1"/>
  <c r="J104" i="23"/>
  <c r="J118" i="23" s="1"/>
  <c r="G194" i="23"/>
  <c r="G229" i="23" s="1"/>
  <c r="G234" i="23" s="1"/>
  <c r="G252" i="23"/>
  <c r="G156" i="23"/>
  <c r="O194" i="23"/>
  <c r="O229" i="23" s="1"/>
  <c r="O252" i="23"/>
  <c r="O156" i="23"/>
  <c r="I245" i="23"/>
  <c r="I148" i="23"/>
  <c r="I171" i="23" s="1"/>
  <c r="I190" i="23"/>
  <c r="I225" i="23" s="1"/>
  <c r="D119" i="23"/>
  <c r="P105" i="23"/>
  <c r="F148" i="23"/>
  <c r="F171" i="23" s="1"/>
  <c r="O245" i="23"/>
  <c r="O190" i="23"/>
  <c r="O225" i="23" s="1"/>
  <c r="O234" i="23" s="1"/>
  <c r="O148" i="23"/>
  <c r="O171" i="23" s="1"/>
  <c r="O186" i="23"/>
  <c r="O249" i="23"/>
  <c r="O151" i="23"/>
  <c r="N252" i="23"/>
  <c r="N194" i="23"/>
  <c r="N229" i="23" s="1"/>
  <c r="N156" i="23"/>
  <c r="F140" i="23"/>
  <c r="N180" i="23"/>
  <c r="D108" i="23"/>
  <c r="M217" i="23"/>
  <c r="N234" i="23"/>
  <c r="P134" i="23"/>
  <c r="I192" i="23"/>
  <c r="I227" i="23" s="1"/>
  <c r="D217" i="23"/>
  <c r="G217" i="23"/>
  <c r="O195" i="23"/>
  <c r="O196" i="23" s="1"/>
  <c r="O217" i="23"/>
  <c r="D220" i="23"/>
  <c r="P220" i="23" s="1"/>
  <c r="P184" i="23"/>
  <c r="P131" i="23"/>
  <c r="P133" i="23"/>
  <c r="K192" i="23"/>
  <c r="K227" i="23" s="1"/>
  <c r="H214" i="23"/>
  <c r="P204" i="23"/>
  <c r="P205" i="23"/>
  <c r="K213" i="23"/>
  <c r="K214" i="23" s="1"/>
  <c r="H217" i="23"/>
  <c r="P136" i="23"/>
  <c r="P138" i="23"/>
  <c r="E140" i="23"/>
  <c r="L217" i="23"/>
  <c r="D101" i="23"/>
  <c r="J217" i="23"/>
  <c r="K180" i="23"/>
  <c r="K140" i="23"/>
  <c r="M140" i="23"/>
  <c r="P137" i="23"/>
  <c r="N247" i="23"/>
  <c r="F247" i="23"/>
  <c r="M244" i="23"/>
  <c r="E244" i="23"/>
  <c r="J243" i="23"/>
  <c r="O242" i="23"/>
  <c r="G242" i="23"/>
  <c r="M247" i="23"/>
  <c r="E247" i="23"/>
  <c r="L244" i="23"/>
  <c r="D244" i="23"/>
  <c r="I243" i="23"/>
  <c r="N242" i="23"/>
  <c r="F242" i="23"/>
  <c r="L247" i="23"/>
  <c r="D247" i="23"/>
  <c r="K244" i="23"/>
  <c r="H243" i="23"/>
  <c r="M242" i="23"/>
  <c r="E242" i="23"/>
  <c r="K247" i="23"/>
  <c r="J244" i="23"/>
  <c r="O243" i="23"/>
  <c r="G243" i="23"/>
  <c r="L242" i="23"/>
  <c r="D242" i="23"/>
  <c r="J247" i="23"/>
  <c r="I244" i="23"/>
  <c r="N243" i="23"/>
  <c r="F243" i="23"/>
  <c r="K242" i="23"/>
  <c r="I247" i="23"/>
  <c r="H244" i="23"/>
  <c r="M243" i="23"/>
  <c r="E243" i="23"/>
  <c r="J242" i="23"/>
  <c r="O247" i="23"/>
  <c r="G247" i="23"/>
  <c r="N244" i="23"/>
  <c r="F244" i="23"/>
  <c r="K243" i="23"/>
  <c r="H242" i="23"/>
  <c r="G244" i="23"/>
  <c r="P130" i="23"/>
  <c r="J192" i="23"/>
  <c r="J227" i="23" s="1"/>
  <c r="H140" i="23"/>
  <c r="I213" i="23"/>
  <c r="I214" i="23" s="1"/>
  <c r="F213" i="23"/>
  <c r="F214" i="23" s="1"/>
  <c r="P206" i="23"/>
  <c r="G213" i="23"/>
  <c r="G214" i="23" s="1"/>
  <c r="O213" i="23"/>
  <c r="O214" i="23" s="1"/>
  <c r="J213" i="23"/>
  <c r="J214" i="23" s="1"/>
  <c r="P203" i="23"/>
  <c r="E213" i="23"/>
  <c r="E214" i="23" s="1"/>
  <c r="M213" i="23"/>
  <c r="M214" i="23" s="1"/>
  <c r="I242" i="23"/>
  <c r="H247" i="23"/>
  <c r="P128" i="23"/>
  <c r="F192" i="23"/>
  <c r="F227" i="23" s="1"/>
  <c r="P227" i="23" s="1"/>
  <c r="N192" i="23"/>
  <c r="N227" i="23" s="1"/>
  <c r="P213" i="23"/>
  <c r="P214" i="23" s="1"/>
  <c r="P201" i="23"/>
  <c r="D243" i="23"/>
  <c r="P243" i="23" l="1"/>
  <c r="N169" i="23"/>
  <c r="N10" i="22"/>
  <c r="N49" i="22" s="1"/>
  <c r="M241" i="23"/>
  <c r="M147" i="23"/>
  <c r="M164" i="23" s="1"/>
  <c r="M183" i="23"/>
  <c r="M219" i="23" s="1"/>
  <c r="F142" i="23"/>
  <c r="F253" i="23" s="1"/>
  <c r="G167" i="23"/>
  <c r="G8" i="22"/>
  <c r="O162" i="23"/>
  <c r="O157" i="23"/>
  <c r="I172" i="23"/>
  <c r="I9" i="22"/>
  <c r="I48" i="22" s="1"/>
  <c r="H174" i="23"/>
  <c r="H11" i="22"/>
  <c r="H50" i="22" s="1"/>
  <c r="J175" i="23"/>
  <c r="J12" i="22"/>
  <c r="E163" i="23"/>
  <c r="K172" i="23"/>
  <c r="K9" i="22"/>
  <c r="K48" i="22" s="1"/>
  <c r="E172" i="23"/>
  <c r="E9" i="22"/>
  <c r="E48" i="22" s="1"/>
  <c r="G169" i="23"/>
  <c r="G10" i="22"/>
  <c r="G49" i="22" s="1"/>
  <c r="K195" i="23"/>
  <c r="K217" i="23"/>
  <c r="G233" i="23"/>
  <c r="G235" i="23" s="1"/>
  <c r="G230" i="23"/>
  <c r="G231" i="23" s="1"/>
  <c r="N175" i="23"/>
  <c r="N12" i="22"/>
  <c r="P224" i="23"/>
  <c r="G221" i="23"/>
  <c r="G197" i="23"/>
  <c r="L172" i="23"/>
  <c r="L9" i="22"/>
  <c r="L48" i="22" s="1"/>
  <c r="N167" i="23"/>
  <c r="N8" i="22"/>
  <c r="M162" i="23"/>
  <c r="M240" i="23"/>
  <c r="J187" i="23"/>
  <c r="J222" i="23" s="1"/>
  <c r="J250" i="23"/>
  <c r="J152" i="23"/>
  <c r="J168" i="23" s="1"/>
  <c r="K12" i="22"/>
  <c r="K175" i="23"/>
  <c r="J148" i="23"/>
  <c r="J171" i="23" s="1"/>
  <c r="J245" i="23"/>
  <c r="J190" i="23"/>
  <c r="J225" i="23" s="1"/>
  <c r="G174" i="23"/>
  <c r="G11" i="22"/>
  <c r="G50" i="22" s="1"/>
  <c r="E175" i="23"/>
  <c r="E12" i="22"/>
  <c r="L175" i="23"/>
  <c r="L12" i="22"/>
  <c r="N142" i="23"/>
  <c r="N253" i="23" s="1"/>
  <c r="P103" i="23"/>
  <c r="P117" i="23" s="1"/>
  <c r="P244" i="23"/>
  <c r="G195" i="23"/>
  <c r="G196" i="23" s="1"/>
  <c r="F169" i="23"/>
  <c r="F10" i="22"/>
  <c r="F49" i="22" s="1"/>
  <c r="H221" i="23"/>
  <c r="H197" i="23"/>
  <c r="M175" i="23"/>
  <c r="M12" i="22"/>
  <c r="N221" i="23"/>
  <c r="N197" i="23"/>
  <c r="M163" i="23"/>
  <c r="J241" i="23"/>
  <c r="J183" i="23"/>
  <c r="J219" i="23" s="1"/>
  <c r="J147" i="23"/>
  <c r="J164" i="23" s="1"/>
  <c r="H126" i="23"/>
  <c r="H142" i="23" s="1"/>
  <c r="H253" i="23" s="1"/>
  <c r="D190" i="23"/>
  <c r="D245" i="23"/>
  <c r="D148" i="23"/>
  <c r="D162" i="23"/>
  <c r="M172" i="23"/>
  <c r="M9" i="22"/>
  <c r="M48" i="22" s="1"/>
  <c r="P242" i="23"/>
  <c r="H233" i="23"/>
  <c r="H235" i="23" s="1"/>
  <c r="H230" i="23"/>
  <c r="G175" i="23"/>
  <c r="G12" i="22"/>
  <c r="E188" i="23"/>
  <c r="E223" i="23" s="1"/>
  <c r="E251" i="23"/>
  <c r="E153" i="23"/>
  <c r="M193" i="23"/>
  <c r="M228" i="23" s="1"/>
  <c r="M248" i="23"/>
  <c r="M150" i="23"/>
  <c r="I174" i="23"/>
  <c r="I11" i="22"/>
  <c r="I50" i="22" s="1"/>
  <c r="J162" i="23"/>
  <c r="D168" i="23"/>
  <c r="N172" i="23"/>
  <c r="N9" i="22"/>
  <c r="N48" i="22" s="1"/>
  <c r="M188" i="23"/>
  <c r="M223" i="23" s="1"/>
  <c r="M251" i="23"/>
  <c r="M153" i="23"/>
  <c r="I167" i="23"/>
  <c r="I8" i="22"/>
  <c r="H162" i="23"/>
  <c r="H157" i="23"/>
  <c r="E239" i="23"/>
  <c r="P239" i="23" s="1"/>
  <c r="E181" i="23"/>
  <c r="P181" i="23" s="1"/>
  <c r="E145" i="23"/>
  <c r="F167" i="23"/>
  <c r="F8" i="22"/>
  <c r="H172" i="23"/>
  <c r="H9" i="22"/>
  <c r="H48" i="22" s="1"/>
  <c r="L195" i="23"/>
  <c r="L196" i="23" s="1"/>
  <c r="K174" i="23"/>
  <c r="K11" i="22"/>
  <c r="K50" i="22" s="1"/>
  <c r="K142" i="23"/>
  <c r="K253" i="23" s="1"/>
  <c r="P192" i="23"/>
  <c r="O175" i="23"/>
  <c r="O12" i="22"/>
  <c r="J240" i="23"/>
  <c r="J182" i="23"/>
  <c r="J146" i="23"/>
  <c r="J163" i="23" s="1"/>
  <c r="L169" i="23"/>
  <c r="L10" i="22"/>
  <c r="L49" i="22" s="1"/>
  <c r="P109" i="23"/>
  <c r="D123" i="23"/>
  <c r="P140" i="23"/>
  <c r="P180" i="23"/>
  <c r="O167" i="23"/>
  <c r="O8" i="22"/>
  <c r="D193" i="23"/>
  <c r="D248" i="23"/>
  <c r="P248" i="23" s="1"/>
  <c r="D150" i="23"/>
  <c r="P119" i="23"/>
  <c r="E193" i="23"/>
  <c r="E228" i="23" s="1"/>
  <c r="E248" i="23"/>
  <c r="E150" i="23"/>
  <c r="N157" i="23"/>
  <c r="N162" i="23"/>
  <c r="N176" i="23" s="1"/>
  <c r="F175" i="23"/>
  <c r="F12" i="22"/>
  <c r="D116" i="23"/>
  <c r="P102" i="23"/>
  <c r="D125" i="23"/>
  <c r="P111" i="23"/>
  <c r="G162" i="23"/>
  <c r="G176" i="23" s="1"/>
  <c r="G157" i="23"/>
  <c r="D222" i="23"/>
  <c r="I169" i="23"/>
  <c r="I10" i="22"/>
  <c r="I49" i="22" s="1"/>
  <c r="P104" i="23"/>
  <c r="P118" i="23" s="1"/>
  <c r="P106" i="23"/>
  <c r="E121" i="23"/>
  <c r="E126" i="23" s="1"/>
  <c r="E142" i="23" s="1"/>
  <c r="E253" i="23" s="1"/>
  <c r="P107" i="23"/>
  <c r="I221" i="23"/>
  <c r="I197" i="23"/>
  <c r="H175" i="23"/>
  <c r="H12" i="22"/>
  <c r="M167" i="23"/>
  <c r="M8" i="22"/>
  <c r="H195" i="23"/>
  <c r="K197" i="23"/>
  <c r="K221" i="23"/>
  <c r="K162" i="23"/>
  <c r="K157" i="23"/>
  <c r="I142" i="23"/>
  <c r="I253" i="23" s="1"/>
  <c r="F233" i="23"/>
  <c r="F235" i="23" s="1"/>
  <c r="F236" i="23" s="1"/>
  <c r="F230" i="23"/>
  <c r="F231" i="23" s="1"/>
  <c r="H169" i="23"/>
  <c r="H10" i="22"/>
  <c r="H49" i="22" s="1"/>
  <c r="P247" i="23"/>
  <c r="D115" i="23"/>
  <c r="P101" i="23"/>
  <c r="D122" i="23"/>
  <c r="P108" i="23"/>
  <c r="M245" i="23"/>
  <c r="M148" i="23"/>
  <c r="M171" i="23" s="1"/>
  <c r="M190" i="23"/>
  <c r="M225" i="23" s="1"/>
  <c r="M234" i="23" s="1"/>
  <c r="L174" i="23"/>
  <c r="L11" i="22"/>
  <c r="L50" i="22" s="1"/>
  <c r="L167" i="23"/>
  <c r="L8" i="22"/>
  <c r="I195" i="23"/>
  <c r="I196" i="23" s="1"/>
  <c r="I217" i="23"/>
  <c r="D246" i="23"/>
  <c r="D149" i="23"/>
  <c r="D191" i="23"/>
  <c r="D249" i="23"/>
  <c r="D186" i="23"/>
  <c r="D151" i="23"/>
  <c r="P120" i="23"/>
  <c r="D124" i="23"/>
  <c r="P110" i="23"/>
  <c r="M197" i="23"/>
  <c r="M221" i="23"/>
  <c r="M233" i="23" s="1"/>
  <c r="M235" i="23" s="1"/>
  <c r="K167" i="23"/>
  <c r="K8" i="22"/>
  <c r="I175" i="23"/>
  <c r="I12" i="22"/>
  <c r="F221" i="23"/>
  <c r="F197" i="23"/>
  <c r="J167" i="23"/>
  <c r="J8" i="22"/>
  <c r="L162" i="23"/>
  <c r="L157" i="23"/>
  <c r="O169" i="23"/>
  <c r="O10" i="22"/>
  <c r="O49" i="22" s="1"/>
  <c r="O172" i="23"/>
  <c r="O9" i="22"/>
  <c r="O48" i="22" s="1"/>
  <c r="I162" i="23"/>
  <c r="I157" i="23"/>
  <c r="H8" i="22"/>
  <c r="H167" i="23"/>
  <c r="E241" i="23"/>
  <c r="E183" i="23"/>
  <c r="E219" i="23" s="1"/>
  <c r="E147" i="23"/>
  <c r="E164" i="23" s="1"/>
  <c r="F157" i="23"/>
  <c r="F162" i="23"/>
  <c r="N217" i="23"/>
  <c r="N195" i="23"/>
  <c r="N196" i="23" s="1"/>
  <c r="O221" i="23"/>
  <c r="O233" i="23" s="1"/>
  <c r="O235" i="23" s="1"/>
  <c r="O197" i="23"/>
  <c r="J246" i="23"/>
  <c r="J149" i="23"/>
  <c r="J191" i="23"/>
  <c r="J226" i="23" s="1"/>
  <c r="N174" i="23"/>
  <c r="N11" i="22"/>
  <c r="N50" i="22" s="1"/>
  <c r="E245" i="23"/>
  <c r="E148" i="23"/>
  <c r="E171" i="23" s="1"/>
  <c r="E190" i="23"/>
  <c r="E225" i="23" s="1"/>
  <c r="J169" i="23"/>
  <c r="J10" i="22"/>
  <c r="J49" i="22" s="1"/>
  <c r="E249" i="23"/>
  <c r="E186" i="23"/>
  <c r="E151" i="23"/>
  <c r="L221" i="23"/>
  <c r="L230" i="23" s="1"/>
  <c r="L231" i="23" s="1"/>
  <c r="L197" i="23"/>
  <c r="F172" i="23"/>
  <c r="F9" i="22"/>
  <c r="F48" i="22" s="1"/>
  <c r="F174" i="23"/>
  <c r="F11" i="22"/>
  <c r="F50" i="22" s="1"/>
  <c r="K169" i="23"/>
  <c r="K10" i="22"/>
  <c r="K49" i="22" s="1"/>
  <c r="J174" i="23"/>
  <c r="J11" i="22"/>
  <c r="J50" i="22" s="1"/>
  <c r="J221" i="23"/>
  <c r="O236" i="23" l="1"/>
  <c r="D228" i="23"/>
  <c r="P228" i="23" s="1"/>
  <c r="P193" i="23"/>
  <c r="E162" i="23"/>
  <c r="I233" i="23"/>
  <c r="I235" i="23" s="1"/>
  <c r="I236" i="23" s="1"/>
  <c r="I230" i="23"/>
  <c r="I231" i="23" s="1"/>
  <c r="J157" i="23"/>
  <c r="D225" i="23"/>
  <c r="P190" i="23"/>
  <c r="M195" i="23"/>
  <c r="M196" i="23" s="1"/>
  <c r="N233" i="23"/>
  <c r="N235" i="23" s="1"/>
  <c r="N230" i="23"/>
  <c r="N231" i="23" s="1"/>
  <c r="K47" i="22"/>
  <c r="K52" i="22" s="1"/>
  <c r="K13" i="22"/>
  <c r="K14" i="22" s="1"/>
  <c r="D251" i="23"/>
  <c r="P251" i="23" s="1"/>
  <c r="D153" i="23"/>
  <c r="D188" i="23"/>
  <c r="P122" i="23"/>
  <c r="N158" i="23"/>
  <c r="N177" i="23"/>
  <c r="G236" i="23"/>
  <c r="O177" i="23"/>
  <c r="O158" i="23"/>
  <c r="E197" i="23"/>
  <c r="E221" i="23"/>
  <c r="L233" i="23"/>
  <c r="L235" i="23" s="1"/>
  <c r="L236" i="23" s="1"/>
  <c r="H47" i="22"/>
  <c r="H52" i="22" s="1"/>
  <c r="H13" i="22"/>
  <c r="H14" i="22" s="1"/>
  <c r="L176" i="23"/>
  <c r="P249" i="23"/>
  <c r="M47" i="22"/>
  <c r="E174" i="23"/>
  <c r="E11" i="22"/>
  <c r="E50" i="22" s="1"/>
  <c r="J218" i="23"/>
  <c r="J195" i="23"/>
  <c r="J196" i="23" s="1"/>
  <c r="P145" i="23"/>
  <c r="J234" i="23"/>
  <c r="K230" i="23"/>
  <c r="K231" i="23" s="1"/>
  <c r="K233" i="23"/>
  <c r="K235" i="23" s="1"/>
  <c r="O176" i="23"/>
  <c r="L177" i="23"/>
  <c r="L158" i="23"/>
  <c r="L47" i="22"/>
  <c r="L52" i="22" s="1"/>
  <c r="L13" i="22"/>
  <c r="L14" i="22" s="1"/>
  <c r="E250" i="23"/>
  <c r="P250" i="23" s="1"/>
  <c r="E152" i="23"/>
  <c r="E157" i="23" s="1"/>
  <c r="E187" i="23"/>
  <c r="P121" i="23"/>
  <c r="O47" i="22"/>
  <c r="O52" i="22" s="1"/>
  <c r="O13" i="22"/>
  <c r="O14" i="22" s="1"/>
  <c r="M174" i="23"/>
  <c r="M11" i="22"/>
  <c r="M50" i="22" s="1"/>
  <c r="H231" i="23"/>
  <c r="K196" i="23"/>
  <c r="G47" i="22"/>
  <c r="G52" i="22" s="1"/>
  <c r="G13" i="22"/>
  <c r="G14" i="22" s="1"/>
  <c r="O230" i="23"/>
  <c r="O231" i="23" s="1"/>
  <c r="G177" i="23"/>
  <c r="G158" i="23"/>
  <c r="I158" i="23"/>
  <c r="J13" i="22"/>
  <c r="J14" i="22" s="1"/>
  <c r="J47" i="22"/>
  <c r="J52" i="22" s="1"/>
  <c r="P191" i="23"/>
  <c r="D226" i="23"/>
  <c r="P226" i="23" s="1"/>
  <c r="D252" i="23"/>
  <c r="P252" i="23" s="1"/>
  <c r="D194" i="23"/>
  <c r="D197" i="23" s="1"/>
  <c r="D156" i="23"/>
  <c r="P125" i="23"/>
  <c r="M157" i="23"/>
  <c r="J197" i="23"/>
  <c r="F158" i="23"/>
  <c r="P246" i="23"/>
  <c r="K158" i="23"/>
  <c r="D241" i="23"/>
  <c r="P241" i="23" s="1"/>
  <c r="D183" i="23"/>
  <c r="D147" i="23"/>
  <c r="P116" i="23"/>
  <c r="D154" i="23"/>
  <c r="P154" i="23" s="1"/>
  <c r="P123" i="23"/>
  <c r="H176" i="23"/>
  <c r="P148" i="23"/>
  <c r="D171" i="23"/>
  <c r="P171" i="23" s="1"/>
  <c r="M230" i="23"/>
  <c r="M231" i="23" s="1"/>
  <c r="N47" i="22"/>
  <c r="N52" i="22" s="1"/>
  <c r="N13" i="22"/>
  <c r="N14" i="22" s="1"/>
  <c r="P151" i="23"/>
  <c r="D167" i="23"/>
  <c r="D8" i="22"/>
  <c r="M169" i="23"/>
  <c r="M176" i="23" s="1"/>
  <c r="M10" i="22"/>
  <c r="M49" i="22" s="1"/>
  <c r="E167" i="23"/>
  <c r="E8" i="22"/>
  <c r="P186" i="23"/>
  <c r="D221" i="23"/>
  <c r="P221" i="23" s="1"/>
  <c r="H196" i="23"/>
  <c r="E217" i="23"/>
  <c r="E195" i="23"/>
  <c r="E196" i="23" s="1"/>
  <c r="J172" i="23"/>
  <c r="J176" i="23" s="1"/>
  <c r="J9" i="22"/>
  <c r="J48" i="22" s="1"/>
  <c r="F176" i="23"/>
  <c r="F177" i="23" s="1"/>
  <c r="I176" i="23"/>
  <c r="I177" i="23" s="1"/>
  <c r="D172" i="23"/>
  <c r="P149" i="23"/>
  <c r="D9" i="22"/>
  <c r="H177" i="23"/>
  <c r="H158" i="23"/>
  <c r="H236" i="23"/>
  <c r="E234" i="23"/>
  <c r="D155" i="23"/>
  <c r="P155" i="23" s="1"/>
  <c r="P124" i="23"/>
  <c r="D240" i="23"/>
  <c r="P240" i="23" s="1"/>
  <c r="D146" i="23"/>
  <c r="P115" i="23"/>
  <c r="D182" i="23"/>
  <c r="D126" i="23"/>
  <c r="K176" i="23"/>
  <c r="K177" i="23" s="1"/>
  <c r="P150" i="23"/>
  <c r="D174" i="23"/>
  <c r="D11" i="22"/>
  <c r="F47" i="22"/>
  <c r="F52" i="22" s="1"/>
  <c r="F13" i="22"/>
  <c r="F14" i="22" s="1"/>
  <c r="I13" i="22"/>
  <c r="I14" i="22" s="1"/>
  <c r="I47" i="22"/>
  <c r="I52" i="22" s="1"/>
  <c r="E169" i="23"/>
  <c r="E10" i="22"/>
  <c r="E49" i="22" s="1"/>
  <c r="P245" i="23"/>
  <c r="F196" i="23"/>
  <c r="E158" i="23" l="1"/>
  <c r="D142" i="23"/>
  <c r="D253" i="23" s="1"/>
  <c r="P253" i="23" s="1"/>
  <c r="P126" i="23"/>
  <c r="P142" i="23" s="1"/>
  <c r="E13" i="22"/>
  <c r="E14" i="22" s="1"/>
  <c r="E47" i="22"/>
  <c r="E52" i="22" s="1"/>
  <c r="D219" i="23"/>
  <c r="P219" i="23" s="1"/>
  <c r="P183" i="23"/>
  <c r="N236" i="23"/>
  <c r="D163" i="23"/>
  <c r="P146" i="23"/>
  <c r="D157" i="23"/>
  <c r="D48" i="22"/>
  <c r="P48" i="22" s="1"/>
  <c r="P9" i="22"/>
  <c r="P217" i="23"/>
  <c r="D223" i="23"/>
  <c r="P223" i="23" s="1"/>
  <c r="P188" i="23"/>
  <c r="P197" i="23" s="1"/>
  <c r="D50" i="22"/>
  <c r="P50" i="22" s="1"/>
  <c r="P11" i="22"/>
  <c r="P174" i="23"/>
  <c r="P172" i="23"/>
  <c r="P8" i="22"/>
  <c r="D47" i="22"/>
  <c r="P156" i="23"/>
  <c r="D175" i="23"/>
  <c r="P175" i="23" s="1"/>
  <c r="D12" i="22"/>
  <c r="P12" i="22" s="1"/>
  <c r="P162" i="23"/>
  <c r="E222" i="23"/>
  <c r="P222" i="23" s="1"/>
  <c r="P187" i="23"/>
  <c r="K236" i="23"/>
  <c r="M13" i="22"/>
  <c r="M14" i="22" s="1"/>
  <c r="D169" i="23"/>
  <c r="P169" i="23" s="1"/>
  <c r="P153" i="23"/>
  <c r="D10" i="22"/>
  <c r="P225" i="23"/>
  <c r="D234" i="23"/>
  <c r="P234" i="23" s="1"/>
  <c r="P182" i="23"/>
  <c r="D218" i="23"/>
  <c r="D195" i="23"/>
  <c r="D196" i="23" s="1"/>
  <c r="P147" i="23"/>
  <c r="D164" i="23"/>
  <c r="P164" i="23" s="1"/>
  <c r="M177" i="23"/>
  <c r="M158" i="23"/>
  <c r="J233" i="23"/>
  <c r="J235" i="23" s="1"/>
  <c r="J236" i="23" s="1"/>
  <c r="J230" i="23"/>
  <c r="J231" i="23" s="1"/>
  <c r="P167" i="23"/>
  <c r="P194" i="23"/>
  <c r="D229" i="23"/>
  <c r="P229" i="23" s="1"/>
  <c r="E168" i="23"/>
  <c r="P168" i="23" s="1"/>
  <c r="P152" i="23"/>
  <c r="M52" i="22"/>
  <c r="J177" i="23"/>
  <c r="J158" i="23"/>
  <c r="M236" i="23"/>
  <c r="E230" i="23" l="1"/>
  <c r="E231" i="23" s="1"/>
  <c r="E233" i="23"/>
  <c r="E235" i="23" s="1"/>
  <c r="P10" i="22"/>
  <c r="P13" i="22" s="1"/>
  <c r="P14" i="22" s="1"/>
  <c r="D49" i="22"/>
  <c r="P49" i="22" s="1"/>
  <c r="P157" i="23"/>
  <c r="D158" i="23"/>
  <c r="D13" i="22"/>
  <c r="D14" i="22" s="1"/>
  <c r="P218" i="23"/>
  <c r="D230" i="23"/>
  <c r="D231" i="23" s="1"/>
  <c r="D233" i="23"/>
  <c r="D52" i="22"/>
  <c r="P47" i="22"/>
  <c r="P52" i="22" s="1"/>
  <c r="E176" i="23"/>
  <c r="E177" i="23" s="1"/>
  <c r="P163" i="23"/>
  <c r="P176" i="23" s="1"/>
  <c r="D176" i="23"/>
  <c r="D177" i="23" s="1"/>
  <c r="P195" i="23"/>
  <c r="P196" i="23" s="1"/>
  <c r="P230" i="23"/>
  <c r="P231" i="23" s="1"/>
  <c r="P177" i="23" l="1"/>
  <c r="P158" i="23"/>
  <c r="P233" i="23"/>
  <c r="P235" i="23" s="1"/>
  <c r="P236" i="23" s="1"/>
  <c r="D235" i="23"/>
  <c r="D236" i="23" s="1"/>
  <c r="E236" i="23"/>
  <c r="E27" i="21" l="1"/>
  <c r="F39" i="21"/>
  <c r="E26" i="21"/>
  <c r="A14" i="2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A43" i="21" s="1"/>
  <c r="A44" i="21" s="1"/>
  <c r="A45" i="21" s="1"/>
  <c r="A46" i="21" s="1"/>
  <c r="A47" i="21" s="1"/>
  <c r="A48" i="21" s="1"/>
  <c r="A49" i="21" s="1"/>
  <c r="A50" i="21" s="1"/>
  <c r="A51" i="21" s="1"/>
  <c r="E19" i="21" l="1"/>
  <c r="E25" i="21"/>
  <c r="E24" i="21"/>
  <c r="E23" i="21"/>
  <c r="E22" i="21"/>
  <c r="E21" i="21"/>
  <c r="E20" i="21"/>
  <c r="E18" i="21"/>
  <c r="C28" i="21"/>
  <c r="E17" i="21"/>
  <c r="E16" i="21"/>
  <c r="D28" i="21"/>
  <c r="E28" i="21" l="1"/>
  <c r="F35" i="21" l="1"/>
  <c r="E42" i="21" l="1"/>
  <c r="E45" i="21"/>
  <c r="F46" i="21" s="1"/>
  <c r="E41" i="21"/>
  <c r="F43" i="21" l="1"/>
  <c r="F48" i="21" s="1"/>
  <c r="F50" i="21" s="1"/>
  <c r="F51" i="21" s="1"/>
</calcChain>
</file>

<file path=xl/comments1.xml><?xml version="1.0" encoding="utf-8"?>
<comments xmlns="http://schemas.openxmlformats.org/spreadsheetml/2006/main">
  <authors>
    <author>Kelly Xu</author>
  </authors>
  <commentList>
    <comment ref="B8" authorId="0" shapeId="0">
      <text>
        <r>
          <rPr>
            <b/>
            <sz val="10"/>
            <color indexed="81"/>
            <rFont val="Tahoma"/>
            <family val="2"/>
          </rPr>
          <t>Kelly Xu:</t>
        </r>
        <r>
          <rPr>
            <sz val="10"/>
            <color indexed="81"/>
            <rFont val="Tahoma"/>
            <family val="2"/>
          </rPr>
          <t xml:space="preserve">
Therms from the UBR report</t>
        </r>
      </text>
    </comment>
  </commentList>
</comments>
</file>

<file path=xl/sharedStrings.xml><?xml version="1.0" encoding="utf-8"?>
<sst xmlns="http://schemas.openxmlformats.org/spreadsheetml/2006/main" count="383" uniqueCount="138">
  <si>
    <t>Puget Sound Energy</t>
  </si>
  <si>
    <t>Rate Class</t>
  </si>
  <si>
    <t>Rate Sch.</t>
  </si>
  <si>
    <t>Total</t>
  </si>
  <si>
    <t>Calendarized Volume According to Unbilled Report (Therms)</t>
  </si>
  <si>
    <t>Residential lamps</t>
  </si>
  <si>
    <t>Residential</t>
  </si>
  <si>
    <t>Propane</t>
  </si>
  <si>
    <t>General service - commercial</t>
  </si>
  <si>
    <t>Large volume - commercial</t>
  </si>
  <si>
    <t>Emergency Compressed Nature Gas Service</t>
  </si>
  <si>
    <t>Interruptible with firm option - com</t>
  </si>
  <si>
    <t>Limited interrupt w/ firm option - com</t>
  </si>
  <si>
    <t>Non-exclus interrupt/firm option - com</t>
  </si>
  <si>
    <t>General service - industrial</t>
  </si>
  <si>
    <t>Large volume - industrial</t>
  </si>
  <si>
    <t>Interruptible with firm option - ind</t>
  </si>
  <si>
    <t>Limited interrupt w/ firm option - ind</t>
  </si>
  <si>
    <t>Non-excl interrupt w/ firm option - ind</t>
  </si>
  <si>
    <t>Trans.  - commercial</t>
  </si>
  <si>
    <t>31T</t>
  </si>
  <si>
    <t>Trans. large volume - commercial</t>
  </si>
  <si>
    <t>41T</t>
  </si>
  <si>
    <t>Trans. interrupt with firm option - com</t>
  </si>
  <si>
    <t>85T</t>
  </si>
  <si>
    <t>86T</t>
  </si>
  <si>
    <t>Trans. non-exclus inter w/ firm option - com</t>
  </si>
  <si>
    <t>87T</t>
  </si>
  <si>
    <t>Trans. large volume - industrial</t>
  </si>
  <si>
    <t>Trans. interrupt with firm option - ind</t>
  </si>
  <si>
    <t>Trans. limited interrupt w/ firm option - ind</t>
  </si>
  <si>
    <t>Trans. non-exclus inter w/ firm option - ind</t>
  </si>
  <si>
    <t>Special contracts - ind</t>
  </si>
  <si>
    <t>SC</t>
  </si>
  <si>
    <t>Total sales &amp; transportation volume</t>
  </si>
  <si>
    <t>Subtotal transportation</t>
  </si>
  <si>
    <t>Customer Counts</t>
  </si>
  <si>
    <t>Standby &amp; auxiliary heating - res</t>
  </si>
  <si>
    <t xml:space="preserve">General service - commercial </t>
  </si>
  <si>
    <t xml:space="preserve">Large volume - commercial </t>
  </si>
  <si>
    <t>Standby &amp; auxiliary heating - com</t>
  </si>
  <si>
    <t>Non-excl interrupt w/ firm option - com</t>
  </si>
  <si>
    <t>Standby &amp; auxiliary heating - ind</t>
  </si>
  <si>
    <t>Trans. limited interrupt w/ firm option - com</t>
  </si>
  <si>
    <t>Trans.  - industrial</t>
  </si>
  <si>
    <t>Usage Per Customer (Therms)</t>
  </si>
  <si>
    <t>Weather Data</t>
  </si>
  <si>
    <t>Actual heating degree days (HDD)</t>
  </si>
  <si>
    <t>Normal heating degree days (HDD)</t>
  </si>
  <si>
    <t>Difference (actual - normal HDD)</t>
  </si>
  <si>
    <t>Weather Normalization Coefficients</t>
  </si>
  <si>
    <t>Weather Normalized Usage per Customer (Therms)</t>
  </si>
  <si>
    <t>Weather Normalized Volume - Rate Class Analysis (Therms)</t>
  </si>
  <si>
    <t>Total weather normalized portion of volume</t>
  </si>
  <si>
    <t>Weather Adjustment to Volume - Rate Class Analysis (Therms)</t>
  </si>
  <si>
    <t>Total adjustment</t>
  </si>
  <si>
    <t>Percent change</t>
  </si>
  <si>
    <t>Weather Adjustment to Volume - System Level Analysis Spread to Rate Classes (Therms)</t>
  </si>
  <si>
    <t>Residential lights</t>
  </si>
  <si>
    <t>Trans. - commercial</t>
  </si>
  <si>
    <t>Trans. limited interrupt w/ firm option - Com</t>
  </si>
  <si>
    <t>Total other volume</t>
  </si>
  <si>
    <t>Total weather normalized volume</t>
  </si>
  <si>
    <t>Weather Adjustment by Rate Class (Therms)</t>
  </si>
  <si>
    <t>Residential (16)</t>
  </si>
  <si>
    <t>Residential (23,53)</t>
  </si>
  <si>
    <t>Commercial &amp; industrial (31)</t>
  </si>
  <si>
    <t>Large volume (41)</t>
  </si>
  <si>
    <t>Compressed natural gas (50)</t>
  </si>
  <si>
    <t>Standby &amp; auxiliary heating (61)</t>
  </si>
  <si>
    <t>Interruptible (85)</t>
  </si>
  <si>
    <t>Limited interruptible (86)</t>
  </si>
  <si>
    <t>Non exclusive interruptible (87)</t>
  </si>
  <si>
    <t>Trans. General services (31T)</t>
  </si>
  <si>
    <t>Trans. large volume (41T)</t>
  </si>
  <si>
    <t>Trans. interrupt with firm option (85T)</t>
  </si>
  <si>
    <t>Trans. limited interrupt w/ firm option - ind (86T)</t>
  </si>
  <si>
    <t>Trans. non-exclus inter w/firm option (87T)</t>
  </si>
  <si>
    <t>Contracts</t>
  </si>
  <si>
    <t>Check</t>
  </si>
  <si>
    <t>Summary of Weather Normalized Volume by Rate Class (Therms)</t>
  </si>
  <si>
    <t>Trans. limited interrupt w/ firm option (86T)</t>
  </si>
  <si>
    <t>Total sales and transport volume</t>
  </si>
  <si>
    <t>Summary of Customer Counts by Rate Groups</t>
  </si>
  <si>
    <t xml:space="preserve">Residential (16,23,53) </t>
  </si>
  <si>
    <t>Standby service (61)</t>
  </si>
  <si>
    <t>Total customer counts</t>
  </si>
  <si>
    <t>Summary of Weather Normalized Volume by Rate Groups (Therms)</t>
  </si>
  <si>
    <t>Total sales volume</t>
  </si>
  <si>
    <t>Total transportation volume</t>
  </si>
  <si>
    <t>Weather Normalized Usage Per Customer (Therms)</t>
  </si>
  <si>
    <t>Residential &amp; residential propane</t>
  </si>
  <si>
    <t>General service - commercial &amp; industrial</t>
  </si>
  <si>
    <t xml:space="preserve">Large volume </t>
  </si>
  <si>
    <t xml:space="preserve">Interruptible with firm option </t>
  </si>
  <si>
    <t xml:space="preserve">Limited interrupt w/ firm option </t>
  </si>
  <si>
    <t xml:space="preserve">Non-exclus interrupt/firm option </t>
  </si>
  <si>
    <t>Gas Weather Normalization Revenue Calculation</t>
  </si>
  <si>
    <t>Non-Decoupled Rate Schedules ** For CBR and Earnings Test **</t>
  </si>
  <si>
    <t>Rates</t>
  </si>
  <si>
    <t>Total Delivery Charge</t>
  </si>
  <si>
    <t>Weather Adjustment to Margin Revenue</t>
  </si>
  <si>
    <t>Gas Weather Normalization of Volume (Therms)</t>
  </si>
  <si>
    <t>Total sales &amp; transp. vol. Sch. (85,87,85T &amp; 87T) &amp; Special Contracts</t>
  </si>
  <si>
    <t>Total sales &amp; transp. vol Sch. (85,87,85T &amp; 87T) &amp; Special Contracts</t>
  </si>
  <si>
    <t>PAGE 3.01</t>
  </si>
  <si>
    <t xml:space="preserve"> </t>
  </si>
  <si>
    <t xml:space="preserve">PUGET SOUND ENERGY-GAS </t>
  </si>
  <si>
    <t>TEMPERATURE NORMALIZATION</t>
  </si>
  <si>
    <t>COMMISSION BASIS REPORT</t>
  </si>
  <si>
    <t>LINE</t>
  </si>
  <si>
    <t>NO.</t>
  </si>
  <si>
    <t>DESCRIPTION</t>
  </si>
  <si>
    <t>ACTUAL</t>
  </si>
  <si>
    <t>NORMALIZED</t>
  </si>
  <si>
    <t>ADJUSTMENT</t>
  </si>
  <si>
    <t>TEMPERATURE NORMALIZATION ADJUSTMENT:</t>
  </si>
  <si>
    <t>TEMP ADJ</t>
  </si>
  <si>
    <t>THERMS</t>
  </si>
  <si>
    <t>CHANGE</t>
  </si>
  <si>
    <t>REVENUE ADJUSTMENT:</t>
  </si>
  <si>
    <t>INCREASE (DECREASE) SALES TO CUSTOMERS</t>
  </si>
  <si>
    <t>OPERATING EXPENSES</t>
  </si>
  <si>
    <t>PURCHASED GAS COSTS</t>
  </si>
  <si>
    <t>UNCOLLECTIBLES @</t>
  </si>
  <si>
    <t>ANNUAL FILING FEE @</t>
  </si>
  <si>
    <t>INCREASE (DECREASE) EXPENSES</t>
  </si>
  <si>
    <t>STATE UTILITY TAX @</t>
  </si>
  <si>
    <t>INCREASE (DECREASE) TAXES OTHER</t>
  </si>
  <si>
    <t>INCREASE (DECREASE) INCOME</t>
  </si>
  <si>
    <t>INCREASE (DECREASE) FIT @</t>
  </si>
  <si>
    <t>INCREASE (DECREASE) NOI</t>
  </si>
  <si>
    <t>FOR THE TWELVE MONTHS ENDED DECEMBER 31, 2023</t>
  </si>
  <si>
    <t>12 Months Ended December 31, 2023</t>
  </si>
  <si>
    <t>Base Delivery Charge</t>
  </si>
  <si>
    <t>Schedule 141D Dist. Pipe Provisional</t>
  </si>
  <si>
    <t>Schedule 141N Not Subject to Refund</t>
  </si>
  <si>
    <t>Schedule 141R Subject to Refund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</si>
</sst>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0.0%"/>
    <numFmt numFmtId="166" formatCode="_(* #,##0_);_(* \(#,##0\);_(* &quot;-&quot;??_);_(@_)"/>
    <numFmt numFmtId="167" formatCode="_(* #,##0.000000_);_(* \(#,##0.000000\);_(* &quot;-&quot;??_);_(@_)"/>
    <numFmt numFmtId="168" formatCode="0.000000"/>
    <numFmt numFmtId="169" formatCode="0.0000"/>
    <numFmt numFmtId="170" formatCode="0.00000"/>
    <numFmt numFmtId="171" formatCode="_(&quot;$&quot;* #,##0_);_(&quot;$&quot;* \(#,##0\);_(&quot;$&quot;* &quot;-&quot;??_);_(@_)"/>
    <numFmt numFmtId="172" formatCode="_(&quot;$&quot;* #,##0.00000_);_(&quot;$&quot;* \(#,##0.00000\);_(&quot;$&quot;* &quot;-&quot;??????_);_(@_)"/>
    <numFmt numFmtId="173" formatCode="0.000000%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0000FF"/>
      <name val="Arial"/>
      <family val="2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indexed="12"/>
      <name val="Calibri"/>
      <family val="2"/>
      <scheme val="minor"/>
    </font>
    <font>
      <sz val="10"/>
      <color indexed="12"/>
      <name val="Arial"/>
      <family val="2"/>
    </font>
    <font>
      <sz val="10"/>
      <color rgb="FFFF0000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10"/>
      <color rgb="FF008080"/>
      <name val="Arial"/>
      <family val="2"/>
    </font>
    <font>
      <sz val="10"/>
      <color theme="1"/>
      <name val="Arial"/>
      <family val="2"/>
    </font>
    <font>
      <b/>
      <sz val="10"/>
      <color rgb="FF0000FF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u/>
      <sz val="10"/>
      <name val="Times New Roman"/>
      <family val="1"/>
    </font>
    <font>
      <u/>
      <sz val="10"/>
      <name val="Times New Roman"/>
      <family val="1"/>
    </font>
    <font>
      <sz val="10"/>
      <color indexed="10"/>
      <name val="Times New Roman"/>
      <family val="1"/>
    </font>
    <font>
      <b/>
      <sz val="10"/>
      <color indexed="10"/>
      <name val="Times New Roman"/>
      <family val="1"/>
    </font>
    <font>
      <sz val="10"/>
      <color theme="1"/>
      <name val="Times New Roman"/>
      <family val="1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1" fillId="0" borderId="0"/>
    <xf numFmtId="169" fontId="1" fillId="0" borderId="0">
      <alignment horizontal="left" wrapText="1"/>
    </xf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horizontal="left" wrapText="1"/>
    </xf>
  </cellStyleXfs>
  <cellXfs count="163">
    <xf numFmtId="0" fontId="0" fillId="0" borderId="0" xfId="0"/>
    <xf numFmtId="0" fontId="1" fillId="0" borderId="0" xfId="0" applyFont="1" applyAlignment="1">
      <alignment horizontal="centerContinuous"/>
    </xf>
    <xf numFmtId="0" fontId="1" fillId="0" borderId="0" xfId="0" applyFont="1"/>
    <xf numFmtId="0" fontId="2" fillId="0" borderId="0" xfId="0" applyFont="1" applyAlignment="1">
      <alignment horizontal="centerContinuous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4" fontId="1" fillId="0" borderId="0" xfId="0" applyNumberFormat="1" applyFont="1"/>
    <xf numFmtId="0" fontId="1" fillId="0" borderId="0" xfId="0" applyFont="1" applyFill="1"/>
    <xf numFmtId="0" fontId="1" fillId="0" borderId="0" xfId="0" applyFont="1" applyFill="1" applyAlignment="1">
      <alignment horizontal="right"/>
    </xf>
    <xf numFmtId="3" fontId="3" fillId="0" borderId="0" xfId="0" applyNumberFormat="1" applyFont="1" applyFill="1"/>
    <xf numFmtId="3" fontId="1" fillId="0" borderId="0" xfId="0" applyNumberFormat="1" applyFont="1" applyFill="1"/>
    <xf numFmtId="9" fontId="1" fillId="0" borderId="0" xfId="0" applyNumberFormat="1" applyFont="1" applyFill="1"/>
    <xf numFmtId="165" fontId="1" fillId="0" borderId="0" xfId="0" applyNumberFormat="1" applyFont="1" applyFill="1"/>
    <xf numFmtId="0" fontId="1" fillId="0" borderId="0" xfId="0" applyFont="1" applyAlignment="1">
      <alignment horizontal="right"/>
    </xf>
    <xf numFmtId="0" fontId="1" fillId="0" borderId="0" xfId="0" applyFont="1" applyFill="1" applyBorder="1"/>
    <xf numFmtId="0" fontId="0" fillId="0" borderId="0" xfId="0" applyFont="1" applyFill="1" applyBorder="1" applyAlignment="1">
      <alignment horizontal="right"/>
    </xf>
    <xf numFmtId="3" fontId="3" fillId="0" borderId="0" xfId="0" applyNumberFormat="1" applyFont="1" applyFill="1" applyBorder="1"/>
    <xf numFmtId="3" fontId="1" fillId="0" borderId="1" xfId="0" applyNumberFormat="1" applyFont="1" applyFill="1" applyBorder="1"/>
    <xf numFmtId="3" fontId="1" fillId="0" borderId="0" xfId="0" applyNumberFormat="1" applyFont="1" applyFill="1" applyBorder="1"/>
    <xf numFmtId="3" fontId="1" fillId="0" borderId="2" xfId="0" applyNumberFormat="1" applyFont="1" applyFill="1" applyBorder="1"/>
    <xf numFmtId="3" fontId="1" fillId="0" borderId="0" xfId="0" applyNumberFormat="1" applyFont="1"/>
    <xf numFmtId="166" fontId="4" fillId="0" borderId="0" xfId="0" applyNumberFormat="1" applyFont="1" applyFill="1"/>
    <xf numFmtId="0" fontId="4" fillId="0" borderId="0" xfId="0" applyFont="1" applyFill="1"/>
    <xf numFmtId="0" fontId="5" fillId="0" borderId="0" xfId="0" applyFont="1" applyFill="1"/>
    <xf numFmtId="3" fontId="6" fillId="0" borderId="0" xfId="0" applyNumberFormat="1" applyFont="1" applyFill="1" applyBorder="1"/>
    <xf numFmtId="0" fontId="0" fillId="0" borderId="0" xfId="0" applyFont="1" applyBorder="1" applyAlignment="1">
      <alignment horizontal="right"/>
    </xf>
    <xf numFmtId="3" fontId="1" fillId="0" borderId="0" xfId="0" applyNumberFormat="1" applyFont="1" applyBorder="1"/>
    <xf numFmtId="0" fontId="1" fillId="0" borderId="0" xfId="0" applyFont="1" applyBorder="1"/>
    <xf numFmtId="9" fontId="1" fillId="0" borderId="0" xfId="0" applyNumberFormat="1" applyFont="1" applyFill="1" applyBorder="1"/>
    <xf numFmtId="167" fontId="7" fillId="0" borderId="0" xfId="0" applyNumberFormat="1" applyFont="1" applyFill="1"/>
    <xf numFmtId="168" fontId="7" fillId="0" borderId="0" xfId="0" applyNumberFormat="1" applyFont="1" applyFill="1"/>
    <xf numFmtId="169" fontId="7" fillId="0" borderId="0" xfId="0" applyNumberFormat="1" applyFont="1" applyFill="1"/>
    <xf numFmtId="167" fontId="7" fillId="0" borderId="0" xfId="0" applyNumberFormat="1" applyFont="1" applyFill="1" applyBorder="1"/>
    <xf numFmtId="170" fontId="7" fillId="0" borderId="0" xfId="0" applyNumberFormat="1" applyFont="1" applyFill="1" applyBorder="1"/>
    <xf numFmtId="168" fontId="7" fillId="0" borderId="0" xfId="0" applyNumberFormat="1" applyFont="1" applyFill="1" applyBorder="1"/>
    <xf numFmtId="3" fontId="1" fillId="0" borderId="1" xfId="0" applyNumberFormat="1" applyFont="1" applyBorder="1"/>
    <xf numFmtId="3" fontId="1" fillId="0" borderId="2" xfId="0" applyNumberFormat="1" applyFont="1" applyBorder="1"/>
    <xf numFmtId="0" fontId="2" fillId="0" borderId="0" xfId="0" applyFont="1" applyFill="1"/>
    <xf numFmtId="165" fontId="1" fillId="0" borderId="0" xfId="0" applyNumberFormat="1" applyFont="1" applyFill="1" applyBorder="1"/>
    <xf numFmtId="0" fontId="1" fillId="0" borderId="0" xfId="0" applyFont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3" fontId="8" fillId="0" borderId="0" xfId="0" applyNumberFormat="1" applyFont="1" applyBorder="1"/>
    <xf numFmtId="0" fontId="8" fillId="0" borderId="0" xfId="0" applyFont="1" applyFill="1" applyBorder="1" applyAlignment="1">
      <alignment horizontal="left"/>
    </xf>
    <xf numFmtId="3" fontId="8" fillId="0" borderId="0" xfId="0" applyNumberFormat="1" applyFont="1" applyFill="1" applyBorder="1"/>
    <xf numFmtId="0" fontId="2" fillId="0" borderId="0" xfId="0" applyFont="1" applyAlignment="1">
      <alignment horizontal="left"/>
    </xf>
    <xf numFmtId="3" fontId="1" fillId="0" borderId="0" xfId="0" applyNumberFormat="1" applyFont="1" applyFill="1" applyAlignment="1"/>
    <xf numFmtId="0" fontId="1" fillId="0" borderId="0" xfId="0" applyFont="1" applyBorder="1" applyAlignment="1">
      <alignment horizontal="center"/>
    </xf>
    <xf numFmtId="164" fontId="1" fillId="0" borderId="0" xfId="0" applyNumberFormat="1" applyFont="1" applyFill="1" applyBorder="1" applyAlignment="1">
      <alignment horizontal="center" wrapText="1"/>
    </xf>
    <xf numFmtId="166" fontId="1" fillId="0" borderId="0" xfId="0" applyNumberFormat="1" applyFont="1" applyFill="1"/>
    <xf numFmtId="166" fontId="1" fillId="0" borderId="1" xfId="0" applyNumberFormat="1" applyFont="1" applyFill="1" applyBorder="1"/>
    <xf numFmtId="0" fontId="12" fillId="0" borderId="0" xfId="0" applyFont="1"/>
    <xf numFmtId="166" fontId="12" fillId="0" borderId="0" xfId="0" applyNumberFormat="1" applyFont="1"/>
    <xf numFmtId="3" fontId="12" fillId="0" borderId="0" xfId="0" applyNumberFormat="1" applyFont="1"/>
    <xf numFmtId="171" fontId="1" fillId="0" borderId="0" xfId="0" applyNumberFormat="1" applyFont="1" applyFill="1"/>
    <xf numFmtId="171" fontId="12" fillId="0" borderId="2" xfId="0" applyNumberFormat="1" applyFont="1" applyBorder="1"/>
    <xf numFmtId="0" fontId="1" fillId="0" borderId="1" xfId="0" applyFont="1" applyBorder="1"/>
    <xf numFmtId="166" fontId="11" fillId="0" borderId="0" xfId="0" applyNumberFormat="1" applyFont="1" applyFill="1"/>
    <xf numFmtId="166" fontId="11" fillId="0" borderId="1" xfId="0" applyNumberFormat="1" applyFont="1" applyFill="1" applyBorder="1"/>
    <xf numFmtId="166" fontId="8" fillId="0" borderId="0" xfId="0" applyNumberFormat="1" applyFont="1"/>
    <xf numFmtId="172" fontId="1" fillId="0" borderId="0" xfId="0" applyNumberFormat="1" applyFont="1" applyFill="1"/>
    <xf numFmtId="172" fontId="1" fillId="0" borderId="2" xfId="0" applyNumberFormat="1" applyFont="1" applyFill="1" applyBorder="1"/>
    <xf numFmtId="172" fontId="3" fillId="0" borderId="0" xfId="0" applyNumberFormat="1" applyFont="1" applyFill="1"/>
    <xf numFmtId="43" fontId="8" fillId="0" borderId="0" xfId="0" applyNumberFormat="1" applyFont="1"/>
    <xf numFmtId="14" fontId="1" fillId="0" borderId="0" xfId="0" applyNumberFormat="1" applyFont="1" applyFill="1"/>
    <xf numFmtId="0" fontId="1" fillId="0" borderId="0" xfId="0" applyFont="1" applyAlignment="1">
      <alignment horizontal="center"/>
    </xf>
    <xf numFmtId="168" fontId="14" fillId="0" borderId="0" xfId="2" applyNumberFormat="1" applyFont="1" applyFill="1">
      <alignment horizontal="left" wrapText="1"/>
    </xf>
    <xf numFmtId="168" fontId="15" fillId="0" borderId="0" xfId="2" applyNumberFormat="1" applyFont="1" applyFill="1">
      <alignment horizontal="left" wrapText="1"/>
    </xf>
    <xf numFmtId="168" fontId="14" fillId="0" borderId="0" xfId="2" applyNumberFormat="1" applyFont="1" applyFill="1" applyAlignment="1">
      <alignment horizontal="right"/>
    </xf>
    <xf numFmtId="0" fontId="15" fillId="0" borderId="0" xfId="3" applyFont="1"/>
    <xf numFmtId="168" fontId="14" fillId="0" borderId="3" xfId="2" applyNumberFormat="1" applyFont="1" applyFill="1" applyBorder="1" applyAlignment="1">
      <alignment horizontal="right"/>
    </xf>
    <xf numFmtId="168" fontId="14" fillId="0" borderId="0" xfId="2" applyNumberFormat="1" applyFont="1" applyFill="1" applyAlignment="1" applyProtection="1">
      <alignment horizontal="centerContinuous"/>
      <protection locked="0"/>
    </xf>
    <xf numFmtId="168" fontId="14" fillId="0" borderId="0" xfId="2" applyNumberFormat="1" applyFont="1" applyFill="1" applyAlignment="1">
      <alignment horizontal="centerContinuous"/>
    </xf>
    <xf numFmtId="15" fontId="16" fillId="0" borderId="0" xfId="2" applyNumberFormat="1" applyFont="1" applyFill="1" applyAlignment="1">
      <alignment horizontal="centerContinuous"/>
    </xf>
    <xf numFmtId="18" fontId="14" fillId="0" borderId="0" xfId="2" applyNumberFormat="1" applyFont="1" applyFill="1" applyAlignment="1">
      <alignment horizontal="centerContinuous"/>
    </xf>
    <xf numFmtId="168" fontId="14" fillId="0" borderId="0" xfId="2" applyNumberFormat="1" applyFont="1" applyFill="1" applyAlignment="1" applyProtection="1">
      <alignment horizontal="center"/>
      <protection locked="0"/>
    </xf>
    <xf numFmtId="168" fontId="14" fillId="0" borderId="0" xfId="2" applyNumberFormat="1" applyFont="1" applyFill="1" applyAlignment="1" applyProtection="1">
      <alignment horizontal="left"/>
      <protection locked="0"/>
    </xf>
    <xf numFmtId="0" fontId="15" fillId="0" borderId="0" xfId="3" applyFont="1" applyAlignment="1"/>
    <xf numFmtId="168" fontId="14" fillId="0" borderId="1" xfId="2" applyNumberFormat="1" applyFont="1" applyFill="1" applyBorder="1" applyAlignment="1" applyProtection="1">
      <alignment horizontal="center"/>
      <protection locked="0"/>
    </xf>
    <xf numFmtId="168" fontId="14" fillId="0" borderId="1" xfId="2" applyNumberFormat="1" applyFont="1" applyFill="1" applyBorder="1" applyAlignment="1">
      <alignment horizontal="left"/>
    </xf>
    <xf numFmtId="0" fontId="14" fillId="0" borderId="1" xfId="2" applyNumberFormat="1" applyFont="1" applyFill="1" applyBorder="1" applyAlignment="1" applyProtection="1">
      <alignment horizontal="center"/>
      <protection locked="0"/>
    </xf>
    <xf numFmtId="168" fontId="15" fillId="0" borderId="0" xfId="2" applyNumberFormat="1" applyFont="1" applyFill="1" applyAlignment="1">
      <alignment horizontal="center"/>
    </xf>
    <xf numFmtId="168" fontId="17" fillId="0" borderId="0" xfId="2" applyNumberFormat="1" applyFont="1" applyFill="1" applyBorder="1">
      <alignment horizontal="left" wrapText="1"/>
    </xf>
    <xf numFmtId="168" fontId="15" fillId="0" borderId="0" xfId="2" applyNumberFormat="1" applyFont="1" applyFill="1" applyBorder="1">
      <alignment horizontal="left" wrapText="1"/>
    </xf>
    <xf numFmtId="0" fontId="15" fillId="0" borderId="0" xfId="2" applyNumberFormat="1" applyFont="1" applyFill="1" applyAlignment="1">
      <alignment horizontal="center"/>
    </xf>
    <xf numFmtId="168" fontId="15" fillId="0" borderId="0" xfId="2" applyNumberFormat="1" applyFont="1" applyFill="1" applyBorder="1" applyAlignment="1"/>
    <xf numFmtId="168" fontId="15" fillId="0" borderId="0" xfId="2" applyNumberFormat="1" applyFont="1" applyFill="1" applyAlignment="1">
      <alignment horizontal="left"/>
    </xf>
    <xf numFmtId="168" fontId="15" fillId="0" borderId="0" xfId="2" applyNumberFormat="1" applyFont="1" applyFill="1" applyAlignment="1"/>
    <xf numFmtId="168" fontId="15" fillId="0" borderId="0" xfId="2" quotePrefix="1" applyNumberFormat="1" applyFont="1" applyFill="1" applyAlignment="1">
      <alignment horizontal="center"/>
    </xf>
    <xf numFmtId="168" fontId="15" fillId="0" borderId="0" xfId="2" applyNumberFormat="1" applyFont="1" applyFill="1" applyBorder="1" applyAlignment="1">
      <alignment horizontal="center"/>
    </xf>
    <xf numFmtId="37" fontId="15" fillId="0" borderId="0" xfId="2" applyNumberFormat="1" applyFont="1" applyFill="1" applyBorder="1" applyAlignment="1">
      <alignment horizontal="center"/>
    </xf>
    <xf numFmtId="168" fontId="17" fillId="0" borderId="0" xfId="2" applyNumberFormat="1" applyFont="1" applyFill="1" applyAlignment="1">
      <alignment horizontal="center"/>
    </xf>
    <xf numFmtId="168" fontId="17" fillId="0" borderId="0" xfId="2" applyNumberFormat="1" applyFont="1" applyFill="1" applyBorder="1" applyAlignment="1">
      <alignment horizontal="center"/>
    </xf>
    <xf numFmtId="37" fontId="17" fillId="0" borderId="0" xfId="2" applyNumberFormat="1" applyFont="1" applyFill="1" applyBorder="1" applyAlignment="1">
      <alignment horizontal="center"/>
    </xf>
    <xf numFmtId="17" fontId="15" fillId="0" borderId="0" xfId="2" applyNumberFormat="1" applyFont="1" applyFill="1" applyAlignment="1"/>
    <xf numFmtId="3" fontId="15" fillId="0" borderId="0" xfId="3" applyNumberFormat="1" applyFont="1" applyFill="1"/>
    <xf numFmtId="166" fontId="15" fillId="0" borderId="0" xfId="4" applyNumberFormat="1" applyFont="1" applyFill="1" applyBorder="1" applyAlignment="1"/>
    <xf numFmtId="37" fontId="15" fillId="0" borderId="0" xfId="2" applyNumberFormat="1" applyFont="1" applyFill="1" applyAlignment="1">
      <alignment horizontal="right"/>
    </xf>
    <xf numFmtId="43" fontId="18" fillId="0" borderId="0" xfId="4" applyFont="1" applyFill="1"/>
    <xf numFmtId="3" fontId="15" fillId="0" borderId="1" xfId="3" applyNumberFormat="1" applyFont="1" applyFill="1" applyBorder="1"/>
    <xf numFmtId="166" fontId="15" fillId="0" borderId="1" xfId="4" applyNumberFormat="1" applyFont="1" applyFill="1" applyBorder="1" applyAlignment="1"/>
    <xf numFmtId="37" fontId="15" fillId="0" borderId="1" xfId="2" applyNumberFormat="1" applyFont="1" applyFill="1" applyBorder="1" applyAlignment="1">
      <alignment horizontal="right"/>
    </xf>
    <xf numFmtId="166" fontId="15" fillId="0" borderId="0" xfId="2" applyNumberFormat="1" applyFont="1" applyFill="1" applyAlignment="1"/>
    <xf numFmtId="168" fontId="14" fillId="0" borderId="0" xfId="2" applyNumberFormat="1" applyFont="1" applyFill="1" applyAlignment="1"/>
    <xf numFmtId="3" fontId="15" fillId="0" borderId="0" xfId="4" applyNumberFormat="1" applyFont="1" applyFill="1" applyAlignment="1"/>
    <xf numFmtId="0" fontId="15" fillId="0" borderId="0" xfId="0" applyFont="1" applyFill="1"/>
    <xf numFmtId="43" fontId="19" fillId="0" borderId="0" xfId="4" applyFont="1" applyFill="1"/>
    <xf numFmtId="0" fontId="15" fillId="0" borderId="0" xfId="0" applyFont="1" applyFill="1" applyAlignment="1">
      <alignment horizontal="right"/>
    </xf>
    <xf numFmtId="0" fontId="15" fillId="0" borderId="0" xfId="0" applyFont="1" applyFill="1" applyBorder="1"/>
    <xf numFmtId="0" fontId="20" fillId="0" borderId="0" xfId="0" applyFont="1" applyFill="1" applyBorder="1" applyAlignment="1">
      <alignment horizontal="right"/>
    </xf>
    <xf numFmtId="168" fontId="15" fillId="0" borderId="1" xfId="2" applyNumberFormat="1" applyFont="1" applyFill="1" applyBorder="1" applyAlignment="1"/>
    <xf numFmtId="0" fontId="15" fillId="0" borderId="0" xfId="3" applyFont="1" applyFill="1"/>
    <xf numFmtId="42" fontId="15" fillId="0" borderId="0" xfId="2" applyNumberFormat="1" applyFont="1" applyFill="1" applyAlignment="1"/>
    <xf numFmtId="42" fontId="15" fillId="0" borderId="0" xfId="5" applyNumberFormat="1" applyFont="1" applyFill="1" applyBorder="1" applyAlignment="1">
      <alignment horizontal="right"/>
    </xf>
    <xf numFmtId="168" fontId="21" fillId="0" borderId="0" xfId="2" applyNumberFormat="1" applyFont="1" applyFill="1" applyBorder="1" applyAlignment="1"/>
    <xf numFmtId="37" fontId="15" fillId="0" borderId="0" xfId="4" applyNumberFormat="1" applyFont="1" applyFill="1" applyBorder="1" applyAlignment="1"/>
    <xf numFmtId="42" fontId="15" fillId="0" borderId="0" xfId="5" applyNumberFormat="1" applyFont="1" applyFill="1" applyBorder="1" applyAlignment="1"/>
    <xf numFmtId="168" fontId="14" fillId="0" borderId="0" xfId="2" applyNumberFormat="1" applyFont="1" applyFill="1" applyBorder="1" applyAlignment="1"/>
    <xf numFmtId="42" fontId="15" fillId="0" borderId="1" xfId="5" applyNumberFormat="1" applyFont="1" applyFill="1" applyBorder="1" applyAlignment="1"/>
    <xf numFmtId="43" fontId="18" fillId="0" borderId="0" xfId="4" applyFont="1"/>
    <xf numFmtId="173" fontId="15" fillId="0" borderId="0" xfId="6" applyNumberFormat="1" applyFont="1" applyFill="1"/>
    <xf numFmtId="42" fontId="15" fillId="0" borderId="0" xfId="5" applyNumberFormat="1" applyFont="1" applyFill="1" applyAlignment="1">
      <alignment horizontal="right"/>
    </xf>
    <xf numFmtId="41" fontId="15" fillId="0" borderId="0" xfId="2" applyNumberFormat="1" applyFont="1" applyFill="1" applyAlignment="1"/>
    <xf numFmtId="41" fontId="15" fillId="0" borderId="1" xfId="2" applyNumberFormat="1" applyFont="1" applyFill="1" applyBorder="1" applyAlignment="1">
      <alignment horizontal="right"/>
    </xf>
    <xf numFmtId="168" fontId="15" fillId="0" borderId="0" xfId="2" quotePrefix="1" applyNumberFormat="1" applyFont="1" applyFill="1" applyAlignment="1">
      <alignment horizontal="left"/>
    </xf>
    <xf numFmtId="173" fontId="15" fillId="0" borderId="0" xfId="7" applyNumberFormat="1" applyFont="1" applyFill="1">
      <alignment horizontal="left" wrapText="1"/>
    </xf>
    <xf numFmtId="37" fontId="15" fillId="0" borderId="0" xfId="2" applyNumberFormat="1" applyFont="1" applyFill="1" applyAlignment="1"/>
    <xf numFmtId="41" fontId="15" fillId="0" borderId="0" xfId="5" applyNumberFormat="1" applyFont="1" applyFill="1" applyAlignment="1"/>
    <xf numFmtId="173" fontId="15" fillId="0" borderId="0" xfId="6" applyNumberFormat="1" applyFont="1" applyFill="1" applyAlignment="1"/>
    <xf numFmtId="37" fontId="15" fillId="0" borderId="0" xfId="2" applyNumberFormat="1" applyFont="1" applyFill="1" applyBorder="1" applyAlignment="1"/>
    <xf numFmtId="41" fontId="15" fillId="0" borderId="1" xfId="5" applyNumberFormat="1" applyFont="1" applyFill="1" applyBorder="1" applyAlignment="1"/>
    <xf numFmtId="41" fontId="15" fillId="0" borderId="0" xfId="5" applyNumberFormat="1" applyFont="1" applyFill="1" applyBorder="1" applyAlignment="1"/>
    <xf numFmtId="9" fontId="15" fillId="0" borderId="0" xfId="6" applyFont="1" applyFill="1"/>
    <xf numFmtId="41" fontId="15" fillId="0" borderId="0" xfId="2" applyNumberFormat="1" applyFont="1" applyFill="1" applyBorder="1" applyAlignment="1"/>
    <xf numFmtId="42" fontId="15" fillId="0" borderId="4" xfId="5" applyNumberFormat="1" applyFont="1" applyFill="1" applyBorder="1" applyAlignment="1"/>
    <xf numFmtId="0" fontId="18" fillId="0" borderId="0" xfId="3" applyFont="1"/>
    <xf numFmtId="0" fontId="1" fillId="0" borderId="0" xfId="0" applyFont="1" applyFill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172" fontId="12" fillId="0" borderId="0" xfId="0" applyNumberFormat="1" applyFont="1" applyFill="1"/>
    <xf numFmtId="0" fontId="12" fillId="0" borderId="0" xfId="0" applyFont="1" applyFill="1" applyBorder="1" applyAlignment="1">
      <alignment horizontal="center"/>
    </xf>
    <xf numFmtId="171" fontId="12" fillId="0" borderId="0" xfId="0" applyNumberFormat="1" applyFont="1" applyFill="1" applyBorder="1"/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0" fillId="2" borderId="0" xfId="0" applyFont="1" applyFill="1" applyBorder="1" applyAlignment="1">
      <alignment horizontal="right"/>
    </xf>
    <xf numFmtId="0" fontId="13" fillId="2" borderId="0" xfId="1" applyFont="1" applyFill="1"/>
    <xf numFmtId="3" fontId="1" fillId="2" borderId="0" xfId="0" applyNumberFormat="1" applyFont="1" applyFill="1"/>
    <xf numFmtId="0" fontId="1" fillId="2" borderId="0" xfId="0" applyFont="1" applyFill="1" applyAlignment="1">
      <alignment horizontal="left"/>
    </xf>
    <xf numFmtId="0" fontId="1" fillId="2" borderId="0" xfId="0" applyFont="1" applyFill="1" applyBorder="1" applyAlignment="1">
      <alignment horizontal="left"/>
    </xf>
    <xf numFmtId="3" fontId="1" fillId="2" borderId="0" xfId="0" applyNumberFormat="1" applyFont="1" applyFill="1" applyBorder="1"/>
    <xf numFmtId="0" fontId="12" fillId="0" borderId="0" xfId="0" applyFont="1" applyFill="1"/>
    <xf numFmtId="171" fontId="1" fillId="0" borderId="0" xfId="0" applyNumberFormat="1" applyFont="1" applyFill="1" applyBorder="1"/>
    <xf numFmtId="171" fontId="12" fillId="0" borderId="2" xfId="0" applyNumberFormat="1" applyFont="1" applyFill="1" applyBorder="1"/>
    <xf numFmtId="43" fontId="8" fillId="0" borderId="0" xfId="0" applyNumberFormat="1" applyFont="1" applyFill="1"/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8">
    <cellStyle name="Comma 2 2" xfId="4"/>
    <cellStyle name="Currency 2 2" xfId="5"/>
    <cellStyle name="Normal" xfId="0" builtinId="0"/>
    <cellStyle name="Normal 2 2" xfId="3"/>
    <cellStyle name="Normal_2.01G Revenue &amp; Purchased Gas" xfId="7"/>
    <cellStyle name="Normal_Pro Forma Rev 09 GRC Revised_W new template" xfId="1"/>
    <cellStyle name="Percent 2 2" xfId="6"/>
    <cellStyle name="Style 1 3 6" xfId="2"/>
  </cellStyles>
  <dxfs count="0"/>
  <tableStyles count="0" defaultTableStyle="TableStyleMedium2" defaultPivotStyle="PivotStyleLight16"/>
  <colors>
    <mruColors>
      <color rgb="FF0000FF"/>
      <color rgb="FFD9D9D9"/>
      <color rgb="FFFFFF99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%23GS%20Dec%202023CB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Rlfwd"/>
      <sheetName val="1.01 ROR ROE"/>
      <sheetName val="1.02 COC"/>
      <sheetName val="model"/>
      <sheetName val="Earnings Sharing-CBR to Adj CBR"/>
      <sheetName val="Inputs"/>
      <sheetName val="OOE"/>
      <sheetName val="OOR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/>
      <sheetData sheetId="3"/>
      <sheetData sheetId="4">
        <row r="12">
          <cell r="CC12">
            <v>2.7460000000000002E-3</v>
          </cell>
        </row>
        <row r="13">
          <cell r="CC13">
            <v>4.0000000000000001E-3</v>
          </cell>
        </row>
        <row r="14">
          <cell r="CC14">
            <v>3.8413999999999997E-2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8"/>
  <sheetViews>
    <sheetView tabSelected="1" zoomScaleNormal="100" workbookViewId="0">
      <selection activeCell="E33" sqref="E33"/>
    </sheetView>
  </sheetViews>
  <sheetFormatPr defaultRowHeight="14.4" x14ac:dyDescent="0.3"/>
  <cols>
    <col min="1" max="1" width="5.44140625" style="118" bestFit="1" customWidth="1"/>
    <col min="2" max="2" width="15.33203125" style="118" customWidth="1"/>
    <col min="3" max="3" width="25.109375" style="118" bestFit="1" customWidth="1"/>
    <col min="4" max="5" width="13.109375" style="118" bestFit="1" customWidth="1"/>
    <col min="6" max="6" width="15.33203125" style="118" customWidth="1"/>
    <col min="7" max="7" width="14.6640625" style="76" bestFit="1" customWidth="1"/>
    <col min="8" max="8" width="15.33203125" customWidth="1"/>
    <col min="9" max="9" width="25.109375" customWidth="1"/>
    <col min="10" max="11" width="15.44140625" customWidth="1"/>
    <col min="12" max="12" width="15.33203125" customWidth="1"/>
    <col min="13" max="14" width="12.33203125" customWidth="1"/>
    <col min="15" max="15" width="12.6640625" style="76" bestFit="1" customWidth="1"/>
    <col min="16" max="17" width="9.109375" style="76"/>
    <col min="18" max="18" width="11.33203125" style="76" bestFit="1" customWidth="1"/>
    <col min="19" max="254" width="9.109375" style="76"/>
    <col min="255" max="255" width="5.44140625" style="76" bestFit="1" customWidth="1"/>
    <col min="256" max="256" width="20.6640625" style="76" customWidth="1"/>
    <col min="257" max="257" width="17" style="76" customWidth="1"/>
    <col min="258" max="259" width="15.44140625" style="76" customWidth="1"/>
    <col min="260" max="260" width="15.33203125" style="76" customWidth="1"/>
    <col min="261" max="261" width="16.5546875" style="76" bestFit="1" customWidth="1"/>
    <col min="262" max="262" width="16.6640625" style="76" bestFit="1" customWidth="1"/>
    <col min="263" max="263" width="14.6640625" style="76" bestFit="1" customWidth="1"/>
    <col min="264" max="265" width="14.5546875" style="76" bestFit="1" customWidth="1"/>
    <col min="266" max="510" width="9.109375" style="76"/>
    <col min="511" max="511" width="5.44140625" style="76" bestFit="1" customWidth="1"/>
    <col min="512" max="512" width="20.6640625" style="76" customWidth="1"/>
    <col min="513" max="513" width="17" style="76" customWidth="1"/>
    <col min="514" max="515" width="15.44140625" style="76" customWidth="1"/>
    <col min="516" max="516" width="15.33203125" style="76" customWidth="1"/>
    <col min="517" max="517" width="16.5546875" style="76" bestFit="1" customWidth="1"/>
    <col min="518" max="518" width="16.6640625" style="76" bestFit="1" customWidth="1"/>
    <col min="519" max="519" width="14.6640625" style="76" bestFit="1" customWidth="1"/>
    <col min="520" max="521" width="14.5546875" style="76" bestFit="1" customWidth="1"/>
    <col min="522" max="766" width="9.109375" style="76"/>
    <col min="767" max="767" width="5.44140625" style="76" bestFit="1" customWidth="1"/>
    <col min="768" max="768" width="20.6640625" style="76" customWidth="1"/>
    <col min="769" max="769" width="17" style="76" customWidth="1"/>
    <col min="770" max="771" width="15.44140625" style="76" customWidth="1"/>
    <col min="772" max="772" width="15.33203125" style="76" customWidth="1"/>
    <col min="773" max="773" width="16.5546875" style="76" bestFit="1" customWidth="1"/>
    <col min="774" max="774" width="16.6640625" style="76" bestFit="1" customWidth="1"/>
    <col min="775" max="775" width="14.6640625" style="76" bestFit="1" customWidth="1"/>
    <col min="776" max="777" width="14.5546875" style="76" bestFit="1" customWidth="1"/>
    <col min="778" max="1022" width="9.109375" style="76"/>
    <col min="1023" max="1023" width="5.44140625" style="76" bestFit="1" customWidth="1"/>
    <col min="1024" max="1024" width="20.6640625" style="76" customWidth="1"/>
    <col min="1025" max="1025" width="17" style="76" customWidth="1"/>
    <col min="1026" max="1027" width="15.44140625" style="76" customWidth="1"/>
    <col min="1028" max="1028" width="15.33203125" style="76" customWidth="1"/>
    <col min="1029" max="1029" width="16.5546875" style="76" bestFit="1" customWidth="1"/>
    <col min="1030" max="1030" width="16.6640625" style="76" bestFit="1" customWidth="1"/>
    <col min="1031" max="1031" width="14.6640625" style="76" bestFit="1" customWidth="1"/>
    <col min="1032" max="1033" width="14.5546875" style="76" bestFit="1" customWidth="1"/>
    <col min="1034" max="1278" width="9.109375" style="76"/>
    <col min="1279" max="1279" width="5.44140625" style="76" bestFit="1" customWidth="1"/>
    <col min="1280" max="1280" width="20.6640625" style="76" customWidth="1"/>
    <col min="1281" max="1281" width="17" style="76" customWidth="1"/>
    <col min="1282" max="1283" width="15.44140625" style="76" customWidth="1"/>
    <col min="1284" max="1284" width="15.33203125" style="76" customWidth="1"/>
    <col min="1285" max="1285" width="16.5546875" style="76" bestFit="1" customWidth="1"/>
    <col min="1286" max="1286" width="16.6640625" style="76" bestFit="1" customWidth="1"/>
    <col min="1287" max="1287" width="14.6640625" style="76" bestFit="1" customWidth="1"/>
    <col min="1288" max="1289" width="14.5546875" style="76" bestFit="1" customWidth="1"/>
    <col min="1290" max="1534" width="9.109375" style="76"/>
    <col min="1535" max="1535" width="5.44140625" style="76" bestFit="1" customWidth="1"/>
    <col min="1536" max="1536" width="20.6640625" style="76" customWidth="1"/>
    <col min="1537" max="1537" width="17" style="76" customWidth="1"/>
    <col min="1538" max="1539" width="15.44140625" style="76" customWidth="1"/>
    <col min="1540" max="1540" width="15.33203125" style="76" customWidth="1"/>
    <col min="1541" max="1541" width="16.5546875" style="76" bestFit="1" customWidth="1"/>
    <col min="1542" max="1542" width="16.6640625" style="76" bestFit="1" customWidth="1"/>
    <col min="1543" max="1543" width="14.6640625" style="76" bestFit="1" customWidth="1"/>
    <col min="1544" max="1545" width="14.5546875" style="76" bestFit="1" customWidth="1"/>
    <col min="1546" max="1790" width="9.109375" style="76"/>
    <col min="1791" max="1791" width="5.44140625" style="76" bestFit="1" customWidth="1"/>
    <col min="1792" max="1792" width="20.6640625" style="76" customWidth="1"/>
    <col min="1793" max="1793" width="17" style="76" customWidth="1"/>
    <col min="1794" max="1795" width="15.44140625" style="76" customWidth="1"/>
    <col min="1796" max="1796" width="15.33203125" style="76" customWidth="1"/>
    <col min="1797" max="1797" width="16.5546875" style="76" bestFit="1" customWidth="1"/>
    <col min="1798" max="1798" width="16.6640625" style="76" bestFit="1" customWidth="1"/>
    <col min="1799" max="1799" width="14.6640625" style="76" bestFit="1" customWidth="1"/>
    <col min="1800" max="1801" width="14.5546875" style="76" bestFit="1" customWidth="1"/>
    <col min="1802" max="2046" width="9.109375" style="76"/>
    <col min="2047" max="2047" width="5.44140625" style="76" bestFit="1" customWidth="1"/>
    <col min="2048" max="2048" width="20.6640625" style="76" customWidth="1"/>
    <col min="2049" max="2049" width="17" style="76" customWidth="1"/>
    <col min="2050" max="2051" width="15.44140625" style="76" customWidth="1"/>
    <col min="2052" max="2052" width="15.33203125" style="76" customWidth="1"/>
    <col min="2053" max="2053" width="16.5546875" style="76" bestFit="1" customWidth="1"/>
    <col min="2054" max="2054" width="16.6640625" style="76" bestFit="1" customWidth="1"/>
    <col min="2055" max="2055" width="14.6640625" style="76" bestFit="1" customWidth="1"/>
    <col min="2056" max="2057" width="14.5546875" style="76" bestFit="1" customWidth="1"/>
    <col min="2058" max="2302" width="9.109375" style="76"/>
    <col min="2303" max="2303" width="5.44140625" style="76" bestFit="1" customWidth="1"/>
    <col min="2304" max="2304" width="20.6640625" style="76" customWidth="1"/>
    <col min="2305" max="2305" width="17" style="76" customWidth="1"/>
    <col min="2306" max="2307" width="15.44140625" style="76" customWidth="1"/>
    <col min="2308" max="2308" width="15.33203125" style="76" customWidth="1"/>
    <col min="2309" max="2309" width="16.5546875" style="76" bestFit="1" customWidth="1"/>
    <col min="2310" max="2310" width="16.6640625" style="76" bestFit="1" customWidth="1"/>
    <col min="2311" max="2311" width="14.6640625" style="76" bestFit="1" customWidth="1"/>
    <col min="2312" max="2313" width="14.5546875" style="76" bestFit="1" customWidth="1"/>
    <col min="2314" max="2558" width="9.109375" style="76"/>
    <col min="2559" max="2559" width="5.44140625" style="76" bestFit="1" customWidth="1"/>
    <col min="2560" max="2560" width="20.6640625" style="76" customWidth="1"/>
    <col min="2561" max="2561" width="17" style="76" customWidth="1"/>
    <col min="2562" max="2563" width="15.44140625" style="76" customWidth="1"/>
    <col min="2564" max="2564" width="15.33203125" style="76" customWidth="1"/>
    <col min="2565" max="2565" width="16.5546875" style="76" bestFit="1" customWidth="1"/>
    <col min="2566" max="2566" width="16.6640625" style="76" bestFit="1" customWidth="1"/>
    <col min="2567" max="2567" width="14.6640625" style="76" bestFit="1" customWidth="1"/>
    <col min="2568" max="2569" width="14.5546875" style="76" bestFit="1" customWidth="1"/>
    <col min="2570" max="2814" width="9.109375" style="76"/>
    <col min="2815" max="2815" width="5.44140625" style="76" bestFit="1" customWidth="1"/>
    <col min="2816" max="2816" width="20.6640625" style="76" customWidth="1"/>
    <col min="2817" max="2817" width="17" style="76" customWidth="1"/>
    <col min="2818" max="2819" width="15.44140625" style="76" customWidth="1"/>
    <col min="2820" max="2820" width="15.33203125" style="76" customWidth="1"/>
    <col min="2821" max="2821" width="16.5546875" style="76" bestFit="1" customWidth="1"/>
    <col min="2822" max="2822" width="16.6640625" style="76" bestFit="1" customWidth="1"/>
    <col min="2823" max="2823" width="14.6640625" style="76" bestFit="1" customWidth="1"/>
    <col min="2824" max="2825" width="14.5546875" style="76" bestFit="1" customWidth="1"/>
    <col min="2826" max="3070" width="9.109375" style="76"/>
    <col min="3071" max="3071" width="5.44140625" style="76" bestFit="1" customWidth="1"/>
    <col min="3072" max="3072" width="20.6640625" style="76" customWidth="1"/>
    <col min="3073" max="3073" width="17" style="76" customWidth="1"/>
    <col min="3074" max="3075" width="15.44140625" style="76" customWidth="1"/>
    <col min="3076" max="3076" width="15.33203125" style="76" customWidth="1"/>
    <col min="3077" max="3077" width="16.5546875" style="76" bestFit="1" customWidth="1"/>
    <col min="3078" max="3078" width="16.6640625" style="76" bestFit="1" customWidth="1"/>
    <col min="3079" max="3079" width="14.6640625" style="76" bestFit="1" customWidth="1"/>
    <col min="3080" max="3081" width="14.5546875" style="76" bestFit="1" customWidth="1"/>
    <col min="3082" max="3326" width="9.109375" style="76"/>
    <col min="3327" max="3327" width="5.44140625" style="76" bestFit="1" customWidth="1"/>
    <col min="3328" max="3328" width="20.6640625" style="76" customWidth="1"/>
    <col min="3329" max="3329" width="17" style="76" customWidth="1"/>
    <col min="3330" max="3331" width="15.44140625" style="76" customWidth="1"/>
    <col min="3332" max="3332" width="15.33203125" style="76" customWidth="1"/>
    <col min="3333" max="3333" width="16.5546875" style="76" bestFit="1" customWidth="1"/>
    <col min="3334" max="3334" width="16.6640625" style="76" bestFit="1" customWidth="1"/>
    <col min="3335" max="3335" width="14.6640625" style="76" bestFit="1" customWidth="1"/>
    <col min="3336" max="3337" width="14.5546875" style="76" bestFit="1" customWidth="1"/>
    <col min="3338" max="3582" width="9.109375" style="76"/>
    <col min="3583" max="3583" width="5.44140625" style="76" bestFit="1" customWidth="1"/>
    <col min="3584" max="3584" width="20.6640625" style="76" customWidth="1"/>
    <col min="3585" max="3585" width="17" style="76" customWidth="1"/>
    <col min="3586" max="3587" width="15.44140625" style="76" customWidth="1"/>
    <col min="3588" max="3588" width="15.33203125" style="76" customWidth="1"/>
    <col min="3589" max="3589" width="16.5546875" style="76" bestFit="1" customWidth="1"/>
    <col min="3590" max="3590" width="16.6640625" style="76" bestFit="1" customWidth="1"/>
    <col min="3591" max="3591" width="14.6640625" style="76" bestFit="1" customWidth="1"/>
    <col min="3592" max="3593" width="14.5546875" style="76" bestFit="1" customWidth="1"/>
    <col min="3594" max="3838" width="9.109375" style="76"/>
    <col min="3839" max="3839" width="5.44140625" style="76" bestFit="1" customWidth="1"/>
    <col min="3840" max="3840" width="20.6640625" style="76" customWidth="1"/>
    <col min="3841" max="3841" width="17" style="76" customWidth="1"/>
    <col min="3842" max="3843" width="15.44140625" style="76" customWidth="1"/>
    <col min="3844" max="3844" width="15.33203125" style="76" customWidth="1"/>
    <col min="3845" max="3845" width="16.5546875" style="76" bestFit="1" customWidth="1"/>
    <col min="3846" max="3846" width="16.6640625" style="76" bestFit="1" customWidth="1"/>
    <col min="3847" max="3847" width="14.6640625" style="76" bestFit="1" customWidth="1"/>
    <col min="3848" max="3849" width="14.5546875" style="76" bestFit="1" customWidth="1"/>
    <col min="3850" max="4094" width="9.109375" style="76"/>
    <col min="4095" max="4095" width="5.44140625" style="76" bestFit="1" customWidth="1"/>
    <col min="4096" max="4096" width="20.6640625" style="76" customWidth="1"/>
    <col min="4097" max="4097" width="17" style="76" customWidth="1"/>
    <col min="4098" max="4099" width="15.44140625" style="76" customWidth="1"/>
    <col min="4100" max="4100" width="15.33203125" style="76" customWidth="1"/>
    <col min="4101" max="4101" width="16.5546875" style="76" bestFit="1" customWidth="1"/>
    <col min="4102" max="4102" width="16.6640625" style="76" bestFit="1" customWidth="1"/>
    <col min="4103" max="4103" width="14.6640625" style="76" bestFit="1" customWidth="1"/>
    <col min="4104" max="4105" width="14.5546875" style="76" bestFit="1" customWidth="1"/>
    <col min="4106" max="4350" width="9.109375" style="76"/>
    <col min="4351" max="4351" width="5.44140625" style="76" bestFit="1" customWidth="1"/>
    <col min="4352" max="4352" width="20.6640625" style="76" customWidth="1"/>
    <col min="4353" max="4353" width="17" style="76" customWidth="1"/>
    <col min="4354" max="4355" width="15.44140625" style="76" customWidth="1"/>
    <col min="4356" max="4356" width="15.33203125" style="76" customWidth="1"/>
    <col min="4357" max="4357" width="16.5546875" style="76" bestFit="1" customWidth="1"/>
    <col min="4358" max="4358" width="16.6640625" style="76" bestFit="1" customWidth="1"/>
    <col min="4359" max="4359" width="14.6640625" style="76" bestFit="1" customWidth="1"/>
    <col min="4360" max="4361" width="14.5546875" style="76" bestFit="1" customWidth="1"/>
    <col min="4362" max="4606" width="9.109375" style="76"/>
    <col min="4607" max="4607" width="5.44140625" style="76" bestFit="1" customWidth="1"/>
    <col min="4608" max="4608" width="20.6640625" style="76" customWidth="1"/>
    <col min="4609" max="4609" width="17" style="76" customWidth="1"/>
    <col min="4610" max="4611" width="15.44140625" style="76" customWidth="1"/>
    <col min="4612" max="4612" width="15.33203125" style="76" customWidth="1"/>
    <col min="4613" max="4613" width="16.5546875" style="76" bestFit="1" customWidth="1"/>
    <col min="4614" max="4614" width="16.6640625" style="76" bestFit="1" customWidth="1"/>
    <col min="4615" max="4615" width="14.6640625" style="76" bestFit="1" customWidth="1"/>
    <col min="4616" max="4617" width="14.5546875" style="76" bestFit="1" customWidth="1"/>
    <col min="4618" max="4862" width="9.109375" style="76"/>
    <col min="4863" max="4863" width="5.44140625" style="76" bestFit="1" customWidth="1"/>
    <col min="4864" max="4864" width="20.6640625" style="76" customWidth="1"/>
    <col min="4865" max="4865" width="17" style="76" customWidth="1"/>
    <col min="4866" max="4867" width="15.44140625" style="76" customWidth="1"/>
    <col min="4868" max="4868" width="15.33203125" style="76" customWidth="1"/>
    <col min="4869" max="4869" width="16.5546875" style="76" bestFit="1" customWidth="1"/>
    <col min="4870" max="4870" width="16.6640625" style="76" bestFit="1" customWidth="1"/>
    <col min="4871" max="4871" width="14.6640625" style="76" bestFit="1" customWidth="1"/>
    <col min="4872" max="4873" width="14.5546875" style="76" bestFit="1" customWidth="1"/>
    <col min="4874" max="5118" width="9.109375" style="76"/>
    <col min="5119" max="5119" width="5.44140625" style="76" bestFit="1" customWidth="1"/>
    <col min="5120" max="5120" width="20.6640625" style="76" customWidth="1"/>
    <col min="5121" max="5121" width="17" style="76" customWidth="1"/>
    <col min="5122" max="5123" width="15.44140625" style="76" customWidth="1"/>
    <col min="5124" max="5124" width="15.33203125" style="76" customWidth="1"/>
    <col min="5125" max="5125" width="16.5546875" style="76" bestFit="1" customWidth="1"/>
    <col min="5126" max="5126" width="16.6640625" style="76" bestFit="1" customWidth="1"/>
    <col min="5127" max="5127" width="14.6640625" style="76" bestFit="1" customWidth="1"/>
    <col min="5128" max="5129" width="14.5546875" style="76" bestFit="1" customWidth="1"/>
    <col min="5130" max="5374" width="9.109375" style="76"/>
    <col min="5375" max="5375" width="5.44140625" style="76" bestFit="1" customWidth="1"/>
    <col min="5376" max="5376" width="20.6640625" style="76" customWidth="1"/>
    <col min="5377" max="5377" width="17" style="76" customWidth="1"/>
    <col min="5378" max="5379" width="15.44140625" style="76" customWidth="1"/>
    <col min="5380" max="5380" width="15.33203125" style="76" customWidth="1"/>
    <col min="5381" max="5381" width="16.5546875" style="76" bestFit="1" customWidth="1"/>
    <col min="5382" max="5382" width="16.6640625" style="76" bestFit="1" customWidth="1"/>
    <col min="5383" max="5383" width="14.6640625" style="76" bestFit="1" customWidth="1"/>
    <col min="5384" max="5385" width="14.5546875" style="76" bestFit="1" customWidth="1"/>
    <col min="5386" max="5630" width="9.109375" style="76"/>
    <col min="5631" max="5631" width="5.44140625" style="76" bestFit="1" customWidth="1"/>
    <col min="5632" max="5632" width="20.6640625" style="76" customWidth="1"/>
    <col min="5633" max="5633" width="17" style="76" customWidth="1"/>
    <col min="5634" max="5635" width="15.44140625" style="76" customWidth="1"/>
    <col min="5636" max="5636" width="15.33203125" style="76" customWidth="1"/>
    <col min="5637" max="5637" width="16.5546875" style="76" bestFit="1" customWidth="1"/>
    <col min="5638" max="5638" width="16.6640625" style="76" bestFit="1" customWidth="1"/>
    <col min="5639" max="5639" width="14.6640625" style="76" bestFit="1" customWidth="1"/>
    <col min="5640" max="5641" width="14.5546875" style="76" bestFit="1" customWidth="1"/>
    <col min="5642" max="5886" width="9.109375" style="76"/>
    <col min="5887" max="5887" width="5.44140625" style="76" bestFit="1" customWidth="1"/>
    <col min="5888" max="5888" width="20.6640625" style="76" customWidth="1"/>
    <col min="5889" max="5889" width="17" style="76" customWidth="1"/>
    <col min="5890" max="5891" width="15.44140625" style="76" customWidth="1"/>
    <col min="5892" max="5892" width="15.33203125" style="76" customWidth="1"/>
    <col min="5893" max="5893" width="16.5546875" style="76" bestFit="1" customWidth="1"/>
    <col min="5894" max="5894" width="16.6640625" style="76" bestFit="1" customWidth="1"/>
    <col min="5895" max="5895" width="14.6640625" style="76" bestFit="1" customWidth="1"/>
    <col min="5896" max="5897" width="14.5546875" style="76" bestFit="1" customWidth="1"/>
    <col min="5898" max="6142" width="9.109375" style="76"/>
    <col min="6143" max="6143" width="5.44140625" style="76" bestFit="1" customWidth="1"/>
    <col min="6144" max="6144" width="20.6640625" style="76" customWidth="1"/>
    <col min="6145" max="6145" width="17" style="76" customWidth="1"/>
    <col min="6146" max="6147" width="15.44140625" style="76" customWidth="1"/>
    <col min="6148" max="6148" width="15.33203125" style="76" customWidth="1"/>
    <col min="6149" max="6149" width="16.5546875" style="76" bestFit="1" customWidth="1"/>
    <col min="6150" max="6150" width="16.6640625" style="76" bestFit="1" customWidth="1"/>
    <col min="6151" max="6151" width="14.6640625" style="76" bestFit="1" customWidth="1"/>
    <col min="6152" max="6153" width="14.5546875" style="76" bestFit="1" customWidth="1"/>
    <col min="6154" max="6398" width="9.109375" style="76"/>
    <col min="6399" max="6399" width="5.44140625" style="76" bestFit="1" customWidth="1"/>
    <col min="6400" max="6400" width="20.6640625" style="76" customWidth="1"/>
    <col min="6401" max="6401" width="17" style="76" customWidth="1"/>
    <col min="6402" max="6403" width="15.44140625" style="76" customWidth="1"/>
    <col min="6404" max="6404" width="15.33203125" style="76" customWidth="1"/>
    <col min="6405" max="6405" width="16.5546875" style="76" bestFit="1" customWidth="1"/>
    <col min="6406" max="6406" width="16.6640625" style="76" bestFit="1" customWidth="1"/>
    <col min="6407" max="6407" width="14.6640625" style="76" bestFit="1" customWidth="1"/>
    <col min="6408" max="6409" width="14.5546875" style="76" bestFit="1" customWidth="1"/>
    <col min="6410" max="6654" width="9.109375" style="76"/>
    <col min="6655" max="6655" width="5.44140625" style="76" bestFit="1" customWidth="1"/>
    <col min="6656" max="6656" width="20.6640625" style="76" customWidth="1"/>
    <col min="6657" max="6657" width="17" style="76" customWidth="1"/>
    <col min="6658" max="6659" width="15.44140625" style="76" customWidth="1"/>
    <col min="6660" max="6660" width="15.33203125" style="76" customWidth="1"/>
    <col min="6661" max="6661" width="16.5546875" style="76" bestFit="1" customWidth="1"/>
    <col min="6662" max="6662" width="16.6640625" style="76" bestFit="1" customWidth="1"/>
    <col min="6663" max="6663" width="14.6640625" style="76" bestFit="1" customWidth="1"/>
    <col min="6664" max="6665" width="14.5546875" style="76" bestFit="1" customWidth="1"/>
    <col min="6666" max="6910" width="9.109375" style="76"/>
    <col min="6911" max="6911" width="5.44140625" style="76" bestFit="1" customWidth="1"/>
    <col min="6912" max="6912" width="20.6640625" style="76" customWidth="1"/>
    <col min="6913" max="6913" width="17" style="76" customWidth="1"/>
    <col min="6914" max="6915" width="15.44140625" style="76" customWidth="1"/>
    <col min="6916" max="6916" width="15.33203125" style="76" customWidth="1"/>
    <col min="6917" max="6917" width="16.5546875" style="76" bestFit="1" customWidth="1"/>
    <col min="6918" max="6918" width="16.6640625" style="76" bestFit="1" customWidth="1"/>
    <col min="6919" max="6919" width="14.6640625" style="76" bestFit="1" customWidth="1"/>
    <col min="6920" max="6921" width="14.5546875" style="76" bestFit="1" customWidth="1"/>
    <col min="6922" max="7166" width="9.109375" style="76"/>
    <col min="7167" max="7167" width="5.44140625" style="76" bestFit="1" customWidth="1"/>
    <col min="7168" max="7168" width="20.6640625" style="76" customWidth="1"/>
    <col min="7169" max="7169" width="17" style="76" customWidth="1"/>
    <col min="7170" max="7171" width="15.44140625" style="76" customWidth="1"/>
    <col min="7172" max="7172" width="15.33203125" style="76" customWidth="1"/>
    <col min="7173" max="7173" width="16.5546875" style="76" bestFit="1" customWidth="1"/>
    <col min="7174" max="7174" width="16.6640625" style="76" bestFit="1" customWidth="1"/>
    <col min="7175" max="7175" width="14.6640625" style="76" bestFit="1" customWidth="1"/>
    <col min="7176" max="7177" width="14.5546875" style="76" bestFit="1" customWidth="1"/>
    <col min="7178" max="7422" width="9.109375" style="76"/>
    <col min="7423" max="7423" width="5.44140625" style="76" bestFit="1" customWidth="1"/>
    <col min="7424" max="7424" width="20.6640625" style="76" customWidth="1"/>
    <col min="7425" max="7425" width="17" style="76" customWidth="1"/>
    <col min="7426" max="7427" width="15.44140625" style="76" customWidth="1"/>
    <col min="7428" max="7428" width="15.33203125" style="76" customWidth="1"/>
    <col min="7429" max="7429" width="16.5546875" style="76" bestFit="1" customWidth="1"/>
    <col min="7430" max="7430" width="16.6640625" style="76" bestFit="1" customWidth="1"/>
    <col min="7431" max="7431" width="14.6640625" style="76" bestFit="1" customWidth="1"/>
    <col min="7432" max="7433" width="14.5546875" style="76" bestFit="1" customWidth="1"/>
    <col min="7434" max="7678" width="9.109375" style="76"/>
    <col min="7679" max="7679" width="5.44140625" style="76" bestFit="1" customWidth="1"/>
    <col min="7680" max="7680" width="20.6640625" style="76" customWidth="1"/>
    <col min="7681" max="7681" width="17" style="76" customWidth="1"/>
    <col min="7682" max="7683" width="15.44140625" style="76" customWidth="1"/>
    <col min="7684" max="7684" width="15.33203125" style="76" customWidth="1"/>
    <col min="7685" max="7685" width="16.5546875" style="76" bestFit="1" customWidth="1"/>
    <col min="7686" max="7686" width="16.6640625" style="76" bestFit="1" customWidth="1"/>
    <col min="7687" max="7687" width="14.6640625" style="76" bestFit="1" customWidth="1"/>
    <col min="7688" max="7689" width="14.5546875" style="76" bestFit="1" customWidth="1"/>
    <col min="7690" max="7934" width="9.109375" style="76"/>
    <col min="7935" max="7935" width="5.44140625" style="76" bestFit="1" customWidth="1"/>
    <col min="7936" max="7936" width="20.6640625" style="76" customWidth="1"/>
    <col min="7937" max="7937" width="17" style="76" customWidth="1"/>
    <col min="7938" max="7939" width="15.44140625" style="76" customWidth="1"/>
    <col min="7940" max="7940" width="15.33203125" style="76" customWidth="1"/>
    <col min="7941" max="7941" width="16.5546875" style="76" bestFit="1" customWidth="1"/>
    <col min="7942" max="7942" width="16.6640625" style="76" bestFit="1" customWidth="1"/>
    <col min="7943" max="7943" width="14.6640625" style="76" bestFit="1" customWidth="1"/>
    <col min="7944" max="7945" width="14.5546875" style="76" bestFit="1" customWidth="1"/>
    <col min="7946" max="8190" width="9.109375" style="76"/>
    <col min="8191" max="8191" width="5.44140625" style="76" bestFit="1" customWidth="1"/>
    <col min="8192" max="8192" width="20.6640625" style="76" customWidth="1"/>
    <col min="8193" max="8193" width="17" style="76" customWidth="1"/>
    <col min="8194" max="8195" width="15.44140625" style="76" customWidth="1"/>
    <col min="8196" max="8196" width="15.33203125" style="76" customWidth="1"/>
    <col min="8197" max="8197" width="16.5546875" style="76" bestFit="1" customWidth="1"/>
    <col min="8198" max="8198" width="16.6640625" style="76" bestFit="1" customWidth="1"/>
    <col min="8199" max="8199" width="14.6640625" style="76" bestFit="1" customWidth="1"/>
    <col min="8200" max="8201" width="14.5546875" style="76" bestFit="1" customWidth="1"/>
    <col min="8202" max="8446" width="9.109375" style="76"/>
    <col min="8447" max="8447" width="5.44140625" style="76" bestFit="1" customWidth="1"/>
    <col min="8448" max="8448" width="20.6640625" style="76" customWidth="1"/>
    <col min="8449" max="8449" width="17" style="76" customWidth="1"/>
    <col min="8450" max="8451" width="15.44140625" style="76" customWidth="1"/>
    <col min="8452" max="8452" width="15.33203125" style="76" customWidth="1"/>
    <col min="8453" max="8453" width="16.5546875" style="76" bestFit="1" customWidth="1"/>
    <col min="8454" max="8454" width="16.6640625" style="76" bestFit="1" customWidth="1"/>
    <col min="8455" max="8455" width="14.6640625" style="76" bestFit="1" customWidth="1"/>
    <col min="8456" max="8457" width="14.5546875" style="76" bestFit="1" customWidth="1"/>
    <col min="8458" max="8702" width="9.109375" style="76"/>
    <col min="8703" max="8703" width="5.44140625" style="76" bestFit="1" customWidth="1"/>
    <col min="8704" max="8704" width="20.6640625" style="76" customWidth="1"/>
    <col min="8705" max="8705" width="17" style="76" customWidth="1"/>
    <col min="8706" max="8707" width="15.44140625" style="76" customWidth="1"/>
    <col min="8708" max="8708" width="15.33203125" style="76" customWidth="1"/>
    <col min="8709" max="8709" width="16.5546875" style="76" bestFit="1" customWidth="1"/>
    <col min="8710" max="8710" width="16.6640625" style="76" bestFit="1" customWidth="1"/>
    <col min="8711" max="8711" width="14.6640625" style="76" bestFit="1" customWidth="1"/>
    <col min="8712" max="8713" width="14.5546875" style="76" bestFit="1" customWidth="1"/>
    <col min="8714" max="8958" width="9.109375" style="76"/>
    <col min="8959" max="8959" width="5.44140625" style="76" bestFit="1" customWidth="1"/>
    <col min="8960" max="8960" width="20.6640625" style="76" customWidth="1"/>
    <col min="8961" max="8961" width="17" style="76" customWidth="1"/>
    <col min="8962" max="8963" width="15.44140625" style="76" customWidth="1"/>
    <col min="8964" max="8964" width="15.33203125" style="76" customWidth="1"/>
    <col min="8965" max="8965" width="16.5546875" style="76" bestFit="1" customWidth="1"/>
    <col min="8966" max="8966" width="16.6640625" style="76" bestFit="1" customWidth="1"/>
    <col min="8967" max="8967" width="14.6640625" style="76" bestFit="1" customWidth="1"/>
    <col min="8968" max="8969" width="14.5546875" style="76" bestFit="1" customWidth="1"/>
    <col min="8970" max="9214" width="9.109375" style="76"/>
    <col min="9215" max="9215" width="5.44140625" style="76" bestFit="1" customWidth="1"/>
    <col min="9216" max="9216" width="20.6640625" style="76" customWidth="1"/>
    <col min="9217" max="9217" width="17" style="76" customWidth="1"/>
    <col min="9218" max="9219" width="15.44140625" style="76" customWidth="1"/>
    <col min="9220" max="9220" width="15.33203125" style="76" customWidth="1"/>
    <col min="9221" max="9221" width="16.5546875" style="76" bestFit="1" customWidth="1"/>
    <col min="9222" max="9222" width="16.6640625" style="76" bestFit="1" customWidth="1"/>
    <col min="9223" max="9223" width="14.6640625" style="76" bestFit="1" customWidth="1"/>
    <col min="9224" max="9225" width="14.5546875" style="76" bestFit="1" customWidth="1"/>
    <col min="9226" max="9470" width="9.109375" style="76"/>
    <col min="9471" max="9471" width="5.44140625" style="76" bestFit="1" customWidth="1"/>
    <col min="9472" max="9472" width="20.6640625" style="76" customWidth="1"/>
    <col min="9473" max="9473" width="17" style="76" customWidth="1"/>
    <col min="9474" max="9475" width="15.44140625" style="76" customWidth="1"/>
    <col min="9476" max="9476" width="15.33203125" style="76" customWidth="1"/>
    <col min="9477" max="9477" width="16.5546875" style="76" bestFit="1" customWidth="1"/>
    <col min="9478" max="9478" width="16.6640625" style="76" bestFit="1" customWidth="1"/>
    <col min="9479" max="9479" width="14.6640625" style="76" bestFit="1" customWidth="1"/>
    <col min="9480" max="9481" width="14.5546875" style="76" bestFit="1" customWidth="1"/>
    <col min="9482" max="9726" width="9.109375" style="76"/>
    <col min="9727" max="9727" width="5.44140625" style="76" bestFit="1" customWidth="1"/>
    <col min="9728" max="9728" width="20.6640625" style="76" customWidth="1"/>
    <col min="9729" max="9729" width="17" style="76" customWidth="1"/>
    <col min="9730" max="9731" width="15.44140625" style="76" customWidth="1"/>
    <col min="9732" max="9732" width="15.33203125" style="76" customWidth="1"/>
    <col min="9733" max="9733" width="16.5546875" style="76" bestFit="1" customWidth="1"/>
    <col min="9734" max="9734" width="16.6640625" style="76" bestFit="1" customWidth="1"/>
    <col min="9735" max="9735" width="14.6640625" style="76" bestFit="1" customWidth="1"/>
    <col min="9736" max="9737" width="14.5546875" style="76" bestFit="1" customWidth="1"/>
    <col min="9738" max="9982" width="9.109375" style="76"/>
    <col min="9983" max="9983" width="5.44140625" style="76" bestFit="1" customWidth="1"/>
    <col min="9984" max="9984" width="20.6640625" style="76" customWidth="1"/>
    <col min="9985" max="9985" width="17" style="76" customWidth="1"/>
    <col min="9986" max="9987" width="15.44140625" style="76" customWidth="1"/>
    <col min="9988" max="9988" width="15.33203125" style="76" customWidth="1"/>
    <col min="9989" max="9989" width="16.5546875" style="76" bestFit="1" customWidth="1"/>
    <col min="9990" max="9990" width="16.6640625" style="76" bestFit="1" customWidth="1"/>
    <col min="9991" max="9991" width="14.6640625" style="76" bestFit="1" customWidth="1"/>
    <col min="9992" max="9993" width="14.5546875" style="76" bestFit="1" customWidth="1"/>
    <col min="9994" max="10238" width="9.109375" style="76"/>
    <col min="10239" max="10239" width="5.44140625" style="76" bestFit="1" customWidth="1"/>
    <col min="10240" max="10240" width="20.6640625" style="76" customWidth="1"/>
    <col min="10241" max="10241" width="17" style="76" customWidth="1"/>
    <col min="10242" max="10243" width="15.44140625" style="76" customWidth="1"/>
    <col min="10244" max="10244" width="15.33203125" style="76" customWidth="1"/>
    <col min="10245" max="10245" width="16.5546875" style="76" bestFit="1" customWidth="1"/>
    <col min="10246" max="10246" width="16.6640625" style="76" bestFit="1" customWidth="1"/>
    <col min="10247" max="10247" width="14.6640625" style="76" bestFit="1" customWidth="1"/>
    <col min="10248" max="10249" width="14.5546875" style="76" bestFit="1" customWidth="1"/>
    <col min="10250" max="10494" width="9.109375" style="76"/>
    <col min="10495" max="10495" width="5.44140625" style="76" bestFit="1" customWidth="1"/>
    <col min="10496" max="10496" width="20.6640625" style="76" customWidth="1"/>
    <col min="10497" max="10497" width="17" style="76" customWidth="1"/>
    <col min="10498" max="10499" width="15.44140625" style="76" customWidth="1"/>
    <col min="10500" max="10500" width="15.33203125" style="76" customWidth="1"/>
    <col min="10501" max="10501" width="16.5546875" style="76" bestFit="1" customWidth="1"/>
    <col min="10502" max="10502" width="16.6640625" style="76" bestFit="1" customWidth="1"/>
    <col min="10503" max="10503" width="14.6640625" style="76" bestFit="1" customWidth="1"/>
    <col min="10504" max="10505" width="14.5546875" style="76" bestFit="1" customWidth="1"/>
    <col min="10506" max="10750" width="9.109375" style="76"/>
    <col min="10751" max="10751" width="5.44140625" style="76" bestFit="1" customWidth="1"/>
    <col min="10752" max="10752" width="20.6640625" style="76" customWidth="1"/>
    <col min="10753" max="10753" width="17" style="76" customWidth="1"/>
    <col min="10754" max="10755" width="15.44140625" style="76" customWidth="1"/>
    <col min="10756" max="10756" width="15.33203125" style="76" customWidth="1"/>
    <col min="10757" max="10757" width="16.5546875" style="76" bestFit="1" customWidth="1"/>
    <col min="10758" max="10758" width="16.6640625" style="76" bestFit="1" customWidth="1"/>
    <col min="10759" max="10759" width="14.6640625" style="76" bestFit="1" customWidth="1"/>
    <col min="10760" max="10761" width="14.5546875" style="76" bestFit="1" customWidth="1"/>
    <col min="10762" max="11006" width="9.109375" style="76"/>
    <col min="11007" max="11007" width="5.44140625" style="76" bestFit="1" customWidth="1"/>
    <col min="11008" max="11008" width="20.6640625" style="76" customWidth="1"/>
    <col min="11009" max="11009" width="17" style="76" customWidth="1"/>
    <col min="11010" max="11011" width="15.44140625" style="76" customWidth="1"/>
    <col min="11012" max="11012" width="15.33203125" style="76" customWidth="1"/>
    <col min="11013" max="11013" width="16.5546875" style="76" bestFit="1" customWidth="1"/>
    <col min="11014" max="11014" width="16.6640625" style="76" bestFit="1" customWidth="1"/>
    <col min="11015" max="11015" width="14.6640625" style="76" bestFit="1" customWidth="1"/>
    <col min="11016" max="11017" width="14.5546875" style="76" bestFit="1" customWidth="1"/>
    <col min="11018" max="11262" width="9.109375" style="76"/>
    <col min="11263" max="11263" width="5.44140625" style="76" bestFit="1" customWidth="1"/>
    <col min="11264" max="11264" width="20.6640625" style="76" customWidth="1"/>
    <col min="11265" max="11265" width="17" style="76" customWidth="1"/>
    <col min="11266" max="11267" width="15.44140625" style="76" customWidth="1"/>
    <col min="11268" max="11268" width="15.33203125" style="76" customWidth="1"/>
    <col min="11269" max="11269" width="16.5546875" style="76" bestFit="1" customWidth="1"/>
    <col min="11270" max="11270" width="16.6640625" style="76" bestFit="1" customWidth="1"/>
    <col min="11271" max="11271" width="14.6640625" style="76" bestFit="1" customWidth="1"/>
    <col min="11272" max="11273" width="14.5546875" style="76" bestFit="1" customWidth="1"/>
    <col min="11274" max="11518" width="9.109375" style="76"/>
    <col min="11519" max="11519" width="5.44140625" style="76" bestFit="1" customWidth="1"/>
    <col min="11520" max="11520" width="20.6640625" style="76" customWidth="1"/>
    <col min="11521" max="11521" width="17" style="76" customWidth="1"/>
    <col min="11522" max="11523" width="15.44140625" style="76" customWidth="1"/>
    <col min="11524" max="11524" width="15.33203125" style="76" customWidth="1"/>
    <col min="11525" max="11525" width="16.5546875" style="76" bestFit="1" customWidth="1"/>
    <col min="11526" max="11526" width="16.6640625" style="76" bestFit="1" customWidth="1"/>
    <col min="11527" max="11527" width="14.6640625" style="76" bestFit="1" customWidth="1"/>
    <col min="11528" max="11529" width="14.5546875" style="76" bestFit="1" customWidth="1"/>
    <col min="11530" max="11774" width="9.109375" style="76"/>
    <col min="11775" max="11775" width="5.44140625" style="76" bestFit="1" customWidth="1"/>
    <col min="11776" max="11776" width="20.6640625" style="76" customWidth="1"/>
    <col min="11777" max="11777" width="17" style="76" customWidth="1"/>
    <col min="11778" max="11779" width="15.44140625" style="76" customWidth="1"/>
    <col min="11780" max="11780" width="15.33203125" style="76" customWidth="1"/>
    <col min="11781" max="11781" width="16.5546875" style="76" bestFit="1" customWidth="1"/>
    <col min="11782" max="11782" width="16.6640625" style="76" bestFit="1" customWidth="1"/>
    <col min="11783" max="11783" width="14.6640625" style="76" bestFit="1" customWidth="1"/>
    <col min="11784" max="11785" width="14.5546875" style="76" bestFit="1" customWidth="1"/>
    <col min="11786" max="12030" width="9.109375" style="76"/>
    <col min="12031" max="12031" width="5.44140625" style="76" bestFit="1" customWidth="1"/>
    <col min="12032" max="12032" width="20.6640625" style="76" customWidth="1"/>
    <col min="12033" max="12033" width="17" style="76" customWidth="1"/>
    <col min="12034" max="12035" width="15.44140625" style="76" customWidth="1"/>
    <col min="12036" max="12036" width="15.33203125" style="76" customWidth="1"/>
    <col min="12037" max="12037" width="16.5546875" style="76" bestFit="1" customWidth="1"/>
    <col min="12038" max="12038" width="16.6640625" style="76" bestFit="1" customWidth="1"/>
    <col min="12039" max="12039" width="14.6640625" style="76" bestFit="1" customWidth="1"/>
    <col min="12040" max="12041" width="14.5546875" style="76" bestFit="1" customWidth="1"/>
    <col min="12042" max="12286" width="9.109375" style="76"/>
    <col min="12287" max="12287" width="5.44140625" style="76" bestFit="1" customWidth="1"/>
    <col min="12288" max="12288" width="20.6640625" style="76" customWidth="1"/>
    <col min="12289" max="12289" width="17" style="76" customWidth="1"/>
    <col min="12290" max="12291" width="15.44140625" style="76" customWidth="1"/>
    <col min="12292" max="12292" width="15.33203125" style="76" customWidth="1"/>
    <col min="12293" max="12293" width="16.5546875" style="76" bestFit="1" customWidth="1"/>
    <col min="12294" max="12294" width="16.6640625" style="76" bestFit="1" customWidth="1"/>
    <col min="12295" max="12295" width="14.6640625" style="76" bestFit="1" customWidth="1"/>
    <col min="12296" max="12297" width="14.5546875" style="76" bestFit="1" customWidth="1"/>
    <col min="12298" max="12542" width="9.109375" style="76"/>
    <col min="12543" max="12543" width="5.44140625" style="76" bestFit="1" customWidth="1"/>
    <col min="12544" max="12544" width="20.6640625" style="76" customWidth="1"/>
    <col min="12545" max="12545" width="17" style="76" customWidth="1"/>
    <col min="12546" max="12547" width="15.44140625" style="76" customWidth="1"/>
    <col min="12548" max="12548" width="15.33203125" style="76" customWidth="1"/>
    <col min="12549" max="12549" width="16.5546875" style="76" bestFit="1" customWidth="1"/>
    <col min="12550" max="12550" width="16.6640625" style="76" bestFit="1" customWidth="1"/>
    <col min="12551" max="12551" width="14.6640625" style="76" bestFit="1" customWidth="1"/>
    <col min="12552" max="12553" width="14.5546875" style="76" bestFit="1" customWidth="1"/>
    <col min="12554" max="12798" width="9.109375" style="76"/>
    <col min="12799" max="12799" width="5.44140625" style="76" bestFit="1" customWidth="1"/>
    <col min="12800" max="12800" width="20.6640625" style="76" customWidth="1"/>
    <col min="12801" max="12801" width="17" style="76" customWidth="1"/>
    <col min="12802" max="12803" width="15.44140625" style="76" customWidth="1"/>
    <col min="12804" max="12804" width="15.33203125" style="76" customWidth="1"/>
    <col min="12805" max="12805" width="16.5546875" style="76" bestFit="1" customWidth="1"/>
    <col min="12806" max="12806" width="16.6640625" style="76" bestFit="1" customWidth="1"/>
    <col min="12807" max="12807" width="14.6640625" style="76" bestFit="1" customWidth="1"/>
    <col min="12808" max="12809" width="14.5546875" style="76" bestFit="1" customWidth="1"/>
    <col min="12810" max="13054" width="9.109375" style="76"/>
    <col min="13055" max="13055" width="5.44140625" style="76" bestFit="1" customWidth="1"/>
    <col min="13056" max="13056" width="20.6640625" style="76" customWidth="1"/>
    <col min="13057" max="13057" width="17" style="76" customWidth="1"/>
    <col min="13058" max="13059" width="15.44140625" style="76" customWidth="1"/>
    <col min="13060" max="13060" width="15.33203125" style="76" customWidth="1"/>
    <col min="13061" max="13061" width="16.5546875" style="76" bestFit="1" customWidth="1"/>
    <col min="13062" max="13062" width="16.6640625" style="76" bestFit="1" customWidth="1"/>
    <col min="13063" max="13063" width="14.6640625" style="76" bestFit="1" customWidth="1"/>
    <col min="13064" max="13065" width="14.5546875" style="76" bestFit="1" customWidth="1"/>
    <col min="13066" max="13310" width="9.109375" style="76"/>
    <col min="13311" max="13311" width="5.44140625" style="76" bestFit="1" customWidth="1"/>
    <col min="13312" max="13312" width="20.6640625" style="76" customWidth="1"/>
    <col min="13313" max="13313" width="17" style="76" customWidth="1"/>
    <col min="13314" max="13315" width="15.44140625" style="76" customWidth="1"/>
    <col min="13316" max="13316" width="15.33203125" style="76" customWidth="1"/>
    <col min="13317" max="13317" width="16.5546875" style="76" bestFit="1" customWidth="1"/>
    <col min="13318" max="13318" width="16.6640625" style="76" bestFit="1" customWidth="1"/>
    <col min="13319" max="13319" width="14.6640625" style="76" bestFit="1" customWidth="1"/>
    <col min="13320" max="13321" width="14.5546875" style="76" bestFit="1" customWidth="1"/>
    <col min="13322" max="13566" width="9.109375" style="76"/>
    <col min="13567" max="13567" width="5.44140625" style="76" bestFit="1" customWidth="1"/>
    <col min="13568" max="13568" width="20.6640625" style="76" customWidth="1"/>
    <col min="13569" max="13569" width="17" style="76" customWidth="1"/>
    <col min="13570" max="13571" width="15.44140625" style="76" customWidth="1"/>
    <col min="13572" max="13572" width="15.33203125" style="76" customWidth="1"/>
    <col min="13573" max="13573" width="16.5546875" style="76" bestFit="1" customWidth="1"/>
    <col min="13574" max="13574" width="16.6640625" style="76" bestFit="1" customWidth="1"/>
    <col min="13575" max="13575" width="14.6640625" style="76" bestFit="1" customWidth="1"/>
    <col min="13576" max="13577" width="14.5546875" style="76" bestFit="1" customWidth="1"/>
    <col min="13578" max="13822" width="9.109375" style="76"/>
    <col min="13823" max="13823" width="5.44140625" style="76" bestFit="1" customWidth="1"/>
    <col min="13824" max="13824" width="20.6640625" style="76" customWidth="1"/>
    <col min="13825" max="13825" width="17" style="76" customWidth="1"/>
    <col min="13826" max="13827" width="15.44140625" style="76" customWidth="1"/>
    <col min="13828" max="13828" width="15.33203125" style="76" customWidth="1"/>
    <col min="13829" max="13829" width="16.5546875" style="76" bestFit="1" customWidth="1"/>
    <col min="13830" max="13830" width="16.6640625" style="76" bestFit="1" customWidth="1"/>
    <col min="13831" max="13831" width="14.6640625" style="76" bestFit="1" customWidth="1"/>
    <col min="13832" max="13833" width="14.5546875" style="76" bestFit="1" customWidth="1"/>
    <col min="13834" max="14078" width="9.109375" style="76"/>
    <col min="14079" max="14079" width="5.44140625" style="76" bestFit="1" customWidth="1"/>
    <col min="14080" max="14080" width="20.6640625" style="76" customWidth="1"/>
    <col min="14081" max="14081" width="17" style="76" customWidth="1"/>
    <col min="14082" max="14083" width="15.44140625" style="76" customWidth="1"/>
    <col min="14084" max="14084" width="15.33203125" style="76" customWidth="1"/>
    <col min="14085" max="14085" width="16.5546875" style="76" bestFit="1" customWidth="1"/>
    <col min="14086" max="14086" width="16.6640625" style="76" bestFit="1" customWidth="1"/>
    <col min="14087" max="14087" width="14.6640625" style="76" bestFit="1" customWidth="1"/>
    <col min="14088" max="14089" width="14.5546875" style="76" bestFit="1" customWidth="1"/>
    <col min="14090" max="14334" width="9.109375" style="76"/>
    <col min="14335" max="14335" width="5.44140625" style="76" bestFit="1" customWidth="1"/>
    <col min="14336" max="14336" width="20.6640625" style="76" customWidth="1"/>
    <col min="14337" max="14337" width="17" style="76" customWidth="1"/>
    <col min="14338" max="14339" width="15.44140625" style="76" customWidth="1"/>
    <col min="14340" max="14340" width="15.33203125" style="76" customWidth="1"/>
    <col min="14341" max="14341" width="16.5546875" style="76" bestFit="1" customWidth="1"/>
    <col min="14342" max="14342" width="16.6640625" style="76" bestFit="1" customWidth="1"/>
    <col min="14343" max="14343" width="14.6640625" style="76" bestFit="1" customWidth="1"/>
    <col min="14344" max="14345" width="14.5546875" style="76" bestFit="1" customWidth="1"/>
    <col min="14346" max="14590" width="9.109375" style="76"/>
    <col min="14591" max="14591" width="5.44140625" style="76" bestFit="1" customWidth="1"/>
    <col min="14592" max="14592" width="20.6640625" style="76" customWidth="1"/>
    <col min="14593" max="14593" width="17" style="76" customWidth="1"/>
    <col min="14594" max="14595" width="15.44140625" style="76" customWidth="1"/>
    <col min="14596" max="14596" width="15.33203125" style="76" customWidth="1"/>
    <col min="14597" max="14597" width="16.5546875" style="76" bestFit="1" customWidth="1"/>
    <col min="14598" max="14598" width="16.6640625" style="76" bestFit="1" customWidth="1"/>
    <col min="14599" max="14599" width="14.6640625" style="76" bestFit="1" customWidth="1"/>
    <col min="14600" max="14601" width="14.5546875" style="76" bestFit="1" customWidth="1"/>
    <col min="14602" max="14846" width="9.109375" style="76"/>
    <col min="14847" max="14847" width="5.44140625" style="76" bestFit="1" customWidth="1"/>
    <col min="14848" max="14848" width="20.6640625" style="76" customWidth="1"/>
    <col min="14849" max="14849" width="17" style="76" customWidth="1"/>
    <col min="14850" max="14851" width="15.44140625" style="76" customWidth="1"/>
    <col min="14852" max="14852" width="15.33203125" style="76" customWidth="1"/>
    <col min="14853" max="14853" width="16.5546875" style="76" bestFit="1" customWidth="1"/>
    <col min="14854" max="14854" width="16.6640625" style="76" bestFit="1" customWidth="1"/>
    <col min="14855" max="14855" width="14.6640625" style="76" bestFit="1" customWidth="1"/>
    <col min="14856" max="14857" width="14.5546875" style="76" bestFit="1" customWidth="1"/>
    <col min="14858" max="15102" width="9.109375" style="76"/>
    <col min="15103" max="15103" width="5.44140625" style="76" bestFit="1" customWidth="1"/>
    <col min="15104" max="15104" width="20.6640625" style="76" customWidth="1"/>
    <col min="15105" max="15105" width="17" style="76" customWidth="1"/>
    <col min="15106" max="15107" width="15.44140625" style="76" customWidth="1"/>
    <col min="15108" max="15108" width="15.33203125" style="76" customWidth="1"/>
    <col min="15109" max="15109" width="16.5546875" style="76" bestFit="1" customWidth="1"/>
    <col min="15110" max="15110" width="16.6640625" style="76" bestFit="1" customWidth="1"/>
    <col min="15111" max="15111" width="14.6640625" style="76" bestFit="1" customWidth="1"/>
    <col min="15112" max="15113" width="14.5546875" style="76" bestFit="1" customWidth="1"/>
    <col min="15114" max="15358" width="9.109375" style="76"/>
    <col min="15359" max="15359" width="5.44140625" style="76" bestFit="1" customWidth="1"/>
    <col min="15360" max="15360" width="20.6640625" style="76" customWidth="1"/>
    <col min="15361" max="15361" width="17" style="76" customWidth="1"/>
    <col min="15362" max="15363" width="15.44140625" style="76" customWidth="1"/>
    <col min="15364" max="15364" width="15.33203125" style="76" customWidth="1"/>
    <col min="15365" max="15365" width="16.5546875" style="76" bestFit="1" customWidth="1"/>
    <col min="15366" max="15366" width="16.6640625" style="76" bestFit="1" customWidth="1"/>
    <col min="15367" max="15367" width="14.6640625" style="76" bestFit="1" customWidth="1"/>
    <col min="15368" max="15369" width="14.5546875" style="76" bestFit="1" customWidth="1"/>
    <col min="15370" max="15614" width="9.109375" style="76"/>
    <col min="15615" max="15615" width="5.44140625" style="76" bestFit="1" customWidth="1"/>
    <col min="15616" max="15616" width="20.6640625" style="76" customWidth="1"/>
    <col min="15617" max="15617" width="17" style="76" customWidth="1"/>
    <col min="15618" max="15619" width="15.44140625" style="76" customWidth="1"/>
    <col min="15620" max="15620" width="15.33203125" style="76" customWidth="1"/>
    <col min="15621" max="15621" width="16.5546875" style="76" bestFit="1" customWidth="1"/>
    <col min="15622" max="15622" width="16.6640625" style="76" bestFit="1" customWidth="1"/>
    <col min="15623" max="15623" width="14.6640625" style="76" bestFit="1" customWidth="1"/>
    <col min="15624" max="15625" width="14.5546875" style="76" bestFit="1" customWidth="1"/>
    <col min="15626" max="15870" width="9.109375" style="76"/>
    <col min="15871" max="15871" width="5.44140625" style="76" bestFit="1" customWidth="1"/>
    <col min="15872" max="15872" width="20.6640625" style="76" customWidth="1"/>
    <col min="15873" max="15873" width="17" style="76" customWidth="1"/>
    <col min="15874" max="15875" width="15.44140625" style="76" customWidth="1"/>
    <col min="15876" max="15876" width="15.33203125" style="76" customWidth="1"/>
    <col min="15877" max="15877" width="16.5546875" style="76" bestFit="1" customWidth="1"/>
    <col min="15878" max="15878" width="16.6640625" style="76" bestFit="1" customWidth="1"/>
    <col min="15879" max="15879" width="14.6640625" style="76" bestFit="1" customWidth="1"/>
    <col min="15880" max="15881" width="14.5546875" style="76" bestFit="1" customWidth="1"/>
    <col min="15882" max="16126" width="9.109375" style="76"/>
    <col min="16127" max="16127" width="5.44140625" style="76" bestFit="1" customWidth="1"/>
    <col min="16128" max="16128" width="20.6640625" style="76" customWidth="1"/>
    <col min="16129" max="16129" width="17" style="76" customWidth="1"/>
    <col min="16130" max="16131" width="15.44140625" style="76" customWidth="1"/>
    <col min="16132" max="16132" width="15.33203125" style="76" customWidth="1"/>
    <col min="16133" max="16133" width="16.5546875" style="76" bestFit="1" customWidth="1"/>
    <col min="16134" max="16134" width="16.6640625" style="76" bestFit="1" customWidth="1"/>
    <col min="16135" max="16135" width="14.6640625" style="76" bestFit="1" customWidth="1"/>
    <col min="16136" max="16137" width="14.5546875" style="76" bestFit="1" customWidth="1"/>
    <col min="16138" max="16384" width="9.109375" style="76"/>
  </cols>
  <sheetData>
    <row r="1" spans="1:19" x14ac:dyDescent="0.3">
      <c r="A1" s="73"/>
      <c r="B1" s="74"/>
      <c r="C1" s="74"/>
      <c r="D1" s="74"/>
      <c r="E1" s="74"/>
      <c r="F1" s="75"/>
    </row>
    <row r="2" spans="1:19" ht="15" thickBot="1" x14ac:dyDescent="0.35">
      <c r="A2" s="73"/>
      <c r="B2" s="74"/>
      <c r="C2" s="74"/>
      <c r="D2" s="74"/>
      <c r="E2" s="74"/>
      <c r="F2" s="75"/>
    </row>
    <row r="3" spans="1:19" ht="15.6" thickTop="1" thickBot="1" x14ac:dyDescent="0.35">
      <c r="A3" s="73"/>
      <c r="B3" s="74"/>
      <c r="C3" s="74"/>
      <c r="D3" s="74"/>
      <c r="E3" s="74"/>
      <c r="F3" s="77" t="s">
        <v>105</v>
      </c>
      <c r="O3"/>
    </row>
    <row r="4" spans="1:19" ht="15" thickTop="1" x14ac:dyDescent="0.3">
      <c r="A4" s="73" t="s">
        <v>106</v>
      </c>
      <c r="B4" s="73"/>
      <c r="C4" s="73"/>
      <c r="D4" s="73"/>
      <c r="E4" s="73"/>
      <c r="F4" s="73"/>
      <c r="O4"/>
    </row>
    <row r="5" spans="1:19" x14ac:dyDescent="0.3">
      <c r="A5" s="78" t="s">
        <v>107</v>
      </c>
      <c r="B5" s="79"/>
      <c r="C5" s="79"/>
      <c r="D5" s="79"/>
      <c r="E5" s="79"/>
      <c r="F5" s="79"/>
      <c r="O5"/>
    </row>
    <row r="6" spans="1:19" x14ac:dyDescent="0.3">
      <c r="A6" s="78" t="s">
        <v>108</v>
      </c>
      <c r="B6" s="78"/>
      <c r="C6" s="78"/>
      <c r="D6" s="78"/>
      <c r="E6" s="79"/>
      <c r="F6" s="80"/>
      <c r="O6"/>
    </row>
    <row r="7" spans="1:19" x14ac:dyDescent="0.3">
      <c r="A7" s="79" t="s">
        <v>132</v>
      </c>
      <c r="B7" s="78"/>
      <c r="C7" s="78"/>
      <c r="D7" s="78"/>
      <c r="E7" s="79"/>
      <c r="F7" s="81"/>
      <c r="O7"/>
    </row>
    <row r="8" spans="1:19" x14ac:dyDescent="0.3">
      <c r="A8" s="78" t="s">
        <v>109</v>
      </c>
      <c r="B8" s="78"/>
      <c r="C8" s="78"/>
      <c r="D8" s="78"/>
      <c r="E8" s="79"/>
      <c r="F8" s="79"/>
      <c r="O8"/>
    </row>
    <row r="9" spans="1:19" x14ac:dyDescent="0.3">
      <c r="A9" s="73"/>
      <c r="B9" s="73"/>
      <c r="C9" s="73"/>
      <c r="D9" s="73"/>
      <c r="E9" s="73"/>
      <c r="F9" s="73"/>
      <c r="O9"/>
    </row>
    <row r="10" spans="1:19" s="84" customFormat="1" x14ac:dyDescent="0.3">
      <c r="A10" s="82" t="s">
        <v>110</v>
      </c>
      <c r="B10" s="83"/>
      <c r="C10" s="73"/>
      <c r="D10" s="73"/>
      <c r="E10" s="82"/>
      <c r="F10" s="82"/>
      <c r="H10"/>
      <c r="I10"/>
      <c r="J10"/>
      <c r="K10"/>
      <c r="L10"/>
      <c r="M10"/>
      <c r="N10"/>
      <c r="O10"/>
    </row>
    <row r="11" spans="1:19" s="84" customFormat="1" x14ac:dyDescent="0.3">
      <c r="A11" s="85" t="s">
        <v>111</v>
      </c>
      <c r="B11" s="86" t="s">
        <v>112</v>
      </c>
      <c r="C11" s="87" t="s">
        <v>113</v>
      </c>
      <c r="D11" s="87" t="s">
        <v>114</v>
      </c>
      <c r="E11" s="87" t="s">
        <v>115</v>
      </c>
      <c r="F11" s="87"/>
      <c r="H11"/>
      <c r="I11"/>
      <c r="J11"/>
      <c r="K11"/>
      <c r="L11"/>
      <c r="M11"/>
      <c r="N11"/>
      <c r="O11"/>
    </row>
    <row r="12" spans="1:19" x14ac:dyDescent="0.3">
      <c r="A12" s="88"/>
      <c r="B12" s="89"/>
      <c r="C12" s="89"/>
      <c r="D12" s="90"/>
      <c r="E12" s="74"/>
      <c r="F12" s="74"/>
      <c r="O12"/>
    </row>
    <row r="13" spans="1:19" x14ac:dyDescent="0.3">
      <c r="A13" s="91">
        <v>1</v>
      </c>
      <c r="B13" s="92" t="s">
        <v>116</v>
      </c>
      <c r="C13" s="93"/>
      <c r="D13" s="93"/>
      <c r="E13" s="94"/>
      <c r="F13" s="74"/>
      <c r="O13"/>
    </row>
    <row r="14" spans="1:19" x14ac:dyDescent="0.3">
      <c r="A14" s="91">
        <f t="shared" ref="A14:A29" si="0">+A13+1</f>
        <v>2</v>
      </c>
      <c r="B14" s="94"/>
      <c r="C14" s="95" t="s">
        <v>113</v>
      </c>
      <c r="D14" s="96" t="s">
        <v>117</v>
      </c>
      <c r="E14" s="97" t="s">
        <v>118</v>
      </c>
      <c r="F14" s="74"/>
      <c r="O14"/>
    </row>
    <row r="15" spans="1:19" x14ac:dyDescent="0.3">
      <c r="A15" s="91">
        <f t="shared" si="0"/>
        <v>3</v>
      </c>
      <c r="B15" s="94"/>
      <c r="C15" s="98" t="s">
        <v>118</v>
      </c>
      <c r="D15" s="99" t="s">
        <v>118</v>
      </c>
      <c r="E15" s="100" t="s">
        <v>119</v>
      </c>
      <c r="F15" s="74"/>
      <c r="O15"/>
    </row>
    <row r="16" spans="1:19" x14ac:dyDescent="0.3">
      <c r="A16" s="91">
        <f t="shared" si="0"/>
        <v>4</v>
      </c>
      <c r="B16" s="101">
        <v>44927</v>
      </c>
      <c r="C16" s="102">
        <f>'Weather Adj. Volumes'!D34</f>
        <v>24162977.680378921</v>
      </c>
      <c r="D16" s="103">
        <f>'Weather Adj. Volumes'!D197</f>
        <v>24129935.516161587</v>
      </c>
      <c r="E16" s="104">
        <f t="shared" ref="E16:E27" si="1">+D16-C16</f>
        <v>-33042.164217334241</v>
      </c>
      <c r="F16" s="103"/>
      <c r="G16" s="103"/>
      <c r="O16"/>
      <c r="P16" s="103"/>
      <c r="Q16" s="103"/>
      <c r="R16" s="103"/>
      <c r="S16" s="103"/>
    </row>
    <row r="17" spans="1:15" x14ac:dyDescent="0.3">
      <c r="A17" s="91">
        <f t="shared" si="0"/>
        <v>5</v>
      </c>
      <c r="B17" s="101">
        <v>44958</v>
      </c>
      <c r="C17" s="102">
        <f>'Weather Adj. Volumes'!E34</f>
        <v>17547669.034721799</v>
      </c>
      <c r="D17" s="103">
        <f>'Weather Adj. Volumes'!E197</f>
        <v>16856767.399953801</v>
      </c>
      <c r="E17" s="104">
        <f t="shared" si="1"/>
        <v>-690901.63476799801</v>
      </c>
      <c r="F17" s="103"/>
      <c r="G17" s="105"/>
      <c r="O17"/>
    </row>
    <row r="18" spans="1:15" x14ac:dyDescent="0.3">
      <c r="A18" s="91">
        <f t="shared" si="0"/>
        <v>6</v>
      </c>
      <c r="B18" s="101">
        <v>44986</v>
      </c>
      <c r="C18" s="102">
        <f>'Weather Adj. Volumes'!F34</f>
        <v>20385853.816629339</v>
      </c>
      <c r="D18" s="103">
        <f>'Weather Adj. Volumes'!F197</f>
        <v>19724392.90975184</v>
      </c>
      <c r="E18" s="104">
        <f t="shared" si="1"/>
        <v>-661460.90687749907</v>
      </c>
      <c r="F18" s="103"/>
      <c r="G18" s="105"/>
      <c r="O18"/>
    </row>
    <row r="19" spans="1:15" x14ac:dyDescent="0.3">
      <c r="A19" s="91">
        <f t="shared" si="0"/>
        <v>7</v>
      </c>
      <c r="B19" s="101">
        <v>45017</v>
      </c>
      <c r="C19" s="102">
        <f>'Weather Adj. Volumes'!G34</f>
        <v>28086956.978939112</v>
      </c>
      <c r="D19" s="103">
        <f>'Weather Adj. Volumes'!G197</f>
        <v>27480755.106246613</v>
      </c>
      <c r="E19" s="104">
        <f t="shared" si="1"/>
        <v>-606201.87269249931</v>
      </c>
      <c r="F19" s="103"/>
      <c r="G19" s="105"/>
      <c r="O19"/>
    </row>
    <row r="20" spans="1:15" x14ac:dyDescent="0.3">
      <c r="A20" s="91">
        <f t="shared" si="0"/>
        <v>8</v>
      </c>
      <c r="B20" s="101">
        <v>45047</v>
      </c>
      <c r="C20" s="102">
        <f>'Weather Adj. Volumes'!H34</f>
        <v>17535926.019761696</v>
      </c>
      <c r="D20" s="103">
        <f>'Weather Adj. Volumes'!H197</f>
        <v>17834691.62761686</v>
      </c>
      <c r="E20" s="104">
        <f t="shared" si="1"/>
        <v>298765.60785516351</v>
      </c>
      <c r="F20" s="103"/>
      <c r="G20" s="105"/>
      <c r="O20"/>
    </row>
    <row r="21" spans="1:15" x14ac:dyDescent="0.3">
      <c r="A21" s="91">
        <f t="shared" si="0"/>
        <v>9</v>
      </c>
      <c r="B21" s="101">
        <v>45078</v>
      </c>
      <c r="C21" s="102">
        <f>'Weather Adj. Volumes'!I34</f>
        <v>8196518.3580095107</v>
      </c>
      <c r="D21" s="103">
        <f>'Weather Adj. Volumes'!I197</f>
        <v>8185636.7863845127</v>
      </c>
      <c r="E21" s="104">
        <f t="shared" si="1"/>
        <v>-10881.571624998003</v>
      </c>
      <c r="F21" s="103"/>
      <c r="G21" s="105"/>
      <c r="O21"/>
    </row>
    <row r="22" spans="1:15" x14ac:dyDescent="0.3">
      <c r="A22" s="91">
        <f t="shared" si="0"/>
        <v>10</v>
      </c>
      <c r="B22" s="101">
        <v>45108</v>
      </c>
      <c r="C22" s="102">
        <f>'Weather Adj. Volumes'!J34</f>
        <v>19183377.613972209</v>
      </c>
      <c r="D22" s="103">
        <f>'Weather Adj. Volumes'!J197</f>
        <v>19183377.613972206</v>
      </c>
      <c r="E22" s="104">
        <f t="shared" si="1"/>
        <v>0</v>
      </c>
      <c r="F22" s="103"/>
      <c r="G22" s="105"/>
      <c r="O22"/>
    </row>
    <row r="23" spans="1:15" x14ac:dyDescent="0.3">
      <c r="A23" s="91">
        <f t="shared" si="0"/>
        <v>11</v>
      </c>
      <c r="B23" s="101">
        <v>45139</v>
      </c>
      <c r="C23" s="102">
        <f>'Weather Adj. Volumes'!K34</f>
        <v>15815484.454359967</v>
      </c>
      <c r="D23" s="103">
        <f>'Weather Adj. Volumes'!K197</f>
        <v>15815484.454359967</v>
      </c>
      <c r="E23" s="104">
        <f t="shared" si="1"/>
        <v>0</v>
      </c>
      <c r="F23" s="103"/>
      <c r="G23" s="105"/>
      <c r="O23"/>
    </row>
    <row r="24" spans="1:15" x14ac:dyDescent="0.3">
      <c r="A24" s="91">
        <f t="shared" si="0"/>
        <v>12</v>
      </c>
      <c r="B24" s="101">
        <v>45170</v>
      </c>
      <c r="C24" s="102">
        <f>'Weather Adj. Volumes'!L34</f>
        <v>14545255.851303132</v>
      </c>
      <c r="D24" s="103">
        <f>'Weather Adj. Volumes'!L197</f>
        <v>14545255.851303132</v>
      </c>
      <c r="E24" s="104">
        <f t="shared" si="1"/>
        <v>0</v>
      </c>
      <c r="F24" s="103"/>
      <c r="G24" s="105"/>
      <c r="O24"/>
    </row>
    <row r="25" spans="1:15" x14ac:dyDescent="0.3">
      <c r="A25" s="91">
        <f t="shared" si="0"/>
        <v>13</v>
      </c>
      <c r="B25" s="101">
        <v>45200</v>
      </c>
      <c r="C25" s="102">
        <f>'Weather Adj. Volumes'!M34</f>
        <v>18564896.949934151</v>
      </c>
      <c r="D25" s="103">
        <f>'Weather Adj. Volumes'!M197</f>
        <v>18597385.470562816</v>
      </c>
      <c r="E25" s="104">
        <f t="shared" si="1"/>
        <v>32488.520628664643</v>
      </c>
      <c r="F25" s="103"/>
      <c r="G25" s="105"/>
      <c r="O25"/>
    </row>
    <row r="26" spans="1:15" x14ac:dyDescent="0.3">
      <c r="A26" s="91">
        <f t="shared" si="0"/>
        <v>14</v>
      </c>
      <c r="B26" s="101">
        <v>45231</v>
      </c>
      <c r="C26" s="102">
        <f>'Weather Adj. Volumes'!N34</f>
        <v>18886236.322845582</v>
      </c>
      <c r="D26" s="103">
        <f>'Weather Adj. Volumes'!N197</f>
        <v>18424450.286450919</v>
      </c>
      <c r="E26" s="104">
        <f t="shared" si="1"/>
        <v>-461786.03639466316</v>
      </c>
      <c r="F26" s="103"/>
      <c r="G26" s="105"/>
      <c r="O26"/>
    </row>
    <row r="27" spans="1:15" x14ac:dyDescent="0.3">
      <c r="A27" s="91">
        <f t="shared" si="0"/>
        <v>15</v>
      </c>
      <c r="B27" s="101">
        <v>45261</v>
      </c>
      <c r="C27" s="106">
        <f>'Weather Adj. Volumes'!O34</f>
        <v>9880317.0666848905</v>
      </c>
      <c r="D27" s="107">
        <f>'Weather Adj. Volumes'!O197</f>
        <v>10629526.775164561</v>
      </c>
      <c r="E27" s="108">
        <f t="shared" si="1"/>
        <v>749209.70847967081</v>
      </c>
      <c r="F27" s="103"/>
      <c r="G27" s="105"/>
      <c r="O27"/>
    </row>
    <row r="28" spans="1:15" x14ac:dyDescent="0.3">
      <c r="A28" s="91">
        <f t="shared" si="0"/>
        <v>16</v>
      </c>
      <c r="B28" s="94"/>
      <c r="C28" s="109">
        <f>ROUND(SUM(C16:C27),0)</f>
        <v>212791470</v>
      </c>
      <c r="D28" s="109">
        <f>ROUND(SUM(D16:D27),0)</f>
        <v>211407660</v>
      </c>
      <c r="E28" s="109">
        <f>ROUND(SUM(E16:E27),0)</f>
        <v>-1383810</v>
      </c>
      <c r="F28" s="74"/>
      <c r="G28" s="105"/>
      <c r="O28"/>
    </row>
    <row r="29" spans="1:15" x14ac:dyDescent="0.3">
      <c r="A29" s="91">
        <f t="shared" si="0"/>
        <v>17</v>
      </c>
      <c r="B29" s="110" t="s">
        <v>120</v>
      </c>
      <c r="C29" s="111"/>
      <c r="D29" s="111"/>
      <c r="E29" s="94"/>
      <c r="F29" s="74"/>
      <c r="G29" s="105"/>
      <c r="O29"/>
    </row>
    <row r="30" spans="1:15" x14ac:dyDescent="0.3">
      <c r="A30" s="91">
        <f>A29+1</f>
        <v>18</v>
      </c>
      <c r="B30" s="112" t="s">
        <v>11</v>
      </c>
      <c r="C30" s="112"/>
      <c r="D30" s="112">
        <v>85</v>
      </c>
      <c r="E30" s="104">
        <f>'Weather Adj. For CBR'!P47</f>
        <v>-20035.591211391351</v>
      </c>
      <c r="F30" s="94"/>
      <c r="G30" s="113"/>
      <c r="O30"/>
    </row>
    <row r="31" spans="1:15" x14ac:dyDescent="0.3">
      <c r="A31" s="91">
        <f t="shared" ref="A31:A51" si="2">+A30+1</f>
        <v>19</v>
      </c>
      <c r="B31" s="112" t="s">
        <v>23</v>
      </c>
      <c r="C31" s="112"/>
      <c r="D31" s="114" t="s">
        <v>24</v>
      </c>
      <c r="E31" s="104">
        <f>'Weather Adj. For CBR'!P48</f>
        <v>-5031.8004860737437</v>
      </c>
      <c r="F31" s="94"/>
      <c r="G31" s="105"/>
      <c r="O31"/>
    </row>
    <row r="32" spans="1:15" x14ac:dyDescent="0.3">
      <c r="A32" s="91">
        <f t="shared" si="2"/>
        <v>20</v>
      </c>
      <c r="B32" s="112" t="s">
        <v>41</v>
      </c>
      <c r="C32" s="112"/>
      <c r="D32" s="112">
        <v>87</v>
      </c>
      <c r="E32" s="104">
        <f>'Weather Adj. For CBR'!P49</f>
        <v>-7333.8111922693706</v>
      </c>
      <c r="F32" s="94"/>
      <c r="G32" s="105"/>
      <c r="O32"/>
    </row>
    <row r="33" spans="1:15" x14ac:dyDescent="0.3">
      <c r="A33" s="91">
        <f t="shared" si="2"/>
        <v>21</v>
      </c>
      <c r="B33" s="112" t="s">
        <v>26</v>
      </c>
      <c r="C33" s="112"/>
      <c r="D33" s="114" t="s">
        <v>27</v>
      </c>
      <c r="E33" s="104">
        <f>'Weather Adj. For CBR'!P50</f>
        <v>-5551.1018497979903</v>
      </c>
      <c r="F33" s="94"/>
      <c r="G33" s="105"/>
      <c r="O33"/>
    </row>
    <row r="34" spans="1:15" x14ac:dyDescent="0.3">
      <c r="A34" s="91">
        <f t="shared" si="2"/>
        <v>22</v>
      </c>
      <c r="B34" s="115" t="s">
        <v>32</v>
      </c>
      <c r="C34" s="115"/>
      <c r="D34" s="116" t="s">
        <v>33</v>
      </c>
      <c r="E34" s="104">
        <f>'Weather Adj. For CBR'!P51</f>
        <v>-4568.5862413106979</v>
      </c>
      <c r="F34" s="117"/>
      <c r="G34" s="105"/>
      <c r="O34"/>
    </row>
    <row r="35" spans="1:15" x14ac:dyDescent="0.3">
      <c r="A35" s="91">
        <f t="shared" si="2"/>
        <v>23</v>
      </c>
      <c r="B35" s="94" t="s">
        <v>121</v>
      </c>
      <c r="C35" s="94"/>
      <c r="E35" s="119"/>
      <c r="F35" s="120">
        <f>SUM(E30:E34)</f>
        <v>-42520.890980843149</v>
      </c>
      <c r="G35" s="105"/>
      <c r="O35"/>
    </row>
    <row r="36" spans="1:15" x14ac:dyDescent="0.3">
      <c r="A36" s="91">
        <f t="shared" si="2"/>
        <v>24</v>
      </c>
      <c r="B36" s="121"/>
      <c r="C36" s="121"/>
      <c r="D36" s="122"/>
      <c r="E36" s="123"/>
      <c r="F36" s="94"/>
      <c r="G36" s="105"/>
      <c r="O36"/>
    </row>
    <row r="37" spans="1:15" x14ac:dyDescent="0.3">
      <c r="A37" s="91">
        <f t="shared" si="2"/>
        <v>25</v>
      </c>
      <c r="B37" s="124" t="s">
        <v>122</v>
      </c>
      <c r="C37" s="121"/>
      <c r="D37" s="122"/>
      <c r="E37" s="123"/>
      <c r="F37" s="94"/>
      <c r="G37" s="105"/>
      <c r="O37"/>
    </row>
    <row r="38" spans="1:15" x14ac:dyDescent="0.3">
      <c r="A38" s="91">
        <f t="shared" si="2"/>
        <v>26</v>
      </c>
      <c r="B38" s="92" t="s">
        <v>123</v>
      </c>
      <c r="C38" s="121"/>
      <c r="D38" s="122"/>
      <c r="E38" s="125">
        <v>0</v>
      </c>
      <c r="G38" s="105"/>
      <c r="O38"/>
    </row>
    <row r="39" spans="1:15" x14ac:dyDescent="0.3">
      <c r="A39" s="91">
        <f t="shared" si="2"/>
        <v>27</v>
      </c>
      <c r="B39" s="92"/>
      <c r="C39" s="121"/>
      <c r="D39" s="122"/>
      <c r="E39" s="123"/>
      <c r="F39" s="119">
        <f>E38</f>
        <v>0</v>
      </c>
      <c r="G39" s="105"/>
      <c r="O39"/>
    </row>
    <row r="40" spans="1:15" x14ac:dyDescent="0.3">
      <c r="A40" s="91">
        <f t="shared" si="2"/>
        <v>28</v>
      </c>
      <c r="B40" s="121"/>
      <c r="C40" s="121"/>
      <c r="D40" s="122"/>
      <c r="E40" s="123"/>
      <c r="F40" s="94"/>
      <c r="G40" s="126"/>
      <c r="O40"/>
    </row>
    <row r="41" spans="1:15" x14ac:dyDescent="0.3">
      <c r="A41" s="91">
        <f t="shared" si="2"/>
        <v>29</v>
      </c>
      <c r="B41" s="93" t="s">
        <v>124</v>
      </c>
      <c r="C41" s="93"/>
      <c r="D41" s="127">
        <f>[1]model!$CC$12</f>
        <v>2.7460000000000002E-3</v>
      </c>
      <c r="E41" s="128">
        <f>ROUND(F35*D41,0)</f>
        <v>-117</v>
      </c>
      <c r="F41" s="129"/>
      <c r="G41" s="126"/>
      <c r="O41"/>
    </row>
    <row r="42" spans="1:15" x14ac:dyDescent="0.3">
      <c r="A42" s="91">
        <f t="shared" si="2"/>
        <v>30</v>
      </c>
      <c r="B42" s="93" t="s">
        <v>125</v>
      </c>
      <c r="C42" s="93"/>
      <c r="D42" s="127">
        <f>[1]model!$CC$13</f>
        <v>4.0000000000000001E-3</v>
      </c>
      <c r="E42" s="130">
        <f>ROUND(F35*D42,0)</f>
        <v>-170</v>
      </c>
      <c r="F42" s="129"/>
      <c r="G42" s="126"/>
      <c r="O42"/>
    </row>
    <row r="43" spans="1:15" x14ac:dyDescent="0.3">
      <c r="A43" s="91">
        <f t="shared" si="2"/>
        <v>31</v>
      </c>
      <c r="B43" s="131" t="s">
        <v>126</v>
      </c>
      <c r="C43" s="93"/>
      <c r="D43" s="132"/>
      <c r="E43" s="133"/>
      <c r="F43" s="134">
        <f>SUM(E41:E42)</f>
        <v>-287</v>
      </c>
      <c r="G43" s="126"/>
      <c r="O43"/>
    </row>
    <row r="44" spans="1:15" x14ac:dyDescent="0.3">
      <c r="A44" s="91">
        <f t="shared" si="2"/>
        <v>32</v>
      </c>
      <c r="B44" s="93"/>
      <c r="C44" s="93"/>
      <c r="D44" s="135"/>
      <c r="E44" s="136"/>
      <c r="F44" s="129"/>
      <c r="G44" s="126"/>
      <c r="O44"/>
    </row>
    <row r="45" spans="1:15" x14ac:dyDescent="0.3">
      <c r="A45" s="91">
        <f t="shared" si="2"/>
        <v>33</v>
      </c>
      <c r="B45" s="93" t="s">
        <v>127</v>
      </c>
      <c r="C45" s="93"/>
      <c r="D45" s="127">
        <f>[1]model!$CC$14</f>
        <v>3.8413999999999997E-2</v>
      </c>
      <c r="E45" s="125">
        <f>ROUND(F35*D45,0)</f>
        <v>-1633</v>
      </c>
      <c r="F45" s="129"/>
      <c r="G45" s="126"/>
      <c r="O45"/>
    </row>
    <row r="46" spans="1:15" x14ac:dyDescent="0.3">
      <c r="A46" s="91">
        <f t="shared" si="2"/>
        <v>34</v>
      </c>
      <c r="B46" s="131" t="s">
        <v>128</v>
      </c>
      <c r="C46" s="93"/>
      <c r="D46" s="94"/>
      <c r="E46" s="136"/>
      <c r="F46" s="137">
        <f>SUM(E45:E45)</f>
        <v>-1633</v>
      </c>
      <c r="G46" s="126"/>
      <c r="O46"/>
    </row>
    <row r="47" spans="1:15" x14ac:dyDescent="0.3">
      <c r="A47" s="91">
        <f t="shared" si="2"/>
        <v>35</v>
      </c>
      <c r="B47" s="93"/>
      <c r="C47" s="93"/>
      <c r="D47" s="94"/>
      <c r="E47" s="94"/>
      <c r="F47" s="129"/>
      <c r="G47" s="126"/>
      <c r="O47"/>
    </row>
    <row r="48" spans="1:15" x14ac:dyDescent="0.3">
      <c r="A48" s="91">
        <f t="shared" si="2"/>
        <v>36</v>
      </c>
      <c r="B48" s="93" t="s">
        <v>129</v>
      </c>
      <c r="C48" s="93"/>
      <c r="D48" s="94"/>
      <c r="E48" s="133"/>
      <c r="F48" s="138">
        <f>F35-F39-F43-F46</f>
        <v>-40600.890980843149</v>
      </c>
      <c r="G48" s="126"/>
      <c r="O48"/>
    </row>
    <row r="49" spans="1:15" x14ac:dyDescent="0.3">
      <c r="A49" s="91">
        <f t="shared" si="2"/>
        <v>37</v>
      </c>
      <c r="B49" s="93"/>
      <c r="C49" s="93"/>
      <c r="D49" s="94"/>
      <c r="E49" s="133"/>
      <c r="F49" s="133"/>
      <c r="G49" s="126"/>
      <c r="O49"/>
    </row>
    <row r="50" spans="1:15" x14ac:dyDescent="0.3">
      <c r="A50" s="91">
        <f t="shared" si="2"/>
        <v>38</v>
      </c>
      <c r="B50" s="93" t="s">
        <v>130</v>
      </c>
      <c r="C50" s="93"/>
      <c r="D50" s="139">
        <v>0.21</v>
      </c>
      <c r="E50" s="133"/>
      <c r="F50" s="140">
        <f>ROUND(F48*D50,0)</f>
        <v>-8526</v>
      </c>
      <c r="G50" s="126"/>
      <c r="O50"/>
    </row>
    <row r="51" spans="1:15" ht="15" thickBot="1" x14ac:dyDescent="0.35">
      <c r="A51" s="91">
        <f t="shared" si="2"/>
        <v>39</v>
      </c>
      <c r="B51" s="93" t="s">
        <v>131</v>
      </c>
      <c r="C51" s="93"/>
      <c r="D51" s="94"/>
      <c r="E51" s="133"/>
      <c r="F51" s="141">
        <f>F48-F50</f>
        <v>-32074.890980843149</v>
      </c>
      <c r="G51" s="126"/>
      <c r="O51"/>
    </row>
    <row r="52" spans="1:15" ht="15" thickTop="1" x14ac:dyDescent="0.3">
      <c r="G52" s="142"/>
      <c r="O52"/>
    </row>
    <row r="53" spans="1:15" x14ac:dyDescent="0.3">
      <c r="O53"/>
    </row>
    <row r="54" spans="1:15" x14ac:dyDescent="0.3">
      <c r="O54"/>
    </row>
    <row r="55" spans="1:15" x14ac:dyDescent="0.3">
      <c r="O55"/>
    </row>
    <row r="56" spans="1:15" x14ac:dyDescent="0.3">
      <c r="O56"/>
    </row>
    <row r="57" spans="1:15" x14ac:dyDescent="0.3">
      <c r="O57"/>
    </row>
    <row r="58" spans="1:15" x14ac:dyDescent="0.3">
      <c r="O58"/>
    </row>
    <row r="59" spans="1:15" x14ac:dyDescent="0.3">
      <c r="O59"/>
    </row>
    <row r="60" spans="1:15" x14ac:dyDescent="0.3">
      <c r="O60"/>
    </row>
    <row r="61" spans="1:15" x14ac:dyDescent="0.3">
      <c r="O61"/>
    </row>
    <row r="62" spans="1:15" x14ac:dyDescent="0.3">
      <c r="O62"/>
    </row>
    <row r="63" spans="1:15" x14ac:dyDescent="0.3">
      <c r="O63"/>
    </row>
    <row r="64" spans="1:15" x14ac:dyDescent="0.3">
      <c r="O64"/>
    </row>
    <row r="65" spans="15:15" x14ac:dyDescent="0.3">
      <c r="O65"/>
    </row>
    <row r="66" spans="15:15" x14ac:dyDescent="0.3">
      <c r="O66"/>
    </row>
    <row r="67" spans="15:15" x14ac:dyDescent="0.3">
      <c r="O67"/>
    </row>
    <row r="68" spans="15:15" x14ac:dyDescent="0.3">
      <c r="O68"/>
    </row>
    <row r="69" spans="15:15" x14ac:dyDescent="0.3">
      <c r="O69"/>
    </row>
    <row r="70" spans="15:15" x14ac:dyDescent="0.3">
      <c r="O70"/>
    </row>
    <row r="71" spans="15:15" x14ac:dyDescent="0.3">
      <c r="O71"/>
    </row>
    <row r="72" spans="15:15" x14ac:dyDescent="0.3">
      <c r="O72"/>
    </row>
    <row r="73" spans="15:15" x14ac:dyDescent="0.3">
      <c r="O73"/>
    </row>
    <row r="74" spans="15:15" x14ac:dyDescent="0.3">
      <c r="O74"/>
    </row>
    <row r="75" spans="15:15" x14ac:dyDescent="0.3">
      <c r="O75"/>
    </row>
    <row r="76" spans="15:15" x14ac:dyDescent="0.3">
      <c r="O76"/>
    </row>
    <row r="77" spans="15:15" x14ac:dyDescent="0.3">
      <c r="O77"/>
    </row>
    <row r="78" spans="15:15" x14ac:dyDescent="0.3">
      <c r="O78"/>
    </row>
    <row r="79" spans="15:15" x14ac:dyDescent="0.3">
      <c r="O79"/>
    </row>
    <row r="80" spans="15:15" x14ac:dyDescent="0.3">
      <c r="O80"/>
    </row>
    <row r="81" spans="15:15" x14ac:dyDescent="0.3">
      <c r="O81"/>
    </row>
    <row r="82" spans="15:15" x14ac:dyDescent="0.3">
      <c r="O82"/>
    </row>
    <row r="83" spans="15:15" x14ac:dyDescent="0.3">
      <c r="O83"/>
    </row>
    <row r="84" spans="15:15" x14ac:dyDescent="0.3">
      <c r="O84"/>
    </row>
    <row r="85" spans="15:15" x14ac:dyDescent="0.3">
      <c r="O85"/>
    </row>
    <row r="86" spans="15:15" x14ac:dyDescent="0.3">
      <c r="O86"/>
    </row>
    <row r="87" spans="15:15" x14ac:dyDescent="0.3">
      <c r="O87"/>
    </row>
    <row r="88" spans="15:15" x14ac:dyDescent="0.3">
      <c r="O88"/>
    </row>
    <row r="89" spans="15:15" x14ac:dyDescent="0.3">
      <c r="O89"/>
    </row>
    <row r="90" spans="15:15" x14ac:dyDescent="0.3">
      <c r="O90"/>
    </row>
    <row r="91" spans="15:15" x14ac:dyDescent="0.3">
      <c r="O91"/>
    </row>
    <row r="92" spans="15:15" x14ac:dyDescent="0.3">
      <c r="O92"/>
    </row>
    <row r="93" spans="15:15" x14ac:dyDescent="0.3">
      <c r="O93"/>
    </row>
    <row r="94" spans="15:15" x14ac:dyDescent="0.3">
      <c r="O94"/>
    </row>
    <row r="95" spans="15:15" x14ac:dyDescent="0.3">
      <c r="O95"/>
    </row>
    <row r="96" spans="15:15" x14ac:dyDescent="0.3">
      <c r="O96"/>
    </row>
    <row r="97" spans="15:15" x14ac:dyDescent="0.3">
      <c r="O97"/>
    </row>
    <row r="98" spans="15:15" x14ac:dyDescent="0.3">
      <c r="O98"/>
    </row>
    <row r="99" spans="15:15" x14ac:dyDescent="0.3">
      <c r="O99"/>
    </row>
    <row r="100" spans="15:15" x14ac:dyDescent="0.3">
      <c r="O100"/>
    </row>
    <row r="101" spans="15:15" x14ac:dyDescent="0.3">
      <c r="O101"/>
    </row>
    <row r="102" spans="15:15" x14ac:dyDescent="0.3">
      <c r="O102"/>
    </row>
    <row r="103" spans="15:15" x14ac:dyDescent="0.3">
      <c r="O103"/>
    </row>
    <row r="104" spans="15:15" x14ac:dyDescent="0.3">
      <c r="O104"/>
    </row>
    <row r="105" spans="15:15" x14ac:dyDescent="0.3">
      <c r="O105"/>
    </row>
    <row r="106" spans="15:15" x14ac:dyDescent="0.3">
      <c r="O106"/>
    </row>
    <row r="107" spans="15:15" x14ac:dyDescent="0.3">
      <c r="O107"/>
    </row>
    <row r="108" spans="15:15" x14ac:dyDescent="0.3">
      <c r="O108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0"/>
  <sheetViews>
    <sheetView zoomScaleNormal="100" workbookViewId="0">
      <pane ySplit="6" topLeftCell="A31" activePane="bottomLeft" state="frozen"/>
      <selection activeCell="J47" sqref="J47"/>
      <selection pane="bottomLeft" activeCell="F33" sqref="F33:F34"/>
    </sheetView>
  </sheetViews>
  <sheetFormatPr defaultColWidth="9.109375" defaultRowHeight="13.2" x14ac:dyDescent="0.25"/>
  <cols>
    <col min="1" max="1" width="2" style="58" customWidth="1"/>
    <col min="2" max="2" width="35.88671875" style="58" bestFit="1" customWidth="1"/>
    <col min="3" max="3" width="8.6640625" style="58" bestFit="1" customWidth="1"/>
    <col min="4" max="15" width="11.6640625" style="58" customWidth="1"/>
    <col min="16" max="16" width="12.109375" style="58" customWidth="1"/>
    <col min="17" max="16384" width="9.109375" style="58"/>
  </cols>
  <sheetData>
    <row r="1" spans="1:17" s="2" customFormat="1" ht="15" customHeight="1" x14ac:dyDescent="0.25">
      <c r="A1" s="161" t="s">
        <v>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"/>
    </row>
    <row r="2" spans="1:17" s="2" customFormat="1" ht="15" customHeight="1" x14ac:dyDescent="0.25">
      <c r="A2" s="161" t="s">
        <v>97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"/>
    </row>
    <row r="3" spans="1:17" s="2" customFormat="1" ht="15" customHeight="1" x14ac:dyDescent="0.25">
      <c r="A3" s="162" t="s">
        <v>98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"/>
    </row>
    <row r="4" spans="1:17" s="2" customFormat="1" ht="15" customHeight="1" x14ac:dyDescent="0.25">
      <c r="A4" s="161" t="s">
        <v>133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"/>
    </row>
    <row r="5" spans="1:17" s="2" customFormat="1" x14ac:dyDescent="0.25">
      <c r="B5" s="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s="2" customFormat="1" x14ac:dyDescent="0.25">
      <c r="A6" s="63"/>
      <c r="B6" s="4" t="s">
        <v>1</v>
      </c>
      <c r="C6" s="4" t="s">
        <v>2</v>
      </c>
      <c r="D6" s="5">
        <v>44927</v>
      </c>
      <c r="E6" s="5">
        <f>EDATE(D6,1)</f>
        <v>44958</v>
      </c>
      <c r="F6" s="5">
        <f t="shared" ref="F6:O6" si="0">EDATE(E6,1)</f>
        <v>44986</v>
      </c>
      <c r="G6" s="5">
        <f t="shared" si="0"/>
        <v>45017</v>
      </c>
      <c r="H6" s="5">
        <f t="shared" si="0"/>
        <v>45047</v>
      </c>
      <c r="I6" s="5">
        <f t="shared" si="0"/>
        <v>45078</v>
      </c>
      <c r="J6" s="5">
        <f t="shared" si="0"/>
        <v>45108</v>
      </c>
      <c r="K6" s="5">
        <f t="shared" si="0"/>
        <v>45139</v>
      </c>
      <c r="L6" s="5">
        <f t="shared" si="0"/>
        <v>45170</v>
      </c>
      <c r="M6" s="5">
        <f t="shared" si="0"/>
        <v>45200</v>
      </c>
      <c r="N6" s="5">
        <f t="shared" si="0"/>
        <v>45231</v>
      </c>
      <c r="O6" s="5">
        <f t="shared" si="0"/>
        <v>45261</v>
      </c>
      <c r="P6" s="6" t="s">
        <v>3</v>
      </c>
      <c r="Q6" s="7"/>
    </row>
    <row r="7" spans="1:17" s="2" customFormat="1" x14ac:dyDescent="0.25">
      <c r="A7" s="41" t="s">
        <v>57</v>
      </c>
      <c r="B7" s="41"/>
      <c r="C7" s="54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7"/>
      <c r="Q7" s="7"/>
    </row>
    <row r="8" spans="1:17" s="11" customFormat="1" x14ac:dyDescent="0.25">
      <c r="B8" s="11" t="s">
        <v>11</v>
      </c>
      <c r="C8" s="143">
        <v>85</v>
      </c>
      <c r="D8" s="64">
        <f>'Weather Adj. Volumes'!D151</f>
        <v>-7331.0507563333958</v>
      </c>
      <c r="E8" s="64">
        <f>'Weather Adj. Volumes'!E151</f>
        <v>-139936.29320533318</v>
      </c>
      <c r="F8" s="64">
        <f>'Weather Adj. Volumes'!F151</f>
        <v>-141789.5432800001</v>
      </c>
      <c r="G8" s="64">
        <f>'Weather Adj. Volumes'!G151</f>
        <v>-127775.26124066673</v>
      </c>
      <c r="H8" s="64">
        <f>'Weather Adj. Volumes'!H151</f>
        <v>71416.134521666681</v>
      </c>
      <c r="I8" s="64">
        <f>'Weather Adj. Volumes'!I151</f>
        <v>0</v>
      </c>
      <c r="J8" s="64">
        <f>'Weather Adj. Volumes'!J151</f>
        <v>0</v>
      </c>
      <c r="K8" s="64">
        <f>'Weather Adj. Volumes'!K151</f>
        <v>0</v>
      </c>
      <c r="L8" s="64">
        <f>'Weather Adj. Volumes'!L151</f>
        <v>0</v>
      </c>
      <c r="M8" s="64">
        <f>'Weather Adj. Volumes'!M151</f>
        <v>7045.8554319995455</v>
      </c>
      <c r="N8" s="64">
        <f>'Weather Adj. Volumes'!N151</f>
        <v>-97859.162538666045</v>
      </c>
      <c r="O8" s="64">
        <f>'Weather Adj. Volumes'!O151</f>
        <v>153759.40408733394</v>
      </c>
      <c r="P8" s="56">
        <f>SUM(D8:O8)</f>
        <v>-282469.91697999928</v>
      </c>
      <c r="Q8" s="14"/>
    </row>
    <row r="9" spans="1:17" s="11" customFormat="1" x14ac:dyDescent="0.25">
      <c r="B9" s="2" t="s">
        <v>23</v>
      </c>
      <c r="C9" s="72" t="s">
        <v>24</v>
      </c>
      <c r="D9" s="64">
        <f>'Weather Adj. Volumes'!D149</f>
        <v>-2142.4934776667506</v>
      </c>
      <c r="E9" s="64">
        <f>'Weather Adj. Volumes'!E149</f>
        <v>-31968.536402666708</v>
      </c>
      <c r="F9" s="64">
        <f>'Weather Adj. Volumes'!F149</f>
        <v>-43362.770147499861</v>
      </c>
      <c r="G9" s="64">
        <f>'Weather Adj. Volumes'!G149</f>
        <v>-33125.926858499879</v>
      </c>
      <c r="H9" s="64">
        <f>'Weather Adj. Volumes'!H149</f>
        <v>16753.030995999929</v>
      </c>
      <c r="I9" s="64">
        <f>'Weather Adj. Volumes'!I149</f>
        <v>0</v>
      </c>
      <c r="J9" s="64">
        <f>'Weather Adj. Volumes'!J149</f>
        <v>0</v>
      </c>
      <c r="K9" s="64">
        <f>'Weather Adj. Volumes'!K149</f>
        <v>0</v>
      </c>
      <c r="L9" s="64">
        <f>'Weather Adj. Volumes'!L149</f>
        <v>0</v>
      </c>
      <c r="M9" s="64">
        <f>'Weather Adj. Volumes'!M149</f>
        <v>2110.1760166664608</v>
      </c>
      <c r="N9" s="64">
        <f>'Weather Adj. Volumes'!N149</f>
        <v>-27853.985749333166</v>
      </c>
      <c r="O9" s="64">
        <f>'Weather Adj. Volumes'!O149</f>
        <v>46760.856092333561</v>
      </c>
      <c r="P9" s="56">
        <f t="shared" ref="P9:P12" si="1">SUM(D9:O9)</f>
        <v>-72829.649530666415</v>
      </c>
      <c r="Q9" s="14"/>
    </row>
    <row r="10" spans="1:17" s="11" customFormat="1" x14ac:dyDescent="0.25">
      <c r="B10" s="11" t="s">
        <v>41</v>
      </c>
      <c r="C10" s="143">
        <v>87</v>
      </c>
      <c r="D10" s="64">
        <f>'Weather Adj. Volumes'!D153</f>
        <v>-6859.7045733332634</v>
      </c>
      <c r="E10" s="64">
        <f>'Weather Adj. Volumes'!E153</f>
        <v>-147509.04143999983</v>
      </c>
      <c r="F10" s="64">
        <f>'Weather Adj. Volumes'!F153</f>
        <v>-137572.21635000012</v>
      </c>
      <c r="G10" s="64">
        <f>'Weather Adj. Volumes'!G153</f>
        <v>-130820.84899333306</v>
      </c>
      <c r="H10" s="64">
        <f>'Weather Adj. Volumes'!H153</f>
        <v>61059.545530000003</v>
      </c>
      <c r="I10" s="64">
        <f>'Weather Adj. Volumes'!I153</f>
        <v>0</v>
      </c>
      <c r="J10" s="64">
        <f>'Weather Adj. Volumes'!J153</f>
        <v>0</v>
      </c>
      <c r="K10" s="64">
        <f>'Weather Adj. Volumes'!K153</f>
        <v>0</v>
      </c>
      <c r="L10" s="64">
        <f>'Weather Adj. Volumes'!L153</f>
        <v>0</v>
      </c>
      <c r="M10" s="64">
        <f>'Weather Adj. Volumes'!M153</f>
        <v>6203.335599999642</v>
      </c>
      <c r="N10" s="64">
        <f>'Weather Adj. Volumes'!N153</f>
        <v>-92833.396906666225</v>
      </c>
      <c r="O10" s="64">
        <f>'Weather Adj. Volumes'!O153</f>
        <v>163081.01666000066</v>
      </c>
      <c r="P10" s="56">
        <f t="shared" si="1"/>
        <v>-285251.31047333218</v>
      </c>
      <c r="Q10" s="14"/>
    </row>
    <row r="11" spans="1:17" s="11" customFormat="1" x14ac:dyDescent="0.25">
      <c r="B11" s="2" t="s">
        <v>26</v>
      </c>
      <c r="C11" s="72" t="s">
        <v>27</v>
      </c>
      <c r="D11" s="64">
        <f>'Weather Adj. Volumes'!D150</f>
        <v>-5070.4602300000843</v>
      </c>
      <c r="E11" s="64">
        <f>'Weather Adj. Volumes'!E150</f>
        <v>-112197.00664000004</v>
      </c>
      <c r="F11" s="64">
        <f>'Weather Adj. Volumes'!F150</f>
        <v>-105309.27705000015</v>
      </c>
      <c r="G11" s="64">
        <f>'Weather Adj. Volumes'!G150</f>
        <v>-98547.134787499905</v>
      </c>
      <c r="H11" s="64">
        <f>'Weather Adj. Volumes'!H150</f>
        <v>51868.069189999995</v>
      </c>
      <c r="I11" s="64">
        <f>'Weather Adj. Volumes'!I150</f>
        <v>-10881.571624999866</v>
      </c>
      <c r="J11" s="64">
        <f>'Weather Adj. Volumes'!J150</f>
        <v>0</v>
      </c>
      <c r="K11" s="64">
        <f>'Weather Adj. Volumes'!K150</f>
        <v>0</v>
      </c>
      <c r="L11" s="64">
        <f>'Weather Adj. Volumes'!L150</f>
        <v>0</v>
      </c>
      <c r="M11" s="64">
        <f>'Weather Adj. Volumes'!M150</f>
        <v>4918.2625799996313</v>
      </c>
      <c r="N11" s="64">
        <f>'Weather Adj. Volumes'!N150</f>
        <v>-70304.964479999617</v>
      </c>
      <c r="O11" s="64">
        <f>'Weather Adj. Volumes'!O150</f>
        <v>128599.43084250041</v>
      </c>
      <c r="P11" s="56">
        <f>SUM(D11:O11)</f>
        <v>-216924.6521999996</v>
      </c>
      <c r="Q11" s="14"/>
    </row>
    <row r="12" spans="1:17" s="18" customFormat="1" x14ac:dyDescent="0.25">
      <c r="B12" s="18" t="s">
        <v>32</v>
      </c>
      <c r="C12" s="144" t="s">
        <v>33</v>
      </c>
      <c r="D12" s="65">
        <f>'Weather Adj. Volumes'!D156</f>
        <v>-11638.455180000048</v>
      </c>
      <c r="E12" s="65">
        <f>'Weather Adj. Volumes'!E156</f>
        <v>-259290.75708000013</v>
      </c>
      <c r="F12" s="65">
        <f>'Weather Adj. Volumes'!F156</f>
        <v>-233427.10004999954</v>
      </c>
      <c r="G12" s="65">
        <f>'Weather Adj. Volumes'!G156</f>
        <v>-215932.70081250014</v>
      </c>
      <c r="H12" s="65">
        <f>'Weather Adj. Volumes'!H156</f>
        <v>97668.827617499046</v>
      </c>
      <c r="I12" s="65">
        <f>'Weather Adj. Volumes'!I156</f>
        <v>0</v>
      </c>
      <c r="J12" s="65">
        <f>'Weather Adj. Volumes'!J156</f>
        <v>0</v>
      </c>
      <c r="K12" s="65">
        <f>'Weather Adj. Volumes'!K156</f>
        <v>0</v>
      </c>
      <c r="L12" s="65">
        <f>'Weather Adj. Volumes'!L156</f>
        <v>0</v>
      </c>
      <c r="M12" s="65">
        <f>'Weather Adj. Volumes'!M156</f>
        <v>12210.890999999363</v>
      </c>
      <c r="N12" s="65">
        <f>'Weather Adj. Volumes'!N156</f>
        <v>-172934.52671999903</v>
      </c>
      <c r="O12" s="65">
        <f>'Weather Adj. Volumes'!O156</f>
        <v>257009.00079750083</v>
      </c>
      <c r="P12" s="57">
        <f t="shared" si="1"/>
        <v>-526334.82042749971</v>
      </c>
      <c r="Q12" s="22"/>
    </row>
    <row r="13" spans="1:17" x14ac:dyDescent="0.25">
      <c r="B13" s="11" t="s">
        <v>3</v>
      </c>
      <c r="C13" s="143"/>
      <c r="D13" s="59">
        <f t="shared" ref="D13:P13" si="2">SUM(D8:D12)</f>
        <v>-33042.164217333542</v>
      </c>
      <c r="E13" s="59">
        <f t="shared" si="2"/>
        <v>-690901.63476799987</v>
      </c>
      <c r="F13" s="59">
        <f t="shared" si="2"/>
        <v>-661460.90687749977</v>
      </c>
      <c r="G13" s="59">
        <f t="shared" si="2"/>
        <v>-606201.87269249978</v>
      </c>
      <c r="H13" s="59">
        <f t="shared" si="2"/>
        <v>298765.60785516567</v>
      </c>
      <c r="I13" s="59">
        <f t="shared" si="2"/>
        <v>-10881.571624999866</v>
      </c>
      <c r="J13" s="59">
        <f t="shared" si="2"/>
        <v>0</v>
      </c>
      <c r="K13" s="59">
        <f t="shared" si="2"/>
        <v>0</v>
      </c>
      <c r="L13" s="59">
        <f t="shared" si="2"/>
        <v>0</v>
      </c>
      <c r="M13" s="59">
        <f t="shared" si="2"/>
        <v>32488.520628664643</v>
      </c>
      <c r="N13" s="59">
        <f t="shared" si="2"/>
        <v>-461786.03639466409</v>
      </c>
      <c r="O13" s="59">
        <f t="shared" si="2"/>
        <v>749209.70847966941</v>
      </c>
      <c r="P13" s="59">
        <f t="shared" si="2"/>
        <v>-1383810.3496114973</v>
      </c>
    </row>
    <row r="14" spans="1:17" x14ac:dyDescent="0.25">
      <c r="B14" s="11" t="s">
        <v>79</v>
      </c>
      <c r="C14" s="145"/>
      <c r="D14" s="66">
        <f>D13-SUM('Weather Adj. Volumes'!D149:D151,'Weather Adj. Volumes'!D153,'Weather Adj. Volumes'!D156)</f>
        <v>0</v>
      </c>
      <c r="E14" s="66">
        <f>E13-SUM('Weather Adj. Volumes'!E149:E151,'Weather Adj. Volumes'!E153,'Weather Adj. Volumes'!E156)</f>
        <v>0</v>
      </c>
      <c r="F14" s="66">
        <f>F13-SUM('Weather Adj. Volumes'!F149:F151,'Weather Adj. Volumes'!F153,'Weather Adj. Volumes'!F156)</f>
        <v>0</v>
      </c>
      <c r="G14" s="66">
        <f>G13-SUM('Weather Adj. Volumes'!G149:G151,'Weather Adj. Volumes'!G153,'Weather Adj. Volumes'!G156)</f>
        <v>0</v>
      </c>
      <c r="H14" s="66">
        <f>H13-SUM('Weather Adj. Volumes'!H149:H151,'Weather Adj. Volumes'!H153,'Weather Adj. Volumes'!H156)</f>
        <v>0</v>
      </c>
      <c r="I14" s="66">
        <f>I13-SUM('Weather Adj. Volumes'!I149:I151,'Weather Adj. Volumes'!I153,'Weather Adj. Volumes'!I156)</f>
        <v>0</v>
      </c>
      <c r="J14" s="66">
        <f>J13-SUM('Weather Adj. Volumes'!J149:J151,'Weather Adj. Volumes'!J153,'Weather Adj. Volumes'!J156)</f>
        <v>0</v>
      </c>
      <c r="K14" s="66">
        <f>K13-SUM('Weather Adj. Volumes'!K149:K151,'Weather Adj. Volumes'!K153,'Weather Adj. Volumes'!K156)</f>
        <v>0</v>
      </c>
      <c r="L14" s="66">
        <f>L13-SUM('Weather Adj. Volumes'!L149:L151,'Weather Adj. Volumes'!L153,'Weather Adj. Volumes'!L156)</f>
        <v>0</v>
      </c>
      <c r="M14" s="66">
        <f>M13-SUM('Weather Adj. Volumes'!M149:M151,'Weather Adj. Volumes'!M153,'Weather Adj. Volumes'!M156)</f>
        <v>0</v>
      </c>
      <c r="N14" s="66">
        <f>N13-SUM('Weather Adj. Volumes'!N149:N151,'Weather Adj. Volumes'!N153,'Weather Adj. Volumes'!N156)</f>
        <v>0</v>
      </c>
      <c r="O14" s="66">
        <f>O13-SUM('Weather Adj. Volumes'!O149:O151,'Weather Adj. Volumes'!O153,'Weather Adj. Volumes'!O156)</f>
        <v>0</v>
      </c>
      <c r="P14" s="66">
        <f>P13-SUM('Weather Adj. Volumes'!P149:P151,'Weather Adj. Volumes'!P153,'Weather Adj. Volumes'!P156)</f>
        <v>0</v>
      </c>
    </row>
    <row r="15" spans="1:17" x14ac:dyDescent="0.25">
      <c r="C15" s="145"/>
    </row>
    <row r="16" spans="1:17" x14ac:dyDescent="0.25">
      <c r="A16" s="41" t="s">
        <v>99</v>
      </c>
      <c r="C16" s="145"/>
      <c r="D16" s="60"/>
      <c r="E16" s="60"/>
      <c r="F16" s="60"/>
      <c r="H16" s="60"/>
      <c r="I16" s="60"/>
      <c r="J16" s="60"/>
      <c r="P16" s="60"/>
    </row>
    <row r="17" spans="1:17" s="11" customFormat="1" x14ac:dyDescent="0.25">
      <c r="A17" s="11" t="s">
        <v>11</v>
      </c>
      <c r="C17" s="143">
        <v>85</v>
      </c>
      <c r="D17" s="13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</row>
    <row r="18" spans="1:17" s="11" customFormat="1" x14ac:dyDescent="0.25">
      <c r="A18" s="2"/>
      <c r="B18" s="11" t="s">
        <v>134</v>
      </c>
      <c r="C18" s="143"/>
      <c r="D18" s="146">
        <v>5.6770000000000001E-2</v>
      </c>
      <c r="E18" s="146">
        <v>5.6770000000000001E-2</v>
      </c>
      <c r="F18" s="146">
        <v>5.6770000000000001E-2</v>
      </c>
      <c r="G18" s="146">
        <v>5.6770000000000001E-2</v>
      </c>
      <c r="H18" s="146">
        <v>5.6770000000000001E-2</v>
      </c>
      <c r="I18" s="146">
        <v>5.6770000000000001E-2</v>
      </c>
      <c r="J18" s="146">
        <v>5.6770000000000001E-2</v>
      </c>
      <c r="K18" s="146">
        <v>5.6770000000000001E-2</v>
      </c>
      <c r="L18" s="146">
        <v>5.6770000000000001E-2</v>
      </c>
      <c r="M18" s="146">
        <v>5.6770000000000001E-2</v>
      </c>
      <c r="N18" s="146">
        <v>5.6770000000000001E-2</v>
      </c>
      <c r="O18" s="146">
        <v>5.6770000000000001E-2</v>
      </c>
      <c r="P18" s="14"/>
      <c r="Q18" s="14"/>
    </row>
    <row r="19" spans="1:17" s="11" customFormat="1" x14ac:dyDescent="0.25">
      <c r="A19" s="2"/>
      <c r="B19" s="11" t="s">
        <v>135</v>
      </c>
      <c r="C19" s="143"/>
      <c r="D19" s="146">
        <v>1.8400000000000001E-3</v>
      </c>
      <c r="E19" s="146">
        <v>1.8400000000000001E-3</v>
      </c>
      <c r="F19" s="146">
        <v>1.8400000000000001E-3</v>
      </c>
      <c r="G19" s="146">
        <v>1.8400000000000001E-3</v>
      </c>
      <c r="H19" s="146">
        <v>1.8400000000000001E-3</v>
      </c>
      <c r="I19" s="146">
        <v>1.8400000000000001E-3</v>
      </c>
      <c r="J19" s="146">
        <v>1.8400000000000001E-3</v>
      </c>
      <c r="K19" s="146">
        <v>1.8400000000000001E-3</v>
      </c>
      <c r="L19" s="146">
        <v>1.8400000000000001E-3</v>
      </c>
      <c r="M19" s="146">
        <v>1.8400000000000001E-3</v>
      </c>
      <c r="N19" s="146">
        <v>1.8400000000000001E-3</v>
      </c>
      <c r="O19" s="146">
        <v>1.8400000000000001E-3</v>
      </c>
      <c r="P19" s="14"/>
      <c r="Q19" s="14"/>
    </row>
    <row r="20" spans="1:17" s="11" customFormat="1" x14ac:dyDescent="0.25">
      <c r="A20" s="2"/>
      <c r="B20" s="11" t="s">
        <v>136</v>
      </c>
      <c r="C20" s="143"/>
      <c r="D20" s="146">
        <v>-4.4999999999999999E-4</v>
      </c>
      <c r="E20" s="146">
        <v>-4.4999999999999999E-4</v>
      </c>
      <c r="F20" s="146">
        <v>-4.4999999999999999E-4</v>
      </c>
      <c r="G20" s="146">
        <v>-4.4999999999999999E-4</v>
      </c>
      <c r="H20" s="146">
        <v>-4.4999999999999999E-4</v>
      </c>
      <c r="I20" s="146">
        <v>-4.4999999999999999E-4</v>
      </c>
      <c r="J20" s="146">
        <v>-4.4999999999999999E-4</v>
      </c>
      <c r="K20" s="146">
        <v>-4.4999999999999999E-4</v>
      </c>
      <c r="L20" s="146">
        <v>-4.4999999999999999E-4</v>
      </c>
      <c r="M20" s="146">
        <v>-4.4999999999999999E-4</v>
      </c>
      <c r="N20" s="146">
        <v>-4.4999999999999999E-4</v>
      </c>
      <c r="O20" s="146">
        <v>-4.4999999999999999E-4</v>
      </c>
      <c r="P20" s="14"/>
      <c r="Q20" s="14"/>
    </row>
    <row r="21" spans="1:17" s="11" customFormat="1" x14ac:dyDescent="0.25">
      <c r="A21" s="2"/>
      <c r="B21" s="11" t="s">
        <v>137</v>
      </c>
      <c r="C21" s="143"/>
      <c r="D21" s="146">
        <v>1.277E-2</v>
      </c>
      <c r="E21" s="146">
        <v>1.277E-2</v>
      </c>
      <c r="F21" s="146">
        <v>1.277E-2</v>
      </c>
      <c r="G21" s="146">
        <v>1.277E-2</v>
      </c>
      <c r="H21" s="146">
        <v>1.277E-2</v>
      </c>
      <c r="I21" s="146">
        <v>1.277E-2</v>
      </c>
      <c r="J21" s="146">
        <v>1.277E-2</v>
      </c>
      <c r="K21" s="146">
        <v>1.277E-2</v>
      </c>
      <c r="L21" s="146">
        <v>1.277E-2</v>
      </c>
      <c r="M21" s="146">
        <v>1.277E-2</v>
      </c>
      <c r="N21" s="146">
        <v>1.277E-2</v>
      </c>
      <c r="O21" s="146">
        <v>1.277E-2</v>
      </c>
      <c r="P21" s="14"/>
      <c r="Q21" s="14"/>
    </row>
    <row r="22" spans="1:17" s="11" customFormat="1" x14ac:dyDescent="0.25">
      <c r="B22" s="2" t="s">
        <v>100</v>
      </c>
      <c r="C22" s="143"/>
      <c r="D22" s="68">
        <f t="shared" ref="D22:O22" si="3">SUM(D18:D21)</f>
        <v>7.0930000000000007E-2</v>
      </c>
      <c r="E22" s="68">
        <f t="shared" si="3"/>
        <v>7.0930000000000007E-2</v>
      </c>
      <c r="F22" s="68">
        <f t="shared" si="3"/>
        <v>7.0930000000000007E-2</v>
      </c>
      <c r="G22" s="68">
        <f t="shared" si="3"/>
        <v>7.0930000000000007E-2</v>
      </c>
      <c r="H22" s="68">
        <f t="shared" si="3"/>
        <v>7.0930000000000007E-2</v>
      </c>
      <c r="I22" s="68">
        <f t="shared" si="3"/>
        <v>7.0930000000000007E-2</v>
      </c>
      <c r="J22" s="68">
        <f t="shared" si="3"/>
        <v>7.0930000000000007E-2</v>
      </c>
      <c r="K22" s="68">
        <f t="shared" si="3"/>
        <v>7.0930000000000007E-2</v>
      </c>
      <c r="L22" s="68">
        <f t="shared" si="3"/>
        <v>7.0930000000000007E-2</v>
      </c>
      <c r="M22" s="68">
        <f t="shared" si="3"/>
        <v>7.0930000000000007E-2</v>
      </c>
      <c r="N22" s="68">
        <f t="shared" si="3"/>
        <v>7.0930000000000007E-2</v>
      </c>
      <c r="O22" s="68">
        <f t="shared" si="3"/>
        <v>7.0930000000000007E-2</v>
      </c>
      <c r="P22" s="14"/>
      <c r="Q22" s="14"/>
    </row>
    <row r="23" spans="1:17" s="11" customFormat="1" x14ac:dyDescent="0.25">
      <c r="C23" s="143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14"/>
      <c r="Q23" s="14"/>
    </row>
    <row r="24" spans="1:17" s="11" customFormat="1" x14ac:dyDescent="0.25">
      <c r="A24" s="2" t="s">
        <v>23</v>
      </c>
      <c r="C24" s="72" t="s">
        <v>24</v>
      </c>
      <c r="D24" s="69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14"/>
      <c r="Q24" s="14"/>
    </row>
    <row r="25" spans="1:17" s="11" customFormat="1" x14ac:dyDescent="0.25">
      <c r="A25" s="2"/>
      <c r="B25" s="11" t="s">
        <v>134</v>
      </c>
      <c r="C25" s="143"/>
      <c r="D25" s="146">
        <v>5.6770000000000001E-2</v>
      </c>
      <c r="E25" s="146">
        <v>5.6770000000000001E-2</v>
      </c>
      <c r="F25" s="146">
        <v>5.6770000000000001E-2</v>
      </c>
      <c r="G25" s="146">
        <v>5.6770000000000001E-2</v>
      </c>
      <c r="H25" s="146">
        <v>5.6770000000000001E-2</v>
      </c>
      <c r="I25" s="146">
        <v>5.6770000000000001E-2</v>
      </c>
      <c r="J25" s="146">
        <v>5.6770000000000001E-2</v>
      </c>
      <c r="K25" s="146">
        <v>5.6770000000000001E-2</v>
      </c>
      <c r="L25" s="146">
        <v>5.6770000000000001E-2</v>
      </c>
      <c r="M25" s="146">
        <v>5.6770000000000001E-2</v>
      </c>
      <c r="N25" s="146">
        <v>5.6770000000000001E-2</v>
      </c>
      <c r="O25" s="146">
        <v>5.6770000000000001E-2</v>
      </c>
      <c r="P25" s="14"/>
      <c r="Q25" s="14"/>
    </row>
    <row r="26" spans="1:17" s="11" customFormat="1" x14ac:dyDescent="0.25">
      <c r="A26" s="2"/>
      <c r="B26" s="11" t="s">
        <v>135</v>
      </c>
      <c r="C26" s="143"/>
      <c r="D26" s="146">
        <v>0</v>
      </c>
      <c r="E26" s="146">
        <v>0</v>
      </c>
      <c r="F26" s="146">
        <v>0</v>
      </c>
      <c r="G26" s="146">
        <v>0</v>
      </c>
      <c r="H26" s="146">
        <v>0</v>
      </c>
      <c r="I26" s="146">
        <v>0</v>
      </c>
      <c r="J26" s="146">
        <v>0</v>
      </c>
      <c r="K26" s="146">
        <v>0</v>
      </c>
      <c r="L26" s="146">
        <v>0</v>
      </c>
      <c r="M26" s="146">
        <v>0</v>
      </c>
      <c r="N26" s="146">
        <v>0</v>
      </c>
      <c r="O26" s="146">
        <v>0</v>
      </c>
      <c r="P26" s="14"/>
      <c r="Q26" s="14"/>
    </row>
    <row r="27" spans="1:17" s="11" customFormat="1" x14ac:dyDescent="0.25">
      <c r="A27" s="2"/>
      <c r="B27" s="11" t="s">
        <v>136</v>
      </c>
      <c r="C27" s="143"/>
      <c r="D27" s="146">
        <v>-4.4999999999999999E-4</v>
      </c>
      <c r="E27" s="146">
        <v>-4.4999999999999999E-4</v>
      </c>
      <c r="F27" s="146">
        <v>-4.4999999999999999E-4</v>
      </c>
      <c r="G27" s="146">
        <v>-4.4999999999999999E-4</v>
      </c>
      <c r="H27" s="146">
        <v>-4.4999999999999999E-4</v>
      </c>
      <c r="I27" s="146">
        <v>-4.4999999999999999E-4</v>
      </c>
      <c r="J27" s="146">
        <v>-4.4999999999999999E-4</v>
      </c>
      <c r="K27" s="146">
        <v>-4.4999999999999999E-4</v>
      </c>
      <c r="L27" s="146">
        <v>-4.4999999999999999E-4</v>
      </c>
      <c r="M27" s="146">
        <v>-4.4999999999999999E-4</v>
      </c>
      <c r="N27" s="146">
        <v>-4.4999999999999999E-4</v>
      </c>
      <c r="O27" s="146">
        <v>-4.4999999999999999E-4</v>
      </c>
      <c r="P27" s="14"/>
      <c r="Q27" s="14"/>
    </row>
    <row r="28" spans="1:17" s="11" customFormat="1" x14ac:dyDescent="0.25">
      <c r="A28" s="2"/>
      <c r="B28" s="11" t="s">
        <v>137</v>
      </c>
      <c r="C28" s="143"/>
      <c r="D28" s="146">
        <v>1.277E-2</v>
      </c>
      <c r="E28" s="146">
        <v>1.277E-2</v>
      </c>
      <c r="F28" s="146">
        <v>1.277E-2</v>
      </c>
      <c r="G28" s="146">
        <v>1.277E-2</v>
      </c>
      <c r="H28" s="146">
        <v>1.277E-2</v>
      </c>
      <c r="I28" s="146">
        <v>1.277E-2</v>
      </c>
      <c r="J28" s="146">
        <v>1.277E-2</v>
      </c>
      <c r="K28" s="146">
        <v>1.277E-2</v>
      </c>
      <c r="L28" s="146">
        <v>1.277E-2</v>
      </c>
      <c r="M28" s="146">
        <v>1.277E-2</v>
      </c>
      <c r="N28" s="146">
        <v>1.277E-2</v>
      </c>
      <c r="O28" s="146">
        <v>1.277E-2</v>
      </c>
      <c r="P28" s="14"/>
      <c r="Q28" s="14"/>
    </row>
    <row r="29" spans="1:17" s="11" customFormat="1" x14ac:dyDescent="0.25">
      <c r="B29" s="2" t="s">
        <v>100</v>
      </c>
      <c r="C29" s="143"/>
      <c r="D29" s="68">
        <f t="shared" ref="D29:O29" si="4">SUM(D25:D28)</f>
        <v>6.9089999999999999E-2</v>
      </c>
      <c r="E29" s="68">
        <f t="shared" si="4"/>
        <v>6.9089999999999999E-2</v>
      </c>
      <c r="F29" s="68">
        <f t="shared" si="4"/>
        <v>6.9089999999999999E-2</v>
      </c>
      <c r="G29" s="68">
        <f t="shared" si="4"/>
        <v>6.9089999999999999E-2</v>
      </c>
      <c r="H29" s="68">
        <f t="shared" si="4"/>
        <v>6.9089999999999999E-2</v>
      </c>
      <c r="I29" s="68">
        <f t="shared" si="4"/>
        <v>6.9089999999999999E-2</v>
      </c>
      <c r="J29" s="68">
        <f t="shared" si="4"/>
        <v>6.9089999999999999E-2</v>
      </c>
      <c r="K29" s="68">
        <f t="shared" si="4"/>
        <v>6.9089999999999999E-2</v>
      </c>
      <c r="L29" s="68">
        <f t="shared" si="4"/>
        <v>6.9089999999999999E-2</v>
      </c>
      <c r="M29" s="68">
        <f t="shared" si="4"/>
        <v>6.9089999999999999E-2</v>
      </c>
      <c r="N29" s="68">
        <f t="shared" si="4"/>
        <v>6.9089999999999999E-2</v>
      </c>
      <c r="O29" s="68">
        <f t="shared" si="4"/>
        <v>6.9089999999999999E-2</v>
      </c>
      <c r="P29" s="14"/>
      <c r="Q29" s="14"/>
    </row>
    <row r="30" spans="1:17" s="11" customFormat="1" x14ac:dyDescent="0.25">
      <c r="A30" s="2"/>
      <c r="C30" s="72"/>
      <c r="D30" s="69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14"/>
    </row>
    <row r="31" spans="1:17" s="11" customFormat="1" x14ac:dyDescent="0.25">
      <c r="A31" s="11" t="s">
        <v>41</v>
      </c>
      <c r="C31" s="143">
        <v>87</v>
      </c>
      <c r="D31" s="69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14"/>
    </row>
    <row r="32" spans="1:17" s="11" customFormat="1" x14ac:dyDescent="0.25">
      <c r="A32" s="2"/>
      <c r="B32" s="11" t="s">
        <v>134</v>
      </c>
      <c r="C32" s="143"/>
      <c r="D32" s="146">
        <v>2.4830000000000001E-2</v>
      </c>
      <c r="E32" s="146">
        <v>2.4830000000000001E-2</v>
      </c>
      <c r="F32" s="146">
        <v>2.4830000000000001E-2</v>
      </c>
      <c r="G32" s="146">
        <v>2.4830000000000001E-2</v>
      </c>
      <c r="H32" s="146">
        <v>2.4830000000000001E-2</v>
      </c>
      <c r="I32" s="146">
        <v>2.4830000000000001E-2</v>
      </c>
      <c r="J32" s="146">
        <v>2.4830000000000001E-2</v>
      </c>
      <c r="K32" s="146">
        <v>2.4830000000000001E-2</v>
      </c>
      <c r="L32" s="146">
        <v>2.4830000000000001E-2</v>
      </c>
      <c r="M32" s="146">
        <v>2.4830000000000001E-2</v>
      </c>
      <c r="N32" s="146">
        <v>2.4830000000000001E-2</v>
      </c>
      <c r="O32" s="146">
        <v>2.4830000000000001E-2</v>
      </c>
      <c r="P32" s="14"/>
    </row>
    <row r="33" spans="1:17" s="11" customFormat="1" x14ac:dyDescent="0.25">
      <c r="A33" s="2"/>
      <c r="B33" s="11" t="s">
        <v>135</v>
      </c>
      <c r="C33" s="143"/>
      <c r="D33" s="146">
        <v>1.2E-4</v>
      </c>
      <c r="E33" s="146">
        <v>1.2E-4</v>
      </c>
      <c r="F33" s="146">
        <v>1.2E-4</v>
      </c>
      <c r="G33" s="146">
        <v>1.2E-4</v>
      </c>
      <c r="H33" s="146">
        <v>1.2E-4</v>
      </c>
      <c r="I33" s="146">
        <v>1.2E-4</v>
      </c>
      <c r="J33" s="146">
        <v>1.2E-4</v>
      </c>
      <c r="K33" s="146">
        <v>1.2E-4</v>
      </c>
      <c r="L33" s="146">
        <v>1.2E-4</v>
      </c>
      <c r="M33" s="146">
        <v>1.2E-4</v>
      </c>
      <c r="N33" s="146">
        <v>1.2E-4</v>
      </c>
      <c r="O33" s="146">
        <v>1.2E-4</v>
      </c>
      <c r="P33" s="14"/>
    </row>
    <row r="34" spans="1:17" s="11" customFormat="1" x14ac:dyDescent="0.25">
      <c r="A34" s="2"/>
      <c r="B34" s="11" t="s">
        <v>136</v>
      </c>
      <c r="C34" s="143"/>
      <c r="D34" s="146">
        <v>-3.0000000000000001E-5</v>
      </c>
      <c r="E34" s="146">
        <v>-3.0000000000000001E-5</v>
      </c>
      <c r="F34" s="146">
        <v>-3.0000000000000001E-5</v>
      </c>
      <c r="G34" s="146">
        <v>-3.0000000000000001E-5</v>
      </c>
      <c r="H34" s="146">
        <v>-3.0000000000000001E-5</v>
      </c>
      <c r="I34" s="146">
        <v>-3.0000000000000001E-5</v>
      </c>
      <c r="J34" s="146">
        <v>-3.0000000000000001E-5</v>
      </c>
      <c r="K34" s="146">
        <v>-3.0000000000000001E-5</v>
      </c>
      <c r="L34" s="146">
        <v>-3.0000000000000001E-5</v>
      </c>
      <c r="M34" s="146">
        <v>-3.0000000000000001E-5</v>
      </c>
      <c r="N34" s="146">
        <v>-3.0000000000000001E-5</v>
      </c>
      <c r="O34" s="146">
        <v>-3.0000000000000001E-5</v>
      </c>
      <c r="P34" s="14"/>
    </row>
    <row r="35" spans="1:17" s="11" customFormat="1" x14ac:dyDescent="0.25">
      <c r="A35" s="2"/>
      <c r="B35" s="11" t="s">
        <v>137</v>
      </c>
      <c r="C35" s="143"/>
      <c r="D35" s="146">
        <v>7.9000000000000001E-4</v>
      </c>
      <c r="E35" s="146">
        <v>7.9000000000000001E-4</v>
      </c>
      <c r="F35" s="146">
        <v>7.9000000000000001E-4</v>
      </c>
      <c r="G35" s="146">
        <v>7.9000000000000001E-4</v>
      </c>
      <c r="H35" s="146">
        <v>7.9000000000000001E-4</v>
      </c>
      <c r="I35" s="146">
        <v>7.9000000000000001E-4</v>
      </c>
      <c r="J35" s="146">
        <v>7.9000000000000001E-4</v>
      </c>
      <c r="K35" s="146">
        <v>7.9000000000000001E-4</v>
      </c>
      <c r="L35" s="146">
        <v>7.9000000000000001E-4</v>
      </c>
      <c r="M35" s="146">
        <v>7.9000000000000001E-4</v>
      </c>
      <c r="N35" s="146">
        <v>7.9000000000000001E-4</v>
      </c>
      <c r="O35" s="146">
        <v>7.9000000000000001E-4</v>
      </c>
      <c r="P35" s="14"/>
    </row>
    <row r="36" spans="1:17" s="11" customFormat="1" x14ac:dyDescent="0.25">
      <c r="B36" s="2" t="s">
        <v>100</v>
      </c>
      <c r="C36" s="143"/>
      <c r="D36" s="68">
        <f t="shared" ref="D36:O36" si="5">SUM(D32:D35)</f>
        <v>2.571E-2</v>
      </c>
      <c r="E36" s="68">
        <f t="shared" si="5"/>
        <v>2.571E-2</v>
      </c>
      <c r="F36" s="68">
        <f t="shared" si="5"/>
        <v>2.571E-2</v>
      </c>
      <c r="G36" s="68">
        <f t="shared" si="5"/>
        <v>2.571E-2</v>
      </c>
      <c r="H36" s="68">
        <f t="shared" si="5"/>
        <v>2.571E-2</v>
      </c>
      <c r="I36" s="68">
        <f t="shared" si="5"/>
        <v>2.571E-2</v>
      </c>
      <c r="J36" s="68">
        <f t="shared" si="5"/>
        <v>2.571E-2</v>
      </c>
      <c r="K36" s="68">
        <f t="shared" si="5"/>
        <v>2.571E-2</v>
      </c>
      <c r="L36" s="68">
        <f t="shared" si="5"/>
        <v>2.571E-2</v>
      </c>
      <c r="M36" s="68">
        <f t="shared" si="5"/>
        <v>2.571E-2</v>
      </c>
      <c r="N36" s="68">
        <f t="shared" si="5"/>
        <v>2.571E-2</v>
      </c>
      <c r="O36" s="68">
        <f t="shared" si="5"/>
        <v>2.571E-2</v>
      </c>
      <c r="P36" s="14"/>
      <c r="Q36" s="14"/>
    </row>
    <row r="37" spans="1:17" s="11" customFormat="1" x14ac:dyDescent="0.25">
      <c r="A37" s="2"/>
      <c r="C37" s="72"/>
      <c r="D37" s="69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14"/>
      <c r="Q37" s="14"/>
    </row>
    <row r="38" spans="1:17" s="11" customFormat="1" x14ac:dyDescent="0.25">
      <c r="A38" s="2" t="s">
        <v>26</v>
      </c>
      <c r="C38" s="72" t="s">
        <v>27</v>
      </c>
      <c r="D38" s="69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14"/>
      <c r="Q38" s="14"/>
    </row>
    <row r="39" spans="1:17" s="11" customFormat="1" x14ac:dyDescent="0.25">
      <c r="A39" s="2"/>
      <c r="B39" s="11" t="s">
        <v>134</v>
      </c>
      <c r="C39" s="143"/>
      <c r="D39" s="146">
        <v>2.4830000000000001E-2</v>
      </c>
      <c r="E39" s="146">
        <v>2.4830000000000001E-2</v>
      </c>
      <c r="F39" s="146">
        <v>2.4830000000000001E-2</v>
      </c>
      <c r="G39" s="146">
        <v>2.4830000000000001E-2</v>
      </c>
      <c r="H39" s="146">
        <v>2.4830000000000001E-2</v>
      </c>
      <c r="I39" s="146">
        <v>2.4830000000000001E-2</v>
      </c>
      <c r="J39" s="146">
        <v>2.4830000000000001E-2</v>
      </c>
      <c r="K39" s="146">
        <v>2.4830000000000001E-2</v>
      </c>
      <c r="L39" s="146">
        <v>2.4830000000000001E-2</v>
      </c>
      <c r="M39" s="146">
        <v>2.4830000000000001E-2</v>
      </c>
      <c r="N39" s="146">
        <v>2.4830000000000001E-2</v>
      </c>
      <c r="O39" s="146">
        <v>2.4830000000000001E-2</v>
      </c>
      <c r="P39" s="14"/>
      <c r="Q39" s="14"/>
    </row>
    <row r="40" spans="1:17" s="11" customFormat="1" x14ac:dyDescent="0.25">
      <c r="A40" s="2"/>
      <c r="B40" s="11" t="s">
        <v>135</v>
      </c>
      <c r="C40" s="143"/>
      <c r="D40" s="146">
        <v>0</v>
      </c>
      <c r="E40" s="146">
        <v>0</v>
      </c>
      <c r="F40" s="146">
        <v>0</v>
      </c>
      <c r="G40" s="146">
        <v>0</v>
      </c>
      <c r="H40" s="146">
        <v>0</v>
      </c>
      <c r="I40" s="146">
        <v>0</v>
      </c>
      <c r="J40" s="146">
        <v>0</v>
      </c>
      <c r="K40" s="146">
        <v>0</v>
      </c>
      <c r="L40" s="146">
        <v>0</v>
      </c>
      <c r="M40" s="146">
        <v>0</v>
      </c>
      <c r="N40" s="146">
        <v>0</v>
      </c>
      <c r="O40" s="146">
        <v>0</v>
      </c>
      <c r="P40" s="14"/>
      <c r="Q40" s="14"/>
    </row>
    <row r="41" spans="1:17" s="11" customFormat="1" x14ac:dyDescent="0.25">
      <c r="A41" s="2"/>
      <c r="B41" s="11" t="s">
        <v>136</v>
      </c>
      <c r="C41" s="143"/>
      <c r="D41" s="146">
        <v>-3.0000000000000001E-5</v>
      </c>
      <c r="E41" s="146">
        <v>-3.0000000000000001E-5</v>
      </c>
      <c r="F41" s="146">
        <v>-3.0000000000000001E-5</v>
      </c>
      <c r="G41" s="146">
        <v>-3.0000000000000001E-5</v>
      </c>
      <c r="H41" s="146">
        <v>-3.0000000000000001E-5</v>
      </c>
      <c r="I41" s="146">
        <v>-3.0000000000000001E-5</v>
      </c>
      <c r="J41" s="146">
        <v>-3.0000000000000001E-5</v>
      </c>
      <c r="K41" s="146">
        <v>-3.0000000000000001E-5</v>
      </c>
      <c r="L41" s="146">
        <v>-3.0000000000000001E-5</v>
      </c>
      <c r="M41" s="146">
        <v>-3.0000000000000001E-5</v>
      </c>
      <c r="N41" s="146">
        <v>-3.0000000000000001E-5</v>
      </c>
      <c r="O41" s="146">
        <v>-3.0000000000000001E-5</v>
      </c>
      <c r="P41" s="14"/>
      <c r="Q41" s="14"/>
    </row>
    <row r="42" spans="1:17" s="11" customFormat="1" x14ac:dyDescent="0.25">
      <c r="A42" s="2"/>
      <c r="B42" s="11" t="s">
        <v>137</v>
      </c>
      <c r="C42" s="143"/>
      <c r="D42" s="146">
        <v>7.9000000000000001E-4</v>
      </c>
      <c r="E42" s="146">
        <v>7.9000000000000001E-4</v>
      </c>
      <c r="F42" s="146">
        <v>7.9000000000000001E-4</v>
      </c>
      <c r="G42" s="146">
        <v>7.9000000000000001E-4</v>
      </c>
      <c r="H42" s="146">
        <v>7.9000000000000001E-4</v>
      </c>
      <c r="I42" s="146">
        <v>7.9000000000000001E-4</v>
      </c>
      <c r="J42" s="146">
        <v>7.9000000000000001E-4</v>
      </c>
      <c r="K42" s="146">
        <v>7.9000000000000001E-4</v>
      </c>
      <c r="L42" s="146">
        <v>7.9000000000000001E-4</v>
      </c>
      <c r="M42" s="146">
        <v>7.9000000000000001E-4</v>
      </c>
      <c r="N42" s="146">
        <v>7.9000000000000001E-4</v>
      </c>
      <c r="O42" s="146">
        <v>7.9000000000000001E-4</v>
      </c>
      <c r="P42" s="14"/>
      <c r="Q42" s="14"/>
    </row>
    <row r="43" spans="1:17" s="11" customFormat="1" x14ac:dyDescent="0.25">
      <c r="B43" s="2" t="s">
        <v>100</v>
      </c>
      <c r="C43" s="143"/>
      <c r="D43" s="68">
        <f t="shared" ref="D43:O43" si="6">SUM(D39:D42)</f>
        <v>2.5590000000000002E-2</v>
      </c>
      <c r="E43" s="68">
        <f t="shared" si="6"/>
        <v>2.5590000000000002E-2</v>
      </c>
      <c r="F43" s="68">
        <f t="shared" si="6"/>
        <v>2.5590000000000002E-2</v>
      </c>
      <c r="G43" s="68">
        <f t="shared" si="6"/>
        <v>2.5590000000000002E-2</v>
      </c>
      <c r="H43" s="68">
        <f t="shared" si="6"/>
        <v>2.5590000000000002E-2</v>
      </c>
      <c r="I43" s="68">
        <f t="shared" si="6"/>
        <v>2.5590000000000002E-2</v>
      </c>
      <c r="J43" s="68">
        <f t="shared" si="6"/>
        <v>2.5590000000000002E-2</v>
      </c>
      <c r="K43" s="68">
        <f t="shared" si="6"/>
        <v>2.5590000000000002E-2</v>
      </c>
      <c r="L43" s="68">
        <f t="shared" si="6"/>
        <v>2.5590000000000002E-2</v>
      </c>
      <c r="M43" s="68">
        <f t="shared" si="6"/>
        <v>2.5590000000000002E-2</v>
      </c>
      <c r="N43" s="68">
        <f t="shared" si="6"/>
        <v>2.5590000000000002E-2</v>
      </c>
      <c r="O43" s="68">
        <f t="shared" si="6"/>
        <v>2.5590000000000002E-2</v>
      </c>
      <c r="P43" s="14"/>
      <c r="Q43" s="14"/>
    </row>
    <row r="44" spans="1:17" s="11" customFormat="1" x14ac:dyDescent="0.25">
      <c r="A44" s="2"/>
      <c r="C44" s="72"/>
      <c r="D44" s="13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</row>
    <row r="45" spans="1:17" s="11" customFormat="1" x14ac:dyDescent="0.25">
      <c r="A45" s="2"/>
      <c r="C45" s="72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</row>
    <row r="46" spans="1:17" x14ac:dyDescent="0.25">
      <c r="A46" s="41" t="s">
        <v>101</v>
      </c>
      <c r="C46" s="145"/>
      <c r="P46" s="157"/>
    </row>
    <row r="47" spans="1:17" s="11" customFormat="1" x14ac:dyDescent="0.25">
      <c r="B47" s="11" t="s">
        <v>11</v>
      </c>
      <c r="C47" s="143">
        <v>85</v>
      </c>
      <c r="D47" s="61">
        <f t="shared" ref="D47:O47" si="7">D8*D22</f>
        <v>-519.99143014672779</v>
      </c>
      <c r="E47" s="61">
        <f t="shared" si="7"/>
        <v>-9925.6812770542838</v>
      </c>
      <c r="F47" s="61">
        <f t="shared" si="7"/>
        <v>-10057.132304850407</v>
      </c>
      <c r="G47" s="61">
        <f t="shared" si="7"/>
        <v>-9063.0992798004918</v>
      </c>
      <c r="H47" s="61">
        <f t="shared" si="7"/>
        <v>5065.5464216218179</v>
      </c>
      <c r="I47" s="61">
        <f t="shared" si="7"/>
        <v>0</v>
      </c>
      <c r="J47" s="61">
        <f t="shared" si="7"/>
        <v>0</v>
      </c>
      <c r="K47" s="61">
        <f t="shared" si="7"/>
        <v>0</v>
      </c>
      <c r="L47" s="61">
        <f t="shared" si="7"/>
        <v>0</v>
      </c>
      <c r="M47" s="61">
        <f t="shared" si="7"/>
        <v>499.7625257917278</v>
      </c>
      <c r="N47" s="61">
        <f t="shared" si="7"/>
        <v>-6941.1503988675831</v>
      </c>
      <c r="O47" s="61">
        <f t="shared" si="7"/>
        <v>10906.154531914597</v>
      </c>
      <c r="P47" s="61">
        <f t="shared" ref="P47:P51" si="8">SUM(D47:O47)</f>
        <v>-20035.591211391351</v>
      </c>
      <c r="Q47" s="14"/>
    </row>
    <row r="48" spans="1:17" s="11" customFormat="1" x14ac:dyDescent="0.25">
      <c r="B48" s="2" t="s">
        <v>23</v>
      </c>
      <c r="C48" s="72" t="s">
        <v>24</v>
      </c>
      <c r="D48" s="61">
        <f t="shared" ref="D48:O48" si="9">D9*D29</f>
        <v>-148.02487437199579</v>
      </c>
      <c r="E48" s="61">
        <f t="shared" si="9"/>
        <v>-2208.7061800602428</v>
      </c>
      <c r="F48" s="61">
        <f t="shared" si="9"/>
        <v>-2995.9337894907653</v>
      </c>
      <c r="G48" s="61">
        <f t="shared" si="9"/>
        <v>-2288.6702866537566</v>
      </c>
      <c r="H48" s="61">
        <f t="shared" si="9"/>
        <v>1157.4669115136351</v>
      </c>
      <c r="I48" s="61">
        <f t="shared" si="9"/>
        <v>0</v>
      </c>
      <c r="J48" s="61">
        <f t="shared" si="9"/>
        <v>0</v>
      </c>
      <c r="K48" s="61">
        <f t="shared" si="9"/>
        <v>0</v>
      </c>
      <c r="L48" s="61">
        <f t="shared" si="9"/>
        <v>0</v>
      </c>
      <c r="M48" s="61">
        <f t="shared" si="9"/>
        <v>145.79206099148578</v>
      </c>
      <c r="N48" s="61">
        <f t="shared" si="9"/>
        <v>-1924.4318754214285</v>
      </c>
      <c r="O48" s="61">
        <f t="shared" si="9"/>
        <v>3230.7075474193257</v>
      </c>
      <c r="P48" s="61">
        <f t="shared" si="8"/>
        <v>-5031.8004860737437</v>
      </c>
      <c r="Q48" s="14"/>
    </row>
    <row r="49" spans="1:17" s="11" customFormat="1" x14ac:dyDescent="0.25">
      <c r="B49" s="11" t="s">
        <v>41</v>
      </c>
      <c r="C49" s="143">
        <v>87</v>
      </c>
      <c r="D49" s="61">
        <f t="shared" ref="D49:O49" si="10">D10*D36</f>
        <v>-176.36300458039821</v>
      </c>
      <c r="E49" s="61">
        <f t="shared" si="10"/>
        <v>-3792.4574554223955</v>
      </c>
      <c r="F49" s="61">
        <f t="shared" si="10"/>
        <v>-3536.9816823585029</v>
      </c>
      <c r="G49" s="61">
        <f t="shared" si="10"/>
        <v>-3363.4040276185929</v>
      </c>
      <c r="H49" s="61">
        <f t="shared" si="10"/>
        <v>1569.8409155763002</v>
      </c>
      <c r="I49" s="61">
        <f t="shared" si="10"/>
        <v>0</v>
      </c>
      <c r="J49" s="61">
        <f t="shared" si="10"/>
        <v>0</v>
      </c>
      <c r="K49" s="61">
        <f t="shared" si="10"/>
        <v>0</v>
      </c>
      <c r="L49" s="61">
        <f t="shared" si="10"/>
        <v>0</v>
      </c>
      <c r="M49" s="61">
        <f t="shared" si="10"/>
        <v>159.48775827599079</v>
      </c>
      <c r="N49" s="61">
        <f t="shared" si="10"/>
        <v>-2386.7466344703885</v>
      </c>
      <c r="O49" s="61">
        <f t="shared" si="10"/>
        <v>4192.8129383286168</v>
      </c>
      <c r="P49" s="61">
        <f t="shared" si="8"/>
        <v>-7333.8111922693706</v>
      </c>
      <c r="Q49" s="14"/>
    </row>
    <row r="50" spans="1:17" s="11" customFormat="1" x14ac:dyDescent="0.25">
      <c r="B50" s="2" t="s">
        <v>26</v>
      </c>
      <c r="C50" s="72" t="s">
        <v>27</v>
      </c>
      <c r="D50" s="61">
        <f t="shared" ref="D50:O50" si="11">D11*D43</f>
        <v>-129.75307728570218</v>
      </c>
      <c r="E50" s="61">
        <f t="shared" si="11"/>
        <v>-2871.1213999176011</v>
      </c>
      <c r="F50" s="61">
        <f t="shared" si="11"/>
        <v>-2694.8643997095041</v>
      </c>
      <c r="G50" s="61">
        <f t="shared" si="11"/>
        <v>-2521.8211792121228</v>
      </c>
      <c r="H50" s="61">
        <f t="shared" si="11"/>
        <v>1327.3038905721</v>
      </c>
      <c r="I50" s="61">
        <f t="shared" si="11"/>
        <v>-278.4594178837466</v>
      </c>
      <c r="J50" s="61">
        <f t="shared" si="11"/>
        <v>0</v>
      </c>
      <c r="K50" s="61">
        <f t="shared" si="11"/>
        <v>0</v>
      </c>
      <c r="L50" s="61">
        <f t="shared" si="11"/>
        <v>0</v>
      </c>
      <c r="M50" s="61">
        <f t="shared" si="11"/>
        <v>125.85833942219057</v>
      </c>
      <c r="N50" s="61">
        <f t="shared" si="11"/>
        <v>-1799.1040410431904</v>
      </c>
      <c r="O50" s="61">
        <f t="shared" si="11"/>
        <v>3290.8594352595856</v>
      </c>
      <c r="P50" s="61">
        <f t="shared" si="8"/>
        <v>-5551.1018497979903</v>
      </c>
      <c r="Q50" s="14"/>
    </row>
    <row r="51" spans="1:17" s="18" customFormat="1" x14ac:dyDescent="0.25">
      <c r="B51" s="18" t="s">
        <v>32</v>
      </c>
      <c r="C51" s="147" t="s">
        <v>33</v>
      </c>
      <c r="D51" s="148">
        <v>-101.02179096240042</v>
      </c>
      <c r="E51" s="148">
        <v>-2250.6437714544013</v>
      </c>
      <c r="F51" s="148">
        <v>-2026.1472284339961</v>
      </c>
      <c r="G51" s="148">
        <v>-1874.2958430525014</v>
      </c>
      <c r="H51" s="148">
        <v>847.76542371989171</v>
      </c>
      <c r="I51" s="148">
        <v>0</v>
      </c>
      <c r="J51" s="148">
        <v>0</v>
      </c>
      <c r="K51" s="148">
        <v>0</v>
      </c>
      <c r="L51" s="148">
        <v>0</v>
      </c>
      <c r="M51" s="148">
        <v>105.99053387999447</v>
      </c>
      <c r="N51" s="148">
        <v>-1501.0716919295917</v>
      </c>
      <c r="O51" s="148">
        <v>2230.8381269223073</v>
      </c>
      <c r="P51" s="158">
        <f t="shared" si="8"/>
        <v>-4568.5862413106979</v>
      </c>
      <c r="Q51" s="22"/>
    </row>
    <row r="52" spans="1:17" x14ac:dyDescent="0.25">
      <c r="B52" s="58" t="s">
        <v>3</v>
      </c>
      <c r="D52" s="62">
        <f t="shared" ref="D52:P52" si="12">SUM(D47:D51)</f>
        <v>-1075.1541773472243</v>
      </c>
      <c r="E52" s="62">
        <f t="shared" si="12"/>
        <v>-21048.610083908923</v>
      </c>
      <c r="F52" s="62">
        <f t="shared" si="12"/>
        <v>-21311.059404843181</v>
      </c>
      <c r="G52" s="62">
        <f t="shared" si="12"/>
        <v>-19111.290616337465</v>
      </c>
      <c r="H52" s="62">
        <f t="shared" si="12"/>
        <v>9967.9235630037438</v>
      </c>
      <c r="I52" s="62">
        <f t="shared" si="12"/>
        <v>-278.4594178837466</v>
      </c>
      <c r="J52" s="62">
        <f t="shared" si="12"/>
        <v>0</v>
      </c>
      <c r="K52" s="62">
        <f t="shared" si="12"/>
        <v>0</v>
      </c>
      <c r="L52" s="62">
        <f t="shared" si="12"/>
        <v>0</v>
      </c>
      <c r="M52" s="62">
        <f t="shared" si="12"/>
        <v>1036.8912183613895</v>
      </c>
      <c r="N52" s="62">
        <f t="shared" si="12"/>
        <v>-14552.504641732183</v>
      </c>
      <c r="O52" s="62">
        <f t="shared" si="12"/>
        <v>23851.372579844432</v>
      </c>
      <c r="P52" s="159">
        <f t="shared" si="12"/>
        <v>-42520.890980843149</v>
      </c>
    </row>
    <row r="53" spans="1:17" x14ac:dyDescent="0.25">
      <c r="B53" s="58" t="s">
        <v>79</v>
      </c>
      <c r="D53" s="70">
        <v>0</v>
      </c>
      <c r="E53" s="70">
        <v>0</v>
      </c>
      <c r="F53" s="70">
        <v>0</v>
      </c>
      <c r="G53" s="70">
        <v>0</v>
      </c>
      <c r="H53" s="70">
        <v>0</v>
      </c>
      <c r="I53" s="70">
        <v>0</v>
      </c>
      <c r="J53" s="70">
        <v>0</v>
      </c>
      <c r="K53" s="70">
        <v>0</v>
      </c>
      <c r="L53" s="70">
        <v>0</v>
      </c>
      <c r="M53" s="70">
        <v>0</v>
      </c>
      <c r="N53" s="70">
        <v>0</v>
      </c>
      <c r="O53" s="70">
        <v>0</v>
      </c>
      <c r="P53" s="160">
        <v>0</v>
      </c>
    </row>
    <row r="54" spans="1:17" x14ac:dyDescent="0.25">
      <c r="P54" s="157"/>
    </row>
    <row r="55" spans="1:17" x14ac:dyDescent="0.25">
      <c r="P55" s="157"/>
    </row>
    <row r="56" spans="1:17" x14ac:dyDescent="0.25">
      <c r="P56" s="157"/>
    </row>
    <row r="57" spans="1:17" x14ac:dyDescent="0.25">
      <c r="P57" s="157"/>
    </row>
    <row r="58" spans="1:17" x14ac:dyDescent="0.25">
      <c r="P58" s="157"/>
    </row>
    <row r="59" spans="1:17" x14ac:dyDescent="0.25">
      <c r="P59" s="157"/>
    </row>
    <row r="60" spans="1:17" x14ac:dyDescent="0.25">
      <c r="A60" s="2"/>
      <c r="B60" s="11"/>
      <c r="C60" s="17"/>
      <c r="D60" s="13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</row>
  </sheetData>
  <mergeCells count="4">
    <mergeCell ref="A1:P1"/>
    <mergeCell ref="A2:P2"/>
    <mergeCell ref="A3:P3"/>
    <mergeCell ref="A4:P4"/>
  </mergeCells>
  <printOptions horizontalCentered="1"/>
  <pageMargins left="0.45" right="0.45" top="0.75" bottom="0.75" header="0.3" footer="0.3"/>
  <pageSetup scale="61" orientation="landscape" r:id="rId1"/>
  <headerFooter>
    <oddFooter>&amp;C    Page &amp;P of &amp;N&amp;R&amp;F
&amp;A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N299"/>
  <sheetViews>
    <sheetView zoomScale="90" zoomScaleNormal="90" workbookViewId="0">
      <pane ySplit="6" topLeftCell="A7" activePane="bottomLeft" state="frozen"/>
      <selection activeCell="J47" sqref="J47"/>
      <selection pane="bottomLeft" activeCell="I30" sqref="I30"/>
    </sheetView>
  </sheetViews>
  <sheetFormatPr defaultColWidth="9.109375" defaultRowHeight="13.2" x14ac:dyDescent="0.25"/>
  <cols>
    <col min="1" max="1" width="2.33203125" style="2" customWidth="1"/>
    <col min="2" max="2" width="41.5546875" style="2" customWidth="1"/>
    <col min="3" max="3" width="9.88671875" style="2" bestFit="1" customWidth="1"/>
    <col min="4" max="9" width="12.88671875" style="2" bestFit="1" customWidth="1"/>
    <col min="10" max="12" width="11" style="2" bestFit="1" customWidth="1"/>
    <col min="13" max="15" width="12.88671875" style="2" bestFit="1" customWidth="1"/>
    <col min="16" max="16" width="13.5546875" style="2" bestFit="1" customWidth="1"/>
    <col min="17" max="17" width="12.6640625" style="2" customWidth="1"/>
    <col min="18" max="18" width="12.44140625" style="2" bestFit="1" customWidth="1"/>
    <col min="19" max="19" width="9.109375" style="2"/>
    <col min="20" max="20" width="13.44140625" style="2" bestFit="1" customWidth="1"/>
    <col min="21" max="16384" width="9.109375" style="2"/>
  </cols>
  <sheetData>
    <row r="1" spans="2:19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2:19" x14ac:dyDescent="0.25">
      <c r="B2" s="1" t="s">
        <v>102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2:19" x14ac:dyDescent="0.25">
      <c r="B3" s="1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2:19" x14ac:dyDescent="0.25">
      <c r="B4" s="3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2:19" x14ac:dyDescent="0.25">
      <c r="B5" s="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2:19" x14ac:dyDescent="0.25">
      <c r="B6" s="4" t="s">
        <v>1</v>
      </c>
      <c r="C6" s="4" t="s">
        <v>2</v>
      </c>
      <c r="D6" s="5">
        <v>44927</v>
      </c>
      <c r="E6" s="5">
        <f>EDATE(D6,1)</f>
        <v>44958</v>
      </c>
      <c r="F6" s="5">
        <f t="shared" ref="F6:O6" si="0">EDATE(E6,1)</f>
        <v>44986</v>
      </c>
      <c r="G6" s="5">
        <f t="shared" si="0"/>
        <v>45017</v>
      </c>
      <c r="H6" s="5">
        <f t="shared" si="0"/>
        <v>45047</v>
      </c>
      <c r="I6" s="5">
        <f t="shared" si="0"/>
        <v>45078</v>
      </c>
      <c r="J6" s="5">
        <f t="shared" si="0"/>
        <v>45108</v>
      </c>
      <c r="K6" s="5">
        <f t="shared" si="0"/>
        <v>45139</v>
      </c>
      <c r="L6" s="5">
        <f t="shared" si="0"/>
        <v>45170</v>
      </c>
      <c r="M6" s="5">
        <f t="shared" si="0"/>
        <v>45200</v>
      </c>
      <c r="N6" s="5">
        <f t="shared" si="0"/>
        <v>45231</v>
      </c>
      <c r="O6" s="5">
        <f t="shared" si="0"/>
        <v>45261</v>
      </c>
      <c r="P6" s="6" t="s">
        <v>3</v>
      </c>
      <c r="Q6" s="7"/>
    </row>
    <row r="7" spans="2:19" x14ac:dyDescent="0.25">
      <c r="B7" s="8" t="s">
        <v>4</v>
      </c>
      <c r="C7" s="9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8" spans="2:19" s="11" customFormat="1" x14ac:dyDescent="0.25">
      <c r="B8" s="11" t="s">
        <v>5</v>
      </c>
      <c r="C8" s="12">
        <v>16</v>
      </c>
      <c r="D8" s="13">
        <v>517.11649999999997</v>
      </c>
      <c r="E8" s="13">
        <v>532</v>
      </c>
      <c r="F8" s="13">
        <v>532</v>
      </c>
      <c r="G8" s="13">
        <v>532</v>
      </c>
      <c r="H8" s="13">
        <v>532</v>
      </c>
      <c r="I8" s="13">
        <v>532</v>
      </c>
      <c r="J8" s="13">
        <v>532</v>
      </c>
      <c r="K8" s="13">
        <v>532</v>
      </c>
      <c r="L8" s="13">
        <v>478.16700000000003</v>
      </c>
      <c r="M8" s="13">
        <v>579.5</v>
      </c>
      <c r="N8" s="13">
        <v>601.0335</v>
      </c>
      <c r="O8" s="13">
        <v>438.26650000000001</v>
      </c>
      <c r="P8" s="14">
        <f>SUM(D8:O8)</f>
        <v>6338.0835000000006</v>
      </c>
      <c r="Q8" s="14"/>
      <c r="S8" s="14"/>
    </row>
    <row r="9" spans="2:19" s="11" customFormat="1" x14ac:dyDescent="0.25">
      <c r="B9" s="11" t="s">
        <v>6</v>
      </c>
      <c r="C9" s="11">
        <v>23</v>
      </c>
      <c r="D9" s="13">
        <v>88231675.985398218</v>
      </c>
      <c r="E9" s="13">
        <v>85452089.333169565</v>
      </c>
      <c r="F9" s="13">
        <v>80440350.5504096</v>
      </c>
      <c r="G9" s="13">
        <v>58749843.158049569</v>
      </c>
      <c r="H9" s="13">
        <v>24799831.241840549</v>
      </c>
      <c r="I9" s="13">
        <v>17581152.413171992</v>
      </c>
      <c r="J9" s="13">
        <v>12475673.02442559</v>
      </c>
      <c r="K9" s="13">
        <v>12218378.582241647</v>
      </c>
      <c r="L9" s="13">
        <v>18489378.332819529</v>
      </c>
      <c r="M9" s="13">
        <v>40105300.784285836</v>
      </c>
      <c r="N9" s="13">
        <v>71936676.658596918</v>
      </c>
      <c r="O9" s="13">
        <v>77147551.357476771</v>
      </c>
      <c r="P9" s="14">
        <f t="shared" ref="P9:P33" si="1">SUM(D9:O9)</f>
        <v>587627901.42188573</v>
      </c>
      <c r="Q9" s="14"/>
      <c r="R9" s="15"/>
    </row>
    <row r="10" spans="2:19" s="11" customFormat="1" x14ac:dyDescent="0.25">
      <c r="B10" s="11" t="s">
        <v>7</v>
      </c>
      <c r="C10" s="11">
        <v>53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4">
        <f t="shared" si="1"/>
        <v>0</v>
      </c>
      <c r="Q10" s="14"/>
      <c r="R10" s="15"/>
    </row>
    <row r="11" spans="2:19" s="11" customFormat="1" x14ac:dyDescent="0.25">
      <c r="B11" s="11" t="s">
        <v>8</v>
      </c>
      <c r="C11" s="11">
        <v>31</v>
      </c>
      <c r="D11" s="13">
        <v>31089776.294393972</v>
      </c>
      <c r="E11" s="13">
        <v>30572243.752152506</v>
      </c>
      <c r="F11" s="13">
        <v>29187786.662201561</v>
      </c>
      <c r="G11" s="13">
        <v>22212275.687534489</v>
      </c>
      <c r="H11" s="13">
        <v>11001528.48670423</v>
      </c>
      <c r="I11" s="13">
        <v>9544656.1776437033</v>
      </c>
      <c r="J11" s="13">
        <v>7692326.9344980828</v>
      </c>
      <c r="K11" s="13">
        <v>7619881.4227667497</v>
      </c>
      <c r="L11" s="13">
        <v>9185660.3166621923</v>
      </c>
      <c r="M11" s="13">
        <v>14947179.690258853</v>
      </c>
      <c r="N11" s="13">
        <v>25352109.120822906</v>
      </c>
      <c r="O11" s="13">
        <v>26970374.112081159</v>
      </c>
      <c r="P11" s="14">
        <f t="shared" si="1"/>
        <v>225375798.65772042</v>
      </c>
      <c r="Q11" s="14"/>
    </row>
    <row r="12" spans="2:19" s="11" customFormat="1" x14ac:dyDescent="0.25">
      <c r="B12" s="11" t="s">
        <v>9</v>
      </c>
      <c r="C12" s="11">
        <v>41</v>
      </c>
      <c r="D12" s="13">
        <v>7350815.2661991511</v>
      </c>
      <c r="E12" s="13">
        <v>7513557.6280724984</v>
      </c>
      <c r="F12" s="13">
        <v>7878450.9937997945</v>
      </c>
      <c r="G12" s="13">
        <v>5530044.2838672483</v>
      </c>
      <c r="H12" s="13">
        <v>3494838.4742392376</v>
      </c>
      <c r="I12" s="13">
        <v>3278862.7461252245</v>
      </c>
      <c r="J12" s="13">
        <v>2331032.6117742495</v>
      </c>
      <c r="K12" s="13">
        <v>2226615.1317861509</v>
      </c>
      <c r="L12" s="13">
        <v>2779298.0620971662</v>
      </c>
      <c r="M12" s="13">
        <v>4292429.5693447599</v>
      </c>
      <c r="N12" s="13">
        <v>7310756.3555564396</v>
      </c>
      <c r="O12" s="13">
        <v>5834304.4813735103</v>
      </c>
      <c r="P12" s="14">
        <f t="shared" si="1"/>
        <v>59821005.604235433</v>
      </c>
      <c r="Q12" s="14"/>
      <c r="R12" s="16"/>
    </row>
    <row r="13" spans="2:19" s="11" customFormat="1" x14ac:dyDescent="0.25">
      <c r="B13" s="11" t="s">
        <v>10</v>
      </c>
      <c r="C13" s="11">
        <v>50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4">
        <f t="shared" si="1"/>
        <v>0</v>
      </c>
      <c r="Q13" s="14"/>
    </row>
    <row r="14" spans="2:19" s="11" customFormat="1" x14ac:dyDescent="0.25">
      <c r="B14" s="11" t="s">
        <v>11</v>
      </c>
      <c r="C14" s="149">
        <v>85</v>
      </c>
      <c r="D14" s="13">
        <v>2254539.0140789198</v>
      </c>
      <c r="E14" s="13">
        <v>1682553.3882857999</v>
      </c>
      <c r="F14" s="13">
        <v>2004446.6080421398</v>
      </c>
      <c r="G14" s="13">
        <v>2321376.3210575404</v>
      </c>
      <c r="H14" s="13">
        <v>968245.7671944605</v>
      </c>
      <c r="I14" s="13">
        <v>967054.13310791331</v>
      </c>
      <c r="J14" s="13">
        <v>665122.13163380488</v>
      </c>
      <c r="K14" s="13">
        <v>1562055.1032487692</v>
      </c>
      <c r="L14" s="13">
        <v>899867.46378713194</v>
      </c>
      <c r="M14" s="13">
        <v>1094912.30287575</v>
      </c>
      <c r="N14" s="13">
        <v>1627589.841220784</v>
      </c>
      <c r="O14" s="13">
        <v>2137199.3391672908</v>
      </c>
      <c r="P14" s="14">
        <f t="shared" si="1"/>
        <v>18184961.413700305</v>
      </c>
      <c r="Q14" s="14"/>
    </row>
    <row r="15" spans="2:19" s="11" customFormat="1" x14ac:dyDescent="0.25">
      <c r="B15" s="11" t="s">
        <v>12</v>
      </c>
      <c r="C15" s="11">
        <v>86</v>
      </c>
      <c r="D15" s="13">
        <v>833354.1927044976</v>
      </c>
      <c r="E15" s="13">
        <v>703959.79473607684</v>
      </c>
      <c r="F15" s="13">
        <v>740296.61895869731</v>
      </c>
      <c r="G15" s="13">
        <v>597647.93694112962</v>
      </c>
      <c r="H15" s="13">
        <v>385564.74185002572</v>
      </c>
      <c r="I15" s="13">
        <v>205126.19891178678</v>
      </c>
      <c r="J15" s="13">
        <v>136454.88908722281</v>
      </c>
      <c r="K15" s="13">
        <v>124157.12523060878</v>
      </c>
      <c r="L15" s="13">
        <v>186171.1365671308</v>
      </c>
      <c r="M15" s="13">
        <v>363539.71926523675</v>
      </c>
      <c r="N15" s="13">
        <v>575071.0171126643</v>
      </c>
      <c r="O15" s="13">
        <v>548201.69925483083</v>
      </c>
      <c r="P15" s="14">
        <f t="shared" si="1"/>
        <v>5399545.0706199072</v>
      </c>
      <c r="Q15" s="14"/>
    </row>
    <row r="16" spans="2:19" s="11" customFormat="1" x14ac:dyDescent="0.25">
      <c r="B16" s="11" t="s">
        <v>13</v>
      </c>
      <c r="C16" s="149">
        <v>87</v>
      </c>
      <c r="D16" s="13">
        <v>3569335.9020000002</v>
      </c>
      <c r="E16" s="13">
        <v>4324734.5455000009</v>
      </c>
      <c r="F16" s="13">
        <v>-924064.8600000001</v>
      </c>
      <c r="G16" s="13">
        <v>4877996.5855</v>
      </c>
      <c r="H16" s="13">
        <v>-1040935.385</v>
      </c>
      <c r="I16" s="13">
        <v>1626842.2785</v>
      </c>
      <c r="J16" s="13">
        <v>907108.32249999989</v>
      </c>
      <c r="K16" s="13">
        <v>1003583.997</v>
      </c>
      <c r="L16" s="13">
        <v>780582.4155</v>
      </c>
      <c r="M16" s="13">
        <v>1491653.1800000002</v>
      </c>
      <c r="N16" s="13">
        <v>1721893.1375</v>
      </c>
      <c r="O16" s="13">
        <v>2386006.9024999999</v>
      </c>
      <c r="P16" s="14">
        <f t="shared" si="1"/>
        <v>20724737.021499999</v>
      </c>
      <c r="Q16" s="14"/>
    </row>
    <row r="17" spans="2:18" s="11" customFormat="1" x14ac:dyDescent="0.25">
      <c r="B17" s="11" t="s">
        <v>14</v>
      </c>
      <c r="C17" s="11">
        <v>31</v>
      </c>
      <c r="D17" s="13">
        <v>1842234.9868875495</v>
      </c>
      <c r="E17" s="13">
        <v>1870744.2063166311</v>
      </c>
      <c r="F17" s="13">
        <v>1975815.2887095374</v>
      </c>
      <c r="G17" s="13">
        <v>1459600.2938934783</v>
      </c>
      <c r="H17" s="13">
        <v>448328.758692028</v>
      </c>
      <c r="I17" s="13">
        <v>444878.10728257964</v>
      </c>
      <c r="J17" s="13">
        <v>319297.80119267479</v>
      </c>
      <c r="K17" s="13">
        <v>284475.26553090021</v>
      </c>
      <c r="L17" s="13">
        <v>318909.83072926174</v>
      </c>
      <c r="M17" s="13">
        <v>793938.3778185111</v>
      </c>
      <c r="N17" s="13">
        <v>1546365.498565834</v>
      </c>
      <c r="O17" s="13">
        <v>1547740.4714233926</v>
      </c>
      <c r="P17" s="14">
        <f t="shared" si="1"/>
        <v>12852328.887042379</v>
      </c>
      <c r="Q17" s="14"/>
    </row>
    <row r="18" spans="2:18" s="11" customFormat="1" x14ac:dyDescent="0.25">
      <c r="B18" s="11" t="s">
        <v>15</v>
      </c>
      <c r="C18" s="11">
        <v>41</v>
      </c>
      <c r="D18" s="13">
        <v>933579.18781204917</v>
      </c>
      <c r="E18" s="13">
        <v>1032209.9638352795</v>
      </c>
      <c r="F18" s="13">
        <v>935130.95715464186</v>
      </c>
      <c r="G18" s="13">
        <v>767182.76054772199</v>
      </c>
      <c r="H18" s="13">
        <v>776937.078795393</v>
      </c>
      <c r="I18" s="13">
        <v>622451.20855929295</v>
      </c>
      <c r="J18" s="13">
        <v>574634.96339031449</v>
      </c>
      <c r="K18" s="13">
        <v>568619.06906328909</v>
      </c>
      <c r="L18" s="13">
        <v>620960.48620329448</v>
      </c>
      <c r="M18" s="13">
        <v>751034.10331617808</v>
      </c>
      <c r="N18" s="13">
        <v>875050.16348072642</v>
      </c>
      <c r="O18" s="13">
        <v>858365.31668268749</v>
      </c>
      <c r="P18" s="14">
        <f t="shared" si="1"/>
        <v>9316155.2588408682</v>
      </c>
      <c r="Q18" s="14"/>
    </row>
    <row r="19" spans="2:18" s="11" customFormat="1" x14ac:dyDescent="0.25">
      <c r="B19" s="11" t="s">
        <v>16</v>
      </c>
      <c r="C19" s="149">
        <v>85</v>
      </c>
      <c r="D19" s="13">
        <v>363931.35430000001</v>
      </c>
      <c r="E19" s="13">
        <v>508304.62093599996</v>
      </c>
      <c r="F19" s="13">
        <v>582034.32858720003</v>
      </c>
      <c r="G19" s="13">
        <v>395025.30238160002</v>
      </c>
      <c r="H19" s="13">
        <v>259705.8275672</v>
      </c>
      <c r="I19" s="13">
        <v>516057.12640160008</v>
      </c>
      <c r="J19" s="13">
        <v>146550.65983839994</v>
      </c>
      <c r="K19" s="13">
        <v>279133.73411119997</v>
      </c>
      <c r="L19" s="13">
        <v>576408.05201600003</v>
      </c>
      <c r="M19" s="13">
        <v>292937.83705839998</v>
      </c>
      <c r="N19" s="13">
        <v>417497.80412479996</v>
      </c>
      <c r="O19" s="13">
        <v>274042.83501759998</v>
      </c>
      <c r="P19" s="14">
        <f t="shared" si="1"/>
        <v>4611629.4823399996</v>
      </c>
      <c r="Q19" s="14"/>
    </row>
    <row r="20" spans="2:18" s="11" customFormat="1" x14ac:dyDescent="0.25">
      <c r="B20" s="11" t="s">
        <v>17</v>
      </c>
      <c r="C20" s="11">
        <v>86</v>
      </c>
      <c r="D20" s="13">
        <v>49945.435999999994</v>
      </c>
      <c r="E20" s="13">
        <v>53345.078999999998</v>
      </c>
      <c r="F20" s="13">
        <v>41111.002</v>
      </c>
      <c r="G20" s="13">
        <v>31471.757000000001</v>
      </c>
      <c r="H20" s="13">
        <v>25900.152999999998</v>
      </c>
      <c r="I20" s="13">
        <v>21468.952000000001</v>
      </c>
      <c r="J20" s="13">
        <v>19090.617000000002</v>
      </c>
      <c r="K20" s="13">
        <v>18514.774999999998</v>
      </c>
      <c r="L20" s="13">
        <v>15262.121000000001</v>
      </c>
      <c r="M20" s="13">
        <v>18724.300000000003</v>
      </c>
      <c r="N20" s="13">
        <v>27025.655000000002</v>
      </c>
      <c r="O20" s="13">
        <v>32823.43</v>
      </c>
      <c r="P20" s="14">
        <f t="shared" si="1"/>
        <v>354683.277</v>
      </c>
      <c r="Q20" s="14"/>
    </row>
    <row r="21" spans="2:18" s="11" customFormat="1" x14ac:dyDescent="0.25">
      <c r="B21" s="11" t="s">
        <v>18</v>
      </c>
      <c r="C21" s="149">
        <v>87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4">
        <f t="shared" si="1"/>
        <v>0</v>
      </c>
      <c r="Q21" s="14"/>
    </row>
    <row r="22" spans="2:18" s="11" customFormat="1" x14ac:dyDescent="0.25">
      <c r="B22" s="2" t="s">
        <v>19</v>
      </c>
      <c r="C22" s="12" t="s">
        <v>20</v>
      </c>
      <c r="D22" s="13">
        <v>527.80999999999995</v>
      </c>
      <c r="E22" s="13">
        <v>60.5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4">
        <f t="shared" si="1"/>
        <v>588.30999999999995</v>
      </c>
      <c r="Q22" s="14"/>
    </row>
    <row r="23" spans="2:18" s="11" customFormat="1" x14ac:dyDescent="0.25">
      <c r="B23" s="2" t="s">
        <v>21</v>
      </c>
      <c r="C23" s="17" t="s">
        <v>22</v>
      </c>
      <c r="D23" s="13">
        <v>1639373.2499999998</v>
      </c>
      <c r="E23" s="13">
        <v>1233750.9800000002</v>
      </c>
      <c r="F23" s="13">
        <v>1495082.71</v>
      </c>
      <c r="G23" s="13">
        <v>2248077.37</v>
      </c>
      <c r="H23" s="13">
        <v>33276.93999999974</v>
      </c>
      <c r="I23" s="13">
        <v>1069645.9700000002</v>
      </c>
      <c r="J23" s="13">
        <v>980747.60999999975</v>
      </c>
      <c r="K23" s="13">
        <v>926323.22999999986</v>
      </c>
      <c r="L23" s="13">
        <v>1026882.9800000001</v>
      </c>
      <c r="M23" s="13">
        <v>1203414.17</v>
      </c>
      <c r="N23" s="13">
        <v>1236648.1399999999</v>
      </c>
      <c r="O23" s="13">
        <v>1393710.49</v>
      </c>
      <c r="P23" s="14">
        <f t="shared" si="1"/>
        <v>14486933.84</v>
      </c>
      <c r="Q23" s="14"/>
    </row>
    <row r="24" spans="2:18" s="11" customFormat="1" x14ac:dyDescent="0.25">
      <c r="B24" s="2" t="s">
        <v>23</v>
      </c>
      <c r="C24" s="150" t="s">
        <v>24</v>
      </c>
      <c r="D24" s="13">
        <v>1612621.04</v>
      </c>
      <c r="E24" s="13">
        <v>1167942.8799999997</v>
      </c>
      <c r="F24" s="13">
        <v>1833706.09</v>
      </c>
      <c r="G24" s="13">
        <v>2000514.4600000002</v>
      </c>
      <c r="H24" s="13">
        <v>2455971.5099999998</v>
      </c>
      <c r="I24" s="13">
        <v>-848898.91999999969</v>
      </c>
      <c r="J24" s="13">
        <v>1119098.02</v>
      </c>
      <c r="K24" s="13">
        <v>1148608.17</v>
      </c>
      <c r="L24" s="13">
        <v>1290817.6800000002</v>
      </c>
      <c r="M24" s="13">
        <v>1328780.5</v>
      </c>
      <c r="N24" s="13">
        <v>1395202.3699999996</v>
      </c>
      <c r="O24" s="13">
        <v>1497978.15</v>
      </c>
      <c r="P24" s="14">
        <f t="shared" si="1"/>
        <v>16002341.949999999</v>
      </c>
      <c r="Q24" s="14"/>
    </row>
    <row r="25" spans="2:18" s="11" customFormat="1" x14ac:dyDescent="0.25">
      <c r="B25" s="11" t="s">
        <v>23</v>
      </c>
      <c r="C25" s="12" t="s">
        <v>25</v>
      </c>
      <c r="D25" s="13">
        <v>322473.87</v>
      </c>
      <c r="E25" s="13">
        <v>144661.56</v>
      </c>
      <c r="F25" s="13">
        <v>77666.78</v>
      </c>
      <c r="G25" s="13">
        <v>188089.41</v>
      </c>
      <c r="H25" s="13">
        <v>-1804.31</v>
      </c>
      <c r="I25" s="13">
        <v>113595.58</v>
      </c>
      <c r="J25" s="13">
        <v>117096.02</v>
      </c>
      <c r="K25" s="13">
        <v>161105.41</v>
      </c>
      <c r="L25" s="13">
        <v>61016.79</v>
      </c>
      <c r="M25" s="13">
        <v>21128.18</v>
      </c>
      <c r="N25" s="13">
        <v>8938.01</v>
      </c>
      <c r="O25" s="13">
        <v>529.14</v>
      </c>
      <c r="P25" s="14">
        <f t="shared" si="1"/>
        <v>1214496.4399999997</v>
      </c>
      <c r="Q25" s="14"/>
    </row>
    <row r="26" spans="2:18" s="11" customFormat="1" x14ac:dyDescent="0.25">
      <c r="B26" s="2" t="s">
        <v>26</v>
      </c>
      <c r="C26" s="150" t="s">
        <v>27</v>
      </c>
      <c r="D26" s="13">
        <v>1836166.6000000008</v>
      </c>
      <c r="E26" s="13">
        <v>1523181.47</v>
      </c>
      <c r="F26" s="13">
        <v>1865676.7400000002</v>
      </c>
      <c r="G26" s="13">
        <v>3029176.8199999994</v>
      </c>
      <c r="H26" s="13">
        <v>-27767.609999999986</v>
      </c>
      <c r="I26" s="13">
        <v>1190617.18</v>
      </c>
      <c r="J26" s="13">
        <v>1117477.3600000001</v>
      </c>
      <c r="K26" s="13">
        <v>1209520.79</v>
      </c>
      <c r="L26" s="13">
        <v>1105717.1199999999</v>
      </c>
      <c r="M26" s="13">
        <v>1650631.89</v>
      </c>
      <c r="N26" s="13">
        <v>1685473.6800000002</v>
      </c>
      <c r="O26" s="13">
        <v>1800575.42</v>
      </c>
      <c r="P26" s="14">
        <f t="shared" si="1"/>
        <v>17986447.459999997</v>
      </c>
      <c r="Q26" s="14"/>
    </row>
    <row r="27" spans="2:18" s="11" customFormat="1" x14ac:dyDescent="0.25">
      <c r="B27" s="2" t="s">
        <v>28</v>
      </c>
      <c r="C27" s="17" t="s">
        <v>22</v>
      </c>
      <c r="D27" s="13">
        <v>502975.03999999992</v>
      </c>
      <c r="E27" s="13">
        <v>364714.1100000001</v>
      </c>
      <c r="F27" s="13">
        <v>681047.72</v>
      </c>
      <c r="G27" s="13">
        <v>1024661.4700000001</v>
      </c>
      <c r="H27" s="13">
        <v>287263.98</v>
      </c>
      <c r="I27" s="13">
        <v>528178.55000000005</v>
      </c>
      <c r="J27" s="13">
        <v>498739.21000000008</v>
      </c>
      <c r="K27" s="13">
        <v>323903.68999999994</v>
      </c>
      <c r="L27" s="13">
        <v>748853.38</v>
      </c>
      <c r="M27" s="13">
        <v>513052.11</v>
      </c>
      <c r="N27" s="13">
        <v>463063.90000000008</v>
      </c>
      <c r="O27" s="13">
        <v>539846.15</v>
      </c>
      <c r="P27" s="14">
        <f t="shared" si="1"/>
        <v>6476299.3100000005</v>
      </c>
      <c r="Q27" s="14"/>
    </row>
    <row r="28" spans="2:18" s="11" customFormat="1" x14ac:dyDescent="0.25">
      <c r="B28" s="2" t="s">
        <v>29</v>
      </c>
      <c r="C28" s="150" t="s">
        <v>24</v>
      </c>
      <c r="D28" s="13">
        <v>3158455.86</v>
      </c>
      <c r="E28" s="13">
        <v>2465375.1800000002</v>
      </c>
      <c r="F28" s="13">
        <v>4745088.1099999994</v>
      </c>
      <c r="G28" s="13">
        <v>6469218.1299999999</v>
      </c>
      <c r="H28" s="13">
        <v>693171.70999999985</v>
      </c>
      <c r="I28" s="13">
        <v>3194524.5100000002</v>
      </c>
      <c r="J28" s="13">
        <v>3265020.42</v>
      </c>
      <c r="K28" s="13">
        <v>3275402.62</v>
      </c>
      <c r="L28" s="13">
        <v>3742584.3200000003</v>
      </c>
      <c r="M28" s="13">
        <v>3814583.6899999995</v>
      </c>
      <c r="N28" s="13">
        <v>3556285.4899999998</v>
      </c>
      <c r="O28" s="13">
        <v>3635826.62</v>
      </c>
      <c r="P28" s="14">
        <f t="shared" si="1"/>
        <v>42015536.660000004</v>
      </c>
      <c r="Q28" s="14"/>
    </row>
    <row r="29" spans="2:18" s="11" customFormat="1" x14ac:dyDescent="0.25">
      <c r="B29" s="11" t="s">
        <v>30</v>
      </c>
      <c r="C29" s="17" t="s">
        <v>25</v>
      </c>
      <c r="D29" s="13">
        <v>39179.449999999997</v>
      </c>
      <c r="E29" s="13">
        <v>59879</v>
      </c>
      <c r="F29" s="13">
        <v>37407.11</v>
      </c>
      <c r="G29" s="13">
        <v>86262.579999999987</v>
      </c>
      <c r="H29" s="13">
        <v>12516.38000000001</v>
      </c>
      <c r="I29" s="13">
        <v>55217.459999999992</v>
      </c>
      <c r="J29" s="13">
        <v>42138.979999999989</v>
      </c>
      <c r="K29" s="13">
        <v>36998.29</v>
      </c>
      <c r="L29" s="13">
        <v>52591.969999999994</v>
      </c>
      <c r="M29" s="13">
        <v>73997.240000000005</v>
      </c>
      <c r="N29" s="13">
        <v>54382.310000000005</v>
      </c>
      <c r="O29" s="13">
        <v>43838.029999999992</v>
      </c>
      <c r="P29" s="14">
        <f t="shared" si="1"/>
        <v>594408.79999999993</v>
      </c>
      <c r="Q29" s="14"/>
    </row>
    <row r="30" spans="2:18" s="11" customFormat="1" x14ac:dyDescent="0.25">
      <c r="B30" s="2" t="s">
        <v>31</v>
      </c>
      <c r="C30" s="150" t="s">
        <v>27</v>
      </c>
      <c r="D30" s="13">
        <v>7663530.6600000001</v>
      </c>
      <c r="E30" s="13">
        <v>4504225.54</v>
      </c>
      <c r="F30" s="13">
        <v>4246838.7699999986</v>
      </c>
      <c r="G30" s="13">
        <v>8959352.2700000014</v>
      </c>
      <c r="H30" s="13">
        <v>9146271.8699999992</v>
      </c>
      <c r="I30" s="13">
        <v>-289195.59000000148</v>
      </c>
      <c r="J30" s="13">
        <v>10281165.350000001</v>
      </c>
      <c r="K30" s="13">
        <v>5683839.9299999997</v>
      </c>
      <c r="L30" s="13">
        <v>4364881.6999999993</v>
      </c>
      <c r="M30" s="13">
        <v>6452460.6000000015</v>
      </c>
      <c r="N30" s="13">
        <v>4803161.9799999986</v>
      </c>
      <c r="O30" s="13">
        <v>5485468.3400000008</v>
      </c>
      <c r="P30" s="14">
        <f t="shared" si="1"/>
        <v>71302001.420000002</v>
      </c>
      <c r="Q30" s="14"/>
    </row>
    <row r="31" spans="2:18" s="18" customFormat="1" ht="14.4" x14ac:dyDescent="0.3">
      <c r="B31" s="18" t="s">
        <v>32</v>
      </c>
      <c r="C31" s="151" t="s">
        <v>33</v>
      </c>
      <c r="D31" s="13">
        <v>3704397.25</v>
      </c>
      <c r="E31" s="13">
        <v>1371351.4100000001</v>
      </c>
      <c r="F31" s="13">
        <v>6032128.0300000003</v>
      </c>
      <c r="G31" s="13">
        <v>34297.089999968768</v>
      </c>
      <c r="H31" s="13">
        <v>5081262.3300000364</v>
      </c>
      <c r="I31" s="13">
        <v>1839517.6399999997</v>
      </c>
      <c r="J31" s="13">
        <v>1681835.35</v>
      </c>
      <c r="K31" s="13">
        <v>1653340.1099999999</v>
      </c>
      <c r="L31" s="13">
        <v>1784397.1</v>
      </c>
      <c r="M31" s="20">
        <v>2438936.9499999997</v>
      </c>
      <c r="N31" s="20">
        <v>3679132.0199999996</v>
      </c>
      <c r="O31" s="20">
        <v>-7336780.5399999991</v>
      </c>
      <c r="P31" s="21">
        <f t="shared" si="1"/>
        <v>21963814.74000001</v>
      </c>
      <c r="Q31" s="22"/>
    </row>
    <row r="32" spans="2:18" s="11" customFormat="1" x14ac:dyDescent="0.25">
      <c r="B32" s="11" t="s">
        <v>34</v>
      </c>
      <c r="D32" s="23">
        <f t="shared" ref="D32:O32" si="2">SUM(D8:D31)</f>
        <v>156999405.56627434</v>
      </c>
      <c r="E32" s="23">
        <f t="shared" si="2"/>
        <v>146549416.94200435</v>
      </c>
      <c r="F32" s="23">
        <f t="shared" si="2"/>
        <v>143876532.20986319</v>
      </c>
      <c r="G32" s="23">
        <f t="shared" si="2"/>
        <v>120982645.68677275</v>
      </c>
      <c r="H32" s="23">
        <f t="shared" si="2"/>
        <v>58800639.944883145</v>
      </c>
      <c r="I32" s="23">
        <f t="shared" si="2"/>
        <v>41662283.721704073</v>
      </c>
      <c r="J32" s="23">
        <f t="shared" si="2"/>
        <v>44371142.275340341</v>
      </c>
      <c r="K32" s="23">
        <f t="shared" si="2"/>
        <v>40324988.445979312</v>
      </c>
      <c r="L32" s="23">
        <f t="shared" si="2"/>
        <v>48030719.424381696</v>
      </c>
      <c r="M32" s="23">
        <f t="shared" si="2"/>
        <v>81649214.694223508</v>
      </c>
      <c r="N32" s="23">
        <f t="shared" si="2"/>
        <v>128272924.1854811</v>
      </c>
      <c r="O32" s="23">
        <f t="shared" si="2"/>
        <v>124798040.01147726</v>
      </c>
      <c r="P32" s="14">
        <f t="shared" si="1"/>
        <v>1136317953.1083851</v>
      </c>
      <c r="Q32" s="22"/>
      <c r="R32" s="14"/>
    </row>
    <row r="33" spans="2:40" s="11" customFormat="1" x14ac:dyDescent="0.25">
      <c r="B33" s="11" t="s">
        <v>35</v>
      </c>
      <c r="D33" s="22">
        <f>SUM(D22:D31)</f>
        <v>20479700.829999998</v>
      </c>
      <c r="E33" s="22">
        <f t="shared" ref="E33:O33" si="3">SUM(E22:E31)</f>
        <v>12835142.629999999</v>
      </c>
      <c r="F33" s="22">
        <f t="shared" si="3"/>
        <v>21014642.059999999</v>
      </c>
      <c r="G33" s="22">
        <f t="shared" si="3"/>
        <v>24039649.599999972</v>
      </c>
      <c r="H33" s="22">
        <f t="shared" si="3"/>
        <v>17680162.800000034</v>
      </c>
      <c r="I33" s="22">
        <f t="shared" si="3"/>
        <v>6853202.379999999</v>
      </c>
      <c r="J33" s="22">
        <f t="shared" si="3"/>
        <v>19103318.320000004</v>
      </c>
      <c r="K33" s="22">
        <f t="shared" si="3"/>
        <v>14419042.239999998</v>
      </c>
      <c r="L33" s="22">
        <f t="shared" si="3"/>
        <v>14177743.039999999</v>
      </c>
      <c r="M33" s="22">
        <f t="shared" si="3"/>
        <v>17496985.330000002</v>
      </c>
      <c r="N33" s="22">
        <f t="shared" si="3"/>
        <v>16882287.899999999</v>
      </c>
      <c r="O33" s="22">
        <f t="shared" si="3"/>
        <v>7060991.8000000007</v>
      </c>
      <c r="P33" s="14">
        <f t="shared" si="1"/>
        <v>192042868.93000004</v>
      </c>
      <c r="Q33" s="14"/>
    </row>
    <row r="34" spans="2:40" x14ac:dyDescent="0.25">
      <c r="B34" s="152" t="s">
        <v>103</v>
      </c>
      <c r="C34" s="153"/>
      <c r="D34" s="153">
        <f>D14+D16+D19+D21+D24+D26+D28+D30+D31</f>
        <v>24162977.680378921</v>
      </c>
      <c r="E34" s="153">
        <f>E14+E16+E19+E21+E24+E26+E28+E30+E31</f>
        <v>17547669.034721799</v>
      </c>
      <c r="F34" s="153">
        <f t="shared" ref="F34:P34" si="4">F14+F16+F19+F21+F24+F26+F28+F30+F31</f>
        <v>20385853.816629339</v>
      </c>
      <c r="G34" s="153">
        <f t="shared" si="4"/>
        <v>28086956.978939112</v>
      </c>
      <c r="H34" s="153">
        <f t="shared" si="4"/>
        <v>17535926.019761696</v>
      </c>
      <c r="I34" s="153">
        <f t="shared" si="4"/>
        <v>8196518.3580095107</v>
      </c>
      <c r="J34" s="153">
        <f t="shared" si="4"/>
        <v>19183377.613972209</v>
      </c>
      <c r="K34" s="153">
        <f t="shared" si="4"/>
        <v>15815484.454359967</v>
      </c>
      <c r="L34" s="153">
        <f t="shared" si="4"/>
        <v>14545255.851303132</v>
      </c>
      <c r="M34" s="153">
        <f t="shared" si="4"/>
        <v>18564896.949934151</v>
      </c>
      <c r="N34" s="153">
        <f t="shared" si="4"/>
        <v>18886236.322845582</v>
      </c>
      <c r="O34" s="153">
        <f t="shared" si="4"/>
        <v>9880317.0666848905</v>
      </c>
      <c r="P34" s="153">
        <f t="shared" si="4"/>
        <v>212791470.14754033</v>
      </c>
      <c r="Q34" s="24"/>
    </row>
    <row r="35" spans="2:40" x14ac:dyDescent="0.25">
      <c r="B35" s="8" t="s">
        <v>36</v>
      </c>
      <c r="C35" s="9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</row>
    <row r="36" spans="2:40" ht="13.8" x14ac:dyDescent="0.3">
      <c r="B36" s="11" t="s">
        <v>5</v>
      </c>
      <c r="C36" s="12">
        <v>16</v>
      </c>
      <c r="D36" s="13">
        <v>3</v>
      </c>
      <c r="E36" s="13">
        <v>3</v>
      </c>
      <c r="F36" s="13">
        <v>3</v>
      </c>
      <c r="G36" s="13">
        <v>4</v>
      </c>
      <c r="H36" s="13">
        <v>4</v>
      </c>
      <c r="I36" s="13">
        <v>4</v>
      </c>
      <c r="J36" s="13">
        <v>5</v>
      </c>
      <c r="K36" s="13">
        <v>4</v>
      </c>
      <c r="L36" s="13">
        <v>5</v>
      </c>
      <c r="M36" s="13">
        <v>5</v>
      </c>
      <c r="N36" s="13">
        <v>3</v>
      </c>
      <c r="O36" s="13">
        <v>4</v>
      </c>
      <c r="P36" s="14">
        <f t="shared" ref="P36:P63" si="5">SUM(D36:O36)</f>
        <v>47</v>
      </c>
      <c r="Q36" s="25"/>
      <c r="R36" s="12"/>
      <c r="S36" s="25"/>
      <c r="T36" s="25"/>
      <c r="U36" s="26"/>
      <c r="V36" s="26"/>
      <c r="W36" s="25"/>
      <c r="X36" s="25"/>
      <c r="Y36" s="25"/>
      <c r="Z36" s="25"/>
      <c r="AA36" s="25"/>
      <c r="AB36" s="26"/>
      <c r="AC36" s="25"/>
      <c r="AD36" s="25"/>
      <c r="AE36" s="27"/>
      <c r="AF36" s="25"/>
      <c r="AG36" s="25"/>
      <c r="AH36" s="25"/>
      <c r="AI36" s="25"/>
      <c r="AJ36" s="25"/>
      <c r="AK36" s="25"/>
      <c r="AL36" s="25"/>
      <c r="AM36" s="25"/>
      <c r="AN36" s="25"/>
    </row>
    <row r="37" spans="2:40" s="11" customFormat="1" ht="13.8" x14ac:dyDescent="0.3">
      <c r="B37" s="11" t="s">
        <v>6</v>
      </c>
      <c r="C37" s="11">
        <v>23</v>
      </c>
      <c r="D37" s="13">
        <v>813476</v>
      </c>
      <c r="E37" s="13">
        <v>814242</v>
      </c>
      <c r="F37" s="13">
        <v>814694</v>
      </c>
      <c r="G37" s="13">
        <v>814916</v>
      </c>
      <c r="H37" s="13">
        <v>815054</v>
      </c>
      <c r="I37" s="13">
        <v>815306</v>
      </c>
      <c r="J37" s="13">
        <v>815068</v>
      </c>
      <c r="K37" s="13">
        <v>815372</v>
      </c>
      <c r="L37" s="13">
        <v>815670</v>
      </c>
      <c r="M37" s="13">
        <v>816331</v>
      </c>
      <c r="N37" s="13">
        <v>817287</v>
      </c>
      <c r="O37" s="13">
        <v>817979</v>
      </c>
      <c r="P37" s="14">
        <f t="shared" si="5"/>
        <v>9785395</v>
      </c>
      <c r="Q37" s="25"/>
    </row>
    <row r="38" spans="2:40" s="11" customFormat="1" ht="13.8" x14ac:dyDescent="0.3">
      <c r="B38" s="11" t="s">
        <v>7</v>
      </c>
      <c r="C38" s="11">
        <v>53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4">
        <f t="shared" si="5"/>
        <v>0</v>
      </c>
      <c r="Q38" s="25"/>
    </row>
    <row r="39" spans="2:40" s="11" customFormat="1" ht="13.8" x14ac:dyDescent="0.3">
      <c r="B39" s="11" t="s">
        <v>37</v>
      </c>
      <c r="C39" s="11">
        <v>61</v>
      </c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4">
        <f t="shared" si="5"/>
        <v>0</v>
      </c>
      <c r="Q39" s="25"/>
    </row>
    <row r="40" spans="2:40" s="11" customFormat="1" ht="13.8" x14ac:dyDescent="0.3">
      <c r="B40" s="11" t="s">
        <v>38</v>
      </c>
      <c r="C40" s="11">
        <v>31</v>
      </c>
      <c r="D40" s="13">
        <v>55773</v>
      </c>
      <c r="E40" s="13">
        <v>55816</v>
      </c>
      <c r="F40" s="13">
        <v>55849</v>
      </c>
      <c r="G40" s="13">
        <v>55839</v>
      </c>
      <c r="H40" s="13">
        <v>55803</v>
      </c>
      <c r="I40" s="13">
        <v>55727</v>
      </c>
      <c r="J40" s="13">
        <v>55679</v>
      </c>
      <c r="K40" s="13">
        <v>55623</v>
      </c>
      <c r="L40" s="13">
        <v>55603</v>
      </c>
      <c r="M40" s="13">
        <v>55604</v>
      </c>
      <c r="N40" s="13">
        <v>55689</v>
      </c>
      <c r="O40" s="13">
        <v>55764</v>
      </c>
      <c r="P40" s="14">
        <f t="shared" si="5"/>
        <v>668769</v>
      </c>
      <c r="Q40" s="25"/>
    </row>
    <row r="41" spans="2:40" s="11" customFormat="1" ht="13.8" x14ac:dyDescent="0.3">
      <c r="B41" s="11" t="s">
        <v>39</v>
      </c>
      <c r="C41" s="11">
        <v>41</v>
      </c>
      <c r="D41" s="13">
        <v>1172</v>
      </c>
      <c r="E41" s="13">
        <v>1178</v>
      </c>
      <c r="F41" s="13">
        <v>1186</v>
      </c>
      <c r="G41" s="13">
        <v>1180</v>
      </c>
      <c r="H41" s="13">
        <v>1187</v>
      </c>
      <c r="I41" s="13">
        <v>1192</v>
      </c>
      <c r="J41" s="13">
        <v>1194</v>
      </c>
      <c r="K41" s="13">
        <v>1214</v>
      </c>
      <c r="L41" s="13">
        <v>1215</v>
      </c>
      <c r="M41" s="13">
        <v>1218</v>
      </c>
      <c r="N41" s="13">
        <v>1252</v>
      </c>
      <c r="O41" s="13">
        <v>1252</v>
      </c>
      <c r="P41" s="14">
        <f t="shared" si="5"/>
        <v>14440</v>
      </c>
      <c r="Q41" s="25"/>
    </row>
    <row r="42" spans="2:40" s="11" customFormat="1" ht="13.8" x14ac:dyDescent="0.3">
      <c r="B42" s="11" t="s">
        <v>10</v>
      </c>
      <c r="C42" s="11">
        <v>50</v>
      </c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4">
        <f t="shared" si="5"/>
        <v>0</v>
      </c>
      <c r="Q42" s="25"/>
    </row>
    <row r="43" spans="2:40" s="11" customFormat="1" ht="13.8" x14ac:dyDescent="0.3">
      <c r="B43" s="11" t="s">
        <v>40</v>
      </c>
      <c r="C43" s="11">
        <v>61</v>
      </c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4">
        <f t="shared" si="5"/>
        <v>0</v>
      </c>
      <c r="Q43" s="25"/>
    </row>
    <row r="44" spans="2:40" s="11" customFormat="1" ht="13.8" x14ac:dyDescent="0.3">
      <c r="B44" s="11" t="s">
        <v>11</v>
      </c>
      <c r="C44" s="11">
        <v>85</v>
      </c>
      <c r="D44" s="13">
        <v>29</v>
      </c>
      <c r="E44" s="13">
        <v>28</v>
      </c>
      <c r="F44" s="13">
        <v>28</v>
      </c>
      <c r="G44" s="13">
        <v>28</v>
      </c>
      <c r="H44" s="13">
        <v>28</v>
      </c>
      <c r="I44" s="13">
        <v>28</v>
      </c>
      <c r="J44" s="13">
        <v>28</v>
      </c>
      <c r="K44" s="13">
        <v>28</v>
      </c>
      <c r="L44" s="13">
        <v>28</v>
      </c>
      <c r="M44" s="13">
        <v>28</v>
      </c>
      <c r="N44" s="13">
        <v>28</v>
      </c>
      <c r="O44" s="13">
        <v>28</v>
      </c>
      <c r="P44" s="14">
        <f t="shared" si="5"/>
        <v>337</v>
      </c>
      <c r="Q44" s="25"/>
    </row>
    <row r="45" spans="2:40" s="11" customFormat="1" ht="13.8" x14ac:dyDescent="0.3">
      <c r="B45" s="11" t="s">
        <v>12</v>
      </c>
      <c r="C45" s="11">
        <v>86</v>
      </c>
      <c r="D45" s="13">
        <v>101</v>
      </c>
      <c r="E45" s="13">
        <v>101</v>
      </c>
      <c r="F45" s="13">
        <v>101</v>
      </c>
      <c r="G45" s="13">
        <v>100</v>
      </c>
      <c r="H45" s="13">
        <v>100</v>
      </c>
      <c r="I45" s="13">
        <v>99</v>
      </c>
      <c r="J45" s="13">
        <v>99</v>
      </c>
      <c r="K45" s="13">
        <v>99</v>
      </c>
      <c r="L45" s="13">
        <v>98</v>
      </c>
      <c r="M45" s="13">
        <v>95</v>
      </c>
      <c r="N45" s="13">
        <v>95</v>
      </c>
      <c r="O45" s="13">
        <v>95</v>
      </c>
      <c r="P45" s="14">
        <f t="shared" si="5"/>
        <v>1183</v>
      </c>
      <c r="Q45" s="25"/>
    </row>
    <row r="46" spans="2:40" s="11" customFormat="1" ht="13.8" x14ac:dyDescent="0.3">
      <c r="B46" s="11" t="s">
        <v>41</v>
      </c>
      <c r="C46" s="11">
        <v>87</v>
      </c>
      <c r="D46" s="13">
        <v>4</v>
      </c>
      <c r="E46" s="13">
        <v>4</v>
      </c>
      <c r="F46" s="13">
        <v>4</v>
      </c>
      <c r="G46" s="13">
        <v>4</v>
      </c>
      <c r="H46" s="13">
        <v>4</v>
      </c>
      <c r="I46" s="13">
        <v>4</v>
      </c>
      <c r="J46" s="13">
        <v>4</v>
      </c>
      <c r="K46" s="13">
        <v>4</v>
      </c>
      <c r="L46" s="13">
        <v>4</v>
      </c>
      <c r="M46" s="13">
        <v>4</v>
      </c>
      <c r="N46" s="13">
        <v>4</v>
      </c>
      <c r="O46" s="13">
        <v>4</v>
      </c>
      <c r="P46" s="14">
        <f t="shared" si="5"/>
        <v>48</v>
      </c>
      <c r="Q46" s="25"/>
    </row>
    <row r="47" spans="2:40" s="11" customFormat="1" ht="13.8" x14ac:dyDescent="0.3">
      <c r="B47" s="11" t="s">
        <v>14</v>
      </c>
      <c r="C47" s="11">
        <v>31</v>
      </c>
      <c r="D47" s="13">
        <v>2196</v>
      </c>
      <c r="E47" s="13">
        <v>2195</v>
      </c>
      <c r="F47" s="13">
        <v>2197</v>
      </c>
      <c r="G47" s="13">
        <v>2201</v>
      </c>
      <c r="H47" s="13">
        <v>2196</v>
      </c>
      <c r="I47" s="13">
        <v>2193</v>
      </c>
      <c r="J47" s="13">
        <v>2183</v>
      </c>
      <c r="K47" s="13">
        <v>2183</v>
      </c>
      <c r="L47" s="13">
        <v>2183</v>
      </c>
      <c r="M47" s="13">
        <v>2185</v>
      </c>
      <c r="N47" s="13">
        <v>2191</v>
      </c>
      <c r="O47" s="13">
        <v>2191</v>
      </c>
      <c r="P47" s="14">
        <f t="shared" si="5"/>
        <v>26294</v>
      </c>
      <c r="Q47" s="25"/>
    </row>
    <row r="48" spans="2:40" s="11" customFormat="1" ht="14.4" x14ac:dyDescent="0.3">
      <c r="B48" s="11" t="s">
        <v>15</v>
      </c>
      <c r="C48" s="11">
        <v>41</v>
      </c>
      <c r="D48" s="13">
        <v>70</v>
      </c>
      <c r="E48" s="13">
        <v>69</v>
      </c>
      <c r="F48" s="13">
        <v>69</v>
      </c>
      <c r="G48" s="13">
        <v>69</v>
      </c>
      <c r="H48" s="13">
        <v>70</v>
      </c>
      <c r="I48" s="13">
        <v>69</v>
      </c>
      <c r="J48" s="13">
        <v>69</v>
      </c>
      <c r="K48" s="13">
        <v>69</v>
      </c>
      <c r="L48" s="13">
        <v>70</v>
      </c>
      <c r="M48" s="13">
        <v>69</v>
      </c>
      <c r="N48" s="13">
        <v>69</v>
      </c>
      <c r="O48" s="13">
        <v>68</v>
      </c>
      <c r="P48" s="14">
        <f t="shared" si="5"/>
        <v>830</v>
      </c>
      <c r="Q48" s="25"/>
      <c r="S48" s="14"/>
      <c r="T48" s="28"/>
    </row>
    <row r="49" spans="2:20" s="11" customFormat="1" ht="13.8" x14ac:dyDescent="0.3">
      <c r="B49" s="11" t="s">
        <v>42</v>
      </c>
      <c r="C49" s="11">
        <v>61</v>
      </c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4">
        <f t="shared" si="5"/>
        <v>0</v>
      </c>
      <c r="Q49" s="25"/>
      <c r="S49" s="14"/>
    </row>
    <row r="50" spans="2:20" s="11" customFormat="1" ht="13.8" x14ac:dyDescent="0.3">
      <c r="B50" s="11" t="s">
        <v>16</v>
      </c>
      <c r="C50" s="11">
        <v>85</v>
      </c>
      <c r="D50" s="13">
        <v>6</v>
      </c>
      <c r="E50" s="13">
        <v>6</v>
      </c>
      <c r="F50" s="13">
        <v>6</v>
      </c>
      <c r="G50" s="13">
        <v>5</v>
      </c>
      <c r="H50" s="13">
        <v>5</v>
      </c>
      <c r="I50" s="13">
        <v>5</v>
      </c>
      <c r="J50" s="13">
        <v>5</v>
      </c>
      <c r="K50" s="13">
        <v>5</v>
      </c>
      <c r="L50" s="13">
        <v>5</v>
      </c>
      <c r="M50" s="13">
        <v>5</v>
      </c>
      <c r="N50" s="13">
        <v>5</v>
      </c>
      <c r="O50" s="13">
        <v>5</v>
      </c>
      <c r="P50" s="14">
        <f t="shared" si="5"/>
        <v>63</v>
      </c>
      <c r="Q50" s="25"/>
    </row>
    <row r="51" spans="2:20" s="11" customFormat="1" ht="13.8" x14ac:dyDescent="0.3">
      <c r="B51" s="11" t="s">
        <v>17</v>
      </c>
      <c r="C51" s="11">
        <v>86</v>
      </c>
      <c r="D51" s="13">
        <v>6</v>
      </c>
      <c r="E51" s="13">
        <v>6</v>
      </c>
      <c r="F51" s="13">
        <v>6</v>
      </c>
      <c r="G51" s="13">
        <v>6</v>
      </c>
      <c r="H51" s="13">
        <v>6</v>
      </c>
      <c r="I51" s="13">
        <v>6</v>
      </c>
      <c r="J51" s="13">
        <v>6</v>
      </c>
      <c r="K51" s="13">
        <v>6</v>
      </c>
      <c r="L51" s="13">
        <v>6</v>
      </c>
      <c r="M51" s="13">
        <v>6</v>
      </c>
      <c r="N51" s="13">
        <v>6</v>
      </c>
      <c r="O51" s="13">
        <v>6</v>
      </c>
      <c r="P51" s="14">
        <f t="shared" si="5"/>
        <v>72</v>
      </c>
      <c r="Q51" s="25"/>
    </row>
    <row r="52" spans="2:20" s="11" customFormat="1" ht="13.8" x14ac:dyDescent="0.3">
      <c r="B52" s="11" t="s">
        <v>18</v>
      </c>
      <c r="C52" s="11">
        <v>87</v>
      </c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4">
        <f t="shared" si="5"/>
        <v>0</v>
      </c>
      <c r="Q52" s="25"/>
    </row>
    <row r="53" spans="2:20" s="11" customFormat="1" ht="13.8" x14ac:dyDescent="0.3">
      <c r="B53" s="2" t="s">
        <v>19</v>
      </c>
      <c r="C53" s="12" t="s">
        <v>20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4">
        <f t="shared" si="5"/>
        <v>0</v>
      </c>
      <c r="Q53" s="25"/>
      <c r="R53" s="12"/>
    </row>
    <row r="54" spans="2:20" s="11" customFormat="1" ht="13.8" x14ac:dyDescent="0.3">
      <c r="B54" s="2" t="s">
        <v>21</v>
      </c>
      <c r="C54" s="17" t="s">
        <v>22</v>
      </c>
      <c r="D54" s="13">
        <v>77</v>
      </c>
      <c r="E54" s="13">
        <v>77</v>
      </c>
      <c r="F54" s="13">
        <v>77</v>
      </c>
      <c r="G54" s="13">
        <v>75</v>
      </c>
      <c r="H54" s="13">
        <v>75</v>
      </c>
      <c r="I54" s="13">
        <v>75</v>
      </c>
      <c r="J54" s="13">
        <v>75</v>
      </c>
      <c r="K54" s="13">
        <v>75</v>
      </c>
      <c r="L54" s="13">
        <v>75</v>
      </c>
      <c r="M54" s="13">
        <v>75</v>
      </c>
      <c r="N54" s="13">
        <v>75</v>
      </c>
      <c r="O54" s="13">
        <v>75</v>
      </c>
      <c r="P54" s="14">
        <f t="shared" si="5"/>
        <v>906</v>
      </c>
      <c r="Q54" s="25"/>
      <c r="R54" s="17"/>
    </row>
    <row r="55" spans="2:20" s="11" customFormat="1" ht="13.8" x14ac:dyDescent="0.3">
      <c r="B55" s="2" t="s">
        <v>23</v>
      </c>
      <c r="C55" s="17" t="s">
        <v>24</v>
      </c>
      <c r="D55" s="13">
        <v>23</v>
      </c>
      <c r="E55" s="13">
        <v>23</v>
      </c>
      <c r="F55" s="13">
        <v>23</v>
      </c>
      <c r="G55" s="13">
        <v>23</v>
      </c>
      <c r="H55" s="13">
        <v>23</v>
      </c>
      <c r="I55" s="13">
        <v>23</v>
      </c>
      <c r="J55" s="13">
        <v>23</v>
      </c>
      <c r="K55" s="13">
        <v>23</v>
      </c>
      <c r="L55" s="13">
        <v>23</v>
      </c>
      <c r="M55" s="13">
        <v>23</v>
      </c>
      <c r="N55" s="13">
        <v>23</v>
      </c>
      <c r="O55" s="13">
        <v>23</v>
      </c>
      <c r="P55" s="14">
        <f t="shared" si="5"/>
        <v>276</v>
      </c>
      <c r="Q55" s="25"/>
      <c r="R55" s="17"/>
    </row>
    <row r="56" spans="2:20" s="11" customFormat="1" ht="13.8" x14ac:dyDescent="0.3">
      <c r="B56" s="11" t="s">
        <v>43</v>
      </c>
      <c r="C56" s="17" t="s">
        <v>25</v>
      </c>
      <c r="D56" s="13">
        <v>2</v>
      </c>
      <c r="E56" s="13">
        <v>2</v>
      </c>
      <c r="F56" s="13">
        <v>2</v>
      </c>
      <c r="G56" s="13">
        <v>2</v>
      </c>
      <c r="H56" s="13">
        <v>2</v>
      </c>
      <c r="I56" s="13">
        <v>2</v>
      </c>
      <c r="J56" s="13">
        <v>2</v>
      </c>
      <c r="K56" s="13">
        <v>2</v>
      </c>
      <c r="L56" s="13">
        <v>2</v>
      </c>
      <c r="M56" s="13">
        <v>1</v>
      </c>
      <c r="N56" s="13">
        <v>1</v>
      </c>
      <c r="O56" s="13">
        <v>1</v>
      </c>
      <c r="P56" s="14">
        <f t="shared" si="5"/>
        <v>21</v>
      </c>
      <c r="Q56" s="25"/>
      <c r="R56" s="17"/>
    </row>
    <row r="57" spans="2:20" s="11" customFormat="1" ht="13.8" x14ac:dyDescent="0.3">
      <c r="B57" s="2" t="s">
        <v>26</v>
      </c>
      <c r="C57" s="17" t="s">
        <v>27</v>
      </c>
      <c r="D57" s="13">
        <v>3</v>
      </c>
      <c r="E57" s="13">
        <v>3</v>
      </c>
      <c r="F57" s="13">
        <v>3</v>
      </c>
      <c r="G57" s="13">
        <v>3</v>
      </c>
      <c r="H57" s="13">
        <v>3</v>
      </c>
      <c r="I57" s="13">
        <v>3</v>
      </c>
      <c r="J57" s="13">
        <v>3</v>
      </c>
      <c r="K57" s="13">
        <v>3</v>
      </c>
      <c r="L57" s="13">
        <v>3</v>
      </c>
      <c r="M57" s="13">
        <v>3</v>
      </c>
      <c r="N57" s="13">
        <v>3</v>
      </c>
      <c r="O57" s="13">
        <v>3</v>
      </c>
      <c r="P57" s="14">
        <f t="shared" si="5"/>
        <v>36</v>
      </c>
      <c r="Q57" s="25"/>
      <c r="R57" s="17"/>
    </row>
    <row r="58" spans="2:20" s="11" customFormat="1" ht="13.8" x14ac:dyDescent="0.3">
      <c r="B58" s="2" t="s">
        <v>44</v>
      </c>
      <c r="C58" s="12" t="s">
        <v>20</v>
      </c>
      <c r="D58" s="13">
        <v>1</v>
      </c>
      <c r="E58" s="13">
        <v>1</v>
      </c>
      <c r="F58" s="13">
        <v>1</v>
      </c>
      <c r="G58" s="13">
        <v>1</v>
      </c>
      <c r="H58" s="13">
        <v>1</v>
      </c>
      <c r="I58" s="13">
        <v>1</v>
      </c>
      <c r="J58" s="13">
        <v>1</v>
      </c>
      <c r="K58" s="13">
        <v>1</v>
      </c>
      <c r="L58" s="13">
        <v>1</v>
      </c>
      <c r="M58" s="13">
        <v>1</v>
      </c>
      <c r="N58" s="13">
        <v>1</v>
      </c>
      <c r="O58" s="13">
        <v>1</v>
      </c>
      <c r="P58" s="14">
        <f t="shared" si="5"/>
        <v>12</v>
      </c>
      <c r="Q58" s="25"/>
      <c r="R58" s="12"/>
    </row>
    <row r="59" spans="2:20" s="11" customFormat="1" ht="13.8" x14ac:dyDescent="0.3">
      <c r="B59" s="2" t="s">
        <v>28</v>
      </c>
      <c r="C59" s="17" t="s">
        <v>22</v>
      </c>
      <c r="D59" s="13">
        <v>17</v>
      </c>
      <c r="E59" s="13">
        <v>17</v>
      </c>
      <c r="F59" s="13">
        <v>17</v>
      </c>
      <c r="G59" s="13">
        <v>17</v>
      </c>
      <c r="H59" s="13">
        <v>17</v>
      </c>
      <c r="I59" s="13">
        <v>17</v>
      </c>
      <c r="J59" s="13">
        <v>17</v>
      </c>
      <c r="K59" s="13">
        <v>17</v>
      </c>
      <c r="L59" s="13">
        <v>17</v>
      </c>
      <c r="M59" s="13">
        <v>17</v>
      </c>
      <c r="N59" s="13">
        <v>17</v>
      </c>
      <c r="O59" s="13">
        <v>17</v>
      </c>
      <c r="P59" s="14">
        <f t="shared" si="5"/>
        <v>204</v>
      </c>
      <c r="Q59" s="25"/>
      <c r="R59" s="17"/>
      <c r="T59" s="71"/>
    </row>
    <row r="60" spans="2:20" s="11" customFormat="1" ht="13.8" x14ac:dyDescent="0.3">
      <c r="B60" s="2" t="s">
        <v>29</v>
      </c>
      <c r="C60" s="17" t="s">
        <v>24</v>
      </c>
      <c r="D60" s="13">
        <v>59</v>
      </c>
      <c r="E60" s="13">
        <v>59</v>
      </c>
      <c r="F60" s="13">
        <v>58</v>
      </c>
      <c r="G60" s="13">
        <v>58</v>
      </c>
      <c r="H60" s="13">
        <v>58</v>
      </c>
      <c r="I60" s="13">
        <v>58</v>
      </c>
      <c r="J60" s="13">
        <v>58</v>
      </c>
      <c r="K60" s="13">
        <v>58</v>
      </c>
      <c r="L60" s="13">
        <v>57</v>
      </c>
      <c r="M60" s="13">
        <v>58</v>
      </c>
      <c r="N60" s="13">
        <v>58</v>
      </c>
      <c r="O60" s="13">
        <v>58</v>
      </c>
      <c r="P60" s="14">
        <f t="shared" si="5"/>
        <v>697</v>
      </c>
      <c r="Q60" s="25"/>
      <c r="R60" s="17"/>
      <c r="T60" s="71"/>
    </row>
    <row r="61" spans="2:20" s="11" customFormat="1" ht="13.8" x14ac:dyDescent="0.3">
      <c r="B61" s="11" t="s">
        <v>30</v>
      </c>
      <c r="C61" s="17" t="s">
        <v>25</v>
      </c>
      <c r="D61" s="13">
        <v>4</v>
      </c>
      <c r="E61" s="13">
        <v>4</v>
      </c>
      <c r="F61" s="13">
        <v>4</v>
      </c>
      <c r="G61" s="13">
        <v>4</v>
      </c>
      <c r="H61" s="13">
        <v>4</v>
      </c>
      <c r="I61" s="13">
        <v>4</v>
      </c>
      <c r="J61" s="13">
        <v>4</v>
      </c>
      <c r="K61" s="13">
        <v>4</v>
      </c>
      <c r="L61" s="13">
        <v>4</v>
      </c>
      <c r="M61" s="13">
        <v>4</v>
      </c>
      <c r="N61" s="13">
        <v>4</v>
      </c>
      <c r="O61" s="13">
        <v>4</v>
      </c>
      <c r="P61" s="14">
        <f t="shared" si="5"/>
        <v>48</v>
      </c>
      <c r="Q61" s="25"/>
      <c r="R61" s="17"/>
    </row>
    <row r="62" spans="2:20" s="11" customFormat="1" ht="13.8" x14ac:dyDescent="0.3">
      <c r="B62" s="2" t="s">
        <v>31</v>
      </c>
      <c r="C62" s="17" t="s">
        <v>27</v>
      </c>
      <c r="D62" s="13">
        <v>8</v>
      </c>
      <c r="E62" s="13">
        <v>8</v>
      </c>
      <c r="F62" s="13">
        <v>8</v>
      </c>
      <c r="G62" s="13">
        <v>8</v>
      </c>
      <c r="H62" s="13">
        <v>8</v>
      </c>
      <c r="I62" s="13">
        <v>8</v>
      </c>
      <c r="J62" s="13">
        <v>8</v>
      </c>
      <c r="K62" s="13">
        <v>7</v>
      </c>
      <c r="L62" s="13">
        <v>7</v>
      </c>
      <c r="M62" s="13">
        <v>7</v>
      </c>
      <c r="N62" s="13">
        <v>7</v>
      </c>
      <c r="O62" s="13">
        <v>7</v>
      </c>
      <c r="P62" s="14">
        <f t="shared" si="5"/>
        <v>91</v>
      </c>
      <c r="Q62" s="25"/>
      <c r="R62" s="17"/>
    </row>
    <row r="63" spans="2:20" s="18" customFormat="1" ht="14.4" x14ac:dyDescent="0.3">
      <c r="B63" s="18" t="s">
        <v>32</v>
      </c>
      <c r="C63" s="19" t="s">
        <v>33</v>
      </c>
      <c r="D63" s="20">
        <v>9</v>
      </c>
      <c r="E63" s="20">
        <v>9</v>
      </c>
      <c r="F63" s="20">
        <v>9</v>
      </c>
      <c r="G63" s="20">
        <v>9</v>
      </c>
      <c r="H63" s="20">
        <v>9</v>
      </c>
      <c r="I63" s="20">
        <v>9</v>
      </c>
      <c r="J63" s="20">
        <v>9</v>
      </c>
      <c r="K63" s="20">
        <v>9</v>
      </c>
      <c r="L63" s="20">
        <v>9</v>
      </c>
      <c r="M63" s="20">
        <v>9</v>
      </c>
      <c r="N63" s="20">
        <v>9</v>
      </c>
      <c r="O63" s="20">
        <v>9</v>
      </c>
      <c r="P63" s="21">
        <f t="shared" si="5"/>
        <v>108</v>
      </c>
      <c r="Q63" s="25"/>
      <c r="R63" s="19"/>
    </row>
    <row r="64" spans="2:20" s="11" customFormat="1" x14ac:dyDescent="0.25">
      <c r="B64" s="11" t="s">
        <v>3</v>
      </c>
      <c r="D64" s="23">
        <f>SUM(D36:D63)</f>
        <v>873039</v>
      </c>
      <c r="E64" s="23">
        <f t="shared" ref="E64:O64" si="6">SUM(E36:E63)</f>
        <v>873851</v>
      </c>
      <c r="F64" s="23">
        <f t="shared" si="6"/>
        <v>874345</v>
      </c>
      <c r="G64" s="23">
        <f t="shared" si="6"/>
        <v>874552</v>
      </c>
      <c r="H64" s="23">
        <f t="shared" si="6"/>
        <v>874657</v>
      </c>
      <c r="I64" s="23">
        <f t="shared" si="6"/>
        <v>874833</v>
      </c>
      <c r="J64" s="23">
        <f t="shared" si="6"/>
        <v>874540</v>
      </c>
      <c r="K64" s="23">
        <f t="shared" si="6"/>
        <v>874806</v>
      </c>
      <c r="L64" s="23">
        <f t="shared" si="6"/>
        <v>875085</v>
      </c>
      <c r="M64" s="23">
        <f t="shared" si="6"/>
        <v>875748</v>
      </c>
      <c r="N64" s="23">
        <f t="shared" si="6"/>
        <v>876827</v>
      </c>
      <c r="O64" s="23">
        <f t="shared" si="6"/>
        <v>877594</v>
      </c>
      <c r="P64" s="14">
        <f>SUM(D64:O64)</f>
        <v>10499877</v>
      </c>
      <c r="Q64" s="22"/>
    </row>
    <row r="65" spans="2:17" s="11" customFormat="1" x14ac:dyDescent="0.25">
      <c r="C65" s="12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</row>
    <row r="66" spans="2:17" x14ac:dyDescent="0.25">
      <c r="B66" s="8" t="s">
        <v>45</v>
      </c>
      <c r="C66" s="17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</row>
    <row r="67" spans="2:17" x14ac:dyDescent="0.25">
      <c r="B67" s="2" t="s">
        <v>6</v>
      </c>
      <c r="C67" s="17">
        <v>23</v>
      </c>
      <c r="D67" s="24">
        <f t="shared" ref="D67:I67" si="7">IFERROR(D9/D37,0)</f>
        <v>108.46254343754237</v>
      </c>
      <c r="E67" s="24">
        <f t="shared" si="7"/>
        <v>104.94679632488814</v>
      </c>
      <c r="F67" s="24">
        <f t="shared" si="7"/>
        <v>98.736888390499502</v>
      </c>
      <c r="G67" s="24">
        <f t="shared" si="7"/>
        <v>72.093127583762708</v>
      </c>
      <c r="H67" s="24">
        <f t="shared" si="7"/>
        <v>30.427224750557077</v>
      </c>
      <c r="I67" s="24">
        <f t="shared" si="7"/>
        <v>21.563869777938582</v>
      </c>
      <c r="J67" s="24">
        <f>IFERROR(J9/J37,0)</f>
        <v>15.306297173273384</v>
      </c>
      <c r="K67" s="24">
        <f t="shared" ref="K67:O67" si="8">IFERROR(K9/K37,0)</f>
        <v>14.985035765566694</v>
      </c>
      <c r="L67" s="24">
        <f t="shared" si="8"/>
        <v>22.667718970686096</v>
      </c>
      <c r="M67" s="24">
        <f t="shared" si="8"/>
        <v>49.128724480983614</v>
      </c>
      <c r="N67" s="24">
        <f t="shared" si="8"/>
        <v>88.018868107038188</v>
      </c>
      <c r="O67" s="24">
        <f t="shared" si="8"/>
        <v>94.314831257864526</v>
      </c>
      <c r="P67" s="24">
        <f>SUM(D67:O67)</f>
        <v>720.65192602060085</v>
      </c>
      <c r="Q67" s="24"/>
    </row>
    <row r="68" spans="2:17" x14ac:dyDescent="0.25">
      <c r="B68" s="11" t="s">
        <v>8</v>
      </c>
      <c r="C68" s="11">
        <v>31</v>
      </c>
      <c r="D68" s="24">
        <f t="shared" ref="D68:I69" si="9">IFERROR(D11/D40,0)</f>
        <v>557.43417593448396</v>
      </c>
      <c r="E68" s="24">
        <f t="shared" si="9"/>
        <v>547.73261703010792</v>
      </c>
      <c r="F68" s="24">
        <f t="shared" si="9"/>
        <v>522.61968275531456</v>
      </c>
      <c r="G68" s="24">
        <f t="shared" si="9"/>
        <v>397.79143049722398</v>
      </c>
      <c r="H68" s="24">
        <f t="shared" si="9"/>
        <v>197.14940929169094</v>
      </c>
      <c r="I68" s="24">
        <f t="shared" si="9"/>
        <v>171.27525575831649</v>
      </c>
      <c r="J68" s="24">
        <f>IFERROR(J11/J40,0)</f>
        <v>138.15490462289341</v>
      </c>
      <c r="K68" s="24">
        <f t="shared" ref="K68:O69" si="10">IFERROR(K11/K40,0)</f>
        <v>136.99155785856121</v>
      </c>
      <c r="L68" s="24">
        <f t="shared" si="10"/>
        <v>165.20080421312144</v>
      </c>
      <c r="M68" s="24">
        <f t="shared" si="10"/>
        <v>268.81482789473517</v>
      </c>
      <c r="N68" s="24">
        <f t="shared" si="10"/>
        <v>455.24446696516202</v>
      </c>
      <c r="O68" s="24">
        <f t="shared" si="10"/>
        <v>483.65207144539772</v>
      </c>
      <c r="P68" s="24">
        <f t="shared" ref="P68:P78" si="11">SUM(D68:O68)</f>
        <v>4042.0612042670086</v>
      </c>
      <c r="Q68" s="24"/>
    </row>
    <row r="69" spans="2:17" s="11" customFormat="1" x14ac:dyDescent="0.25">
      <c r="B69" s="11" t="s">
        <v>9</v>
      </c>
      <c r="C69" s="11">
        <v>41</v>
      </c>
      <c r="D69" s="14">
        <f t="shared" si="9"/>
        <v>6272.0266776443268</v>
      </c>
      <c r="E69" s="14">
        <f t="shared" si="9"/>
        <v>6378.2322818951598</v>
      </c>
      <c r="F69" s="14">
        <f t="shared" si="9"/>
        <v>6642.876048735071</v>
      </c>
      <c r="G69" s="14">
        <f t="shared" si="9"/>
        <v>4686.4782066671596</v>
      </c>
      <c r="H69" s="14">
        <f t="shared" si="9"/>
        <v>2944.2615621223567</v>
      </c>
      <c r="I69" s="14">
        <f t="shared" si="9"/>
        <v>2750.7237803063963</v>
      </c>
      <c r="J69" s="14">
        <f>IFERROR(J12/J41,0)</f>
        <v>1952.2886195764233</v>
      </c>
      <c r="K69" s="14">
        <f t="shared" si="10"/>
        <v>1834.114606084144</v>
      </c>
      <c r="L69" s="14">
        <f t="shared" si="10"/>
        <v>2287.4881169524001</v>
      </c>
      <c r="M69" s="14">
        <f t="shared" si="10"/>
        <v>3524.1622080006241</v>
      </c>
      <c r="N69" s="14">
        <f t="shared" si="10"/>
        <v>5839.2622648214374</v>
      </c>
      <c r="O69" s="14">
        <f t="shared" si="10"/>
        <v>4659.9876049309187</v>
      </c>
      <c r="P69" s="24">
        <f t="shared" si="11"/>
        <v>49771.901977736416</v>
      </c>
      <c r="Q69" s="24"/>
    </row>
    <row r="70" spans="2:17" s="11" customFormat="1" x14ac:dyDescent="0.25">
      <c r="B70" s="11" t="s">
        <v>15</v>
      </c>
      <c r="C70" s="11">
        <v>41</v>
      </c>
      <c r="D70" s="14">
        <f t="shared" ref="D70:I70" si="12">IFERROR(D18/D48,0)</f>
        <v>13336.845540172131</v>
      </c>
      <c r="E70" s="14">
        <f t="shared" si="12"/>
        <v>14959.56469326492</v>
      </c>
      <c r="F70" s="14">
        <f t="shared" si="12"/>
        <v>13552.622567458578</v>
      </c>
      <c r="G70" s="14">
        <f t="shared" si="12"/>
        <v>11118.590732575682</v>
      </c>
      <c r="H70" s="14">
        <f t="shared" si="12"/>
        <v>11099.101125648471</v>
      </c>
      <c r="I70" s="14">
        <f t="shared" si="12"/>
        <v>9021.0320081056943</v>
      </c>
      <c r="J70" s="14">
        <f>IFERROR(J18/J48,0)</f>
        <v>8328.0429476857171</v>
      </c>
      <c r="K70" s="14">
        <f t="shared" ref="K70:O70" si="13">IFERROR(K18/K48,0)</f>
        <v>8240.8560733810009</v>
      </c>
      <c r="L70" s="14">
        <f t="shared" si="13"/>
        <v>8870.864088618493</v>
      </c>
      <c r="M70" s="14">
        <f t="shared" si="13"/>
        <v>10884.552221973596</v>
      </c>
      <c r="N70" s="14">
        <f t="shared" si="13"/>
        <v>12681.886427256904</v>
      </c>
      <c r="O70" s="14">
        <f t="shared" si="13"/>
        <v>12623.019362980698</v>
      </c>
      <c r="P70" s="24">
        <f t="shared" si="11"/>
        <v>134716.97778912188</v>
      </c>
      <c r="Q70" s="24"/>
    </row>
    <row r="71" spans="2:17" x14ac:dyDescent="0.25">
      <c r="B71" s="2" t="s">
        <v>21</v>
      </c>
      <c r="C71" s="17" t="s">
        <v>22</v>
      </c>
      <c r="D71" s="24">
        <f t="shared" ref="D71:I72" si="14">IFERROR(D23/D54,0)</f>
        <v>21290.561688311685</v>
      </c>
      <c r="E71" s="24">
        <f t="shared" si="14"/>
        <v>16022.740000000003</v>
      </c>
      <c r="F71" s="24">
        <f t="shared" si="14"/>
        <v>19416.658571428572</v>
      </c>
      <c r="G71" s="24">
        <f t="shared" si="14"/>
        <v>29974.364933333334</v>
      </c>
      <c r="H71" s="24">
        <f t="shared" si="14"/>
        <v>443.69253333332989</v>
      </c>
      <c r="I71" s="24">
        <f t="shared" si="14"/>
        <v>14261.94626666667</v>
      </c>
      <c r="J71" s="24">
        <f>IFERROR(J23/J54,0)</f>
        <v>13076.634799999996</v>
      </c>
      <c r="K71" s="24">
        <f t="shared" ref="K71:O72" si="15">IFERROR(K23/K54,0)</f>
        <v>12350.976399999998</v>
      </c>
      <c r="L71" s="24">
        <f t="shared" si="15"/>
        <v>13691.773066666668</v>
      </c>
      <c r="M71" s="24">
        <f t="shared" si="15"/>
        <v>16045.522266666665</v>
      </c>
      <c r="N71" s="24">
        <f t="shared" si="15"/>
        <v>16488.641866666665</v>
      </c>
      <c r="O71" s="24">
        <f t="shared" si="15"/>
        <v>18582.806533333332</v>
      </c>
      <c r="P71" s="24">
        <f t="shared" si="11"/>
        <v>191646.31892640691</v>
      </c>
      <c r="Q71" s="24"/>
    </row>
    <row r="72" spans="2:17" x14ac:dyDescent="0.25">
      <c r="B72" s="2" t="s">
        <v>23</v>
      </c>
      <c r="C72" s="17" t="s">
        <v>24</v>
      </c>
      <c r="D72" s="24">
        <f t="shared" si="14"/>
        <v>70113.958260869564</v>
      </c>
      <c r="E72" s="24">
        <f t="shared" si="14"/>
        <v>50780.125217391287</v>
      </c>
      <c r="F72" s="24">
        <f t="shared" si="14"/>
        <v>79726.351739130434</v>
      </c>
      <c r="G72" s="24">
        <f t="shared" si="14"/>
        <v>86978.889565217396</v>
      </c>
      <c r="H72" s="24">
        <f t="shared" si="14"/>
        <v>106781.37</v>
      </c>
      <c r="I72" s="24">
        <f t="shared" si="14"/>
        <v>-36908.648695652162</v>
      </c>
      <c r="J72" s="24">
        <f>IFERROR(J24/J55,0)</f>
        <v>48656.435652173917</v>
      </c>
      <c r="K72" s="24">
        <f t="shared" si="15"/>
        <v>49939.485652173913</v>
      </c>
      <c r="L72" s="24">
        <f t="shared" si="15"/>
        <v>56122.507826086963</v>
      </c>
      <c r="M72" s="24">
        <f t="shared" si="15"/>
        <v>57773.065217391304</v>
      </c>
      <c r="N72" s="24">
        <f t="shared" si="15"/>
        <v>60660.972608695636</v>
      </c>
      <c r="O72" s="24">
        <f t="shared" si="15"/>
        <v>65129.484782608692</v>
      </c>
      <c r="P72" s="24">
        <f t="shared" si="11"/>
        <v>695753.99782608694</v>
      </c>
      <c r="Q72" s="24"/>
    </row>
    <row r="73" spans="2:17" x14ac:dyDescent="0.25">
      <c r="B73" s="2" t="s">
        <v>26</v>
      </c>
      <c r="C73" s="17" t="s">
        <v>27</v>
      </c>
      <c r="D73" s="24">
        <f t="shared" ref="D73:I73" si="16">IFERROR(D26/D57,0)</f>
        <v>612055.53333333356</v>
      </c>
      <c r="E73" s="24">
        <f t="shared" si="16"/>
        <v>507727.15666666668</v>
      </c>
      <c r="F73" s="24">
        <f t="shared" si="16"/>
        <v>621892.2466666667</v>
      </c>
      <c r="G73" s="24">
        <f t="shared" si="16"/>
        <v>1009725.6066666665</v>
      </c>
      <c r="H73" s="24">
        <f t="shared" si="16"/>
        <v>-9255.8699999999953</v>
      </c>
      <c r="I73" s="24">
        <f t="shared" si="16"/>
        <v>396872.39333333331</v>
      </c>
      <c r="J73" s="24">
        <f>IFERROR(J26/J57,0)</f>
        <v>372492.45333333337</v>
      </c>
      <c r="K73" s="24">
        <f t="shared" ref="K73:O73" si="17">IFERROR(K26/K57,0)</f>
        <v>403173.59666666668</v>
      </c>
      <c r="L73" s="24">
        <f t="shared" si="17"/>
        <v>368572.37333333329</v>
      </c>
      <c r="M73" s="24">
        <f t="shared" si="17"/>
        <v>550210.63</v>
      </c>
      <c r="N73" s="24">
        <f t="shared" si="17"/>
        <v>561824.56000000006</v>
      </c>
      <c r="O73" s="24">
        <f t="shared" si="17"/>
        <v>600191.80666666664</v>
      </c>
      <c r="P73" s="24">
        <f t="shared" si="11"/>
        <v>5995482.4866666663</v>
      </c>
      <c r="Q73" s="24"/>
    </row>
    <row r="74" spans="2:17" x14ac:dyDescent="0.25">
      <c r="B74" s="2" t="s">
        <v>11</v>
      </c>
      <c r="C74" s="2">
        <v>85</v>
      </c>
      <c r="D74" s="24">
        <f t="shared" ref="D74:I77" si="18">IFERROR(D14/D44,0)</f>
        <v>77742.724623411021</v>
      </c>
      <c r="E74" s="24">
        <f t="shared" si="18"/>
        <v>60091.192438778569</v>
      </c>
      <c r="F74" s="24">
        <f t="shared" si="18"/>
        <v>71587.378858647848</v>
      </c>
      <c r="G74" s="24">
        <f t="shared" si="18"/>
        <v>82906.29718062644</v>
      </c>
      <c r="H74" s="24">
        <f t="shared" si="18"/>
        <v>34580.205971230731</v>
      </c>
      <c r="I74" s="24">
        <f t="shared" si="18"/>
        <v>34537.647610996901</v>
      </c>
      <c r="J74" s="24">
        <f>IFERROR(J14/J44,0)</f>
        <v>23754.36184406446</v>
      </c>
      <c r="K74" s="24">
        <f t="shared" ref="K74:O77" si="19">IFERROR(K14/K44,0)</f>
        <v>55787.682258884612</v>
      </c>
      <c r="L74" s="24">
        <f t="shared" si="19"/>
        <v>32138.123706683284</v>
      </c>
      <c r="M74" s="24">
        <f t="shared" si="19"/>
        <v>39104.010816991075</v>
      </c>
      <c r="N74" s="24">
        <f t="shared" si="19"/>
        <v>58128.208615028001</v>
      </c>
      <c r="O74" s="24">
        <f t="shared" si="19"/>
        <v>76328.54782740325</v>
      </c>
      <c r="P74" s="24">
        <f t="shared" si="11"/>
        <v>646686.38175274618</v>
      </c>
      <c r="Q74" s="24"/>
    </row>
    <row r="75" spans="2:17" x14ac:dyDescent="0.25">
      <c r="B75" s="2" t="s">
        <v>12</v>
      </c>
      <c r="C75" s="2">
        <v>86</v>
      </c>
      <c r="D75" s="24">
        <f t="shared" si="18"/>
        <v>8251.031610935619</v>
      </c>
      <c r="E75" s="24">
        <f t="shared" si="18"/>
        <v>6969.8989577829389</v>
      </c>
      <c r="F75" s="24">
        <f t="shared" si="18"/>
        <v>7329.6694946405678</v>
      </c>
      <c r="G75" s="24">
        <f t="shared" si="18"/>
        <v>5976.4793694112959</v>
      </c>
      <c r="H75" s="24">
        <f t="shared" si="18"/>
        <v>3855.6474185002571</v>
      </c>
      <c r="I75" s="24">
        <f t="shared" si="18"/>
        <v>2071.9818071897653</v>
      </c>
      <c r="J75" s="24">
        <f>IFERROR(J15/J45,0)</f>
        <v>1378.3322130022507</v>
      </c>
      <c r="K75" s="24">
        <f t="shared" si="19"/>
        <v>1254.1123760667554</v>
      </c>
      <c r="L75" s="24">
        <f t="shared" si="19"/>
        <v>1899.7054751748042</v>
      </c>
      <c r="M75" s="24">
        <f t="shared" si="19"/>
        <v>3826.7338870024923</v>
      </c>
      <c r="N75" s="24">
        <f t="shared" si="19"/>
        <v>6053.3791275017293</v>
      </c>
      <c r="O75" s="24">
        <f t="shared" si="19"/>
        <v>5770.5442026824294</v>
      </c>
      <c r="P75" s="24">
        <f t="shared" si="11"/>
        <v>54637.515939890909</v>
      </c>
      <c r="Q75" s="24"/>
    </row>
    <row r="76" spans="2:17" x14ac:dyDescent="0.25">
      <c r="B76" s="11" t="s">
        <v>41</v>
      </c>
      <c r="C76" s="11">
        <v>87</v>
      </c>
      <c r="D76" s="24">
        <f t="shared" si="18"/>
        <v>892333.97550000006</v>
      </c>
      <c r="E76" s="24">
        <f t="shared" si="18"/>
        <v>1081183.6363750002</v>
      </c>
      <c r="F76" s="24">
        <f t="shared" si="18"/>
        <v>-231016.21500000003</v>
      </c>
      <c r="G76" s="24">
        <f t="shared" si="18"/>
        <v>1219499.146375</v>
      </c>
      <c r="H76" s="24">
        <f t="shared" si="18"/>
        <v>-260233.84625</v>
      </c>
      <c r="I76" s="24">
        <f t="shared" si="18"/>
        <v>406710.569625</v>
      </c>
      <c r="J76" s="24">
        <f>IFERROR(J16/J46,0)</f>
        <v>226777.08062499997</v>
      </c>
      <c r="K76" s="24">
        <f t="shared" si="19"/>
        <v>250895.99924999999</v>
      </c>
      <c r="L76" s="24">
        <f t="shared" si="19"/>
        <v>195145.603875</v>
      </c>
      <c r="M76" s="24">
        <f t="shared" si="19"/>
        <v>372913.29500000004</v>
      </c>
      <c r="N76" s="24">
        <f t="shared" si="19"/>
        <v>430473.28437499999</v>
      </c>
      <c r="O76" s="24">
        <f t="shared" si="19"/>
        <v>596501.72562499996</v>
      </c>
      <c r="P76" s="24">
        <f t="shared" si="11"/>
        <v>5181184.2553749997</v>
      </c>
      <c r="Q76" s="24"/>
    </row>
    <row r="77" spans="2:17" x14ac:dyDescent="0.25">
      <c r="B77" s="2" t="s">
        <v>14</v>
      </c>
      <c r="C77" s="2">
        <v>31</v>
      </c>
      <c r="D77" s="24">
        <f t="shared" si="18"/>
        <v>838.90482098704445</v>
      </c>
      <c r="E77" s="24">
        <f t="shared" si="18"/>
        <v>852.27526483673398</v>
      </c>
      <c r="F77" s="24">
        <f t="shared" si="18"/>
        <v>899.32420969937982</v>
      </c>
      <c r="G77" s="24">
        <f t="shared" si="18"/>
        <v>663.15324574896795</v>
      </c>
      <c r="H77" s="24">
        <f t="shared" si="18"/>
        <v>204.15699393990346</v>
      </c>
      <c r="I77" s="24">
        <f t="shared" si="18"/>
        <v>202.86279401850416</v>
      </c>
      <c r="J77" s="24">
        <f>IFERROR(J17/J47,0)</f>
        <v>146.26559834753769</v>
      </c>
      <c r="K77" s="24">
        <f t="shared" si="19"/>
        <v>130.31391000041236</v>
      </c>
      <c r="L77" s="24">
        <f t="shared" si="19"/>
        <v>146.08787481871815</v>
      </c>
      <c r="M77" s="24">
        <f t="shared" si="19"/>
        <v>363.35852531739636</v>
      </c>
      <c r="N77" s="24">
        <f t="shared" si="19"/>
        <v>705.78069309257603</v>
      </c>
      <c r="O77" s="24">
        <f t="shared" si="19"/>
        <v>706.40824802528186</v>
      </c>
      <c r="P77" s="24">
        <f t="shared" si="11"/>
        <v>5858.8921788324569</v>
      </c>
      <c r="Q77" s="24"/>
    </row>
    <row r="78" spans="2:17" s="31" customFormat="1" ht="14.4" x14ac:dyDescent="0.3">
      <c r="B78" s="18" t="s">
        <v>32</v>
      </c>
      <c r="C78" s="29" t="s">
        <v>33</v>
      </c>
      <c r="D78" s="30">
        <f t="shared" ref="D78:I78" si="20">IFERROR(D31/D63,0)</f>
        <v>411599.69444444444</v>
      </c>
      <c r="E78" s="30">
        <f t="shared" si="20"/>
        <v>152372.3788888889</v>
      </c>
      <c r="F78" s="30">
        <f t="shared" si="20"/>
        <v>670236.44777777779</v>
      </c>
      <c r="G78" s="30">
        <f t="shared" si="20"/>
        <v>3810.7877777743074</v>
      </c>
      <c r="H78" s="30">
        <f t="shared" si="20"/>
        <v>564584.70333333733</v>
      </c>
      <c r="I78" s="30">
        <f t="shared" si="20"/>
        <v>204390.84888888884</v>
      </c>
      <c r="J78" s="30">
        <f>IFERROR(J31/J63,0)</f>
        <v>186870.59444444446</v>
      </c>
      <c r="K78" s="30">
        <f t="shared" ref="K78:O78" si="21">IFERROR(K31/K63,0)</f>
        <v>183704.45666666667</v>
      </c>
      <c r="L78" s="30">
        <f t="shared" si="21"/>
        <v>198266.34444444446</v>
      </c>
      <c r="M78" s="30">
        <f t="shared" si="21"/>
        <v>270992.99444444443</v>
      </c>
      <c r="N78" s="30">
        <f t="shared" si="21"/>
        <v>408792.4466666666</v>
      </c>
      <c r="O78" s="30">
        <f t="shared" si="21"/>
        <v>-815197.83777777769</v>
      </c>
      <c r="P78" s="24">
        <f t="shared" si="11"/>
        <v>2440423.8600000003</v>
      </c>
      <c r="Q78" s="30"/>
    </row>
    <row r="79" spans="2:17" x14ac:dyDescent="0.25">
      <c r="C79" s="17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</row>
    <row r="80" spans="2:17" x14ac:dyDescent="0.25">
      <c r="B80" s="8" t="s">
        <v>46</v>
      </c>
      <c r="C80" s="17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24"/>
      <c r="Q80" s="24"/>
    </row>
    <row r="81" spans="2:23" s="11" customFormat="1" x14ac:dyDescent="0.25">
      <c r="B81" s="11" t="s">
        <v>47</v>
      </c>
      <c r="C81" s="12"/>
      <c r="D81" s="13">
        <v>671.33333333333326</v>
      </c>
      <c r="E81" s="13">
        <v>682.83333333333337</v>
      </c>
      <c r="F81" s="13">
        <v>648.375</v>
      </c>
      <c r="G81" s="13">
        <v>511.45833333333337</v>
      </c>
      <c r="H81" s="13">
        <v>189.04166666666669</v>
      </c>
      <c r="I81" s="13">
        <v>135.41666666666669</v>
      </c>
      <c r="J81" s="13">
        <v>13.5</v>
      </c>
      <c r="K81" s="13">
        <v>16.25</v>
      </c>
      <c r="L81" s="13">
        <v>133.041666666667</v>
      </c>
      <c r="M81" s="13">
        <v>345.66666666666703</v>
      </c>
      <c r="N81" s="13">
        <v>604.33333333333303</v>
      </c>
      <c r="O81" s="13">
        <v>609.20833333333303</v>
      </c>
      <c r="P81" s="14">
        <f>SUM(D81:O81)</f>
        <v>4560.458333333333</v>
      </c>
      <c r="Q81" s="14"/>
    </row>
    <row r="82" spans="2:23" s="11" customFormat="1" x14ac:dyDescent="0.25">
      <c r="B82" s="11" t="s">
        <v>48</v>
      </c>
      <c r="C82" s="12"/>
      <c r="D82" s="13">
        <v>667.3</v>
      </c>
      <c r="E82" s="13">
        <v>590.70000000000005</v>
      </c>
      <c r="F82" s="13">
        <v>563</v>
      </c>
      <c r="G82" s="13">
        <v>416.9</v>
      </c>
      <c r="H82" s="13">
        <v>246.8</v>
      </c>
      <c r="I82" s="13">
        <v>114.5</v>
      </c>
      <c r="J82" s="13">
        <v>31.2</v>
      </c>
      <c r="K82" s="13">
        <v>24.2</v>
      </c>
      <c r="L82" s="13">
        <v>111.7</v>
      </c>
      <c r="M82" s="13">
        <v>350.8</v>
      </c>
      <c r="N82" s="13">
        <v>538.20000000000005</v>
      </c>
      <c r="O82" s="13">
        <v>707.1</v>
      </c>
      <c r="P82" s="14">
        <f>SUM(D82:O82)</f>
        <v>4362.4000000000005</v>
      </c>
      <c r="Q82" s="14"/>
    </row>
    <row r="83" spans="2:23" s="11" customFormat="1" x14ac:dyDescent="0.25">
      <c r="B83" s="11" t="s">
        <v>49</v>
      </c>
      <c r="C83" s="12"/>
      <c r="D83" s="23">
        <f t="shared" ref="D83:P83" si="22">D81-D82</f>
        <v>4.033333333333303</v>
      </c>
      <c r="E83" s="23">
        <f t="shared" si="22"/>
        <v>92.133333333333326</v>
      </c>
      <c r="F83" s="23">
        <f t="shared" si="22"/>
        <v>85.375</v>
      </c>
      <c r="G83" s="23">
        <f t="shared" si="22"/>
        <v>94.558333333333394</v>
      </c>
      <c r="H83" s="23">
        <f t="shared" si="22"/>
        <v>-57.758333333333326</v>
      </c>
      <c r="I83" s="23">
        <f t="shared" si="22"/>
        <v>20.916666666666686</v>
      </c>
      <c r="J83" s="23">
        <f t="shared" si="22"/>
        <v>-17.7</v>
      </c>
      <c r="K83" s="23">
        <f t="shared" si="22"/>
        <v>-7.9499999999999993</v>
      </c>
      <c r="L83" s="23">
        <f t="shared" si="22"/>
        <v>21.341666666666995</v>
      </c>
      <c r="M83" s="23">
        <f t="shared" si="22"/>
        <v>-5.1333333333329847</v>
      </c>
      <c r="N83" s="23">
        <f t="shared" si="22"/>
        <v>66.133333333332985</v>
      </c>
      <c r="O83" s="23">
        <f t="shared" si="22"/>
        <v>-97.891666666666993</v>
      </c>
      <c r="P83" s="23">
        <f t="shared" si="22"/>
        <v>198.05833333333248</v>
      </c>
      <c r="Q83" s="32"/>
    </row>
    <row r="84" spans="2:23" x14ac:dyDescent="0.25">
      <c r="C84" s="17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</row>
    <row r="85" spans="2:23" x14ac:dyDescent="0.25">
      <c r="B85" s="8" t="s">
        <v>50</v>
      </c>
      <c r="C85" s="17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</row>
    <row r="86" spans="2:23" s="11" customFormat="1" x14ac:dyDescent="0.25">
      <c r="B86" s="2" t="s">
        <v>6</v>
      </c>
      <c r="C86" s="12">
        <v>23</v>
      </c>
      <c r="D86" s="33">
        <v>0.14610600000000001</v>
      </c>
      <c r="E86" s="33">
        <v>0.13005900000000001</v>
      </c>
      <c r="F86" s="33">
        <v>0.12708900000000001</v>
      </c>
      <c r="G86" s="33">
        <v>9.8351999999999995E-2</v>
      </c>
      <c r="H86" s="33">
        <v>7.3646000000000003E-2</v>
      </c>
      <c r="I86" s="33">
        <v>4.6559000000000003E-2</v>
      </c>
      <c r="J86" s="33">
        <v>0</v>
      </c>
      <c r="K86" s="33">
        <v>0</v>
      </c>
      <c r="L86" s="33">
        <v>7.2701000000000002E-2</v>
      </c>
      <c r="M86" s="33">
        <v>0.104546</v>
      </c>
      <c r="N86" s="33">
        <v>0.12842700000000001</v>
      </c>
      <c r="O86" s="33">
        <v>0.133077</v>
      </c>
      <c r="P86" s="14"/>
      <c r="Q86" s="14"/>
      <c r="R86" s="34"/>
      <c r="S86" s="34"/>
      <c r="T86" s="34"/>
      <c r="U86" s="34"/>
      <c r="V86" s="34"/>
      <c r="W86" s="34"/>
    </row>
    <row r="87" spans="2:23" s="11" customFormat="1" x14ac:dyDescent="0.25">
      <c r="B87" s="11" t="s">
        <v>8</v>
      </c>
      <c r="C87" s="11">
        <v>31</v>
      </c>
      <c r="D87" s="33">
        <v>0.60108399999999995</v>
      </c>
      <c r="E87" s="33">
        <v>0.52999600000000002</v>
      </c>
      <c r="F87" s="33">
        <v>0.51928300000000005</v>
      </c>
      <c r="G87" s="33">
        <v>0.37405500000000003</v>
      </c>
      <c r="H87" s="33">
        <v>0.233959</v>
      </c>
      <c r="I87" s="33">
        <v>0</v>
      </c>
      <c r="J87" s="33">
        <v>0</v>
      </c>
      <c r="K87" s="33">
        <v>0</v>
      </c>
      <c r="L87" s="33">
        <v>0</v>
      </c>
      <c r="M87" s="33">
        <v>0.34386699999999998</v>
      </c>
      <c r="N87" s="33">
        <v>0.48571399999999998</v>
      </c>
      <c r="O87" s="33">
        <v>0.54058300000000004</v>
      </c>
      <c r="P87" s="14"/>
      <c r="Q87" s="14"/>
      <c r="R87" s="34"/>
      <c r="S87" s="34"/>
      <c r="T87" s="34"/>
      <c r="U87" s="34"/>
      <c r="V87" s="34"/>
      <c r="W87" s="34"/>
    </row>
    <row r="88" spans="2:23" s="11" customFormat="1" x14ac:dyDescent="0.25">
      <c r="B88" s="11" t="s">
        <v>9</v>
      </c>
      <c r="C88" s="11">
        <v>41</v>
      </c>
      <c r="D88" s="33">
        <v>5.6750790000000002</v>
      </c>
      <c r="E88" s="33">
        <v>5.1515389999999996</v>
      </c>
      <c r="F88" s="33">
        <v>5.3184370000000003</v>
      </c>
      <c r="G88" s="33">
        <v>4.4039900000000003</v>
      </c>
      <c r="H88" s="33">
        <v>3.7625700000000002</v>
      </c>
      <c r="I88" s="33">
        <v>2.3358829999999999</v>
      </c>
      <c r="J88" s="33">
        <v>0</v>
      </c>
      <c r="K88" s="33">
        <v>0</v>
      </c>
      <c r="L88" s="33">
        <v>0</v>
      </c>
      <c r="M88" s="33">
        <v>3.820138</v>
      </c>
      <c r="N88" s="33">
        <v>4.813618</v>
      </c>
      <c r="O88" s="33">
        <v>5.1364400000000003</v>
      </c>
      <c r="P88" s="14"/>
      <c r="Q88" s="14"/>
      <c r="R88" s="34"/>
      <c r="S88" s="34"/>
      <c r="T88" s="34"/>
      <c r="U88" s="34"/>
      <c r="V88" s="34"/>
      <c r="W88" s="34"/>
    </row>
    <row r="89" spans="2:23" s="11" customFormat="1" x14ac:dyDescent="0.25">
      <c r="B89" s="2" t="s">
        <v>21</v>
      </c>
      <c r="C89" s="17" t="s">
        <v>22</v>
      </c>
      <c r="D89" s="33">
        <v>7.2375309999999997</v>
      </c>
      <c r="E89" s="33">
        <v>5.6013630000000001</v>
      </c>
      <c r="F89" s="33">
        <v>7.7509449999999998</v>
      </c>
      <c r="G89" s="33">
        <v>5.2120470000000001</v>
      </c>
      <c r="H89" s="33">
        <v>3.5580120000000002</v>
      </c>
      <c r="I89" s="33">
        <v>0</v>
      </c>
      <c r="J89" s="33">
        <v>0</v>
      </c>
      <c r="K89" s="33">
        <v>0</v>
      </c>
      <c r="L89" s="33">
        <v>0</v>
      </c>
      <c r="M89" s="33">
        <v>6.3689660000000003</v>
      </c>
      <c r="N89" s="33">
        <v>6.3884100000000004</v>
      </c>
      <c r="O89" s="33">
        <v>6.453335</v>
      </c>
      <c r="P89" s="14"/>
      <c r="Q89" s="14"/>
      <c r="R89" s="34"/>
      <c r="S89" s="34"/>
      <c r="T89" s="34"/>
      <c r="U89" s="34"/>
      <c r="V89" s="34"/>
      <c r="W89" s="34"/>
    </row>
    <row r="90" spans="2:23" s="11" customFormat="1" x14ac:dyDescent="0.25">
      <c r="B90" s="2" t="s">
        <v>23</v>
      </c>
      <c r="C90" s="17" t="s">
        <v>24</v>
      </c>
      <c r="D90" s="33">
        <v>23.095510000000001</v>
      </c>
      <c r="E90" s="33">
        <v>15.08614</v>
      </c>
      <c r="F90" s="33">
        <v>22.083020000000001</v>
      </c>
      <c r="G90" s="33">
        <v>15.23142</v>
      </c>
      <c r="H90" s="33">
        <v>12.611039999999999</v>
      </c>
      <c r="I90" s="33">
        <v>0</v>
      </c>
      <c r="J90" s="33">
        <v>0</v>
      </c>
      <c r="K90" s="33">
        <v>0</v>
      </c>
      <c r="L90" s="33">
        <v>0</v>
      </c>
      <c r="M90" s="33">
        <v>17.87275</v>
      </c>
      <c r="N90" s="33">
        <v>18.312139999999999</v>
      </c>
      <c r="O90" s="33">
        <v>20.76868</v>
      </c>
      <c r="P90" s="14"/>
      <c r="Q90" s="14"/>
      <c r="R90" s="34"/>
      <c r="S90" s="34"/>
      <c r="T90" s="34"/>
      <c r="U90" s="34"/>
      <c r="V90" s="34"/>
      <c r="W90" s="34"/>
    </row>
    <row r="91" spans="2:23" s="11" customFormat="1" x14ac:dyDescent="0.25">
      <c r="B91" s="2" t="s">
        <v>26</v>
      </c>
      <c r="C91" s="17" t="s">
        <v>27</v>
      </c>
      <c r="D91" s="33">
        <v>419.04629999999997</v>
      </c>
      <c r="E91" s="33">
        <v>405.92259999999999</v>
      </c>
      <c r="F91" s="33">
        <v>411.16359999999997</v>
      </c>
      <c r="G91" s="33">
        <v>347.39449999999999</v>
      </c>
      <c r="H91" s="33">
        <v>299.33960000000002</v>
      </c>
      <c r="I91" s="33">
        <v>173.41149999999999</v>
      </c>
      <c r="J91" s="33">
        <v>0</v>
      </c>
      <c r="K91" s="33">
        <v>0</v>
      </c>
      <c r="L91" s="33">
        <v>0</v>
      </c>
      <c r="M91" s="33">
        <v>319.36770000000001</v>
      </c>
      <c r="N91" s="33">
        <v>354.35969999999998</v>
      </c>
      <c r="O91" s="33">
        <v>437.89710000000002</v>
      </c>
      <c r="P91" s="14"/>
      <c r="Q91" s="14"/>
      <c r="R91" s="34"/>
      <c r="S91" s="34"/>
      <c r="T91" s="34"/>
      <c r="U91" s="34"/>
      <c r="V91" s="34"/>
      <c r="W91" s="34"/>
    </row>
    <row r="92" spans="2:23" s="11" customFormat="1" x14ac:dyDescent="0.25">
      <c r="B92" s="11" t="s">
        <v>11</v>
      </c>
      <c r="C92" s="11">
        <v>85</v>
      </c>
      <c r="D92" s="33">
        <v>62.676409999999997</v>
      </c>
      <c r="E92" s="33">
        <v>54.244480000000003</v>
      </c>
      <c r="F92" s="33">
        <v>59.313760000000002</v>
      </c>
      <c r="G92" s="33">
        <v>48.260179999999998</v>
      </c>
      <c r="H92" s="33">
        <v>44.15945</v>
      </c>
      <c r="I92" s="33">
        <v>0</v>
      </c>
      <c r="J92" s="33">
        <v>0</v>
      </c>
      <c r="K92" s="33">
        <v>0</v>
      </c>
      <c r="L92" s="33">
        <v>0</v>
      </c>
      <c r="M92" s="33">
        <v>49.020330000000001</v>
      </c>
      <c r="N92" s="33">
        <v>52.847329999999999</v>
      </c>
      <c r="O92" s="33">
        <v>56.096780000000003</v>
      </c>
      <c r="P92" s="14"/>
      <c r="Q92" s="14"/>
      <c r="R92" s="34"/>
      <c r="S92" s="34"/>
      <c r="T92" s="34"/>
      <c r="U92" s="34"/>
      <c r="V92" s="34"/>
      <c r="W92" s="34"/>
    </row>
    <row r="93" spans="2:23" s="11" customFormat="1" x14ac:dyDescent="0.25">
      <c r="B93" s="11" t="s">
        <v>12</v>
      </c>
      <c r="C93" s="11">
        <v>86</v>
      </c>
      <c r="D93" s="33">
        <v>7.829237</v>
      </c>
      <c r="E93" s="33">
        <v>6.9332260000000003</v>
      </c>
      <c r="F93" s="33">
        <v>7.4236259999999996</v>
      </c>
      <c r="G93" s="33">
        <v>6.2983909999999996</v>
      </c>
      <c r="H93" s="33">
        <v>4.9086119999999998</v>
      </c>
      <c r="I93" s="33">
        <v>0</v>
      </c>
      <c r="J93" s="33">
        <v>0</v>
      </c>
      <c r="K93" s="33">
        <v>0</v>
      </c>
      <c r="L93" s="33">
        <v>0</v>
      </c>
      <c r="M93" s="33">
        <v>5.7562360000000004</v>
      </c>
      <c r="N93" s="33">
        <v>6.7379499999999997</v>
      </c>
      <c r="O93" s="33">
        <v>7.0350539999999997</v>
      </c>
      <c r="P93" s="14"/>
      <c r="Q93" s="14"/>
      <c r="R93" s="34"/>
      <c r="S93" s="34"/>
      <c r="T93" s="34"/>
      <c r="U93" s="34"/>
      <c r="V93" s="34"/>
      <c r="W93" s="34"/>
    </row>
    <row r="94" spans="2:23" s="11" customFormat="1" x14ac:dyDescent="0.25">
      <c r="B94" s="11" t="s">
        <v>41</v>
      </c>
      <c r="C94" s="11">
        <v>87</v>
      </c>
      <c r="D94" s="33">
        <v>425.18830000000003</v>
      </c>
      <c r="E94" s="33">
        <v>400.25970000000001</v>
      </c>
      <c r="F94" s="33">
        <v>402.84690000000001</v>
      </c>
      <c r="G94" s="33">
        <v>345.8734</v>
      </c>
      <c r="H94" s="33">
        <v>264.28890000000001</v>
      </c>
      <c r="I94" s="33">
        <v>0</v>
      </c>
      <c r="J94" s="33">
        <v>0</v>
      </c>
      <c r="K94" s="33">
        <v>0</v>
      </c>
      <c r="L94" s="33">
        <v>0</v>
      </c>
      <c r="M94" s="33">
        <v>302.1105</v>
      </c>
      <c r="N94" s="33">
        <v>350.93270000000001</v>
      </c>
      <c r="O94" s="33">
        <v>416.48340000000002</v>
      </c>
      <c r="P94" s="14"/>
      <c r="Q94" s="14"/>
      <c r="R94" s="35"/>
      <c r="S94" s="35"/>
      <c r="T94" s="34"/>
      <c r="U94" s="34"/>
      <c r="V94" s="34"/>
      <c r="W94" s="34"/>
    </row>
    <row r="95" spans="2:23" s="11" customFormat="1" x14ac:dyDescent="0.25">
      <c r="B95" s="11" t="s">
        <v>14</v>
      </c>
      <c r="C95" s="11">
        <v>31</v>
      </c>
      <c r="D95" s="33">
        <v>1.105515</v>
      </c>
      <c r="E95" s="33">
        <v>0.99494400000000005</v>
      </c>
      <c r="F95" s="33">
        <v>0.99145099999999997</v>
      </c>
      <c r="G95" s="33">
        <v>0.74944</v>
      </c>
      <c r="H95" s="33">
        <v>0.51061199999999995</v>
      </c>
      <c r="I95" s="33">
        <v>0.24365899999999999</v>
      </c>
      <c r="J95" s="33">
        <v>0</v>
      </c>
      <c r="K95" s="33">
        <v>0</v>
      </c>
      <c r="L95" s="33">
        <v>0.48316900000000002</v>
      </c>
      <c r="M95" s="33">
        <v>0.69913999999999998</v>
      </c>
      <c r="N95" s="33">
        <v>0.91513699999999998</v>
      </c>
      <c r="O95" s="33">
        <v>0.985093</v>
      </c>
      <c r="P95" s="14"/>
      <c r="Q95" s="14"/>
      <c r="R95" s="34"/>
      <c r="S95" s="34"/>
      <c r="T95" s="34"/>
      <c r="U95" s="34"/>
      <c r="V95" s="34"/>
      <c r="W95" s="34"/>
    </row>
    <row r="96" spans="2:23" s="11" customFormat="1" x14ac:dyDescent="0.25">
      <c r="B96" s="11" t="s">
        <v>15</v>
      </c>
      <c r="C96" s="11">
        <v>41</v>
      </c>
      <c r="D96" s="33">
        <v>6.0500249999999998</v>
      </c>
      <c r="E96" s="33">
        <v>5.4988530000000004</v>
      </c>
      <c r="F96" s="33">
        <v>6.201003</v>
      </c>
      <c r="G96" s="33">
        <v>4.2220719999999998</v>
      </c>
      <c r="H96" s="33">
        <v>4.0925649999999996</v>
      </c>
      <c r="I96" s="33">
        <v>0</v>
      </c>
      <c r="J96" s="33">
        <v>0</v>
      </c>
      <c r="K96" s="33">
        <v>0</v>
      </c>
      <c r="L96" s="33">
        <v>0</v>
      </c>
      <c r="M96" s="33">
        <v>5.0669690000000003</v>
      </c>
      <c r="N96" s="33">
        <v>5.5150699999999997</v>
      </c>
      <c r="O96" s="33">
        <v>5.3053990000000004</v>
      </c>
      <c r="P96" s="14"/>
      <c r="Q96" s="14"/>
      <c r="R96" s="34"/>
      <c r="S96" s="34"/>
      <c r="T96" s="34"/>
      <c r="U96" s="34"/>
      <c r="V96" s="34"/>
      <c r="W96" s="34"/>
    </row>
    <row r="97" spans="2:23" s="18" customFormat="1" ht="14.4" x14ac:dyDescent="0.3">
      <c r="B97" s="29"/>
      <c r="C97" s="19" t="s">
        <v>33</v>
      </c>
      <c r="D97" s="36">
        <v>320.61860000000001</v>
      </c>
      <c r="E97" s="33">
        <v>312.69990000000001</v>
      </c>
      <c r="F97" s="36">
        <v>303.79320000000001</v>
      </c>
      <c r="G97" s="33">
        <v>253.73249999999999</v>
      </c>
      <c r="H97" s="33">
        <v>187.8879</v>
      </c>
      <c r="I97" s="33">
        <v>0</v>
      </c>
      <c r="J97" s="33">
        <v>0</v>
      </c>
      <c r="K97" s="33">
        <v>0</v>
      </c>
      <c r="L97" s="33">
        <v>0</v>
      </c>
      <c r="M97" s="36">
        <v>264.30500000000001</v>
      </c>
      <c r="N97" s="36">
        <v>290.54860000000002</v>
      </c>
      <c r="O97" s="36">
        <v>291.71589999999998</v>
      </c>
      <c r="P97" s="22"/>
      <c r="Q97" s="22"/>
      <c r="R97" s="37"/>
      <c r="S97" s="37"/>
      <c r="T97" s="38"/>
      <c r="U97" s="38"/>
      <c r="V97" s="38"/>
      <c r="W97" s="38"/>
    </row>
    <row r="98" spans="2:23" x14ac:dyDescent="0.25">
      <c r="C98" s="17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</row>
    <row r="99" spans="2:23" x14ac:dyDescent="0.25">
      <c r="B99" s="8" t="s">
        <v>51</v>
      </c>
      <c r="C99" s="17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</row>
    <row r="100" spans="2:23" x14ac:dyDescent="0.25">
      <c r="B100" s="2" t="s">
        <v>6</v>
      </c>
      <c r="C100" s="17">
        <v>23</v>
      </c>
      <c r="D100" s="24">
        <f>IF(D67=0,0,D67+D86*(-D$83))</f>
        <v>107.87324923754237</v>
      </c>
      <c r="E100" s="24">
        <f t="shared" ref="E100:O102" si="23">IF(E67=0,0,E67+E86*(-E$83))</f>
        <v>92.964027124888133</v>
      </c>
      <c r="F100" s="24">
        <f t="shared" si="23"/>
        <v>87.886665015499503</v>
      </c>
      <c r="G100" s="24">
        <f t="shared" si="23"/>
        <v>62.793126383762704</v>
      </c>
      <c r="H100" s="24">
        <f t="shared" si="23"/>
        <v>34.680894967223743</v>
      </c>
      <c r="I100" s="24">
        <f t="shared" si="23"/>
        <v>20.590010694605247</v>
      </c>
      <c r="J100" s="24">
        <f t="shared" si="23"/>
        <v>15.306297173273384</v>
      </c>
      <c r="K100" s="24">
        <f t="shared" si="23"/>
        <v>14.985035765566694</v>
      </c>
      <c r="L100" s="24">
        <f t="shared" si="23"/>
        <v>21.11615846235274</v>
      </c>
      <c r="M100" s="24">
        <f t="shared" si="23"/>
        <v>49.665393947650244</v>
      </c>
      <c r="N100" s="24">
        <f t="shared" si="23"/>
        <v>79.525562507038231</v>
      </c>
      <c r="O100" s="24">
        <f t="shared" si="23"/>
        <v>107.34196058286457</v>
      </c>
      <c r="P100" s="24">
        <f>SUM(D100:O100)</f>
        <v>694.7283818622675</v>
      </c>
      <c r="Q100" s="24"/>
    </row>
    <row r="101" spans="2:23" x14ac:dyDescent="0.25">
      <c r="B101" s="11" t="s">
        <v>8</v>
      </c>
      <c r="C101" s="17">
        <v>31</v>
      </c>
      <c r="D101" s="24">
        <f>IF(D68=0,0,D68+D87*(-D$83))</f>
        <v>555.00980380115061</v>
      </c>
      <c r="E101" s="24">
        <f t="shared" si="23"/>
        <v>498.9023188967746</v>
      </c>
      <c r="F101" s="24">
        <f t="shared" si="23"/>
        <v>478.28589663031454</v>
      </c>
      <c r="G101" s="24">
        <f t="shared" si="23"/>
        <v>362.42141312222395</v>
      </c>
      <c r="H101" s="24">
        <f t="shared" si="23"/>
        <v>210.66249120002428</v>
      </c>
      <c r="I101" s="24">
        <f t="shared" si="23"/>
        <v>171.27525575831649</v>
      </c>
      <c r="J101" s="24">
        <f t="shared" si="23"/>
        <v>138.15490462289341</v>
      </c>
      <c r="K101" s="24">
        <f t="shared" si="23"/>
        <v>136.99155785856121</v>
      </c>
      <c r="L101" s="24">
        <f t="shared" si="23"/>
        <v>165.20080421312144</v>
      </c>
      <c r="M101" s="24">
        <f t="shared" si="23"/>
        <v>270.58001182806839</v>
      </c>
      <c r="N101" s="24">
        <f t="shared" si="23"/>
        <v>423.12258109849552</v>
      </c>
      <c r="O101" s="24">
        <f t="shared" si="23"/>
        <v>536.57064228706463</v>
      </c>
      <c r="P101" s="24">
        <f t="shared" ref="P101:P111" si="24">SUM(D101:O101)</f>
        <v>3947.177681317009</v>
      </c>
      <c r="Q101" s="24"/>
    </row>
    <row r="102" spans="2:23" x14ac:dyDescent="0.25">
      <c r="B102" s="11" t="s">
        <v>9</v>
      </c>
      <c r="C102" s="11">
        <v>41</v>
      </c>
      <c r="D102" s="24">
        <f>IF(D69=0,0,D69+D88*(-D$83))</f>
        <v>6249.1371923443266</v>
      </c>
      <c r="E102" s="24">
        <f t="shared" si="23"/>
        <v>5903.6038220284936</v>
      </c>
      <c r="F102" s="24">
        <f t="shared" si="23"/>
        <v>6188.8144898600713</v>
      </c>
      <c r="G102" s="24">
        <f t="shared" si="23"/>
        <v>4270.0442522504927</v>
      </c>
      <c r="H102" s="24">
        <f t="shared" si="23"/>
        <v>3161.5813343723567</v>
      </c>
      <c r="I102" s="24">
        <f t="shared" si="23"/>
        <v>2701.8648942230629</v>
      </c>
      <c r="J102" s="24">
        <f t="shared" si="23"/>
        <v>1952.2886195764233</v>
      </c>
      <c r="K102" s="24">
        <f t="shared" si="23"/>
        <v>1834.114606084144</v>
      </c>
      <c r="L102" s="24">
        <f t="shared" si="23"/>
        <v>2287.4881169524001</v>
      </c>
      <c r="M102" s="24">
        <f t="shared" si="23"/>
        <v>3543.772249733956</v>
      </c>
      <c r="N102" s="24">
        <f t="shared" si="23"/>
        <v>5520.9216610881058</v>
      </c>
      <c r="O102" s="24">
        <f t="shared" si="23"/>
        <v>5162.8022772642535</v>
      </c>
      <c r="P102" s="24">
        <f t="shared" si="24"/>
        <v>48776.433515778081</v>
      </c>
      <c r="Q102" s="24"/>
    </row>
    <row r="103" spans="2:23" x14ac:dyDescent="0.25">
      <c r="B103" s="2" t="s">
        <v>21</v>
      </c>
      <c r="C103" s="17" t="s">
        <v>22</v>
      </c>
      <c r="D103" s="24">
        <f t="shared" ref="D103:O109" si="25">IF(D71=0,0,D71+D89*(-D$83))</f>
        <v>21261.370313278352</v>
      </c>
      <c r="E103" s="24">
        <f t="shared" si="25"/>
        <v>15506.667755600003</v>
      </c>
      <c r="F103" s="24">
        <f t="shared" si="25"/>
        <v>18754.92164205357</v>
      </c>
      <c r="G103" s="24">
        <f t="shared" si="25"/>
        <v>29481.522455758335</v>
      </c>
      <c r="H103" s="24">
        <f t="shared" si="25"/>
        <v>649.19737643332985</v>
      </c>
      <c r="I103" s="24">
        <f t="shared" si="25"/>
        <v>14261.94626666667</v>
      </c>
      <c r="J103" s="24">
        <f t="shared" si="25"/>
        <v>13076.634799999996</v>
      </c>
      <c r="K103" s="24">
        <f t="shared" si="25"/>
        <v>12350.976399999998</v>
      </c>
      <c r="L103" s="24">
        <f t="shared" si="25"/>
        <v>13691.773066666668</v>
      </c>
      <c r="M103" s="24">
        <f t="shared" si="25"/>
        <v>16078.216292133329</v>
      </c>
      <c r="N103" s="24">
        <f t="shared" si="25"/>
        <v>16066.155018666666</v>
      </c>
      <c r="O103" s="24">
        <f t="shared" si="25"/>
        <v>19214.534252041667</v>
      </c>
      <c r="P103" s="24">
        <f t="shared" si="24"/>
        <v>190393.91563929856</v>
      </c>
      <c r="Q103" s="24"/>
    </row>
    <row r="104" spans="2:23" x14ac:dyDescent="0.25">
      <c r="B104" s="2" t="s">
        <v>23</v>
      </c>
      <c r="C104" s="17" t="s">
        <v>24</v>
      </c>
      <c r="D104" s="24">
        <f t="shared" si="25"/>
        <v>70020.806370536229</v>
      </c>
      <c r="E104" s="24">
        <f t="shared" si="25"/>
        <v>49390.188852057952</v>
      </c>
      <c r="F104" s="24">
        <f t="shared" si="25"/>
        <v>77841.01390663044</v>
      </c>
      <c r="G104" s="24">
        <f t="shared" si="25"/>
        <v>85538.631875717401</v>
      </c>
      <c r="H104" s="24">
        <f t="shared" si="25"/>
        <v>107509.76265199999</v>
      </c>
      <c r="I104" s="24">
        <f t="shared" si="25"/>
        <v>-36908.648695652162</v>
      </c>
      <c r="J104" s="24">
        <f t="shared" si="25"/>
        <v>48656.435652173917</v>
      </c>
      <c r="K104" s="24">
        <f t="shared" si="25"/>
        <v>49939.485652173913</v>
      </c>
      <c r="L104" s="24">
        <f t="shared" si="25"/>
        <v>56122.507826086963</v>
      </c>
      <c r="M104" s="24">
        <f t="shared" si="25"/>
        <v>57864.812000724633</v>
      </c>
      <c r="N104" s="24">
        <f t="shared" si="25"/>
        <v>59449.929750028976</v>
      </c>
      <c r="O104" s="24">
        <f t="shared" si="25"/>
        <v>67162.565482275371</v>
      </c>
      <c r="P104" s="24">
        <f t="shared" si="24"/>
        <v>692587.49132475362</v>
      </c>
      <c r="Q104" s="24"/>
    </row>
    <row r="105" spans="2:23" x14ac:dyDescent="0.25">
      <c r="B105" s="2" t="s">
        <v>26</v>
      </c>
      <c r="C105" s="17" t="s">
        <v>27</v>
      </c>
      <c r="D105" s="24">
        <f t="shared" si="25"/>
        <v>610365.37992333353</v>
      </c>
      <c r="E105" s="24">
        <f t="shared" si="25"/>
        <v>470328.15445333335</v>
      </c>
      <c r="F105" s="24">
        <f t="shared" si="25"/>
        <v>586789.15431666665</v>
      </c>
      <c r="G105" s="24">
        <f t="shared" si="25"/>
        <v>976876.56173749978</v>
      </c>
      <c r="H105" s="24">
        <f t="shared" si="25"/>
        <v>8033.4863966666708</v>
      </c>
      <c r="I105" s="24">
        <f t="shared" si="25"/>
        <v>393245.20279166667</v>
      </c>
      <c r="J105" s="24">
        <f t="shared" si="25"/>
        <v>372492.45333333337</v>
      </c>
      <c r="K105" s="24">
        <f t="shared" si="25"/>
        <v>403173.59666666668</v>
      </c>
      <c r="L105" s="24">
        <f t="shared" si="25"/>
        <v>368572.37333333329</v>
      </c>
      <c r="M105" s="24">
        <f t="shared" si="25"/>
        <v>551850.05085999984</v>
      </c>
      <c r="N105" s="24">
        <f t="shared" si="25"/>
        <v>538389.57184000022</v>
      </c>
      <c r="O105" s="24">
        <f t="shared" si="25"/>
        <v>643058.28361416678</v>
      </c>
      <c r="P105" s="24">
        <f t="shared" si="24"/>
        <v>5923174.2692666668</v>
      </c>
      <c r="Q105" s="24"/>
    </row>
    <row r="106" spans="2:23" x14ac:dyDescent="0.25">
      <c r="B106" s="2" t="s">
        <v>11</v>
      </c>
      <c r="C106" s="2">
        <v>85</v>
      </c>
      <c r="D106" s="24">
        <f t="shared" si="25"/>
        <v>77489.929769744354</v>
      </c>
      <c r="E106" s="24">
        <f t="shared" si="25"/>
        <v>55093.46768144524</v>
      </c>
      <c r="F106" s="24">
        <f t="shared" si="25"/>
        <v>66523.46659864785</v>
      </c>
      <c r="G106" s="24">
        <f t="shared" si="25"/>
        <v>78342.894993459777</v>
      </c>
      <c r="H106" s="24">
        <f t="shared" si="25"/>
        <v>37130.782204147399</v>
      </c>
      <c r="I106" s="24">
        <f t="shared" si="25"/>
        <v>34537.647610996901</v>
      </c>
      <c r="J106" s="24">
        <f t="shared" si="25"/>
        <v>23754.36184406446</v>
      </c>
      <c r="K106" s="24">
        <f t="shared" si="25"/>
        <v>55787.682258884612</v>
      </c>
      <c r="L106" s="24">
        <f t="shared" si="25"/>
        <v>32138.123706683284</v>
      </c>
      <c r="M106" s="24">
        <f t="shared" si="25"/>
        <v>39355.648510991057</v>
      </c>
      <c r="N106" s="24">
        <f t="shared" si="25"/>
        <v>54633.238524361353</v>
      </c>
      <c r="O106" s="24">
        <f t="shared" si="25"/>
        <v>81819.955116236597</v>
      </c>
      <c r="P106" s="24">
        <f t="shared" si="24"/>
        <v>636607.19881966279</v>
      </c>
      <c r="Q106" s="24"/>
    </row>
    <row r="107" spans="2:23" x14ac:dyDescent="0.25">
      <c r="B107" s="2" t="s">
        <v>12</v>
      </c>
      <c r="C107" s="2">
        <v>86</v>
      </c>
      <c r="D107" s="24">
        <f t="shared" si="25"/>
        <v>8219.4536883689525</v>
      </c>
      <c r="E107" s="24">
        <f t="shared" si="25"/>
        <v>6331.1177356496055</v>
      </c>
      <c r="F107" s="24">
        <f t="shared" si="25"/>
        <v>6695.8774248905675</v>
      </c>
      <c r="G107" s="24">
        <f t="shared" si="25"/>
        <v>5380.9140137696286</v>
      </c>
      <c r="H107" s="24">
        <f t="shared" si="25"/>
        <v>4139.1606666002572</v>
      </c>
      <c r="I107" s="24">
        <f t="shared" si="25"/>
        <v>2071.9818071897653</v>
      </c>
      <c r="J107" s="24">
        <f t="shared" si="25"/>
        <v>1378.3322130022507</v>
      </c>
      <c r="K107" s="24">
        <f t="shared" si="25"/>
        <v>1254.1123760667554</v>
      </c>
      <c r="L107" s="24">
        <f t="shared" si="25"/>
        <v>1899.7054751748042</v>
      </c>
      <c r="M107" s="24">
        <f t="shared" si="25"/>
        <v>3856.2825651358235</v>
      </c>
      <c r="N107" s="24">
        <f t="shared" si="25"/>
        <v>5607.7760341683979</v>
      </c>
      <c r="O107" s="24">
        <f t="shared" si="25"/>
        <v>6459.2173638324311</v>
      </c>
      <c r="P107" s="24">
        <f t="shared" si="24"/>
        <v>53293.931363849239</v>
      </c>
      <c r="Q107" s="24"/>
    </row>
    <row r="108" spans="2:23" x14ac:dyDescent="0.25">
      <c r="B108" s="11" t="s">
        <v>41</v>
      </c>
      <c r="C108" s="11">
        <v>87</v>
      </c>
      <c r="D108" s="24">
        <f t="shared" si="25"/>
        <v>890619.04935666674</v>
      </c>
      <c r="E108" s="24">
        <f t="shared" si="25"/>
        <v>1044306.3760150003</v>
      </c>
      <c r="F108" s="24">
        <f t="shared" si="25"/>
        <v>-265409.26908750006</v>
      </c>
      <c r="G108" s="24">
        <f t="shared" si="25"/>
        <v>1186793.9341266667</v>
      </c>
      <c r="H108" s="24">
        <f t="shared" si="25"/>
        <v>-244968.9598675</v>
      </c>
      <c r="I108" s="24">
        <f t="shared" si="25"/>
        <v>406710.569625</v>
      </c>
      <c r="J108" s="24">
        <f t="shared" si="25"/>
        <v>226777.08062499997</v>
      </c>
      <c r="K108" s="24">
        <f t="shared" si="25"/>
        <v>250895.99924999999</v>
      </c>
      <c r="L108" s="24">
        <f t="shared" si="25"/>
        <v>195145.603875</v>
      </c>
      <c r="M108" s="24">
        <f t="shared" si="25"/>
        <v>374464.12889999995</v>
      </c>
      <c r="N108" s="24">
        <f t="shared" si="25"/>
        <v>407264.93514833343</v>
      </c>
      <c r="O108" s="24">
        <f t="shared" si="25"/>
        <v>637271.97979000013</v>
      </c>
      <c r="P108" s="24">
        <f t="shared" si="24"/>
        <v>5109871.4277566671</v>
      </c>
      <c r="Q108" s="24"/>
    </row>
    <row r="109" spans="2:23" x14ac:dyDescent="0.25">
      <c r="B109" s="2" t="s">
        <v>14</v>
      </c>
      <c r="C109" s="2">
        <v>31</v>
      </c>
      <c r="D109" s="24">
        <f t="shared" si="25"/>
        <v>834.44591048704444</v>
      </c>
      <c r="E109" s="24">
        <f t="shared" si="25"/>
        <v>760.60775763673394</v>
      </c>
      <c r="F109" s="24">
        <f t="shared" si="25"/>
        <v>814.67908057437978</v>
      </c>
      <c r="G109" s="24">
        <f t="shared" si="25"/>
        <v>592.28744841563457</v>
      </c>
      <c r="H109" s="24">
        <f t="shared" si="25"/>
        <v>233.64909203990345</v>
      </c>
      <c r="I109" s="24">
        <f t="shared" si="25"/>
        <v>197.76625993517084</v>
      </c>
      <c r="J109" s="24">
        <f t="shared" si="25"/>
        <v>146.26559834753769</v>
      </c>
      <c r="K109" s="24">
        <f t="shared" si="25"/>
        <v>130.31391000041236</v>
      </c>
      <c r="L109" s="24">
        <f t="shared" si="25"/>
        <v>135.77624307705133</v>
      </c>
      <c r="M109" s="24">
        <f t="shared" si="25"/>
        <v>366.94744398406277</v>
      </c>
      <c r="N109" s="24">
        <f t="shared" si="25"/>
        <v>645.25963282590965</v>
      </c>
      <c r="O109" s="24">
        <f t="shared" si="25"/>
        <v>802.84064361694891</v>
      </c>
      <c r="P109" s="24">
        <f t="shared" si="24"/>
        <v>5660.8390209407889</v>
      </c>
      <c r="Q109" s="24"/>
    </row>
    <row r="110" spans="2:23" x14ac:dyDescent="0.25">
      <c r="B110" s="11" t="s">
        <v>15</v>
      </c>
      <c r="C110" s="11">
        <v>41</v>
      </c>
      <c r="D110" s="24">
        <f>IF(D70=0,0,D70+D96*(-D$83))</f>
        <v>13312.443772672132</v>
      </c>
      <c r="E110" s="24">
        <f t="shared" ref="E110:O110" si="26">IF(E70=0,0,E70+E96*(-E$83))</f>
        <v>14452.93703686492</v>
      </c>
      <c r="F110" s="24">
        <f t="shared" si="26"/>
        <v>13023.211936333579</v>
      </c>
      <c r="G110" s="24">
        <f t="shared" si="26"/>
        <v>10719.358641042349</v>
      </c>
      <c r="H110" s="24">
        <f t="shared" si="26"/>
        <v>11335.480859106805</v>
      </c>
      <c r="I110" s="24">
        <f t="shared" si="26"/>
        <v>9021.0320081056943</v>
      </c>
      <c r="J110" s="24">
        <f t="shared" si="26"/>
        <v>8328.0429476857171</v>
      </c>
      <c r="K110" s="24">
        <f t="shared" si="26"/>
        <v>8240.8560733810009</v>
      </c>
      <c r="L110" s="24">
        <f t="shared" si="26"/>
        <v>8870.864088618493</v>
      </c>
      <c r="M110" s="24">
        <f t="shared" si="26"/>
        <v>10910.562662840261</v>
      </c>
      <c r="N110" s="24">
        <f t="shared" si="26"/>
        <v>12317.15646459024</v>
      </c>
      <c r="O110" s="24">
        <f t="shared" si="26"/>
        <v>13142.373713422367</v>
      </c>
      <c r="P110" s="24">
        <f t="shared" si="24"/>
        <v>133674.32020466356</v>
      </c>
      <c r="Q110" s="24"/>
    </row>
    <row r="111" spans="2:23" s="31" customFormat="1" ht="14.4" x14ac:dyDescent="0.3">
      <c r="B111" s="18" t="s">
        <v>32</v>
      </c>
      <c r="C111" s="29" t="s">
        <v>33</v>
      </c>
      <c r="D111" s="30">
        <f>IF(D78=0,0,D78+D97*(-D$83))</f>
        <v>410306.53275777778</v>
      </c>
      <c r="E111" s="30">
        <f t="shared" ref="E111:O111" si="27">IF(E78=0,0,E78+E97*(-E$83))</f>
        <v>123562.2947688889</v>
      </c>
      <c r="F111" s="30">
        <f t="shared" si="27"/>
        <v>644300.10332777782</v>
      </c>
      <c r="G111" s="30">
        <f t="shared" si="27"/>
        <v>-20181.734534725707</v>
      </c>
      <c r="H111" s="30">
        <f t="shared" si="27"/>
        <v>575436.7952908373</v>
      </c>
      <c r="I111" s="30">
        <f t="shared" si="27"/>
        <v>204390.84888888884</v>
      </c>
      <c r="J111" s="30">
        <f t="shared" si="27"/>
        <v>186870.59444444446</v>
      </c>
      <c r="K111" s="30">
        <f t="shared" si="27"/>
        <v>183704.45666666667</v>
      </c>
      <c r="L111" s="30">
        <f t="shared" si="27"/>
        <v>198266.34444444446</v>
      </c>
      <c r="M111" s="30">
        <f t="shared" si="27"/>
        <v>272349.76011111098</v>
      </c>
      <c r="N111" s="30">
        <f t="shared" si="27"/>
        <v>389577.49925333337</v>
      </c>
      <c r="O111" s="30">
        <f t="shared" si="27"/>
        <v>-786641.28213361092</v>
      </c>
      <c r="P111" s="24">
        <f t="shared" si="24"/>
        <v>2381942.2132858336</v>
      </c>
      <c r="Q111" s="30"/>
    </row>
    <row r="112" spans="2:23" x14ac:dyDescent="0.25">
      <c r="C112" s="17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</row>
    <row r="113" spans="2:17" x14ac:dyDescent="0.25">
      <c r="B113" s="8" t="s">
        <v>52</v>
      </c>
      <c r="C113" s="17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</row>
    <row r="114" spans="2:17" x14ac:dyDescent="0.25">
      <c r="B114" s="2" t="s">
        <v>6</v>
      </c>
      <c r="C114" s="17">
        <v>23</v>
      </c>
      <c r="D114" s="24">
        <f>D100*D37</f>
        <v>87752299.296759009</v>
      </c>
      <c r="E114" s="24">
        <f t="shared" ref="E114:O114" si="28">E100*E37</f>
        <v>75695215.374223158</v>
      </c>
      <c r="F114" s="24">
        <f t="shared" si="28"/>
        <v>71600738.668137357</v>
      </c>
      <c r="G114" s="24">
        <f t="shared" si="28"/>
        <v>51171123.38015037</v>
      </c>
      <c r="H114" s="24">
        <f t="shared" si="28"/>
        <v>28266802.166615579</v>
      </c>
      <c r="I114" s="24">
        <f t="shared" si="28"/>
        <v>16787159.259375826</v>
      </c>
      <c r="J114" s="24">
        <f t="shared" si="28"/>
        <v>12475673.02442559</v>
      </c>
      <c r="K114" s="24">
        <f t="shared" si="28"/>
        <v>12218378.582241647</v>
      </c>
      <c r="L114" s="24">
        <f t="shared" si="28"/>
        <v>17223816.972987261</v>
      </c>
      <c r="M114" s="24">
        <f t="shared" si="28"/>
        <v>40543400.70667927</v>
      </c>
      <c r="N114" s="24">
        <f t="shared" si="28"/>
        <v>64995208.404689752</v>
      </c>
      <c r="O114" s="24">
        <f t="shared" si="28"/>
        <v>87803469.57561098</v>
      </c>
      <c r="P114" s="24">
        <f>SUM(D114:O114)</f>
        <v>566533285.41189575</v>
      </c>
      <c r="Q114" s="24"/>
    </row>
    <row r="115" spans="2:17" x14ac:dyDescent="0.25">
      <c r="B115" s="11" t="s">
        <v>8</v>
      </c>
      <c r="C115" s="17">
        <v>31</v>
      </c>
      <c r="D115" s="24">
        <f>D101*D40</f>
        <v>30954561.787401572</v>
      </c>
      <c r="E115" s="24">
        <f t="shared" ref="E115:O116" si="29">E101*E40</f>
        <v>27846731.831542373</v>
      </c>
      <c r="F115" s="24">
        <f t="shared" si="29"/>
        <v>26711789.040906437</v>
      </c>
      <c r="G115" s="24">
        <f t="shared" si="29"/>
        <v>20237249.287331864</v>
      </c>
      <c r="H115" s="24">
        <f t="shared" si="29"/>
        <v>11755598.996434955</v>
      </c>
      <c r="I115" s="24">
        <f t="shared" si="29"/>
        <v>9544656.1776437033</v>
      </c>
      <c r="J115" s="24">
        <f t="shared" si="29"/>
        <v>7692326.9344980819</v>
      </c>
      <c r="K115" s="24">
        <f t="shared" si="29"/>
        <v>7619881.4227667497</v>
      </c>
      <c r="L115" s="24">
        <f t="shared" si="29"/>
        <v>9185660.3166621923</v>
      </c>
      <c r="M115" s="24">
        <f t="shared" si="29"/>
        <v>15045330.977687916</v>
      </c>
      <c r="N115" s="24">
        <f t="shared" si="29"/>
        <v>23563273.418794118</v>
      </c>
      <c r="O115" s="24">
        <f t="shared" si="29"/>
        <v>29921325.296495873</v>
      </c>
      <c r="P115" s="24">
        <f t="shared" ref="P115:P126" si="30">SUM(D115:O115)</f>
        <v>220078385.48816586</v>
      </c>
      <c r="Q115" s="24"/>
    </row>
    <row r="116" spans="2:17" x14ac:dyDescent="0.25">
      <c r="B116" s="11" t="s">
        <v>9</v>
      </c>
      <c r="C116" s="11">
        <v>41</v>
      </c>
      <c r="D116" s="24">
        <f>D102*D41</f>
        <v>7323988.7894275505</v>
      </c>
      <c r="E116" s="24">
        <f t="shared" si="29"/>
        <v>6954445.3023495656</v>
      </c>
      <c r="F116" s="24">
        <f t="shared" si="29"/>
        <v>7339933.9849740444</v>
      </c>
      <c r="G116" s="24">
        <f t="shared" si="29"/>
        <v>5038652.2176555814</v>
      </c>
      <c r="H116" s="24">
        <f t="shared" si="29"/>
        <v>3752797.0438999874</v>
      </c>
      <c r="I116" s="24">
        <f t="shared" si="29"/>
        <v>3220622.9539138912</v>
      </c>
      <c r="J116" s="24">
        <f t="shared" si="29"/>
        <v>2331032.6117742495</v>
      </c>
      <c r="K116" s="24">
        <f t="shared" si="29"/>
        <v>2226615.1317861509</v>
      </c>
      <c r="L116" s="24">
        <f t="shared" si="29"/>
        <v>2779298.0620971662</v>
      </c>
      <c r="M116" s="24">
        <f t="shared" si="29"/>
        <v>4316314.6001759581</v>
      </c>
      <c r="N116" s="24">
        <f t="shared" si="29"/>
        <v>6912193.9196823081</v>
      </c>
      <c r="O116" s="24">
        <f t="shared" si="29"/>
        <v>6463828.4511348456</v>
      </c>
      <c r="P116" s="24">
        <f t="shared" si="30"/>
        <v>58659723.068871304</v>
      </c>
      <c r="Q116" s="24"/>
    </row>
    <row r="117" spans="2:17" x14ac:dyDescent="0.25">
      <c r="B117" s="2" t="s">
        <v>21</v>
      </c>
      <c r="C117" s="17" t="s">
        <v>22</v>
      </c>
      <c r="D117" s="24">
        <f>D103*D54</f>
        <v>1637125.514122433</v>
      </c>
      <c r="E117" s="24">
        <f t="shared" ref="E117:O118" si="31">E103*E54</f>
        <v>1194013.4171812003</v>
      </c>
      <c r="F117" s="24">
        <f t="shared" si="31"/>
        <v>1444128.9664381249</v>
      </c>
      <c r="G117" s="24">
        <f t="shared" si="31"/>
        <v>2211114.1841818751</v>
      </c>
      <c r="H117" s="24">
        <f t="shared" si="31"/>
        <v>48689.80323249974</v>
      </c>
      <c r="I117" s="24">
        <f t="shared" si="31"/>
        <v>1069645.9700000002</v>
      </c>
      <c r="J117" s="24">
        <f t="shared" si="31"/>
        <v>980747.60999999975</v>
      </c>
      <c r="K117" s="24">
        <f t="shared" si="31"/>
        <v>926323.22999999986</v>
      </c>
      <c r="L117" s="24">
        <f t="shared" si="31"/>
        <v>1026882.9800000001</v>
      </c>
      <c r="M117" s="24">
        <f t="shared" si="31"/>
        <v>1205866.2219099996</v>
      </c>
      <c r="N117" s="24">
        <f t="shared" si="31"/>
        <v>1204961.6264</v>
      </c>
      <c r="O117" s="24">
        <f t="shared" si="31"/>
        <v>1441090.0689031251</v>
      </c>
      <c r="P117" s="24">
        <f t="shared" ref="P117:P118" si="32">P103*P59</f>
        <v>38840358.790416904</v>
      </c>
      <c r="Q117" s="24"/>
    </row>
    <row r="118" spans="2:17" x14ac:dyDescent="0.25">
      <c r="B118" s="2" t="s">
        <v>23</v>
      </c>
      <c r="C118" s="17" t="s">
        <v>24</v>
      </c>
      <c r="D118" s="24">
        <f>D104*D55</f>
        <v>1610478.5465223333</v>
      </c>
      <c r="E118" s="24">
        <f t="shared" si="31"/>
        <v>1135974.3435973329</v>
      </c>
      <c r="F118" s="24">
        <f t="shared" si="31"/>
        <v>1790343.3198525002</v>
      </c>
      <c r="G118" s="24">
        <f t="shared" si="31"/>
        <v>1967388.5331415003</v>
      </c>
      <c r="H118" s="24">
        <f t="shared" si="31"/>
        <v>2472724.5409959997</v>
      </c>
      <c r="I118" s="24">
        <f t="shared" si="31"/>
        <v>-848898.91999999969</v>
      </c>
      <c r="J118" s="24">
        <f t="shared" si="31"/>
        <v>1119098.02</v>
      </c>
      <c r="K118" s="24">
        <f t="shared" si="31"/>
        <v>1148608.17</v>
      </c>
      <c r="L118" s="24">
        <f t="shared" si="31"/>
        <v>1290817.6800000002</v>
      </c>
      <c r="M118" s="24">
        <f t="shared" si="31"/>
        <v>1330890.6760166665</v>
      </c>
      <c r="N118" s="24">
        <f t="shared" si="31"/>
        <v>1367348.3842506665</v>
      </c>
      <c r="O118" s="24">
        <f t="shared" si="31"/>
        <v>1544739.0060923335</v>
      </c>
      <c r="P118" s="24">
        <f t="shared" si="32"/>
        <v>482733481.45335329</v>
      </c>
      <c r="Q118" s="24"/>
    </row>
    <row r="119" spans="2:17" x14ac:dyDescent="0.25">
      <c r="B119" s="2" t="s">
        <v>26</v>
      </c>
      <c r="C119" s="17" t="s">
        <v>27</v>
      </c>
      <c r="D119" s="24">
        <f>D105*D57</f>
        <v>1831096.1397700007</v>
      </c>
      <c r="E119" s="24">
        <f t="shared" ref="E119:O119" si="33">E105*E57</f>
        <v>1410984.4633599999</v>
      </c>
      <c r="F119" s="24">
        <f t="shared" si="33"/>
        <v>1760367.4629500001</v>
      </c>
      <c r="G119" s="24">
        <f t="shared" si="33"/>
        <v>2930629.6852124995</v>
      </c>
      <c r="H119" s="24">
        <f t="shared" si="33"/>
        <v>24100.459190000012</v>
      </c>
      <c r="I119" s="24">
        <f t="shared" si="33"/>
        <v>1179735.6083750001</v>
      </c>
      <c r="J119" s="24">
        <f t="shared" si="33"/>
        <v>1117477.3600000001</v>
      </c>
      <c r="K119" s="24">
        <f t="shared" si="33"/>
        <v>1209520.79</v>
      </c>
      <c r="L119" s="24">
        <f t="shared" si="33"/>
        <v>1105717.1199999999</v>
      </c>
      <c r="M119" s="24">
        <f t="shared" si="33"/>
        <v>1655550.1525799995</v>
      </c>
      <c r="N119" s="24">
        <f t="shared" si="33"/>
        <v>1615168.7155200006</v>
      </c>
      <c r="O119" s="24">
        <f t="shared" si="33"/>
        <v>1929174.8508425003</v>
      </c>
      <c r="P119" s="24">
        <f t="shared" si="30"/>
        <v>17769522.807799999</v>
      </c>
      <c r="Q119" s="24"/>
    </row>
    <row r="120" spans="2:17" x14ac:dyDescent="0.25">
      <c r="B120" s="2" t="s">
        <v>11</v>
      </c>
      <c r="C120" s="2">
        <v>85</v>
      </c>
      <c r="D120" s="24">
        <f>D106*D44</f>
        <v>2247207.9633225864</v>
      </c>
      <c r="E120" s="24">
        <f t="shared" ref="E120:O124" si="34">E106*E44</f>
        <v>1542617.0950804667</v>
      </c>
      <c r="F120" s="24">
        <f t="shared" si="34"/>
        <v>1862657.0647621397</v>
      </c>
      <c r="G120" s="24">
        <f t="shared" si="34"/>
        <v>2193601.0598168736</v>
      </c>
      <c r="H120" s="24">
        <f t="shared" si="34"/>
        <v>1039661.9017161272</v>
      </c>
      <c r="I120" s="24">
        <f t="shared" si="34"/>
        <v>967054.13310791319</v>
      </c>
      <c r="J120" s="24">
        <f t="shared" si="34"/>
        <v>665122.13163380488</v>
      </c>
      <c r="K120" s="24">
        <f t="shared" si="34"/>
        <v>1562055.1032487692</v>
      </c>
      <c r="L120" s="24">
        <f t="shared" si="34"/>
        <v>899867.46378713194</v>
      </c>
      <c r="M120" s="24">
        <f t="shared" si="34"/>
        <v>1101958.1583077495</v>
      </c>
      <c r="N120" s="24">
        <f t="shared" si="34"/>
        <v>1529730.678682118</v>
      </c>
      <c r="O120" s="24">
        <f t="shared" si="34"/>
        <v>2290958.7432546248</v>
      </c>
      <c r="P120" s="24">
        <f t="shared" si="30"/>
        <v>17902491.496720307</v>
      </c>
      <c r="Q120" s="24"/>
    </row>
    <row r="121" spans="2:17" x14ac:dyDescent="0.25">
      <c r="B121" s="2" t="s">
        <v>12</v>
      </c>
      <c r="C121" s="2">
        <v>86</v>
      </c>
      <c r="D121" s="24">
        <f>D107*D45</f>
        <v>830164.82252526423</v>
      </c>
      <c r="E121" s="24">
        <f t="shared" si="34"/>
        <v>639442.89130061015</v>
      </c>
      <c r="F121" s="24">
        <f t="shared" si="34"/>
        <v>676283.6199139473</v>
      </c>
      <c r="G121" s="24">
        <f t="shared" si="34"/>
        <v>538091.40137696289</v>
      </c>
      <c r="H121" s="24">
        <f>H107*H45</f>
        <v>413916.06666002574</v>
      </c>
      <c r="I121" s="24">
        <f t="shared" si="34"/>
        <v>205126.19891178675</v>
      </c>
      <c r="J121" s="24">
        <f t="shared" si="34"/>
        <v>136454.88908722281</v>
      </c>
      <c r="K121" s="24">
        <f t="shared" si="34"/>
        <v>124157.12523060878</v>
      </c>
      <c r="L121" s="24">
        <f t="shared" si="34"/>
        <v>186171.1365671308</v>
      </c>
      <c r="M121" s="24">
        <f t="shared" si="34"/>
        <v>366346.84368790325</v>
      </c>
      <c r="N121" s="24">
        <f t="shared" si="34"/>
        <v>532738.7232459978</v>
      </c>
      <c r="O121" s="24">
        <f t="shared" si="34"/>
        <v>613625.64956408099</v>
      </c>
      <c r="P121" s="24">
        <f t="shared" si="30"/>
        <v>5262519.3680715412</v>
      </c>
      <c r="Q121" s="24"/>
    </row>
    <row r="122" spans="2:17" x14ac:dyDescent="0.25">
      <c r="B122" s="11" t="s">
        <v>41</v>
      </c>
      <c r="C122" s="11">
        <v>87</v>
      </c>
      <c r="D122" s="24">
        <f>D108*D46</f>
        <v>3562476.197426667</v>
      </c>
      <c r="E122" s="24">
        <f t="shared" si="34"/>
        <v>4177225.5040600011</v>
      </c>
      <c r="F122" s="24">
        <f t="shared" si="34"/>
        <v>-1061637.0763500002</v>
      </c>
      <c r="G122" s="24">
        <f t="shared" si="34"/>
        <v>4747175.736506667</v>
      </c>
      <c r="H122" s="24">
        <f t="shared" si="34"/>
        <v>-979875.83947000001</v>
      </c>
      <c r="I122" s="24">
        <f t="shared" si="34"/>
        <v>1626842.2785</v>
      </c>
      <c r="J122" s="24">
        <f t="shared" si="34"/>
        <v>907108.32249999989</v>
      </c>
      <c r="K122" s="24">
        <f t="shared" si="34"/>
        <v>1003583.997</v>
      </c>
      <c r="L122" s="24">
        <f t="shared" si="34"/>
        <v>780582.4155</v>
      </c>
      <c r="M122" s="24">
        <f t="shared" si="34"/>
        <v>1497856.5155999998</v>
      </c>
      <c r="N122" s="24">
        <f t="shared" si="34"/>
        <v>1629059.7405933337</v>
      </c>
      <c r="O122" s="24">
        <f t="shared" si="34"/>
        <v>2549087.9191600005</v>
      </c>
      <c r="P122" s="24">
        <f t="shared" si="30"/>
        <v>20439485.711026669</v>
      </c>
      <c r="Q122" s="24"/>
    </row>
    <row r="123" spans="2:17" x14ac:dyDescent="0.25">
      <c r="B123" s="2" t="s">
        <v>14</v>
      </c>
      <c r="C123" s="2">
        <v>31</v>
      </c>
      <c r="D123" s="24">
        <f>D109*D47</f>
        <v>1832443.2194295495</v>
      </c>
      <c r="E123" s="24">
        <f t="shared" si="34"/>
        <v>1669534.028012631</v>
      </c>
      <c r="F123" s="24">
        <f t="shared" si="34"/>
        <v>1789849.9400219123</v>
      </c>
      <c r="G123" s="24">
        <f t="shared" si="34"/>
        <v>1303624.6739628117</v>
      </c>
      <c r="H123" s="24">
        <f t="shared" si="34"/>
        <v>513093.40611962799</v>
      </c>
      <c r="I123" s="24">
        <f t="shared" si="34"/>
        <v>433701.40803782962</v>
      </c>
      <c r="J123" s="24">
        <f t="shared" si="34"/>
        <v>319297.80119267479</v>
      </c>
      <c r="K123" s="24">
        <f t="shared" si="34"/>
        <v>284475.26553090021</v>
      </c>
      <c r="L123" s="24">
        <f t="shared" si="34"/>
        <v>296399.53863720305</v>
      </c>
      <c r="M123" s="24">
        <f t="shared" si="34"/>
        <v>801780.16510517721</v>
      </c>
      <c r="N123" s="24">
        <f t="shared" si="34"/>
        <v>1413763.8555215681</v>
      </c>
      <c r="O123" s="24">
        <f t="shared" si="34"/>
        <v>1759023.850164735</v>
      </c>
      <c r="P123" s="24">
        <f t="shared" si="30"/>
        <v>12416987.151736619</v>
      </c>
      <c r="Q123" s="24"/>
    </row>
    <row r="124" spans="2:17" x14ac:dyDescent="0.25">
      <c r="B124" s="11" t="s">
        <v>15</v>
      </c>
      <c r="C124" s="11">
        <v>41</v>
      </c>
      <c r="D124" s="24">
        <f>D110*D48</f>
        <v>931871.06408704922</v>
      </c>
      <c r="E124" s="24">
        <f t="shared" si="34"/>
        <v>997252.65554367949</v>
      </c>
      <c r="F124" s="24">
        <f t="shared" si="34"/>
        <v>898601.62360701698</v>
      </c>
      <c r="G124" s="24">
        <f t="shared" si="34"/>
        <v>739635.74623192206</v>
      </c>
      <c r="H124" s="24">
        <f t="shared" si="34"/>
        <v>793483.6601374764</v>
      </c>
      <c r="I124" s="24">
        <f t="shared" si="34"/>
        <v>622451.20855929295</v>
      </c>
      <c r="J124" s="24">
        <f t="shared" si="34"/>
        <v>574634.96339031449</v>
      </c>
      <c r="K124" s="24">
        <f t="shared" si="34"/>
        <v>568619.06906328909</v>
      </c>
      <c r="L124" s="24">
        <f t="shared" si="34"/>
        <v>620960.48620329448</v>
      </c>
      <c r="M124" s="24">
        <f t="shared" si="34"/>
        <v>752828.82373597799</v>
      </c>
      <c r="N124" s="24">
        <f t="shared" si="34"/>
        <v>849883.7960567266</v>
      </c>
      <c r="O124" s="24">
        <f t="shared" si="34"/>
        <v>893681.41251272091</v>
      </c>
      <c r="P124" s="24">
        <f t="shared" si="30"/>
        <v>9243904.5091287624</v>
      </c>
      <c r="Q124" s="24"/>
    </row>
    <row r="125" spans="2:17" s="31" customFormat="1" ht="14.4" x14ac:dyDescent="0.3">
      <c r="B125" s="18" t="s">
        <v>32</v>
      </c>
      <c r="C125" s="29" t="s">
        <v>33</v>
      </c>
      <c r="D125" s="30">
        <f>D111*D63</f>
        <v>3692758.79482</v>
      </c>
      <c r="E125" s="30">
        <f t="shared" ref="E125:O125" si="35">E111*E63</f>
        <v>1112060.65292</v>
      </c>
      <c r="F125" s="30">
        <f t="shared" si="35"/>
        <v>5798700.9299500007</v>
      </c>
      <c r="G125" s="30">
        <f t="shared" si="35"/>
        <v>-181635.61081253138</v>
      </c>
      <c r="H125" s="30">
        <f t="shared" si="35"/>
        <v>5178931.1576175354</v>
      </c>
      <c r="I125" s="30">
        <f t="shared" si="35"/>
        <v>1839517.6399999997</v>
      </c>
      <c r="J125" s="30">
        <f t="shared" si="35"/>
        <v>1681835.35</v>
      </c>
      <c r="K125" s="30">
        <f t="shared" si="35"/>
        <v>1653340.1099999999</v>
      </c>
      <c r="L125" s="30">
        <f t="shared" si="35"/>
        <v>1784397.1</v>
      </c>
      <c r="M125" s="30">
        <f t="shared" si="35"/>
        <v>2451147.8409999991</v>
      </c>
      <c r="N125" s="30">
        <f t="shared" si="35"/>
        <v>3506197.4932800005</v>
      </c>
      <c r="O125" s="30">
        <f t="shared" si="35"/>
        <v>-7079771.5392024983</v>
      </c>
      <c r="P125" s="39">
        <f t="shared" si="30"/>
        <v>21437479.91957251</v>
      </c>
      <c r="Q125" s="30"/>
    </row>
    <row r="126" spans="2:17" x14ac:dyDescent="0.25">
      <c r="B126" s="2" t="s">
        <v>53</v>
      </c>
      <c r="C126" s="17"/>
      <c r="D126" s="40">
        <f t="shared" ref="D126:O126" si="36">SUM(D114:D125)</f>
        <v>144206472.13561404</v>
      </c>
      <c r="E126" s="40">
        <f t="shared" si="36"/>
        <v>124375497.55917101</v>
      </c>
      <c r="F126" s="40">
        <f t="shared" si="36"/>
        <v>120611757.5451635</v>
      </c>
      <c r="G126" s="40">
        <f t="shared" si="36"/>
        <v>92896650.294756383</v>
      </c>
      <c r="H126" s="40">
        <f t="shared" si="36"/>
        <v>53279923.363149822</v>
      </c>
      <c r="I126" s="40">
        <f t="shared" si="36"/>
        <v>36647613.916425236</v>
      </c>
      <c r="J126" s="40">
        <f t="shared" si="36"/>
        <v>30000809.018501937</v>
      </c>
      <c r="K126" s="40">
        <f t="shared" si="36"/>
        <v>30545557.996868111</v>
      </c>
      <c r="L126" s="40">
        <f t="shared" si="36"/>
        <v>37180571.272441387</v>
      </c>
      <c r="M126" s="40">
        <f t="shared" si="36"/>
        <v>71069271.682486624</v>
      </c>
      <c r="N126" s="40">
        <f t="shared" si="36"/>
        <v>109119528.75671658</v>
      </c>
      <c r="O126" s="40">
        <f t="shared" si="36"/>
        <v>130130233.28453334</v>
      </c>
      <c r="P126" s="24">
        <f t="shared" si="30"/>
        <v>980063886.82582819</v>
      </c>
      <c r="Q126" s="30"/>
    </row>
    <row r="127" spans="2:17" x14ac:dyDescent="0.25">
      <c r="C127" s="17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</row>
    <row r="128" spans="2:17" s="11" customFormat="1" x14ac:dyDescent="0.25">
      <c r="B128" s="11" t="s">
        <v>58</v>
      </c>
      <c r="C128" s="11">
        <v>16</v>
      </c>
      <c r="D128" s="14">
        <f t="shared" ref="D128:O128" si="37">D8</f>
        <v>517.11649999999997</v>
      </c>
      <c r="E128" s="14">
        <f t="shared" si="37"/>
        <v>532</v>
      </c>
      <c r="F128" s="14">
        <f t="shared" si="37"/>
        <v>532</v>
      </c>
      <c r="G128" s="14">
        <f t="shared" si="37"/>
        <v>532</v>
      </c>
      <c r="H128" s="14">
        <f t="shared" si="37"/>
        <v>532</v>
      </c>
      <c r="I128" s="14">
        <f t="shared" si="37"/>
        <v>532</v>
      </c>
      <c r="J128" s="14">
        <f t="shared" si="37"/>
        <v>532</v>
      </c>
      <c r="K128" s="14">
        <f t="shared" si="37"/>
        <v>532</v>
      </c>
      <c r="L128" s="14">
        <f t="shared" si="37"/>
        <v>478.16700000000003</v>
      </c>
      <c r="M128" s="14">
        <f t="shared" si="37"/>
        <v>579.5</v>
      </c>
      <c r="N128" s="14">
        <f t="shared" si="37"/>
        <v>601.0335</v>
      </c>
      <c r="O128" s="14">
        <f t="shared" si="37"/>
        <v>438.26650000000001</v>
      </c>
      <c r="P128" s="14">
        <f t="shared" ref="P128:P139" si="38">SUM(D128:O128)</f>
        <v>6338.0835000000006</v>
      </c>
      <c r="Q128" s="14"/>
    </row>
    <row r="129" spans="2:18" s="11" customFormat="1" x14ac:dyDescent="0.25">
      <c r="B129" s="11" t="str">
        <f t="shared" ref="B129:O129" si="39">B10</f>
        <v>Propane</v>
      </c>
      <c r="C129" s="12">
        <f t="shared" si="39"/>
        <v>53</v>
      </c>
      <c r="D129" s="14">
        <f t="shared" si="39"/>
        <v>0</v>
      </c>
      <c r="E129" s="14">
        <f t="shared" si="39"/>
        <v>0</v>
      </c>
      <c r="F129" s="14">
        <f t="shared" si="39"/>
        <v>0</v>
      </c>
      <c r="G129" s="14">
        <f t="shared" si="39"/>
        <v>0</v>
      </c>
      <c r="H129" s="14">
        <f t="shared" si="39"/>
        <v>0</v>
      </c>
      <c r="I129" s="14">
        <f t="shared" si="39"/>
        <v>0</v>
      </c>
      <c r="J129" s="14">
        <f t="shared" si="39"/>
        <v>0</v>
      </c>
      <c r="K129" s="14">
        <f t="shared" si="39"/>
        <v>0</v>
      </c>
      <c r="L129" s="14">
        <f t="shared" si="39"/>
        <v>0</v>
      </c>
      <c r="M129" s="14">
        <f t="shared" si="39"/>
        <v>0</v>
      </c>
      <c r="N129" s="14">
        <f t="shared" si="39"/>
        <v>0</v>
      </c>
      <c r="O129" s="14">
        <f t="shared" si="39"/>
        <v>0</v>
      </c>
      <c r="P129" s="14">
        <f t="shared" si="38"/>
        <v>0</v>
      </c>
      <c r="Q129" s="14"/>
    </row>
    <row r="130" spans="2:18" s="11" customFormat="1" x14ac:dyDescent="0.25">
      <c r="B130" s="11" t="s">
        <v>10</v>
      </c>
      <c r="C130" s="11">
        <v>50</v>
      </c>
      <c r="D130" s="14">
        <f t="shared" ref="D130:O130" si="40">D13</f>
        <v>0</v>
      </c>
      <c r="E130" s="14">
        <f t="shared" si="40"/>
        <v>0</v>
      </c>
      <c r="F130" s="14">
        <f t="shared" si="40"/>
        <v>0</v>
      </c>
      <c r="G130" s="14">
        <f t="shared" si="40"/>
        <v>0</v>
      </c>
      <c r="H130" s="14">
        <f t="shared" si="40"/>
        <v>0</v>
      </c>
      <c r="I130" s="14">
        <f t="shared" si="40"/>
        <v>0</v>
      </c>
      <c r="J130" s="14">
        <f t="shared" si="40"/>
        <v>0</v>
      </c>
      <c r="K130" s="14">
        <f t="shared" si="40"/>
        <v>0</v>
      </c>
      <c r="L130" s="14">
        <f t="shared" si="40"/>
        <v>0</v>
      </c>
      <c r="M130" s="14">
        <f t="shared" si="40"/>
        <v>0</v>
      </c>
      <c r="N130" s="14">
        <f t="shared" si="40"/>
        <v>0</v>
      </c>
      <c r="O130" s="14">
        <f t="shared" si="40"/>
        <v>0</v>
      </c>
      <c r="P130" s="14">
        <f t="shared" si="38"/>
        <v>0</v>
      </c>
      <c r="Q130" s="14"/>
    </row>
    <row r="131" spans="2:18" s="11" customFormat="1" x14ac:dyDescent="0.25">
      <c r="B131" s="2" t="s">
        <v>59</v>
      </c>
      <c r="C131" s="17" t="s">
        <v>20</v>
      </c>
      <c r="D131" s="14">
        <f t="shared" ref="D131:O131" si="41">D22</f>
        <v>527.80999999999995</v>
      </c>
      <c r="E131" s="14">
        <f t="shared" si="41"/>
        <v>60.5</v>
      </c>
      <c r="F131" s="14">
        <f t="shared" si="41"/>
        <v>0</v>
      </c>
      <c r="G131" s="14">
        <f t="shared" si="41"/>
        <v>0</v>
      </c>
      <c r="H131" s="14">
        <f t="shared" si="41"/>
        <v>0</v>
      </c>
      <c r="I131" s="14">
        <f t="shared" si="41"/>
        <v>0</v>
      </c>
      <c r="J131" s="14">
        <f t="shared" si="41"/>
        <v>0</v>
      </c>
      <c r="K131" s="14">
        <f t="shared" si="41"/>
        <v>0</v>
      </c>
      <c r="L131" s="14">
        <f t="shared" si="41"/>
        <v>0</v>
      </c>
      <c r="M131" s="14">
        <f t="shared" si="41"/>
        <v>0</v>
      </c>
      <c r="N131" s="14">
        <f t="shared" si="41"/>
        <v>0</v>
      </c>
      <c r="O131" s="14">
        <f t="shared" si="41"/>
        <v>0</v>
      </c>
      <c r="P131" s="14">
        <f t="shared" si="38"/>
        <v>588.30999999999995</v>
      </c>
      <c r="Q131" s="14"/>
    </row>
    <row r="132" spans="2:18" s="11" customFormat="1" x14ac:dyDescent="0.25">
      <c r="B132" s="11" t="s">
        <v>60</v>
      </c>
      <c r="C132" s="17" t="s">
        <v>25</v>
      </c>
      <c r="D132" s="14">
        <f t="shared" ref="D132:O132" si="42">D25</f>
        <v>322473.87</v>
      </c>
      <c r="E132" s="14">
        <f t="shared" si="42"/>
        <v>144661.56</v>
      </c>
      <c r="F132" s="14">
        <f t="shared" si="42"/>
        <v>77666.78</v>
      </c>
      <c r="G132" s="14">
        <f t="shared" si="42"/>
        <v>188089.41</v>
      </c>
      <c r="H132" s="14">
        <f t="shared" si="42"/>
        <v>-1804.31</v>
      </c>
      <c r="I132" s="14">
        <f t="shared" si="42"/>
        <v>113595.58</v>
      </c>
      <c r="J132" s="14">
        <f t="shared" si="42"/>
        <v>117096.02</v>
      </c>
      <c r="K132" s="14">
        <f t="shared" si="42"/>
        <v>161105.41</v>
      </c>
      <c r="L132" s="14">
        <f t="shared" si="42"/>
        <v>61016.79</v>
      </c>
      <c r="M132" s="14">
        <f t="shared" si="42"/>
        <v>21128.18</v>
      </c>
      <c r="N132" s="14">
        <f t="shared" si="42"/>
        <v>8938.01</v>
      </c>
      <c r="O132" s="14">
        <f t="shared" si="42"/>
        <v>529.14</v>
      </c>
      <c r="P132" s="14">
        <f t="shared" si="38"/>
        <v>1214496.4399999997</v>
      </c>
      <c r="Q132" s="14"/>
    </row>
    <row r="133" spans="2:18" s="11" customFormat="1" x14ac:dyDescent="0.25">
      <c r="B133" s="11" t="str">
        <f t="shared" ref="B133:O135" si="43">B19</f>
        <v>Interruptible with firm option - ind</v>
      </c>
      <c r="C133" s="12">
        <f t="shared" si="43"/>
        <v>85</v>
      </c>
      <c r="D133" s="14">
        <f t="shared" si="43"/>
        <v>363931.35430000001</v>
      </c>
      <c r="E133" s="14">
        <f t="shared" si="43"/>
        <v>508304.62093599996</v>
      </c>
      <c r="F133" s="14">
        <f t="shared" si="43"/>
        <v>582034.32858720003</v>
      </c>
      <c r="G133" s="14">
        <f t="shared" si="43"/>
        <v>395025.30238160002</v>
      </c>
      <c r="H133" s="14">
        <f t="shared" si="43"/>
        <v>259705.8275672</v>
      </c>
      <c r="I133" s="14">
        <f t="shared" si="43"/>
        <v>516057.12640160008</v>
      </c>
      <c r="J133" s="14">
        <f t="shared" si="43"/>
        <v>146550.65983839994</v>
      </c>
      <c r="K133" s="14">
        <f t="shared" si="43"/>
        <v>279133.73411119997</v>
      </c>
      <c r="L133" s="14">
        <f t="shared" si="43"/>
        <v>576408.05201600003</v>
      </c>
      <c r="M133" s="14">
        <f t="shared" si="43"/>
        <v>292937.83705839998</v>
      </c>
      <c r="N133" s="14">
        <f t="shared" si="43"/>
        <v>417497.80412479996</v>
      </c>
      <c r="O133" s="14">
        <f t="shared" si="43"/>
        <v>274042.83501759998</v>
      </c>
      <c r="P133" s="14">
        <f t="shared" si="38"/>
        <v>4611629.4823399996</v>
      </c>
      <c r="Q133" s="14"/>
    </row>
    <row r="134" spans="2:18" s="11" customFormat="1" x14ac:dyDescent="0.25">
      <c r="B134" s="11" t="str">
        <f t="shared" si="43"/>
        <v>Limited interrupt w/ firm option - ind</v>
      </c>
      <c r="C134" s="12">
        <f t="shared" si="43"/>
        <v>86</v>
      </c>
      <c r="D134" s="14">
        <f t="shared" si="43"/>
        <v>49945.435999999994</v>
      </c>
      <c r="E134" s="14">
        <f t="shared" si="43"/>
        <v>53345.078999999998</v>
      </c>
      <c r="F134" s="14">
        <f t="shared" si="43"/>
        <v>41111.002</v>
      </c>
      <c r="G134" s="14">
        <f t="shared" si="43"/>
        <v>31471.757000000001</v>
      </c>
      <c r="H134" s="14">
        <f t="shared" si="43"/>
        <v>25900.152999999998</v>
      </c>
      <c r="I134" s="14">
        <f t="shared" si="43"/>
        <v>21468.952000000001</v>
      </c>
      <c r="J134" s="14">
        <f t="shared" si="43"/>
        <v>19090.617000000002</v>
      </c>
      <c r="K134" s="14">
        <f t="shared" si="43"/>
        <v>18514.774999999998</v>
      </c>
      <c r="L134" s="14">
        <f t="shared" si="43"/>
        <v>15262.121000000001</v>
      </c>
      <c r="M134" s="14">
        <f t="shared" si="43"/>
        <v>18724.300000000003</v>
      </c>
      <c r="N134" s="14">
        <f t="shared" si="43"/>
        <v>27025.655000000002</v>
      </c>
      <c r="O134" s="14">
        <f t="shared" si="43"/>
        <v>32823.43</v>
      </c>
      <c r="P134" s="14">
        <f t="shared" si="38"/>
        <v>354683.277</v>
      </c>
      <c r="Q134" s="14"/>
    </row>
    <row r="135" spans="2:18" s="11" customFormat="1" x14ac:dyDescent="0.25">
      <c r="B135" s="11" t="str">
        <f t="shared" si="43"/>
        <v>Non-excl interrupt w/ firm option - ind</v>
      </c>
      <c r="C135" s="12">
        <f t="shared" si="43"/>
        <v>87</v>
      </c>
      <c r="D135" s="14">
        <f t="shared" si="43"/>
        <v>0</v>
      </c>
      <c r="E135" s="14">
        <f t="shared" si="43"/>
        <v>0</v>
      </c>
      <c r="F135" s="14">
        <f t="shared" si="43"/>
        <v>0</v>
      </c>
      <c r="G135" s="14">
        <f t="shared" si="43"/>
        <v>0</v>
      </c>
      <c r="H135" s="14">
        <f t="shared" si="43"/>
        <v>0</v>
      </c>
      <c r="I135" s="14">
        <f t="shared" si="43"/>
        <v>0</v>
      </c>
      <c r="J135" s="14">
        <f t="shared" si="43"/>
        <v>0</v>
      </c>
      <c r="K135" s="14">
        <f t="shared" si="43"/>
        <v>0</v>
      </c>
      <c r="L135" s="14">
        <f t="shared" si="43"/>
        <v>0</v>
      </c>
      <c r="M135" s="14">
        <f t="shared" si="43"/>
        <v>0</v>
      </c>
      <c r="N135" s="14">
        <f t="shared" si="43"/>
        <v>0</v>
      </c>
      <c r="O135" s="14">
        <f t="shared" si="43"/>
        <v>0</v>
      </c>
      <c r="P135" s="14">
        <f t="shared" si="38"/>
        <v>0</v>
      </c>
      <c r="Q135" s="14"/>
    </row>
    <row r="136" spans="2:18" s="11" customFormat="1" x14ac:dyDescent="0.25">
      <c r="B136" s="2" t="s">
        <v>28</v>
      </c>
      <c r="C136" s="17" t="s">
        <v>22</v>
      </c>
      <c r="D136" s="14">
        <f t="shared" ref="D136:O139" si="44">D27</f>
        <v>502975.03999999992</v>
      </c>
      <c r="E136" s="14">
        <f t="shared" si="44"/>
        <v>364714.1100000001</v>
      </c>
      <c r="F136" s="14">
        <f t="shared" si="44"/>
        <v>681047.72</v>
      </c>
      <c r="G136" s="14">
        <f t="shared" si="44"/>
        <v>1024661.4700000001</v>
      </c>
      <c r="H136" s="14">
        <f t="shared" si="44"/>
        <v>287263.98</v>
      </c>
      <c r="I136" s="14">
        <f t="shared" si="44"/>
        <v>528178.55000000005</v>
      </c>
      <c r="J136" s="14">
        <f t="shared" si="44"/>
        <v>498739.21000000008</v>
      </c>
      <c r="K136" s="14">
        <f t="shared" si="44"/>
        <v>323903.68999999994</v>
      </c>
      <c r="L136" s="14">
        <f t="shared" si="44"/>
        <v>748853.38</v>
      </c>
      <c r="M136" s="14">
        <f t="shared" si="44"/>
        <v>513052.11</v>
      </c>
      <c r="N136" s="14">
        <f t="shared" si="44"/>
        <v>463063.90000000008</v>
      </c>
      <c r="O136" s="14">
        <f t="shared" si="44"/>
        <v>539846.15</v>
      </c>
      <c r="P136" s="14">
        <f t="shared" si="38"/>
        <v>6476299.3100000005</v>
      </c>
      <c r="Q136" s="14"/>
    </row>
    <row r="137" spans="2:18" s="11" customFormat="1" x14ac:dyDescent="0.25">
      <c r="B137" s="2" t="s">
        <v>29</v>
      </c>
      <c r="C137" s="17" t="s">
        <v>24</v>
      </c>
      <c r="D137" s="14">
        <f t="shared" si="44"/>
        <v>3158455.86</v>
      </c>
      <c r="E137" s="14">
        <f t="shared" si="44"/>
        <v>2465375.1800000002</v>
      </c>
      <c r="F137" s="14">
        <f t="shared" si="44"/>
        <v>4745088.1099999994</v>
      </c>
      <c r="G137" s="14">
        <f t="shared" si="44"/>
        <v>6469218.1299999999</v>
      </c>
      <c r="H137" s="14">
        <f t="shared" si="44"/>
        <v>693171.70999999985</v>
      </c>
      <c r="I137" s="14">
        <f t="shared" si="44"/>
        <v>3194524.5100000002</v>
      </c>
      <c r="J137" s="14">
        <f t="shared" si="44"/>
        <v>3265020.42</v>
      </c>
      <c r="K137" s="14">
        <f t="shared" si="44"/>
        <v>3275402.62</v>
      </c>
      <c r="L137" s="14">
        <f t="shared" si="44"/>
        <v>3742584.3200000003</v>
      </c>
      <c r="M137" s="14">
        <f t="shared" si="44"/>
        <v>3814583.6899999995</v>
      </c>
      <c r="N137" s="14">
        <f t="shared" si="44"/>
        <v>3556285.4899999998</v>
      </c>
      <c r="O137" s="14">
        <f t="shared" si="44"/>
        <v>3635826.62</v>
      </c>
      <c r="P137" s="14">
        <f t="shared" si="38"/>
        <v>42015536.660000004</v>
      </c>
      <c r="Q137" s="14"/>
    </row>
    <row r="138" spans="2:18" s="11" customFormat="1" x14ac:dyDescent="0.25">
      <c r="B138" s="11" t="s">
        <v>30</v>
      </c>
      <c r="C138" s="17" t="s">
        <v>25</v>
      </c>
      <c r="D138" s="14">
        <f t="shared" si="44"/>
        <v>39179.449999999997</v>
      </c>
      <c r="E138" s="14">
        <f t="shared" si="44"/>
        <v>59879</v>
      </c>
      <c r="F138" s="14">
        <f t="shared" si="44"/>
        <v>37407.11</v>
      </c>
      <c r="G138" s="14">
        <f t="shared" si="44"/>
        <v>86262.579999999987</v>
      </c>
      <c r="H138" s="14">
        <f t="shared" si="44"/>
        <v>12516.38000000001</v>
      </c>
      <c r="I138" s="14">
        <f t="shared" si="44"/>
        <v>55217.459999999992</v>
      </c>
      <c r="J138" s="14">
        <f t="shared" si="44"/>
        <v>42138.979999999989</v>
      </c>
      <c r="K138" s="14">
        <f t="shared" si="44"/>
        <v>36998.29</v>
      </c>
      <c r="L138" s="14">
        <f t="shared" si="44"/>
        <v>52591.969999999994</v>
      </c>
      <c r="M138" s="14">
        <f t="shared" si="44"/>
        <v>73997.240000000005</v>
      </c>
      <c r="N138" s="14">
        <f t="shared" si="44"/>
        <v>54382.310000000005</v>
      </c>
      <c r="O138" s="14">
        <f t="shared" si="44"/>
        <v>43838.029999999992</v>
      </c>
      <c r="P138" s="14">
        <f t="shared" si="38"/>
        <v>594408.79999999993</v>
      </c>
      <c r="Q138" s="14"/>
    </row>
    <row r="139" spans="2:18" s="11" customFormat="1" x14ac:dyDescent="0.25">
      <c r="B139" s="2" t="s">
        <v>31</v>
      </c>
      <c r="C139" s="17" t="s">
        <v>27</v>
      </c>
      <c r="D139" s="14">
        <f t="shared" si="44"/>
        <v>7663530.6600000001</v>
      </c>
      <c r="E139" s="14">
        <f t="shared" si="44"/>
        <v>4504225.54</v>
      </c>
      <c r="F139" s="14">
        <f t="shared" si="44"/>
        <v>4246838.7699999986</v>
      </c>
      <c r="G139" s="14">
        <f t="shared" si="44"/>
        <v>8959352.2700000014</v>
      </c>
      <c r="H139" s="14">
        <f t="shared" si="44"/>
        <v>9146271.8699999992</v>
      </c>
      <c r="I139" s="14">
        <f t="shared" si="44"/>
        <v>-289195.59000000148</v>
      </c>
      <c r="J139" s="14">
        <f t="shared" si="44"/>
        <v>10281165.350000001</v>
      </c>
      <c r="K139" s="14">
        <f t="shared" si="44"/>
        <v>5683839.9299999997</v>
      </c>
      <c r="L139" s="14">
        <f t="shared" si="44"/>
        <v>4364881.6999999993</v>
      </c>
      <c r="M139" s="14">
        <f t="shared" si="44"/>
        <v>6452460.6000000015</v>
      </c>
      <c r="N139" s="14">
        <f t="shared" si="44"/>
        <v>4803161.9799999986</v>
      </c>
      <c r="O139" s="14">
        <f t="shared" si="44"/>
        <v>5485468.3400000008</v>
      </c>
      <c r="P139" s="14">
        <f t="shared" si="38"/>
        <v>71302001.420000002</v>
      </c>
      <c r="Q139" s="14"/>
    </row>
    <row r="140" spans="2:18" s="11" customFormat="1" x14ac:dyDescent="0.25">
      <c r="B140" s="11" t="s">
        <v>61</v>
      </c>
      <c r="C140" s="12"/>
      <c r="D140" s="23">
        <f>SUM(D128:D139)</f>
        <v>12101536.596799999</v>
      </c>
      <c r="E140" s="23">
        <f t="shared" ref="E140:O140" si="45">SUM(E128:E139)</f>
        <v>8101097.5899360003</v>
      </c>
      <c r="F140" s="23">
        <f t="shared" si="45"/>
        <v>10411725.820587199</v>
      </c>
      <c r="G140" s="23">
        <f t="shared" si="45"/>
        <v>17154612.919381604</v>
      </c>
      <c r="H140" s="23">
        <f t="shared" si="45"/>
        <v>10423557.610567199</v>
      </c>
      <c r="I140" s="23">
        <f t="shared" si="45"/>
        <v>4140378.5884015989</v>
      </c>
      <c r="J140" s="23">
        <f t="shared" si="45"/>
        <v>14370333.256838402</v>
      </c>
      <c r="K140" s="23">
        <f t="shared" si="45"/>
        <v>9779430.4491112009</v>
      </c>
      <c r="L140" s="23">
        <f t="shared" si="45"/>
        <v>9562076.5000160001</v>
      </c>
      <c r="M140" s="23">
        <f t="shared" si="45"/>
        <v>11187463.4570584</v>
      </c>
      <c r="N140" s="23">
        <f t="shared" si="45"/>
        <v>9330956.1826247983</v>
      </c>
      <c r="O140" s="23">
        <f t="shared" si="45"/>
        <v>10012812.8115176</v>
      </c>
      <c r="P140" s="23">
        <f>SUM(P128:P139)</f>
        <v>126575981.78284</v>
      </c>
      <c r="Q140" s="22"/>
    </row>
    <row r="141" spans="2:18" s="11" customFormat="1" x14ac:dyDescent="0.25">
      <c r="C141" s="1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</row>
    <row r="142" spans="2:18" s="11" customFormat="1" x14ac:dyDescent="0.25">
      <c r="B142" s="11" t="s">
        <v>62</v>
      </c>
      <c r="C142" s="12"/>
      <c r="D142" s="23">
        <f>D126+D140</f>
        <v>156308008.73241404</v>
      </c>
      <c r="E142" s="23">
        <f t="shared" ref="E142:P142" si="46">E126+E140</f>
        <v>132476595.14910701</v>
      </c>
      <c r="F142" s="23">
        <f t="shared" si="46"/>
        <v>131023483.3657507</v>
      </c>
      <c r="G142" s="23">
        <f t="shared" si="46"/>
        <v>110051263.21413799</v>
      </c>
      <c r="H142" s="23">
        <f t="shared" si="46"/>
        <v>63703480.973717019</v>
      </c>
      <c r="I142" s="23">
        <f t="shared" si="46"/>
        <v>40787992.504826836</v>
      </c>
      <c r="J142" s="23">
        <f t="shared" si="46"/>
        <v>44371142.275340341</v>
      </c>
      <c r="K142" s="23">
        <f t="shared" si="46"/>
        <v>40324988.445979312</v>
      </c>
      <c r="L142" s="23">
        <f t="shared" si="46"/>
        <v>46742647.772457391</v>
      </c>
      <c r="M142" s="23">
        <f t="shared" si="46"/>
        <v>82256735.139545023</v>
      </c>
      <c r="N142" s="23">
        <f t="shared" si="46"/>
        <v>118450484.93934138</v>
      </c>
      <c r="O142" s="23">
        <f t="shared" si="46"/>
        <v>140143046.09605095</v>
      </c>
      <c r="P142" s="23">
        <f t="shared" si="46"/>
        <v>1106639868.6086681</v>
      </c>
      <c r="Q142" s="22"/>
      <c r="R142" s="14"/>
    </row>
    <row r="143" spans="2:18" x14ac:dyDescent="0.25">
      <c r="C143" s="17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</row>
    <row r="144" spans="2:18" s="11" customFormat="1" x14ac:dyDescent="0.25">
      <c r="B144" s="41" t="s">
        <v>54</v>
      </c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</row>
    <row r="145" spans="2:17" s="11" customFormat="1" x14ac:dyDescent="0.25">
      <c r="B145" s="2" t="s">
        <v>6</v>
      </c>
      <c r="C145" s="12">
        <v>23</v>
      </c>
      <c r="D145" s="14">
        <f>D114-D9</f>
        <v>-479376.68863920867</v>
      </c>
      <c r="E145" s="14">
        <f t="shared" ref="E145:O145" si="47">E114-E9</f>
        <v>-9756873.9589464068</v>
      </c>
      <c r="F145" s="14">
        <f t="shared" si="47"/>
        <v>-8839611.8822722435</v>
      </c>
      <c r="G145" s="14">
        <f t="shared" si="47"/>
        <v>-7578719.7778991982</v>
      </c>
      <c r="H145" s="14">
        <f t="shared" si="47"/>
        <v>3466970.9247750305</v>
      </c>
      <c r="I145" s="14">
        <f t="shared" si="47"/>
        <v>-793993.15379616618</v>
      </c>
      <c r="J145" s="14">
        <f t="shared" si="47"/>
        <v>0</v>
      </c>
      <c r="K145" s="14">
        <f t="shared" si="47"/>
        <v>0</v>
      </c>
      <c r="L145" s="14">
        <f t="shared" si="47"/>
        <v>-1265561.3598322682</v>
      </c>
      <c r="M145" s="14">
        <f t="shared" si="47"/>
        <v>438099.92239343375</v>
      </c>
      <c r="N145" s="14">
        <f t="shared" si="47"/>
        <v>-6941468.2539071664</v>
      </c>
      <c r="O145" s="14">
        <f t="shared" si="47"/>
        <v>10655918.21813421</v>
      </c>
      <c r="P145" s="14">
        <f>SUM(D145:O145)</f>
        <v>-21094616.009989984</v>
      </c>
      <c r="Q145" s="14"/>
    </row>
    <row r="146" spans="2:17" s="11" customFormat="1" x14ac:dyDescent="0.25">
      <c r="B146" s="11" t="s">
        <v>8</v>
      </c>
      <c r="C146" s="17">
        <v>31</v>
      </c>
      <c r="D146" s="14">
        <f t="shared" ref="D146:O147" si="48">D115-D11</f>
        <v>-135214.50699239969</v>
      </c>
      <c r="E146" s="14">
        <f t="shared" si="48"/>
        <v>-2725511.9206101336</v>
      </c>
      <c r="F146" s="14">
        <f t="shared" si="48"/>
        <v>-2475997.6212951243</v>
      </c>
      <c r="G146" s="14">
        <f t="shared" si="48"/>
        <v>-1975026.4002026245</v>
      </c>
      <c r="H146" s="14">
        <f t="shared" si="48"/>
        <v>754070.50973072462</v>
      </c>
      <c r="I146" s="14">
        <f t="shared" si="48"/>
        <v>0</v>
      </c>
      <c r="J146" s="14">
        <f t="shared" si="48"/>
        <v>0</v>
      </c>
      <c r="K146" s="14">
        <f t="shared" si="48"/>
        <v>0</v>
      </c>
      <c r="L146" s="14">
        <f t="shared" si="48"/>
        <v>0</v>
      </c>
      <c r="M146" s="14">
        <f t="shared" si="48"/>
        <v>98151.28742906265</v>
      </c>
      <c r="N146" s="14">
        <f t="shared" si="48"/>
        <v>-1788835.7020287886</v>
      </c>
      <c r="O146" s="14">
        <f t="shared" si="48"/>
        <v>2950951.1844147146</v>
      </c>
      <c r="P146" s="14">
        <f t="shared" ref="P146:P157" si="49">SUM(D146:O146)</f>
        <v>-5297413.1695545688</v>
      </c>
      <c r="Q146" s="14"/>
    </row>
    <row r="147" spans="2:17" s="11" customFormat="1" x14ac:dyDescent="0.25">
      <c r="B147" s="11" t="s">
        <v>9</v>
      </c>
      <c r="C147" s="11">
        <v>41</v>
      </c>
      <c r="D147" s="14">
        <f t="shared" si="48"/>
        <v>-26826.476771600544</v>
      </c>
      <c r="E147" s="14">
        <f t="shared" si="48"/>
        <v>-559112.32572293282</v>
      </c>
      <c r="F147" s="14">
        <f t="shared" si="48"/>
        <v>-538517.00882575009</v>
      </c>
      <c r="G147" s="14">
        <f t="shared" si="48"/>
        <v>-491392.06621166691</v>
      </c>
      <c r="H147" s="14">
        <f t="shared" si="48"/>
        <v>257958.56966074975</v>
      </c>
      <c r="I147" s="14">
        <f t="shared" si="48"/>
        <v>-58239.79221133329</v>
      </c>
      <c r="J147" s="14">
        <f t="shared" si="48"/>
        <v>0</v>
      </c>
      <c r="K147" s="14">
        <f t="shared" si="48"/>
        <v>0</v>
      </c>
      <c r="L147" s="14">
        <f t="shared" si="48"/>
        <v>0</v>
      </c>
      <c r="M147" s="14">
        <f t="shared" si="48"/>
        <v>23885.030831198208</v>
      </c>
      <c r="N147" s="14">
        <f t="shared" si="48"/>
        <v>-398562.43587413151</v>
      </c>
      <c r="O147" s="14">
        <f t="shared" si="48"/>
        <v>629523.96976133529</v>
      </c>
      <c r="P147" s="14">
        <f t="shared" si="49"/>
        <v>-1161282.5353641319</v>
      </c>
      <c r="Q147" s="14"/>
    </row>
    <row r="148" spans="2:17" s="11" customFormat="1" x14ac:dyDescent="0.25">
      <c r="B148" s="2" t="s">
        <v>21</v>
      </c>
      <c r="C148" s="17" t="s">
        <v>22</v>
      </c>
      <c r="D148" s="14">
        <f t="shared" ref="D148:O149" si="50">D117-D23</f>
        <v>-2247.7358775667381</v>
      </c>
      <c r="E148" s="14">
        <f t="shared" si="50"/>
        <v>-39737.562818799866</v>
      </c>
      <c r="F148" s="14">
        <f t="shared" si="50"/>
        <v>-50953.743561875075</v>
      </c>
      <c r="G148" s="14">
        <f t="shared" si="50"/>
        <v>-36963.185818125028</v>
      </c>
      <c r="H148" s="14">
        <f t="shared" si="50"/>
        <v>15412.8632325</v>
      </c>
      <c r="I148" s="14">
        <f t="shared" si="50"/>
        <v>0</v>
      </c>
      <c r="J148" s="14">
        <f t="shared" si="50"/>
        <v>0</v>
      </c>
      <c r="K148" s="14">
        <f t="shared" si="50"/>
        <v>0</v>
      </c>
      <c r="L148" s="14">
        <f t="shared" si="50"/>
        <v>0</v>
      </c>
      <c r="M148" s="14">
        <f t="shared" si="50"/>
        <v>2452.0519099996891</v>
      </c>
      <c r="N148" s="14">
        <f t="shared" si="50"/>
        <v>-31686.513599999947</v>
      </c>
      <c r="O148" s="14">
        <f t="shared" si="50"/>
        <v>47379.578903125133</v>
      </c>
      <c r="P148" s="14">
        <f t="shared" si="49"/>
        <v>-96344.247630741826</v>
      </c>
      <c r="Q148" s="14"/>
    </row>
    <row r="149" spans="2:17" s="11" customFormat="1" x14ac:dyDescent="0.25">
      <c r="B149" s="2" t="s">
        <v>23</v>
      </c>
      <c r="C149" s="17" t="s">
        <v>24</v>
      </c>
      <c r="D149" s="14">
        <f t="shared" si="50"/>
        <v>-2142.4934776667506</v>
      </c>
      <c r="E149" s="14">
        <f t="shared" si="50"/>
        <v>-31968.536402666708</v>
      </c>
      <c r="F149" s="14">
        <f t="shared" si="50"/>
        <v>-43362.770147499861</v>
      </c>
      <c r="G149" s="14">
        <f t="shared" si="50"/>
        <v>-33125.926858499879</v>
      </c>
      <c r="H149" s="14">
        <f t="shared" si="50"/>
        <v>16753.030995999929</v>
      </c>
      <c r="I149" s="14">
        <f t="shared" si="50"/>
        <v>0</v>
      </c>
      <c r="J149" s="14">
        <f t="shared" si="50"/>
        <v>0</v>
      </c>
      <c r="K149" s="14">
        <f t="shared" si="50"/>
        <v>0</v>
      </c>
      <c r="L149" s="14">
        <f t="shared" si="50"/>
        <v>0</v>
      </c>
      <c r="M149" s="14">
        <f t="shared" si="50"/>
        <v>2110.1760166664608</v>
      </c>
      <c r="N149" s="14">
        <f t="shared" si="50"/>
        <v>-27853.985749333166</v>
      </c>
      <c r="O149" s="14">
        <f t="shared" si="50"/>
        <v>46760.856092333561</v>
      </c>
      <c r="P149" s="14">
        <f t="shared" si="49"/>
        <v>-72829.649530666415</v>
      </c>
      <c r="Q149" s="14"/>
    </row>
    <row r="150" spans="2:17" s="11" customFormat="1" x14ac:dyDescent="0.25">
      <c r="B150" s="2" t="s">
        <v>26</v>
      </c>
      <c r="C150" s="17" t="s">
        <v>27</v>
      </c>
      <c r="D150" s="14">
        <f>D119-D26</f>
        <v>-5070.4602300000843</v>
      </c>
      <c r="E150" s="14">
        <f t="shared" ref="E150:O150" si="51">E119-E26</f>
        <v>-112197.00664000004</v>
      </c>
      <c r="F150" s="14">
        <f t="shared" si="51"/>
        <v>-105309.27705000015</v>
      </c>
      <c r="G150" s="14">
        <f t="shared" si="51"/>
        <v>-98547.134787499905</v>
      </c>
      <c r="H150" s="14">
        <f t="shared" si="51"/>
        <v>51868.069189999995</v>
      </c>
      <c r="I150" s="14">
        <f t="shared" si="51"/>
        <v>-10881.571624999866</v>
      </c>
      <c r="J150" s="14">
        <f t="shared" si="51"/>
        <v>0</v>
      </c>
      <c r="K150" s="14">
        <f t="shared" si="51"/>
        <v>0</v>
      </c>
      <c r="L150" s="14">
        <f t="shared" si="51"/>
        <v>0</v>
      </c>
      <c r="M150" s="14">
        <f t="shared" si="51"/>
        <v>4918.2625799996313</v>
      </c>
      <c r="N150" s="14">
        <f t="shared" si="51"/>
        <v>-70304.964479999617</v>
      </c>
      <c r="O150" s="14">
        <f t="shared" si="51"/>
        <v>128599.43084250041</v>
      </c>
      <c r="P150" s="14">
        <f t="shared" si="49"/>
        <v>-216924.6521999996</v>
      </c>
      <c r="Q150" s="14"/>
    </row>
    <row r="151" spans="2:17" s="11" customFormat="1" x14ac:dyDescent="0.25">
      <c r="B151" s="11" t="s">
        <v>11</v>
      </c>
      <c r="C151" s="11">
        <v>85</v>
      </c>
      <c r="D151" s="14">
        <f t="shared" ref="D151:O155" si="52">D120-D14</f>
        <v>-7331.0507563333958</v>
      </c>
      <c r="E151" s="14">
        <f t="shared" si="52"/>
        <v>-139936.29320533318</v>
      </c>
      <c r="F151" s="14">
        <f t="shared" si="52"/>
        <v>-141789.5432800001</v>
      </c>
      <c r="G151" s="14">
        <f t="shared" si="52"/>
        <v>-127775.26124066673</v>
      </c>
      <c r="H151" s="14">
        <f t="shared" si="52"/>
        <v>71416.134521666681</v>
      </c>
      <c r="I151" s="14">
        <f t="shared" si="52"/>
        <v>0</v>
      </c>
      <c r="J151" s="14">
        <f t="shared" si="52"/>
        <v>0</v>
      </c>
      <c r="K151" s="14">
        <f t="shared" si="52"/>
        <v>0</v>
      </c>
      <c r="L151" s="14">
        <f t="shared" si="52"/>
        <v>0</v>
      </c>
      <c r="M151" s="14">
        <f t="shared" si="52"/>
        <v>7045.8554319995455</v>
      </c>
      <c r="N151" s="14">
        <f t="shared" si="52"/>
        <v>-97859.162538666045</v>
      </c>
      <c r="O151" s="14">
        <f t="shared" si="52"/>
        <v>153759.40408733394</v>
      </c>
      <c r="P151" s="14">
        <f t="shared" si="49"/>
        <v>-282469.91697999928</v>
      </c>
      <c r="Q151" s="14"/>
    </row>
    <row r="152" spans="2:17" s="11" customFormat="1" x14ac:dyDescent="0.25">
      <c r="B152" s="11" t="s">
        <v>12</v>
      </c>
      <c r="C152" s="11">
        <v>86</v>
      </c>
      <c r="D152" s="14">
        <f t="shared" si="52"/>
        <v>-3189.3701792333741</v>
      </c>
      <c r="E152" s="14">
        <f t="shared" si="52"/>
        <v>-64516.903435466695</v>
      </c>
      <c r="F152" s="14">
        <f t="shared" si="52"/>
        <v>-64012.999044750002</v>
      </c>
      <c r="G152" s="14">
        <f t="shared" si="52"/>
        <v>-59556.535564166727</v>
      </c>
      <c r="H152" s="14">
        <f t="shared" si="52"/>
        <v>28351.32481000002</v>
      </c>
      <c r="I152" s="14">
        <f t="shared" si="52"/>
        <v>0</v>
      </c>
      <c r="J152" s="14">
        <f t="shared" si="52"/>
        <v>0</v>
      </c>
      <c r="K152" s="14">
        <f t="shared" si="52"/>
        <v>0</v>
      </c>
      <c r="L152" s="14">
        <f t="shared" si="52"/>
        <v>0</v>
      </c>
      <c r="M152" s="14">
        <f t="shared" si="52"/>
        <v>2807.1244226665003</v>
      </c>
      <c r="N152" s="14">
        <f t="shared" si="52"/>
        <v>-42332.2938666665</v>
      </c>
      <c r="O152" s="14">
        <f t="shared" si="52"/>
        <v>65423.950309250155</v>
      </c>
      <c r="P152" s="14">
        <f t="shared" si="49"/>
        <v>-137025.70254836662</v>
      </c>
      <c r="Q152" s="14"/>
    </row>
    <row r="153" spans="2:17" s="11" customFormat="1" x14ac:dyDescent="0.25">
      <c r="B153" s="11" t="s">
        <v>41</v>
      </c>
      <c r="C153" s="11">
        <v>87</v>
      </c>
      <c r="D153" s="14">
        <f t="shared" si="52"/>
        <v>-6859.7045733332634</v>
      </c>
      <c r="E153" s="14">
        <f t="shared" si="52"/>
        <v>-147509.04143999983</v>
      </c>
      <c r="F153" s="14">
        <f t="shared" si="52"/>
        <v>-137572.21635000012</v>
      </c>
      <c r="G153" s="14">
        <f t="shared" si="52"/>
        <v>-130820.84899333306</v>
      </c>
      <c r="H153" s="14">
        <f t="shared" si="52"/>
        <v>61059.545530000003</v>
      </c>
      <c r="I153" s="14">
        <f t="shared" si="52"/>
        <v>0</v>
      </c>
      <c r="J153" s="14">
        <f t="shared" si="52"/>
        <v>0</v>
      </c>
      <c r="K153" s="14">
        <f t="shared" si="52"/>
        <v>0</v>
      </c>
      <c r="L153" s="14">
        <f t="shared" si="52"/>
        <v>0</v>
      </c>
      <c r="M153" s="14">
        <f t="shared" si="52"/>
        <v>6203.335599999642</v>
      </c>
      <c r="N153" s="14">
        <f t="shared" si="52"/>
        <v>-92833.396906666225</v>
      </c>
      <c r="O153" s="14">
        <f t="shared" si="52"/>
        <v>163081.01666000066</v>
      </c>
      <c r="P153" s="14">
        <f t="shared" si="49"/>
        <v>-285251.31047333218</v>
      </c>
      <c r="Q153" s="14"/>
    </row>
    <row r="154" spans="2:17" s="11" customFormat="1" x14ac:dyDescent="0.25">
      <c r="B154" s="11" t="s">
        <v>14</v>
      </c>
      <c r="C154" s="11">
        <v>31</v>
      </c>
      <c r="D154" s="14">
        <f t="shared" si="52"/>
        <v>-9791.7674579999875</v>
      </c>
      <c r="E154" s="14">
        <f t="shared" si="52"/>
        <v>-201210.17830400006</v>
      </c>
      <c r="F154" s="14">
        <f t="shared" si="52"/>
        <v>-185965.34868762502</v>
      </c>
      <c r="G154" s="14">
        <f t="shared" si="52"/>
        <v>-155975.61993066664</v>
      </c>
      <c r="H154" s="14">
        <f t="shared" si="52"/>
        <v>64764.647427599994</v>
      </c>
      <c r="I154" s="14">
        <f t="shared" si="52"/>
        <v>-11176.699244750023</v>
      </c>
      <c r="J154" s="14">
        <f t="shared" si="52"/>
        <v>0</v>
      </c>
      <c r="K154" s="14">
        <f t="shared" si="52"/>
        <v>0</v>
      </c>
      <c r="L154" s="14">
        <f t="shared" si="52"/>
        <v>-22510.292092058691</v>
      </c>
      <c r="M154" s="14">
        <f t="shared" si="52"/>
        <v>7841.7872866661055</v>
      </c>
      <c r="N154" s="14">
        <f t="shared" si="52"/>
        <v>-132601.64304426592</v>
      </c>
      <c r="O154" s="14">
        <f t="shared" si="52"/>
        <v>211283.37874134234</v>
      </c>
      <c r="P154" s="14">
        <f t="shared" si="49"/>
        <v>-435341.73530575796</v>
      </c>
      <c r="Q154" s="14"/>
    </row>
    <row r="155" spans="2:17" s="11" customFormat="1" x14ac:dyDescent="0.25">
      <c r="B155" s="11" t="s">
        <v>15</v>
      </c>
      <c r="C155" s="11">
        <v>41</v>
      </c>
      <c r="D155" s="14">
        <f t="shared" si="52"/>
        <v>-1708.123724999954</v>
      </c>
      <c r="E155" s="14">
        <f t="shared" si="52"/>
        <v>-34957.308291599969</v>
      </c>
      <c r="F155" s="14">
        <f t="shared" si="52"/>
        <v>-36529.333547624876</v>
      </c>
      <c r="G155" s="14">
        <f t="shared" si="52"/>
        <v>-27547.014315799926</v>
      </c>
      <c r="H155" s="14">
        <f t="shared" si="52"/>
        <v>16546.581342083402</v>
      </c>
      <c r="I155" s="14">
        <f t="shared" si="52"/>
        <v>0</v>
      </c>
      <c r="J155" s="14">
        <f t="shared" si="52"/>
        <v>0</v>
      </c>
      <c r="K155" s="14">
        <f t="shared" si="52"/>
        <v>0</v>
      </c>
      <c r="L155" s="14">
        <f t="shared" si="52"/>
        <v>0</v>
      </c>
      <c r="M155" s="14">
        <f t="shared" si="52"/>
        <v>1794.720419799909</v>
      </c>
      <c r="N155" s="14">
        <f t="shared" si="52"/>
        <v>-25166.367423999822</v>
      </c>
      <c r="O155" s="14">
        <f t="shared" si="52"/>
        <v>35316.095830033417</v>
      </c>
      <c r="P155" s="14">
        <f t="shared" si="49"/>
        <v>-72250.74971210782</v>
      </c>
      <c r="Q155" s="14"/>
    </row>
    <row r="156" spans="2:17" s="18" customFormat="1" ht="14.4" x14ac:dyDescent="0.3">
      <c r="B156" s="18" t="s">
        <v>32</v>
      </c>
      <c r="C156" s="29" t="s">
        <v>33</v>
      </c>
      <c r="D156" s="22">
        <f>D125-D31</f>
        <v>-11638.455180000048</v>
      </c>
      <c r="E156" s="22">
        <f t="shared" ref="E156:O156" si="53">E125-E31</f>
        <v>-259290.75708000013</v>
      </c>
      <c r="F156" s="22">
        <f t="shared" si="53"/>
        <v>-233427.10004999954</v>
      </c>
      <c r="G156" s="22">
        <f t="shared" si="53"/>
        <v>-215932.70081250014</v>
      </c>
      <c r="H156" s="22">
        <f t="shared" si="53"/>
        <v>97668.827617499046</v>
      </c>
      <c r="I156" s="22">
        <f t="shared" si="53"/>
        <v>0</v>
      </c>
      <c r="J156" s="22">
        <f t="shared" si="53"/>
        <v>0</v>
      </c>
      <c r="K156" s="22">
        <f t="shared" si="53"/>
        <v>0</v>
      </c>
      <c r="L156" s="22">
        <f t="shared" si="53"/>
        <v>0</v>
      </c>
      <c r="M156" s="22">
        <f t="shared" si="53"/>
        <v>12210.890999999363</v>
      </c>
      <c r="N156" s="22">
        <f t="shared" si="53"/>
        <v>-172934.52671999903</v>
      </c>
      <c r="O156" s="22">
        <f t="shared" si="53"/>
        <v>257009.00079750083</v>
      </c>
      <c r="P156" s="21">
        <f t="shared" si="49"/>
        <v>-526334.82042749971</v>
      </c>
      <c r="Q156" s="22"/>
    </row>
    <row r="157" spans="2:17" s="11" customFormat="1" x14ac:dyDescent="0.25">
      <c r="B157" s="11" t="s">
        <v>55</v>
      </c>
      <c r="C157" s="12"/>
      <c r="D157" s="23">
        <f t="shared" ref="D157:O157" si="54">SUM(D145:D156)</f>
        <v>-691396.83386034251</v>
      </c>
      <c r="E157" s="23">
        <f t="shared" si="54"/>
        <v>-14072821.792897338</v>
      </c>
      <c r="F157" s="23">
        <f t="shared" si="54"/>
        <v>-12853048.844112493</v>
      </c>
      <c r="G157" s="23">
        <f t="shared" si="54"/>
        <v>-10931382.472634748</v>
      </c>
      <c r="H157" s="23">
        <f t="shared" si="54"/>
        <v>4902841.0288338531</v>
      </c>
      <c r="I157" s="23">
        <f t="shared" si="54"/>
        <v>-874291.2168772493</v>
      </c>
      <c r="J157" s="23">
        <f t="shared" si="54"/>
        <v>0</v>
      </c>
      <c r="K157" s="23">
        <f t="shared" si="54"/>
        <v>0</v>
      </c>
      <c r="L157" s="23">
        <f t="shared" si="54"/>
        <v>-1288071.651924327</v>
      </c>
      <c r="M157" s="23">
        <f t="shared" si="54"/>
        <v>607520.44532149145</v>
      </c>
      <c r="N157" s="23">
        <f t="shared" si="54"/>
        <v>-9822439.2461396828</v>
      </c>
      <c r="O157" s="23">
        <f t="shared" si="54"/>
        <v>15345006.084573679</v>
      </c>
      <c r="P157" s="14">
        <f t="shared" si="49"/>
        <v>-29678084.499717161</v>
      </c>
      <c r="Q157" s="22"/>
    </row>
    <row r="158" spans="2:17" s="11" customFormat="1" x14ac:dyDescent="0.25">
      <c r="B158" s="11" t="s">
        <v>56</v>
      </c>
      <c r="C158" s="12"/>
      <c r="D158" s="32">
        <f t="shared" ref="D158:I158" si="55">IFERROR(D157/D32,0)</f>
        <v>-4.4038181633017865E-3</v>
      </c>
      <c r="E158" s="32">
        <f t="shared" si="55"/>
        <v>-9.6027825197465874E-2</v>
      </c>
      <c r="F158" s="32">
        <f t="shared" si="55"/>
        <v>-8.9333879866972332E-2</v>
      </c>
      <c r="G158" s="32">
        <f t="shared" si="55"/>
        <v>-9.0354962983173512E-2</v>
      </c>
      <c r="H158" s="32">
        <f t="shared" si="55"/>
        <v>8.3380742682894901E-2</v>
      </c>
      <c r="I158" s="32">
        <f t="shared" si="55"/>
        <v>-2.0985196652140915E-2</v>
      </c>
      <c r="J158" s="32">
        <f>IFERROR(J157/J32,0)</f>
        <v>0</v>
      </c>
      <c r="K158" s="32">
        <f t="shared" ref="K158:P158" si="56">IFERROR(K157/K32,0)</f>
        <v>0</v>
      </c>
      <c r="L158" s="32">
        <f t="shared" si="56"/>
        <v>-2.6817663098972173E-2</v>
      </c>
      <c r="M158" s="32">
        <f t="shared" si="56"/>
        <v>7.4406159030023363E-3</v>
      </c>
      <c r="N158" s="32">
        <f t="shared" si="56"/>
        <v>-7.6574532844800161E-2</v>
      </c>
      <c r="O158" s="32">
        <f t="shared" si="56"/>
        <v>0.12295871059483346</v>
      </c>
      <c r="P158" s="32">
        <f t="shared" si="56"/>
        <v>-2.6117764326906118E-2</v>
      </c>
      <c r="Q158" s="42"/>
    </row>
    <row r="159" spans="2:17" s="11" customFormat="1" x14ac:dyDescent="0.25">
      <c r="C159" s="1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</row>
    <row r="160" spans="2:17" x14ac:dyDescent="0.25">
      <c r="B160" s="41" t="s">
        <v>63</v>
      </c>
      <c r="C160" s="17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</row>
    <row r="161" spans="2:17" x14ac:dyDescent="0.25">
      <c r="B161" s="43" t="s">
        <v>64</v>
      </c>
      <c r="C161" s="17"/>
      <c r="D161" s="30">
        <v>0</v>
      </c>
      <c r="E161" s="30">
        <v>0</v>
      </c>
      <c r="F161" s="30">
        <v>0</v>
      </c>
      <c r="G161" s="30">
        <v>0</v>
      </c>
      <c r="H161" s="30">
        <v>0</v>
      </c>
      <c r="I161" s="30">
        <v>0</v>
      </c>
      <c r="J161" s="30">
        <v>0</v>
      </c>
      <c r="K161" s="30">
        <v>0</v>
      </c>
      <c r="L161" s="30">
        <v>0</v>
      </c>
      <c r="M161" s="30">
        <v>0</v>
      </c>
      <c r="N161" s="30">
        <v>0</v>
      </c>
      <c r="O161" s="30">
        <v>0</v>
      </c>
      <c r="P161" s="24">
        <f t="shared" ref="P161:P175" si="57">SUM(D161:O161)</f>
        <v>0</v>
      </c>
      <c r="Q161" s="24"/>
    </row>
    <row r="162" spans="2:17" x14ac:dyDescent="0.25">
      <c r="B162" s="43" t="s">
        <v>65</v>
      </c>
      <c r="C162" s="17"/>
      <c r="D162" s="30">
        <f>D145</f>
        <v>-479376.68863920867</v>
      </c>
      <c r="E162" s="30">
        <f t="shared" ref="E162:O162" si="58">E145</f>
        <v>-9756873.9589464068</v>
      </c>
      <c r="F162" s="30">
        <f t="shared" si="58"/>
        <v>-8839611.8822722435</v>
      </c>
      <c r="G162" s="30">
        <f t="shared" si="58"/>
        <v>-7578719.7778991982</v>
      </c>
      <c r="H162" s="30">
        <f t="shared" si="58"/>
        <v>3466970.9247750305</v>
      </c>
      <c r="I162" s="30">
        <f t="shared" si="58"/>
        <v>-793993.15379616618</v>
      </c>
      <c r="J162" s="30">
        <f t="shared" si="58"/>
        <v>0</v>
      </c>
      <c r="K162" s="30">
        <f t="shared" si="58"/>
        <v>0</v>
      </c>
      <c r="L162" s="30">
        <f t="shared" si="58"/>
        <v>-1265561.3598322682</v>
      </c>
      <c r="M162" s="30">
        <f t="shared" si="58"/>
        <v>438099.92239343375</v>
      </c>
      <c r="N162" s="30">
        <f t="shared" si="58"/>
        <v>-6941468.2539071664</v>
      </c>
      <c r="O162" s="30">
        <f t="shared" si="58"/>
        <v>10655918.21813421</v>
      </c>
      <c r="P162" s="24">
        <f t="shared" si="57"/>
        <v>-21094616.009989984</v>
      </c>
      <c r="Q162" s="24"/>
    </row>
    <row r="163" spans="2:17" x14ac:dyDescent="0.25">
      <c r="B163" s="44" t="s">
        <v>66</v>
      </c>
      <c r="C163" s="17"/>
      <c r="D163" s="30">
        <f>D146+D154</f>
        <v>-145006.27445039968</v>
      </c>
      <c r="E163" s="30">
        <f t="shared" ref="E163:O164" si="59">E146+E154</f>
        <v>-2926722.0989141334</v>
      </c>
      <c r="F163" s="30">
        <f t="shared" si="59"/>
        <v>-2661962.9699827493</v>
      </c>
      <c r="G163" s="30">
        <f t="shared" si="59"/>
        <v>-2131002.0201332914</v>
      </c>
      <c r="H163" s="30">
        <f t="shared" si="59"/>
        <v>818835.15715832461</v>
      </c>
      <c r="I163" s="30">
        <f t="shared" si="59"/>
        <v>-11176.699244750023</v>
      </c>
      <c r="J163" s="30">
        <f t="shared" si="59"/>
        <v>0</v>
      </c>
      <c r="K163" s="30">
        <f t="shared" si="59"/>
        <v>0</v>
      </c>
      <c r="L163" s="30">
        <f t="shared" si="59"/>
        <v>-22510.292092058691</v>
      </c>
      <c r="M163" s="30">
        <f t="shared" si="59"/>
        <v>105993.07471572876</v>
      </c>
      <c r="N163" s="30">
        <f t="shared" si="59"/>
        <v>-1921437.3450730545</v>
      </c>
      <c r="O163" s="30">
        <f t="shared" si="59"/>
        <v>3162234.5631560571</v>
      </c>
      <c r="P163" s="24">
        <f t="shared" si="57"/>
        <v>-5732754.904860327</v>
      </c>
      <c r="Q163" s="24"/>
    </row>
    <row r="164" spans="2:17" x14ac:dyDescent="0.25">
      <c r="B164" s="43" t="s">
        <v>67</v>
      </c>
      <c r="C164" s="17"/>
      <c r="D164" s="30">
        <f>D147+D155</f>
        <v>-28534.600496600498</v>
      </c>
      <c r="E164" s="30">
        <f t="shared" si="59"/>
        <v>-594069.63401453278</v>
      </c>
      <c r="F164" s="30">
        <f t="shared" si="59"/>
        <v>-575046.34237337497</v>
      </c>
      <c r="G164" s="30">
        <f t="shared" si="59"/>
        <v>-518939.08052746684</v>
      </c>
      <c r="H164" s="30">
        <f t="shared" si="59"/>
        <v>274505.15100283315</v>
      </c>
      <c r="I164" s="30">
        <f t="shared" si="59"/>
        <v>-58239.79221133329</v>
      </c>
      <c r="J164" s="30">
        <f t="shared" si="59"/>
        <v>0</v>
      </c>
      <c r="K164" s="30">
        <f t="shared" si="59"/>
        <v>0</v>
      </c>
      <c r="L164" s="30">
        <f t="shared" si="59"/>
        <v>0</v>
      </c>
      <c r="M164" s="30">
        <f t="shared" si="59"/>
        <v>25679.751250998117</v>
      </c>
      <c r="N164" s="30">
        <f t="shared" si="59"/>
        <v>-423728.80329813133</v>
      </c>
      <c r="O164" s="30">
        <f t="shared" si="59"/>
        <v>664840.06559136871</v>
      </c>
      <c r="P164" s="24">
        <f t="shared" si="57"/>
        <v>-1233533.2850762396</v>
      </c>
      <c r="Q164" s="24"/>
    </row>
    <row r="165" spans="2:17" x14ac:dyDescent="0.25">
      <c r="B165" s="43" t="s">
        <v>68</v>
      </c>
      <c r="C165" s="17"/>
      <c r="D165" s="30">
        <v>0</v>
      </c>
      <c r="E165" s="30">
        <v>0</v>
      </c>
      <c r="F165" s="30">
        <v>0</v>
      </c>
      <c r="G165" s="30">
        <v>0</v>
      </c>
      <c r="H165" s="30">
        <v>0</v>
      </c>
      <c r="I165" s="30">
        <v>0</v>
      </c>
      <c r="J165" s="30">
        <v>0</v>
      </c>
      <c r="K165" s="30">
        <v>0</v>
      </c>
      <c r="L165" s="30">
        <v>0</v>
      </c>
      <c r="M165" s="30">
        <v>0</v>
      </c>
      <c r="N165" s="30">
        <v>0</v>
      </c>
      <c r="O165" s="30">
        <v>0</v>
      </c>
      <c r="P165" s="24">
        <f t="shared" si="57"/>
        <v>0</v>
      </c>
      <c r="Q165" s="24"/>
    </row>
    <row r="166" spans="2:17" x14ac:dyDescent="0.25">
      <c r="B166" s="43" t="s">
        <v>69</v>
      </c>
      <c r="C166" s="17"/>
      <c r="D166" s="30">
        <v>0</v>
      </c>
      <c r="E166" s="30">
        <v>0</v>
      </c>
      <c r="F166" s="30">
        <v>0</v>
      </c>
      <c r="G166" s="30">
        <v>0</v>
      </c>
      <c r="H166" s="30">
        <v>0</v>
      </c>
      <c r="I166" s="30">
        <v>0</v>
      </c>
      <c r="J166" s="30">
        <v>0</v>
      </c>
      <c r="K166" s="30">
        <v>0</v>
      </c>
      <c r="L166" s="30">
        <v>0</v>
      </c>
      <c r="M166" s="30">
        <v>0</v>
      </c>
      <c r="N166" s="30">
        <v>0</v>
      </c>
      <c r="O166" s="30">
        <v>0</v>
      </c>
      <c r="P166" s="24">
        <f t="shared" si="57"/>
        <v>0</v>
      </c>
      <c r="Q166" s="24"/>
    </row>
    <row r="167" spans="2:17" x14ac:dyDescent="0.25">
      <c r="B167" s="43" t="s">
        <v>70</v>
      </c>
      <c r="C167" s="17"/>
      <c r="D167" s="30">
        <f>D151</f>
        <v>-7331.0507563333958</v>
      </c>
      <c r="E167" s="30">
        <f t="shared" ref="E167:O169" si="60">E151</f>
        <v>-139936.29320533318</v>
      </c>
      <c r="F167" s="30">
        <f t="shared" si="60"/>
        <v>-141789.5432800001</v>
      </c>
      <c r="G167" s="30">
        <f t="shared" si="60"/>
        <v>-127775.26124066673</v>
      </c>
      <c r="H167" s="30">
        <f t="shared" si="60"/>
        <v>71416.134521666681</v>
      </c>
      <c r="I167" s="30">
        <f t="shared" si="60"/>
        <v>0</v>
      </c>
      <c r="J167" s="30">
        <f t="shared" si="60"/>
        <v>0</v>
      </c>
      <c r="K167" s="30">
        <f t="shared" si="60"/>
        <v>0</v>
      </c>
      <c r="L167" s="30">
        <f t="shared" si="60"/>
        <v>0</v>
      </c>
      <c r="M167" s="30">
        <f t="shared" si="60"/>
        <v>7045.8554319995455</v>
      </c>
      <c r="N167" s="30">
        <f t="shared" si="60"/>
        <v>-97859.162538666045</v>
      </c>
      <c r="O167" s="30">
        <f t="shared" si="60"/>
        <v>153759.40408733394</v>
      </c>
      <c r="P167" s="24">
        <f t="shared" si="57"/>
        <v>-282469.91697999928</v>
      </c>
      <c r="Q167" s="24"/>
    </row>
    <row r="168" spans="2:17" x14ac:dyDescent="0.25">
      <c r="B168" s="43" t="s">
        <v>71</v>
      </c>
      <c r="C168" s="17"/>
      <c r="D168" s="30">
        <f>D152</f>
        <v>-3189.3701792333741</v>
      </c>
      <c r="E168" s="30">
        <f t="shared" si="60"/>
        <v>-64516.903435466695</v>
      </c>
      <c r="F168" s="30">
        <f t="shared" si="60"/>
        <v>-64012.999044750002</v>
      </c>
      <c r="G168" s="30">
        <f t="shared" si="60"/>
        <v>-59556.535564166727</v>
      </c>
      <c r="H168" s="30">
        <f t="shared" si="60"/>
        <v>28351.32481000002</v>
      </c>
      <c r="I168" s="30">
        <f t="shared" si="60"/>
        <v>0</v>
      </c>
      <c r="J168" s="30">
        <f t="shared" si="60"/>
        <v>0</v>
      </c>
      <c r="K168" s="30">
        <f t="shared" si="60"/>
        <v>0</v>
      </c>
      <c r="L168" s="30">
        <f t="shared" si="60"/>
        <v>0</v>
      </c>
      <c r="M168" s="30">
        <f t="shared" si="60"/>
        <v>2807.1244226665003</v>
      </c>
      <c r="N168" s="30">
        <f t="shared" si="60"/>
        <v>-42332.2938666665</v>
      </c>
      <c r="O168" s="30">
        <f t="shared" si="60"/>
        <v>65423.950309250155</v>
      </c>
      <c r="P168" s="24">
        <f t="shared" si="57"/>
        <v>-137025.70254836662</v>
      </c>
      <c r="Q168" s="24"/>
    </row>
    <row r="169" spans="2:17" x14ac:dyDescent="0.25">
      <c r="B169" s="43" t="s">
        <v>72</v>
      </c>
      <c r="C169" s="17"/>
      <c r="D169" s="30">
        <f>D153</f>
        <v>-6859.7045733332634</v>
      </c>
      <c r="E169" s="30">
        <f t="shared" si="60"/>
        <v>-147509.04143999983</v>
      </c>
      <c r="F169" s="30">
        <f t="shared" si="60"/>
        <v>-137572.21635000012</v>
      </c>
      <c r="G169" s="30">
        <f t="shared" si="60"/>
        <v>-130820.84899333306</v>
      </c>
      <c r="H169" s="30">
        <f t="shared" si="60"/>
        <v>61059.545530000003</v>
      </c>
      <c r="I169" s="30">
        <f t="shared" si="60"/>
        <v>0</v>
      </c>
      <c r="J169" s="30">
        <f t="shared" si="60"/>
        <v>0</v>
      </c>
      <c r="K169" s="30">
        <f t="shared" si="60"/>
        <v>0</v>
      </c>
      <c r="L169" s="30">
        <f t="shared" si="60"/>
        <v>0</v>
      </c>
      <c r="M169" s="30">
        <f t="shared" si="60"/>
        <v>6203.335599999642</v>
      </c>
      <c r="N169" s="30">
        <f t="shared" si="60"/>
        <v>-92833.396906666225</v>
      </c>
      <c r="O169" s="30">
        <f t="shared" si="60"/>
        <v>163081.01666000066</v>
      </c>
      <c r="P169" s="24">
        <f t="shared" si="57"/>
        <v>-285251.31047333218</v>
      </c>
      <c r="Q169" s="24"/>
    </row>
    <row r="170" spans="2:17" x14ac:dyDescent="0.25">
      <c r="B170" s="2" t="s">
        <v>73</v>
      </c>
      <c r="C170" s="17"/>
      <c r="D170" s="30">
        <v>0</v>
      </c>
      <c r="E170" s="30">
        <v>0</v>
      </c>
      <c r="F170" s="30">
        <v>0</v>
      </c>
      <c r="G170" s="30">
        <v>0</v>
      </c>
      <c r="H170" s="30">
        <v>0</v>
      </c>
      <c r="I170" s="30">
        <v>0</v>
      </c>
      <c r="J170" s="30">
        <v>0</v>
      </c>
      <c r="K170" s="30">
        <v>0</v>
      </c>
      <c r="L170" s="30">
        <v>0</v>
      </c>
      <c r="M170" s="30">
        <v>0</v>
      </c>
      <c r="N170" s="30">
        <v>0</v>
      </c>
      <c r="O170" s="30">
        <v>0</v>
      </c>
      <c r="P170" s="24">
        <f t="shared" si="57"/>
        <v>0</v>
      </c>
      <c r="Q170" s="24"/>
    </row>
    <row r="171" spans="2:17" x14ac:dyDescent="0.25">
      <c r="B171" s="2" t="s">
        <v>74</v>
      </c>
      <c r="C171" s="17"/>
      <c r="D171" s="30">
        <f>D148</f>
        <v>-2247.7358775667381</v>
      </c>
      <c r="E171" s="30">
        <f t="shared" ref="E171:O172" si="61">E148</f>
        <v>-39737.562818799866</v>
      </c>
      <c r="F171" s="30">
        <f t="shared" si="61"/>
        <v>-50953.743561875075</v>
      </c>
      <c r="G171" s="30">
        <f t="shared" si="61"/>
        <v>-36963.185818125028</v>
      </c>
      <c r="H171" s="30">
        <f t="shared" si="61"/>
        <v>15412.8632325</v>
      </c>
      <c r="I171" s="30">
        <f t="shared" si="61"/>
        <v>0</v>
      </c>
      <c r="J171" s="30">
        <f t="shared" si="61"/>
        <v>0</v>
      </c>
      <c r="K171" s="30">
        <f t="shared" si="61"/>
        <v>0</v>
      </c>
      <c r="L171" s="30">
        <f t="shared" si="61"/>
        <v>0</v>
      </c>
      <c r="M171" s="30">
        <f t="shared" si="61"/>
        <v>2452.0519099996891</v>
      </c>
      <c r="N171" s="30">
        <f t="shared" si="61"/>
        <v>-31686.513599999947</v>
      </c>
      <c r="O171" s="30">
        <f t="shared" si="61"/>
        <v>47379.578903125133</v>
      </c>
      <c r="P171" s="24">
        <f t="shared" si="57"/>
        <v>-96344.247630741826</v>
      </c>
      <c r="Q171" s="24"/>
    </row>
    <row r="172" spans="2:17" x14ac:dyDescent="0.25">
      <c r="B172" s="2" t="s">
        <v>75</v>
      </c>
      <c r="C172" s="17"/>
      <c r="D172" s="30">
        <f>D149</f>
        <v>-2142.4934776667506</v>
      </c>
      <c r="E172" s="30">
        <f t="shared" si="61"/>
        <v>-31968.536402666708</v>
      </c>
      <c r="F172" s="30">
        <f t="shared" si="61"/>
        <v>-43362.770147499861</v>
      </c>
      <c r="G172" s="30">
        <f t="shared" si="61"/>
        <v>-33125.926858499879</v>
      </c>
      <c r="H172" s="30">
        <f t="shared" si="61"/>
        <v>16753.030995999929</v>
      </c>
      <c r="I172" s="30">
        <f t="shared" si="61"/>
        <v>0</v>
      </c>
      <c r="J172" s="30">
        <f t="shared" si="61"/>
        <v>0</v>
      </c>
      <c r="K172" s="30">
        <f t="shared" si="61"/>
        <v>0</v>
      </c>
      <c r="L172" s="30">
        <f t="shared" si="61"/>
        <v>0</v>
      </c>
      <c r="M172" s="30">
        <f t="shared" si="61"/>
        <v>2110.1760166664608</v>
      </c>
      <c r="N172" s="30">
        <f t="shared" si="61"/>
        <v>-27853.985749333166</v>
      </c>
      <c r="O172" s="30">
        <f t="shared" si="61"/>
        <v>46760.856092333561</v>
      </c>
      <c r="P172" s="24">
        <f t="shared" si="57"/>
        <v>-72829.649530666415</v>
      </c>
      <c r="Q172" s="24"/>
    </row>
    <row r="173" spans="2:17" x14ac:dyDescent="0.25">
      <c r="B173" s="11" t="s">
        <v>76</v>
      </c>
      <c r="C173" s="17"/>
      <c r="D173" s="30">
        <v>0</v>
      </c>
      <c r="E173" s="30">
        <v>0</v>
      </c>
      <c r="F173" s="30">
        <v>0</v>
      </c>
      <c r="G173" s="30">
        <v>0</v>
      </c>
      <c r="H173" s="30">
        <v>0</v>
      </c>
      <c r="I173" s="30">
        <v>0</v>
      </c>
      <c r="J173" s="30">
        <v>0</v>
      </c>
      <c r="K173" s="30">
        <v>0</v>
      </c>
      <c r="L173" s="30">
        <v>0</v>
      </c>
      <c r="M173" s="30">
        <v>0</v>
      </c>
      <c r="N173" s="30">
        <v>0</v>
      </c>
      <c r="O173" s="30">
        <v>0</v>
      </c>
      <c r="P173" s="24">
        <f t="shared" si="57"/>
        <v>0</v>
      </c>
      <c r="Q173" s="24"/>
    </row>
    <row r="174" spans="2:17" x14ac:dyDescent="0.25">
      <c r="B174" s="2" t="s">
        <v>77</v>
      </c>
      <c r="C174" s="17"/>
      <c r="D174" s="30">
        <f>D150</f>
        <v>-5070.4602300000843</v>
      </c>
      <c r="E174" s="30">
        <f t="shared" ref="E174:O174" si="62">E150</f>
        <v>-112197.00664000004</v>
      </c>
      <c r="F174" s="30">
        <f t="shared" si="62"/>
        <v>-105309.27705000015</v>
      </c>
      <c r="G174" s="30">
        <f t="shared" si="62"/>
        <v>-98547.134787499905</v>
      </c>
      <c r="H174" s="30">
        <f t="shared" si="62"/>
        <v>51868.069189999995</v>
      </c>
      <c r="I174" s="30">
        <f t="shared" si="62"/>
        <v>-10881.571624999866</v>
      </c>
      <c r="J174" s="30">
        <f t="shared" si="62"/>
        <v>0</v>
      </c>
      <c r="K174" s="30">
        <f t="shared" si="62"/>
        <v>0</v>
      </c>
      <c r="L174" s="30">
        <f t="shared" si="62"/>
        <v>0</v>
      </c>
      <c r="M174" s="30">
        <f t="shared" si="62"/>
        <v>4918.2625799996313</v>
      </c>
      <c r="N174" s="30">
        <f t="shared" si="62"/>
        <v>-70304.964479999617</v>
      </c>
      <c r="O174" s="30">
        <f t="shared" si="62"/>
        <v>128599.43084250041</v>
      </c>
      <c r="P174" s="24">
        <f t="shared" si="57"/>
        <v>-216924.6521999996</v>
      </c>
      <c r="Q174" s="24"/>
    </row>
    <row r="175" spans="2:17" s="31" customFormat="1" x14ac:dyDescent="0.25">
      <c r="B175" s="45" t="s">
        <v>78</v>
      </c>
      <c r="C175" s="46"/>
      <c r="D175" s="30">
        <f>D156</f>
        <v>-11638.455180000048</v>
      </c>
      <c r="E175" s="30">
        <f t="shared" ref="E175:O175" si="63">E156</f>
        <v>-259290.75708000013</v>
      </c>
      <c r="F175" s="30">
        <f t="shared" si="63"/>
        <v>-233427.10004999954</v>
      </c>
      <c r="G175" s="30">
        <f t="shared" si="63"/>
        <v>-215932.70081250014</v>
      </c>
      <c r="H175" s="30">
        <f t="shared" si="63"/>
        <v>97668.827617499046</v>
      </c>
      <c r="I175" s="30">
        <f t="shared" si="63"/>
        <v>0</v>
      </c>
      <c r="J175" s="30">
        <f t="shared" si="63"/>
        <v>0</v>
      </c>
      <c r="K175" s="30">
        <f t="shared" si="63"/>
        <v>0</v>
      </c>
      <c r="L175" s="30">
        <f t="shared" si="63"/>
        <v>0</v>
      </c>
      <c r="M175" s="30">
        <f t="shared" si="63"/>
        <v>12210.890999999363</v>
      </c>
      <c r="N175" s="30">
        <f t="shared" si="63"/>
        <v>-172934.52671999903</v>
      </c>
      <c r="O175" s="30">
        <f t="shared" si="63"/>
        <v>257009.00079750083</v>
      </c>
      <c r="P175" s="30">
        <f t="shared" si="57"/>
        <v>-526334.82042749971</v>
      </c>
      <c r="Q175" s="30"/>
    </row>
    <row r="176" spans="2:17" x14ac:dyDescent="0.25">
      <c r="B176" s="43" t="s">
        <v>55</v>
      </c>
      <c r="C176" s="17"/>
      <c r="D176" s="40">
        <f t="shared" ref="D176:P176" si="64">SUM(D161:D175)</f>
        <v>-691396.83386034251</v>
      </c>
      <c r="E176" s="40">
        <f t="shared" si="64"/>
        <v>-14072821.79289734</v>
      </c>
      <c r="F176" s="40">
        <f t="shared" si="64"/>
        <v>-12853048.844112493</v>
      </c>
      <c r="G176" s="40">
        <f t="shared" si="64"/>
        <v>-10931382.472634748</v>
      </c>
      <c r="H176" s="40">
        <f t="shared" si="64"/>
        <v>4902841.0288338549</v>
      </c>
      <c r="I176" s="40">
        <f t="shared" si="64"/>
        <v>-874291.2168772493</v>
      </c>
      <c r="J176" s="40">
        <f t="shared" si="64"/>
        <v>0</v>
      </c>
      <c r="K176" s="40">
        <f t="shared" si="64"/>
        <v>0</v>
      </c>
      <c r="L176" s="40">
        <f t="shared" si="64"/>
        <v>-1288071.651924327</v>
      </c>
      <c r="M176" s="40">
        <f t="shared" si="64"/>
        <v>607520.44532149145</v>
      </c>
      <c r="N176" s="40">
        <f t="shared" si="64"/>
        <v>-9822439.246139681</v>
      </c>
      <c r="O176" s="40">
        <f t="shared" si="64"/>
        <v>15345006.084573682</v>
      </c>
      <c r="P176" s="40">
        <f t="shared" si="64"/>
        <v>-29678084.499717154</v>
      </c>
      <c r="Q176" s="30"/>
    </row>
    <row r="177" spans="2:17" x14ac:dyDescent="0.25">
      <c r="B177" s="47" t="s">
        <v>79</v>
      </c>
      <c r="C177" s="48"/>
      <c r="D177" s="49">
        <f>D157-D176</f>
        <v>0</v>
      </c>
      <c r="E177" s="49">
        <f t="shared" ref="E177:P177" si="65">E157-E176</f>
        <v>0</v>
      </c>
      <c r="F177" s="49">
        <f t="shared" si="65"/>
        <v>0</v>
      </c>
      <c r="G177" s="49">
        <f t="shared" si="65"/>
        <v>0</v>
      </c>
      <c r="H177" s="49">
        <f t="shared" si="65"/>
        <v>0</v>
      </c>
      <c r="I177" s="49">
        <f t="shared" si="65"/>
        <v>0</v>
      </c>
      <c r="J177" s="49">
        <f t="shared" si="65"/>
        <v>0</v>
      </c>
      <c r="K177" s="49">
        <f t="shared" si="65"/>
        <v>0</v>
      </c>
      <c r="L177" s="49">
        <f t="shared" si="65"/>
        <v>0</v>
      </c>
      <c r="M177" s="49">
        <f t="shared" si="65"/>
        <v>0</v>
      </c>
      <c r="N177" s="49">
        <f t="shared" si="65"/>
        <v>0</v>
      </c>
      <c r="O177" s="49">
        <f t="shared" si="65"/>
        <v>0</v>
      </c>
      <c r="P177" s="49">
        <f t="shared" si="65"/>
        <v>0</v>
      </c>
      <c r="Q177" s="30"/>
    </row>
    <row r="178" spans="2:17" x14ac:dyDescent="0.25">
      <c r="C178" s="17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</row>
    <row r="179" spans="2:17" x14ac:dyDescent="0.25">
      <c r="B179" s="41" t="s">
        <v>80</v>
      </c>
      <c r="C179" s="17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</row>
    <row r="180" spans="2:17" x14ac:dyDescent="0.25">
      <c r="B180" s="43" t="s">
        <v>64</v>
      </c>
      <c r="C180" s="17"/>
      <c r="D180" s="30">
        <f t="shared" ref="D180:O180" si="66">D128</f>
        <v>517.11649999999997</v>
      </c>
      <c r="E180" s="30">
        <f t="shared" si="66"/>
        <v>532</v>
      </c>
      <c r="F180" s="30">
        <f t="shared" si="66"/>
        <v>532</v>
      </c>
      <c r="G180" s="30">
        <f t="shared" si="66"/>
        <v>532</v>
      </c>
      <c r="H180" s="30">
        <f t="shared" si="66"/>
        <v>532</v>
      </c>
      <c r="I180" s="30">
        <f t="shared" si="66"/>
        <v>532</v>
      </c>
      <c r="J180" s="30">
        <f t="shared" si="66"/>
        <v>532</v>
      </c>
      <c r="K180" s="30">
        <f t="shared" si="66"/>
        <v>532</v>
      </c>
      <c r="L180" s="30">
        <f t="shared" si="66"/>
        <v>478.16700000000003</v>
      </c>
      <c r="M180" s="30">
        <f t="shared" si="66"/>
        <v>579.5</v>
      </c>
      <c r="N180" s="30">
        <f t="shared" si="66"/>
        <v>601.0335</v>
      </c>
      <c r="O180" s="30">
        <f t="shared" si="66"/>
        <v>438.26650000000001</v>
      </c>
      <c r="P180" s="24">
        <f t="shared" ref="P180:P194" si="67">SUM(D180:O180)</f>
        <v>6338.0835000000006</v>
      </c>
      <c r="Q180" s="24"/>
    </row>
    <row r="181" spans="2:17" x14ac:dyDescent="0.25">
      <c r="B181" s="43" t="s">
        <v>65</v>
      </c>
      <c r="C181" s="17"/>
      <c r="D181" s="30">
        <f>D114+D129</f>
        <v>87752299.296759009</v>
      </c>
      <c r="E181" s="30">
        <f t="shared" ref="E181:O181" si="68">E114+E129</f>
        <v>75695215.374223158</v>
      </c>
      <c r="F181" s="30">
        <f t="shared" si="68"/>
        <v>71600738.668137357</v>
      </c>
      <c r="G181" s="30">
        <f t="shared" si="68"/>
        <v>51171123.38015037</v>
      </c>
      <c r="H181" s="30">
        <f t="shared" si="68"/>
        <v>28266802.166615579</v>
      </c>
      <c r="I181" s="30">
        <f t="shared" si="68"/>
        <v>16787159.259375826</v>
      </c>
      <c r="J181" s="30">
        <f t="shared" si="68"/>
        <v>12475673.02442559</v>
      </c>
      <c r="K181" s="30">
        <f t="shared" si="68"/>
        <v>12218378.582241647</v>
      </c>
      <c r="L181" s="30">
        <f t="shared" si="68"/>
        <v>17223816.972987261</v>
      </c>
      <c r="M181" s="30">
        <f t="shared" si="68"/>
        <v>40543400.70667927</v>
      </c>
      <c r="N181" s="30">
        <f t="shared" si="68"/>
        <v>64995208.404689752</v>
      </c>
      <c r="O181" s="30">
        <f t="shared" si="68"/>
        <v>87803469.57561098</v>
      </c>
      <c r="P181" s="24">
        <f t="shared" si="67"/>
        <v>566533285.41189575</v>
      </c>
      <c r="Q181" s="24"/>
    </row>
    <row r="182" spans="2:17" x14ac:dyDescent="0.25">
      <c r="B182" s="44" t="s">
        <v>66</v>
      </c>
      <c r="C182" s="17"/>
      <c r="D182" s="30">
        <f>D115+D123</f>
        <v>32787005.006831121</v>
      </c>
      <c r="E182" s="30">
        <f t="shared" ref="E182:O183" si="69">E115+E123</f>
        <v>29516265.859555002</v>
      </c>
      <c r="F182" s="30">
        <f t="shared" si="69"/>
        <v>28501638.98092835</v>
      </c>
      <c r="G182" s="30">
        <f t="shared" si="69"/>
        <v>21540873.961294677</v>
      </c>
      <c r="H182" s="30">
        <f t="shared" si="69"/>
        <v>12268692.402554583</v>
      </c>
      <c r="I182" s="30">
        <f t="shared" si="69"/>
        <v>9978357.5856815334</v>
      </c>
      <c r="J182" s="30">
        <f t="shared" si="69"/>
        <v>8011624.7356907567</v>
      </c>
      <c r="K182" s="30">
        <f t="shared" si="69"/>
        <v>7904356.6882976498</v>
      </c>
      <c r="L182" s="30">
        <f t="shared" si="69"/>
        <v>9482059.8552993946</v>
      </c>
      <c r="M182" s="30">
        <f t="shared" si="69"/>
        <v>15847111.142793093</v>
      </c>
      <c r="N182" s="30">
        <f t="shared" si="69"/>
        <v>24977037.274315685</v>
      </c>
      <c r="O182" s="30">
        <f t="shared" si="69"/>
        <v>31680349.146660607</v>
      </c>
      <c r="P182" s="24">
        <f t="shared" si="67"/>
        <v>232495372.63990244</v>
      </c>
      <c r="Q182" s="24"/>
    </row>
    <row r="183" spans="2:17" x14ac:dyDescent="0.25">
      <c r="B183" s="43" t="s">
        <v>67</v>
      </c>
      <c r="C183" s="17"/>
      <c r="D183" s="30">
        <f>D116+D124</f>
        <v>8255859.8535145996</v>
      </c>
      <c r="E183" s="30">
        <f t="shared" si="69"/>
        <v>7951697.9578932449</v>
      </c>
      <c r="F183" s="30">
        <f t="shared" si="69"/>
        <v>8238535.6085810615</v>
      </c>
      <c r="G183" s="30">
        <f t="shared" si="69"/>
        <v>5778287.9638875034</v>
      </c>
      <c r="H183" s="30">
        <f t="shared" si="69"/>
        <v>4546280.7040374633</v>
      </c>
      <c r="I183" s="30">
        <f t="shared" si="69"/>
        <v>3843074.1624731841</v>
      </c>
      <c r="J183" s="30">
        <f t="shared" si="69"/>
        <v>2905667.575164564</v>
      </c>
      <c r="K183" s="30">
        <f t="shared" si="69"/>
        <v>2795234.2008494399</v>
      </c>
      <c r="L183" s="30">
        <f t="shared" si="69"/>
        <v>3400258.5483004609</v>
      </c>
      <c r="M183" s="30">
        <f t="shared" si="69"/>
        <v>5069143.4239119366</v>
      </c>
      <c r="N183" s="30">
        <f t="shared" si="69"/>
        <v>7762077.715739035</v>
      </c>
      <c r="O183" s="30">
        <f t="shared" si="69"/>
        <v>7357509.8636475662</v>
      </c>
      <c r="P183" s="24">
        <f t="shared" si="67"/>
        <v>67903627.578000069</v>
      </c>
      <c r="Q183" s="24"/>
    </row>
    <row r="184" spans="2:17" x14ac:dyDescent="0.25">
      <c r="B184" s="43" t="s">
        <v>68</v>
      </c>
      <c r="C184" s="17"/>
      <c r="D184" s="30">
        <f t="shared" ref="D184:O184" si="70">D130</f>
        <v>0</v>
      </c>
      <c r="E184" s="30">
        <f t="shared" si="70"/>
        <v>0</v>
      </c>
      <c r="F184" s="30">
        <f t="shared" si="70"/>
        <v>0</v>
      </c>
      <c r="G184" s="30">
        <f t="shared" si="70"/>
        <v>0</v>
      </c>
      <c r="H184" s="30">
        <f t="shared" si="70"/>
        <v>0</v>
      </c>
      <c r="I184" s="30">
        <f t="shared" si="70"/>
        <v>0</v>
      </c>
      <c r="J184" s="30">
        <f t="shared" si="70"/>
        <v>0</v>
      </c>
      <c r="K184" s="30">
        <f t="shared" si="70"/>
        <v>0</v>
      </c>
      <c r="L184" s="30">
        <f t="shared" si="70"/>
        <v>0</v>
      </c>
      <c r="M184" s="30">
        <f t="shared" si="70"/>
        <v>0</v>
      </c>
      <c r="N184" s="30">
        <f t="shared" si="70"/>
        <v>0</v>
      </c>
      <c r="O184" s="30">
        <f t="shared" si="70"/>
        <v>0</v>
      </c>
      <c r="P184" s="24">
        <f t="shared" si="67"/>
        <v>0</v>
      </c>
      <c r="Q184" s="24"/>
    </row>
    <row r="185" spans="2:17" x14ac:dyDescent="0.25">
      <c r="B185" s="43" t="s">
        <v>69</v>
      </c>
      <c r="C185" s="17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24">
        <f t="shared" si="67"/>
        <v>0</v>
      </c>
      <c r="Q185" s="24"/>
    </row>
    <row r="186" spans="2:17" x14ac:dyDescent="0.25">
      <c r="B186" s="154" t="s">
        <v>70</v>
      </c>
      <c r="C186" s="17"/>
      <c r="D186" s="30">
        <f>D120+D133</f>
        <v>2611139.3176225862</v>
      </c>
      <c r="E186" s="30">
        <f t="shared" ref="E186:O188" si="71">E120+E133</f>
        <v>2050921.7160164667</v>
      </c>
      <c r="F186" s="30">
        <f t="shared" si="71"/>
        <v>2444691.3933493397</v>
      </c>
      <c r="G186" s="30">
        <f t="shared" si="71"/>
        <v>2588626.3621984739</v>
      </c>
      <c r="H186" s="30">
        <f t="shared" si="71"/>
        <v>1299367.7292833272</v>
      </c>
      <c r="I186" s="30">
        <f t="shared" si="71"/>
        <v>1483111.2595095132</v>
      </c>
      <c r="J186" s="30">
        <f t="shared" si="71"/>
        <v>811672.79147220484</v>
      </c>
      <c r="K186" s="30">
        <f t="shared" si="71"/>
        <v>1841188.837359969</v>
      </c>
      <c r="L186" s="30">
        <f t="shared" si="71"/>
        <v>1476275.515803132</v>
      </c>
      <c r="M186" s="30">
        <f t="shared" si="71"/>
        <v>1394895.9953661496</v>
      </c>
      <c r="N186" s="30">
        <f t="shared" si="71"/>
        <v>1947228.482806918</v>
      </c>
      <c r="O186" s="30">
        <f t="shared" si="71"/>
        <v>2565001.5782722249</v>
      </c>
      <c r="P186" s="24">
        <f t="shared" si="67"/>
        <v>22514120.979060303</v>
      </c>
      <c r="Q186" s="24"/>
    </row>
    <row r="187" spans="2:17" x14ac:dyDescent="0.25">
      <c r="B187" s="43" t="s">
        <v>71</v>
      </c>
      <c r="C187" s="17"/>
      <c r="D187" s="30">
        <f>D121+D134</f>
        <v>880110.25852526422</v>
      </c>
      <c r="E187" s="30">
        <f t="shared" si="71"/>
        <v>692787.97030061018</v>
      </c>
      <c r="F187" s="30">
        <f t="shared" si="71"/>
        <v>717394.62191394728</v>
      </c>
      <c r="G187" s="30">
        <f t="shared" si="71"/>
        <v>569563.15837696288</v>
      </c>
      <c r="H187" s="30">
        <f t="shared" si="71"/>
        <v>439816.21966002573</v>
      </c>
      <c r="I187" s="30">
        <f t="shared" si="71"/>
        <v>226595.15091178674</v>
      </c>
      <c r="J187" s="30">
        <f t="shared" si="71"/>
        <v>155545.50608722281</v>
      </c>
      <c r="K187" s="30">
        <f t="shared" si="71"/>
        <v>142671.90023060879</v>
      </c>
      <c r="L187" s="30">
        <f t="shared" si="71"/>
        <v>201433.25756713082</v>
      </c>
      <c r="M187" s="30">
        <f t="shared" si="71"/>
        <v>385071.14368790324</v>
      </c>
      <c r="N187" s="30">
        <f t="shared" si="71"/>
        <v>559764.37824599782</v>
      </c>
      <c r="O187" s="30">
        <f t="shared" si="71"/>
        <v>646449.07956408104</v>
      </c>
      <c r="P187" s="24">
        <f t="shared" si="67"/>
        <v>5617202.6450715419</v>
      </c>
      <c r="Q187" s="24"/>
    </row>
    <row r="188" spans="2:17" x14ac:dyDescent="0.25">
      <c r="B188" s="154" t="s">
        <v>72</v>
      </c>
      <c r="C188" s="17"/>
      <c r="D188" s="30">
        <f>D122+D135</f>
        <v>3562476.197426667</v>
      </c>
      <c r="E188" s="30">
        <f t="shared" si="71"/>
        <v>4177225.5040600011</v>
      </c>
      <c r="F188" s="30">
        <f t="shared" si="71"/>
        <v>-1061637.0763500002</v>
      </c>
      <c r="G188" s="30">
        <f t="shared" si="71"/>
        <v>4747175.736506667</v>
      </c>
      <c r="H188" s="30">
        <f t="shared" si="71"/>
        <v>-979875.83947000001</v>
      </c>
      <c r="I188" s="30">
        <f t="shared" si="71"/>
        <v>1626842.2785</v>
      </c>
      <c r="J188" s="30">
        <f t="shared" si="71"/>
        <v>907108.32249999989</v>
      </c>
      <c r="K188" s="30">
        <f t="shared" si="71"/>
        <v>1003583.997</v>
      </c>
      <c r="L188" s="30">
        <f t="shared" si="71"/>
        <v>780582.4155</v>
      </c>
      <c r="M188" s="30">
        <f t="shared" si="71"/>
        <v>1497856.5155999998</v>
      </c>
      <c r="N188" s="30">
        <f t="shared" si="71"/>
        <v>1629059.7405933337</v>
      </c>
      <c r="O188" s="30">
        <f t="shared" si="71"/>
        <v>2549087.9191600005</v>
      </c>
      <c r="P188" s="24">
        <f t="shared" si="67"/>
        <v>20439485.711026669</v>
      </c>
      <c r="Q188" s="24"/>
    </row>
    <row r="189" spans="2:17" x14ac:dyDescent="0.25">
      <c r="B189" s="2" t="s">
        <v>73</v>
      </c>
      <c r="C189" s="17"/>
      <c r="D189" s="30">
        <f t="shared" ref="D189:O189" si="72">D131</f>
        <v>527.80999999999995</v>
      </c>
      <c r="E189" s="30">
        <f t="shared" si="72"/>
        <v>60.5</v>
      </c>
      <c r="F189" s="30">
        <f t="shared" si="72"/>
        <v>0</v>
      </c>
      <c r="G189" s="30">
        <f t="shared" si="72"/>
        <v>0</v>
      </c>
      <c r="H189" s="30">
        <f t="shared" si="72"/>
        <v>0</v>
      </c>
      <c r="I189" s="30">
        <f t="shared" si="72"/>
        <v>0</v>
      </c>
      <c r="J189" s="30">
        <f t="shared" si="72"/>
        <v>0</v>
      </c>
      <c r="K189" s="30">
        <f t="shared" si="72"/>
        <v>0</v>
      </c>
      <c r="L189" s="30">
        <f t="shared" si="72"/>
        <v>0</v>
      </c>
      <c r="M189" s="30">
        <f t="shared" si="72"/>
        <v>0</v>
      </c>
      <c r="N189" s="30">
        <f t="shared" si="72"/>
        <v>0</v>
      </c>
      <c r="O189" s="30">
        <f t="shared" si="72"/>
        <v>0</v>
      </c>
      <c r="P189" s="24">
        <f t="shared" si="67"/>
        <v>588.30999999999995</v>
      </c>
      <c r="Q189" s="24"/>
    </row>
    <row r="190" spans="2:17" x14ac:dyDescent="0.25">
      <c r="B190" s="2" t="s">
        <v>74</v>
      </c>
      <c r="C190" s="17"/>
      <c r="D190" s="30">
        <f>D117+D136</f>
        <v>2140100.5541224331</v>
      </c>
      <c r="E190" s="30">
        <f t="shared" ref="E190:O191" si="73">E117+E136</f>
        <v>1558727.5271812005</v>
      </c>
      <c r="F190" s="30">
        <f t="shared" si="73"/>
        <v>2125176.6864381246</v>
      </c>
      <c r="G190" s="30">
        <f t="shared" si="73"/>
        <v>3235775.6541818753</v>
      </c>
      <c r="H190" s="30">
        <f t="shared" si="73"/>
        <v>335953.78323249973</v>
      </c>
      <c r="I190" s="30">
        <f t="shared" si="73"/>
        <v>1597824.5200000003</v>
      </c>
      <c r="J190" s="30">
        <f t="shared" si="73"/>
        <v>1479486.8199999998</v>
      </c>
      <c r="K190" s="30">
        <f t="shared" si="73"/>
        <v>1250226.92</v>
      </c>
      <c r="L190" s="30">
        <f t="shared" si="73"/>
        <v>1775736.36</v>
      </c>
      <c r="M190" s="30">
        <f t="shared" si="73"/>
        <v>1718918.3319099997</v>
      </c>
      <c r="N190" s="30">
        <f t="shared" si="73"/>
        <v>1668025.5264000001</v>
      </c>
      <c r="O190" s="30">
        <f t="shared" si="73"/>
        <v>1980936.2189031253</v>
      </c>
      <c r="P190" s="24">
        <f t="shared" si="67"/>
        <v>20866888.902369257</v>
      </c>
      <c r="Q190" s="24"/>
    </row>
    <row r="191" spans="2:17" x14ac:dyDescent="0.25">
      <c r="B191" s="149" t="s">
        <v>75</v>
      </c>
      <c r="C191" s="17"/>
      <c r="D191" s="30">
        <f>D118+D137</f>
        <v>4768934.4065223336</v>
      </c>
      <c r="E191" s="30">
        <f t="shared" si="73"/>
        <v>3601349.5235973331</v>
      </c>
      <c r="F191" s="30">
        <f t="shared" si="73"/>
        <v>6535431.4298524996</v>
      </c>
      <c r="G191" s="30">
        <f t="shared" si="73"/>
        <v>8436606.6631415002</v>
      </c>
      <c r="H191" s="30">
        <f t="shared" si="73"/>
        <v>3165896.2509959997</v>
      </c>
      <c r="I191" s="30">
        <f t="shared" si="73"/>
        <v>2345625.5900000008</v>
      </c>
      <c r="J191" s="30">
        <f t="shared" si="73"/>
        <v>4384118.4399999995</v>
      </c>
      <c r="K191" s="30">
        <f t="shared" si="73"/>
        <v>4424010.79</v>
      </c>
      <c r="L191" s="30">
        <f t="shared" si="73"/>
        <v>5033402</v>
      </c>
      <c r="M191" s="30">
        <f t="shared" si="73"/>
        <v>5145474.3660166655</v>
      </c>
      <c r="N191" s="30">
        <f t="shared" si="73"/>
        <v>4923633.8742506662</v>
      </c>
      <c r="O191" s="30">
        <f t="shared" si="73"/>
        <v>5180565.6260923333</v>
      </c>
      <c r="P191" s="24">
        <f t="shared" si="67"/>
        <v>57945048.960469335</v>
      </c>
      <c r="Q191" s="24"/>
    </row>
    <row r="192" spans="2:17" x14ac:dyDescent="0.25">
      <c r="B192" s="11" t="s">
        <v>81</v>
      </c>
      <c r="C192" s="17"/>
      <c r="D192" s="30">
        <f t="shared" ref="D192:O192" si="74">D138+D132</f>
        <v>361653.32</v>
      </c>
      <c r="E192" s="30">
        <f t="shared" si="74"/>
        <v>204540.56</v>
      </c>
      <c r="F192" s="30">
        <f t="shared" si="74"/>
        <v>115073.89</v>
      </c>
      <c r="G192" s="30">
        <f t="shared" si="74"/>
        <v>274351.99</v>
      </c>
      <c r="H192" s="30">
        <f t="shared" si="74"/>
        <v>10712.070000000011</v>
      </c>
      <c r="I192" s="30">
        <f t="shared" si="74"/>
        <v>168813.03999999998</v>
      </c>
      <c r="J192" s="30">
        <f t="shared" si="74"/>
        <v>159235</v>
      </c>
      <c r="K192" s="30">
        <f t="shared" si="74"/>
        <v>198103.7</v>
      </c>
      <c r="L192" s="30">
        <f t="shared" si="74"/>
        <v>113608.76</v>
      </c>
      <c r="M192" s="30">
        <f t="shared" si="74"/>
        <v>95125.420000000013</v>
      </c>
      <c r="N192" s="30">
        <f t="shared" si="74"/>
        <v>63320.320000000007</v>
      </c>
      <c r="O192" s="30">
        <f t="shared" si="74"/>
        <v>44367.169999999991</v>
      </c>
      <c r="P192" s="24">
        <f t="shared" si="67"/>
        <v>1808905.24</v>
      </c>
      <c r="Q192" s="24"/>
    </row>
    <row r="193" spans="2:17" x14ac:dyDescent="0.25">
      <c r="B193" s="149" t="s">
        <v>77</v>
      </c>
      <c r="C193" s="17"/>
      <c r="D193" s="30">
        <f>D119+D139</f>
        <v>9494626.7997700013</v>
      </c>
      <c r="E193" s="30">
        <f t="shared" ref="E193:O193" si="75">E119+E139</f>
        <v>5915210.0033599995</v>
      </c>
      <c r="F193" s="30">
        <f t="shared" si="75"/>
        <v>6007206.2329499982</v>
      </c>
      <c r="G193" s="30">
        <f t="shared" si="75"/>
        <v>11889981.9552125</v>
      </c>
      <c r="H193" s="30">
        <f t="shared" si="75"/>
        <v>9170372.329189999</v>
      </c>
      <c r="I193" s="30">
        <f t="shared" si="75"/>
        <v>890540.01837499859</v>
      </c>
      <c r="J193" s="30">
        <f t="shared" si="75"/>
        <v>11398642.710000001</v>
      </c>
      <c r="K193" s="30">
        <f t="shared" si="75"/>
        <v>6893360.7199999997</v>
      </c>
      <c r="L193" s="30">
        <f t="shared" si="75"/>
        <v>5470598.8199999994</v>
      </c>
      <c r="M193" s="30">
        <f t="shared" si="75"/>
        <v>8108010.752580001</v>
      </c>
      <c r="N193" s="30">
        <f t="shared" si="75"/>
        <v>6418330.6955199987</v>
      </c>
      <c r="O193" s="30">
        <f t="shared" si="75"/>
        <v>7414643.1908425009</v>
      </c>
      <c r="P193" s="24">
        <f t="shared" si="67"/>
        <v>89071524.227799997</v>
      </c>
      <c r="Q193" s="24"/>
    </row>
    <row r="194" spans="2:17" s="31" customFormat="1" x14ac:dyDescent="0.25">
      <c r="B194" s="155" t="s">
        <v>78</v>
      </c>
      <c r="C194" s="46"/>
      <c r="D194" s="30">
        <f>D125</f>
        <v>3692758.79482</v>
      </c>
      <c r="E194" s="30">
        <f t="shared" ref="E194:O194" si="76">E125</f>
        <v>1112060.65292</v>
      </c>
      <c r="F194" s="30">
        <f t="shared" si="76"/>
        <v>5798700.9299500007</v>
      </c>
      <c r="G194" s="30">
        <f t="shared" si="76"/>
        <v>-181635.61081253138</v>
      </c>
      <c r="H194" s="30">
        <f t="shared" si="76"/>
        <v>5178931.1576175354</v>
      </c>
      <c r="I194" s="30">
        <f t="shared" si="76"/>
        <v>1839517.6399999997</v>
      </c>
      <c r="J194" s="30">
        <f t="shared" si="76"/>
        <v>1681835.35</v>
      </c>
      <c r="K194" s="30">
        <f t="shared" si="76"/>
        <v>1653340.1099999999</v>
      </c>
      <c r="L194" s="30">
        <f t="shared" si="76"/>
        <v>1784397.1</v>
      </c>
      <c r="M194" s="30">
        <f t="shared" si="76"/>
        <v>2451147.8409999991</v>
      </c>
      <c r="N194" s="30">
        <f t="shared" si="76"/>
        <v>3506197.4932800005</v>
      </c>
      <c r="O194" s="30">
        <f t="shared" si="76"/>
        <v>-7079771.5392024983</v>
      </c>
      <c r="P194" s="24">
        <f t="shared" si="67"/>
        <v>21437479.91957251</v>
      </c>
      <c r="Q194" s="30"/>
    </row>
    <row r="195" spans="2:17" x14ac:dyDescent="0.25">
      <c r="B195" s="43" t="s">
        <v>82</v>
      </c>
      <c r="C195" s="17"/>
      <c r="D195" s="40">
        <f t="shared" ref="D195:P195" si="77">SUM(D180:D194)</f>
        <v>156308008.73241401</v>
      </c>
      <c r="E195" s="40">
        <f t="shared" si="77"/>
        <v>132476595.14910701</v>
      </c>
      <c r="F195" s="40">
        <f t="shared" si="77"/>
        <v>131023483.36575069</v>
      </c>
      <c r="G195" s="40">
        <f t="shared" si="77"/>
        <v>110051263.21413799</v>
      </c>
      <c r="H195" s="40">
        <f t="shared" si="77"/>
        <v>63703480.973717019</v>
      </c>
      <c r="I195" s="40">
        <f t="shared" si="77"/>
        <v>40787992.504826851</v>
      </c>
      <c r="J195" s="40">
        <f t="shared" si="77"/>
        <v>44371142.275340341</v>
      </c>
      <c r="K195" s="40">
        <f t="shared" si="77"/>
        <v>40324988.44597932</v>
      </c>
      <c r="L195" s="40">
        <f t="shared" si="77"/>
        <v>46742647.772457376</v>
      </c>
      <c r="M195" s="40">
        <f t="shared" si="77"/>
        <v>82256735.139545023</v>
      </c>
      <c r="N195" s="40">
        <f t="shared" si="77"/>
        <v>118450484.93934137</v>
      </c>
      <c r="O195" s="40">
        <f t="shared" si="77"/>
        <v>140143046.09605092</v>
      </c>
      <c r="P195" s="40">
        <f t="shared" si="77"/>
        <v>1106639868.6086679</v>
      </c>
      <c r="Q195" s="30"/>
    </row>
    <row r="196" spans="2:17" x14ac:dyDescent="0.25">
      <c r="B196" s="47" t="s">
        <v>79</v>
      </c>
      <c r="C196" s="48"/>
      <c r="D196" s="49">
        <f t="shared" ref="D196:P196" si="78">D195-D142</f>
        <v>0</v>
      </c>
      <c r="E196" s="49">
        <f t="shared" si="78"/>
        <v>0</v>
      </c>
      <c r="F196" s="49">
        <f t="shared" si="78"/>
        <v>0</v>
      </c>
      <c r="G196" s="49">
        <f t="shared" si="78"/>
        <v>0</v>
      </c>
      <c r="H196" s="49">
        <f t="shared" si="78"/>
        <v>0</v>
      </c>
      <c r="I196" s="49">
        <f t="shared" si="78"/>
        <v>0</v>
      </c>
      <c r="J196" s="49">
        <f t="shared" si="78"/>
        <v>0</v>
      </c>
      <c r="K196" s="49">
        <f t="shared" si="78"/>
        <v>0</v>
      </c>
      <c r="L196" s="49">
        <f t="shared" si="78"/>
        <v>0</v>
      </c>
      <c r="M196" s="49">
        <f t="shared" si="78"/>
        <v>0</v>
      </c>
      <c r="N196" s="49">
        <f t="shared" si="78"/>
        <v>0</v>
      </c>
      <c r="O196" s="49">
        <f t="shared" si="78"/>
        <v>0</v>
      </c>
      <c r="P196" s="49">
        <f t="shared" si="78"/>
        <v>0</v>
      </c>
      <c r="Q196" s="30"/>
    </row>
    <row r="197" spans="2:17" x14ac:dyDescent="0.25">
      <c r="B197" s="152" t="s">
        <v>104</v>
      </c>
      <c r="C197" s="150"/>
      <c r="D197" s="156">
        <f>D186+D188+D191+D193+D194</f>
        <v>24129935.516161587</v>
      </c>
      <c r="E197" s="156">
        <f t="shared" ref="E197:P197" si="79">E186+E188+E191+E193+E194</f>
        <v>16856767.399953801</v>
      </c>
      <c r="F197" s="156">
        <f t="shared" si="79"/>
        <v>19724392.90975184</v>
      </c>
      <c r="G197" s="156">
        <f t="shared" si="79"/>
        <v>27480755.106246613</v>
      </c>
      <c r="H197" s="156">
        <f t="shared" si="79"/>
        <v>17834691.62761686</v>
      </c>
      <c r="I197" s="156">
        <f t="shared" si="79"/>
        <v>8185636.7863845127</v>
      </c>
      <c r="J197" s="156">
        <f t="shared" si="79"/>
        <v>19183377.613972206</v>
      </c>
      <c r="K197" s="156">
        <f t="shared" si="79"/>
        <v>15815484.454359967</v>
      </c>
      <c r="L197" s="156">
        <f t="shared" si="79"/>
        <v>14545255.851303132</v>
      </c>
      <c r="M197" s="156">
        <f t="shared" si="79"/>
        <v>18597385.470562816</v>
      </c>
      <c r="N197" s="156">
        <f t="shared" si="79"/>
        <v>18424450.286450919</v>
      </c>
      <c r="O197" s="156">
        <f t="shared" si="79"/>
        <v>10629526.775164561</v>
      </c>
      <c r="P197" s="156">
        <f t="shared" si="79"/>
        <v>211407659.79792881</v>
      </c>
      <c r="Q197" s="30"/>
    </row>
    <row r="198" spans="2:17" x14ac:dyDescent="0.25">
      <c r="B198" s="41" t="s">
        <v>83</v>
      </c>
      <c r="C198" s="17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</row>
    <row r="199" spans="2:17" s="11" customFormat="1" x14ac:dyDescent="0.25">
      <c r="B199" s="45" t="s">
        <v>84</v>
      </c>
      <c r="C199" s="12"/>
      <c r="D199" s="22">
        <f t="shared" ref="D199:O199" si="80">SUM(D36:D38)</f>
        <v>813479</v>
      </c>
      <c r="E199" s="22">
        <f t="shared" si="80"/>
        <v>814245</v>
      </c>
      <c r="F199" s="22">
        <f t="shared" si="80"/>
        <v>814697</v>
      </c>
      <c r="G199" s="22">
        <f t="shared" si="80"/>
        <v>814920</v>
      </c>
      <c r="H199" s="22">
        <f t="shared" si="80"/>
        <v>815058</v>
      </c>
      <c r="I199" s="22">
        <f t="shared" si="80"/>
        <v>815310</v>
      </c>
      <c r="J199" s="22">
        <f t="shared" si="80"/>
        <v>815073</v>
      </c>
      <c r="K199" s="22">
        <f t="shared" si="80"/>
        <v>815376</v>
      </c>
      <c r="L199" s="22">
        <f t="shared" si="80"/>
        <v>815675</v>
      </c>
      <c r="M199" s="22">
        <f t="shared" si="80"/>
        <v>816336</v>
      </c>
      <c r="N199" s="22">
        <f t="shared" si="80"/>
        <v>817290</v>
      </c>
      <c r="O199" s="22">
        <f t="shared" si="80"/>
        <v>817983</v>
      </c>
      <c r="P199" s="22">
        <f t="shared" ref="P199:P212" si="81">SUM(D199:O199)</f>
        <v>9785442</v>
      </c>
      <c r="Q199" s="22"/>
    </row>
    <row r="200" spans="2:17" s="11" customFormat="1" x14ac:dyDescent="0.25">
      <c r="B200" s="44" t="s">
        <v>66</v>
      </c>
      <c r="C200" s="12"/>
      <c r="D200" s="22">
        <f t="shared" ref="D200:O200" si="82">SUM(D40,D47)</f>
        <v>57969</v>
      </c>
      <c r="E200" s="22">
        <f t="shared" si="82"/>
        <v>58011</v>
      </c>
      <c r="F200" s="22">
        <f t="shared" si="82"/>
        <v>58046</v>
      </c>
      <c r="G200" s="22">
        <f t="shared" si="82"/>
        <v>58040</v>
      </c>
      <c r="H200" s="22">
        <f t="shared" si="82"/>
        <v>57999</v>
      </c>
      <c r="I200" s="22">
        <f t="shared" si="82"/>
        <v>57920</v>
      </c>
      <c r="J200" s="22">
        <f t="shared" si="82"/>
        <v>57862</v>
      </c>
      <c r="K200" s="22">
        <f t="shared" si="82"/>
        <v>57806</v>
      </c>
      <c r="L200" s="22">
        <f t="shared" si="82"/>
        <v>57786</v>
      </c>
      <c r="M200" s="22">
        <f t="shared" si="82"/>
        <v>57789</v>
      </c>
      <c r="N200" s="22">
        <f t="shared" si="82"/>
        <v>57880</v>
      </c>
      <c r="O200" s="22">
        <f t="shared" si="82"/>
        <v>57955</v>
      </c>
      <c r="P200" s="22">
        <f t="shared" si="81"/>
        <v>695063</v>
      </c>
      <c r="Q200" s="22"/>
    </row>
    <row r="201" spans="2:17" x14ac:dyDescent="0.25">
      <c r="B201" s="45" t="s">
        <v>67</v>
      </c>
      <c r="C201" s="17"/>
      <c r="D201" s="30">
        <f t="shared" ref="D201:O201" si="83">D41+D48</f>
        <v>1242</v>
      </c>
      <c r="E201" s="30">
        <f t="shared" si="83"/>
        <v>1247</v>
      </c>
      <c r="F201" s="30">
        <f t="shared" si="83"/>
        <v>1255</v>
      </c>
      <c r="G201" s="30">
        <f t="shared" si="83"/>
        <v>1249</v>
      </c>
      <c r="H201" s="30">
        <f t="shared" si="83"/>
        <v>1257</v>
      </c>
      <c r="I201" s="30">
        <f t="shared" si="83"/>
        <v>1261</v>
      </c>
      <c r="J201" s="30">
        <f t="shared" si="83"/>
        <v>1263</v>
      </c>
      <c r="K201" s="30">
        <f t="shared" si="83"/>
        <v>1283</v>
      </c>
      <c r="L201" s="30">
        <f t="shared" si="83"/>
        <v>1285</v>
      </c>
      <c r="M201" s="30">
        <f t="shared" si="83"/>
        <v>1287</v>
      </c>
      <c r="N201" s="30">
        <f t="shared" si="83"/>
        <v>1321</v>
      </c>
      <c r="O201" s="30">
        <f t="shared" si="83"/>
        <v>1320</v>
      </c>
      <c r="P201" s="30">
        <f t="shared" si="81"/>
        <v>15270</v>
      </c>
      <c r="Q201" s="30"/>
    </row>
    <row r="202" spans="2:17" x14ac:dyDescent="0.25">
      <c r="B202" s="43" t="s">
        <v>68</v>
      </c>
      <c r="C202" s="17"/>
      <c r="D202" s="30">
        <f t="shared" ref="D202:O202" si="84">D42</f>
        <v>0</v>
      </c>
      <c r="E202" s="30">
        <f t="shared" si="84"/>
        <v>0</v>
      </c>
      <c r="F202" s="30">
        <f t="shared" si="84"/>
        <v>0</v>
      </c>
      <c r="G202" s="30">
        <f t="shared" si="84"/>
        <v>0</v>
      </c>
      <c r="H202" s="30">
        <f t="shared" si="84"/>
        <v>0</v>
      </c>
      <c r="I202" s="30">
        <f t="shared" si="84"/>
        <v>0</v>
      </c>
      <c r="J202" s="30">
        <f t="shared" si="84"/>
        <v>0</v>
      </c>
      <c r="K202" s="30">
        <f t="shared" si="84"/>
        <v>0</v>
      </c>
      <c r="L202" s="30">
        <f t="shared" si="84"/>
        <v>0</v>
      </c>
      <c r="M202" s="30">
        <f t="shared" si="84"/>
        <v>0</v>
      </c>
      <c r="N202" s="30">
        <f t="shared" si="84"/>
        <v>0</v>
      </c>
      <c r="O202" s="30">
        <f t="shared" si="84"/>
        <v>0</v>
      </c>
      <c r="P202" s="30">
        <f t="shared" si="81"/>
        <v>0</v>
      </c>
      <c r="Q202" s="30"/>
    </row>
    <row r="203" spans="2:17" x14ac:dyDescent="0.25">
      <c r="B203" s="45" t="s">
        <v>85</v>
      </c>
      <c r="C203" s="17"/>
      <c r="D203" s="30">
        <f t="shared" ref="D203:O203" si="85">SUM(D39,D43,D49)</f>
        <v>0</v>
      </c>
      <c r="E203" s="30">
        <f t="shared" si="85"/>
        <v>0</v>
      </c>
      <c r="F203" s="30">
        <f t="shared" si="85"/>
        <v>0</v>
      </c>
      <c r="G203" s="30">
        <f t="shared" si="85"/>
        <v>0</v>
      </c>
      <c r="H203" s="30">
        <f t="shared" si="85"/>
        <v>0</v>
      </c>
      <c r="I203" s="30">
        <f t="shared" si="85"/>
        <v>0</v>
      </c>
      <c r="J203" s="30">
        <f t="shared" si="85"/>
        <v>0</v>
      </c>
      <c r="K203" s="30">
        <f t="shared" si="85"/>
        <v>0</v>
      </c>
      <c r="L203" s="30">
        <f t="shared" si="85"/>
        <v>0</v>
      </c>
      <c r="M203" s="30">
        <f t="shared" si="85"/>
        <v>0</v>
      </c>
      <c r="N203" s="30">
        <f t="shared" si="85"/>
        <v>0</v>
      </c>
      <c r="O203" s="30">
        <f t="shared" si="85"/>
        <v>0</v>
      </c>
      <c r="P203" s="30">
        <f t="shared" si="81"/>
        <v>0</v>
      </c>
      <c r="Q203" s="30"/>
    </row>
    <row r="204" spans="2:17" x14ac:dyDescent="0.25">
      <c r="B204" s="45" t="s">
        <v>70</v>
      </c>
      <c r="C204" s="17"/>
      <c r="D204" s="30">
        <f t="shared" ref="D204:O206" si="86">D44+D50</f>
        <v>35</v>
      </c>
      <c r="E204" s="30">
        <f t="shared" si="86"/>
        <v>34</v>
      </c>
      <c r="F204" s="30">
        <f t="shared" si="86"/>
        <v>34</v>
      </c>
      <c r="G204" s="30">
        <f t="shared" si="86"/>
        <v>33</v>
      </c>
      <c r="H204" s="30">
        <f t="shared" si="86"/>
        <v>33</v>
      </c>
      <c r="I204" s="30">
        <f t="shared" si="86"/>
        <v>33</v>
      </c>
      <c r="J204" s="30">
        <f t="shared" si="86"/>
        <v>33</v>
      </c>
      <c r="K204" s="30">
        <f t="shared" si="86"/>
        <v>33</v>
      </c>
      <c r="L204" s="30">
        <f t="shared" si="86"/>
        <v>33</v>
      </c>
      <c r="M204" s="30">
        <f t="shared" si="86"/>
        <v>33</v>
      </c>
      <c r="N204" s="30">
        <f t="shared" si="86"/>
        <v>33</v>
      </c>
      <c r="O204" s="30">
        <f t="shared" si="86"/>
        <v>33</v>
      </c>
      <c r="P204" s="30">
        <f t="shared" si="81"/>
        <v>400</v>
      </c>
      <c r="Q204" s="30"/>
    </row>
    <row r="205" spans="2:17" x14ac:dyDescent="0.25">
      <c r="B205" s="45" t="s">
        <v>71</v>
      </c>
      <c r="C205" s="17"/>
      <c r="D205" s="30">
        <f t="shared" si="86"/>
        <v>107</v>
      </c>
      <c r="E205" s="30">
        <f t="shared" si="86"/>
        <v>107</v>
      </c>
      <c r="F205" s="30">
        <f t="shared" si="86"/>
        <v>107</v>
      </c>
      <c r="G205" s="30">
        <f t="shared" si="86"/>
        <v>106</v>
      </c>
      <c r="H205" s="30">
        <f t="shared" si="86"/>
        <v>106</v>
      </c>
      <c r="I205" s="30">
        <f t="shared" si="86"/>
        <v>105</v>
      </c>
      <c r="J205" s="30">
        <f t="shared" si="86"/>
        <v>105</v>
      </c>
      <c r="K205" s="30">
        <f t="shared" si="86"/>
        <v>105</v>
      </c>
      <c r="L205" s="30">
        <f t="shared" si="86"/>
        <v>104</v>
      </c>
      <c r="M205" s="30">
        <f t="shared" si="86"/>
        <v>101</v>
      </c>
      <c r="N205" s="30">
        <f t="shared" si="86"/>
        <v>101</v>
      </c>
      <c r="O205" s="30">
        <f t="shared" si="86"/>
        <v>101</v>
      </c>
      <c r="P205" s="30">
        <f t="shared" si="81"/>
        <v>1255</v>
      </c>
      <c r="Q205" s="30"/>
    </row>
    <row r="206" spans="2:17" x14ac:dyDescent="0.25">
      <c r="B206" s="45" t="s">
        <v>72</v>
      </c>
      <c r="C206" s="17"/>
      <c r="D206" s="30">
        <f t="shared" si="86"/>
        <v>4</v>
      </c>
      <c r="E206" s="30">
        <f t="shared" si="86"/>
        <v>4</v>
      </c>
      <c r="F206" s="30">
        <f t="shared" si="86"/>
        <v>4</v>
      </c>
      <c r="G206" s="30">
        <f t="shared" si="86"/>
        <v>4</v>
      </c>
      <c r="H206" s="30">
        <f t="shared" si="86"/>
        <v>4</v>
      </c>
      <c r="I206" s="30">
        <f t="shared" si="86"/>
        <v>4</v>
      </c>
      <c r="J206" s="30">
        <f t="shared" si="86"/>
        <v>4</v>
      </c>
      <c r="K206" s="30">
        <f t="shared" si="86"/>
        <v>4</v>
      </c>
      <c r="L206" s="30">
        <f t="shared" si="86"/>
        <v>4</v>
      </c>
      <c r="M206" s="30">
        <f t="shared" si="86"/>
        <v>4</v>
      </c>
      <c r="N206" s="30">
        <f t="shared" si="86"/>
        <v>4</v>
      </c>
      <c r="O206" s="30">
        <f t="shared" si="86"/>
        <v>4</v>
      </c>
      <c r="P206" s="30">
        <f t="shared" si="81"/>
        <v>48</v>
      </c>
      <c r="Q206" s="30"/>
    </row>
    <row r="207" spans="2:17" x14ac:dyDescent="0.25">
      <c r="B207" s="2" t="s">
        <v>73</v>
      </c>
      <c r="C207" s="17"/>
      <c r="D207" s="30">
        <f t="shared" ref="D207:O207" si="87">D53</f>
        <v>0</v>
      </c>
      <c r="E207" s="30">
        <f t="shared" si="87"/>
        <v>0</v>
      </c>
      <c r="F207" s="30">
        <f t="shared" si="87"/>
        <v>0</v>
      </c>
      <c r="G207" s="30">
        <f t="shared" si="87"/>
        <v>0</v>
      </c>
      <c r="H207" s="30">
        <f t="shared" si="87"/>
        <v>0</v>
      </c>
      <c r="I207" s="30">
        <f t="shared" si="87"/>
        <v>0</v>
      </c>
      <c r="J207" s="30">
        <f t="shared" si="87"/>
        <v>0</v>
      </c>
      <c r="K207" s="30">
        <f t="shared" si="87"/>
        <v>0</v>
      </c>
      <c r="L207" s="30">
        <f t="shared" si="87"/>
        <v>0</v>
      </c>
      <c r="M207" s="30">
        <f t="shared" si="87"/>
        <v>0</v>
      </c>
      <c r="N207" s="30">
        <f t="shared" si="87"/>
        <v>0</v>
      </c>
      <c r="O207" s="30">
        <f t="shared" si="87"/>
        <v>0</v>
      </c>
      <c r="P207" s="30">
        <f t="shared" si="81"/>
        <v>0</v>
      </c>
      <c r="Q207" s="30"/>
    </row>
    <row r="208" spans="2:17" x14ac:dyDescent="0.25">
      <c r="B208" s="2" t="s">
        <v>74</v>
      </c>
      <c r="C208" s="17"/>
      <c r="D208" s="30">
        <f t="shared" ref="D208:O209" si="88">D54+D59</f>
        <v>94</v>
      </c>
      <c r="E208" s="30">
        <f t="shared" si="88"/>
        <v>94</v>
      </c>
      <c r="F208" s="30">
        <f t="shared" si="88"/>
        <v>94</v>
      </c>
      <c r="G208" s="30">
        <f t="shared" si="88"/>
        <v>92</v>
      </c>
      <c r="H208" s="30">
        <f t="shared" si="88"/>
        <v>92</v>
      </c>
      <c r="I208" s="30">
        <f t="shared" si="88"/>
        <v>92</v>
      </c>
      <c r="J208" s="30">
        <f t="shared" si="88"/>
        <v>92</v>
      </c>
      <c r="K208" s="30">
        <f t="shared" si="88"/>
        <v>92</v>
      </c>
      <c r="L208" s="30">
        <f t="shared" si="88"/>
        <v>92</v>
      </c>
      <c r="M208" s="30">
        <f t="shared" si="88"/>
        <v>92</v>
      </c>
      <c r="N208" s="30">
        <f t="shared" si="88"/>
        <v>92</v>
      </c>
      <c r="O208" s="30">
        <f t="shared" si="88"/>
        <v>92</v>
      </c>
      <c r="P208" s="30">
        <f t="shared" si="81"/>
        <v>1110</v>
      </c>
      <c r="Q208" s="30"/>
    </row>
    <row r="209" spans="2:17" x14ac:dyDescent="0.25">
      <c r="B209" s="2" t="s">
        <v>75</v>
      </c>
      <c r="C209" s="17"/>
      <c r="D209" s="30">
        <f t="shared" si="88"/>
        <v>82</v>
      </c>
      <c r="E209" s="30">
        <f t="shared" si="88"/>
        <v>82</v>
      </c>
      <c r="F209" s="30">
        <f t="shared" si="88"/>
        <v>81</v>
      </c>
      <c r="G209" s="30">
        <f t="shared" si="88"/>
        <v>81</v>
      </c>
      <c r="H209" s="30">
        <f t="shared" si="88"/>
        <v>81</v>
      </c>
      <c r="I209" s="30">
        <f t="shared" si="88"/>
        <v>81</v>
      </c>
      <c r="J209" s="30">
        <f t="shared" si="88"/>
        <v>81</v>
      </c>
      <c r="K209" s="30">
        <f t="shared" si="88"/>
        <v>81</v>
      </c>
      <c r="L209" s="30">
        <f t="shared" si="88"/>
        <v>80</v>
      </c>
      <c r="M209" s="30">
        <f t="shared" si="88"/>
        <v>81</v>
      </c>
      <c r="N209" s="30">
        <f t="shared" si="88"/>
        <v>81</v>
      </c>
      <c r="O209" s="30">
        <f t="shared" si="88"/>
        <v>81</v>
      </c>
      <c r="P209" s="30">
        <f t="shared" si="81"/>
        <v>973</v>
      </c>
      <c r="Q209" s="30"/>
    </row>
    <row r="210" spans="2:17" x14ac:dyDescent="0.25">
      <c r="B210" s="11" t="s">
        <v>81</v>
      </c>
      <c r="C210" s="17"/>
      <c r="D210" s="30">
        <f t="shared" ref="D210:O210" si="89">D61+D56</f>
        <v>6</v>
      </c>
      <c r="E210" s="30">
        <f t="shared" si="89"/>
        <v>6</v>
      </c>
      <c r="F210" s="30">
        <f t="shared" si="89"/>
        <v>6</v>
      </c>
      <c r="G210" s="30">
        <f t="shared" si="89"/>
        <v>6</v>
      </c>
      <c r="H210" s="30">
        <f t="shared" si="89"/>
        <v>6</v>
      </c>
      <c r="I210" s="30">
        <f t="shared" si="89"/>
        <v>6</v>
      </c>
      <c r="J210" s="30">
        <f t="shared" si="89"/>
        <v>6</v>
      </c>
      <c r="K210" s="30">
        <f t="shared" si="89"/>
        <v>6</v>
      </c>
      <c r="L210" s="30">
        <f t="shared" si="89"/>
        <v>6</v>
      </c>
      <c r="M210" s="30">
        <f t="shared" si="89"/>
        <v>5</v>
      </c>
      <c r="N210" s="30">
        <f t="shared" si="89"/>
        <v>5</v>
      </c>
      <c r="O210" s="30">
        <f t="shared" si="89"/>
        <v>5</v>
      </c>
      <c r="P210" s="30">
        <f t="shared" si="81"/>
        <v>69</v>
      </c>
      <c r="Q210" s="30"/>
    </row>
    <row r="211" spans="2:17" x14ac:dyDescent="0.25">
      <c r="B211" s="2" t="s">
        <v>77</v>
      </c>
      <c r="C211" s="17"/>
      <c r="D211" s="30">
        <f t="shared" ref="D211:O211" si="90">D57+D62</f>
        <v>11</v>
      </c>
      <c r="E211" s="30">
        <f t="shared" si="90"/>
        <v>11</v>
      </c>
      <c r="F211" s="30">
        <f t="shared" si="90"/>
        <v>11</v>
      </c>
      <c r="G211" s="30">
        <f t="shared" si="90"/>
        <v>11</v>
      </c>
      <c r="H211" s="30">
        <f t="shared" si="90"/>
        <v>11</v>
      </c>
      <c r="I211" s="30">
        <f t="shared" si="90"/>
        <v>11</v>
      </c>
      <c r="J211" s="30">
        <f t="shared" si="90"/>
        <v>11</v>
      </c>
      <c r="K211" s="30">
        <f t="shared" si="90"/>
        <v>10</v>
      </c>
      <c r="L211" s="30">
        <f t="shared" si="90"/>
        <v>10</v>
      </c>
      <c r="M211" s="30">
        <f t="shared" si="90"/>
        <v>10</v>
      </c>
      <c r="N211" s="30">
        <f t="shared" si="90"/>
        <v>10</v>
      </c>
      <c r="O211" s="30">
        <f t="shared" si="90"/>
        <v>10</v>
      </c>
      <c r="P211" s="30">
        <f t="shared" si="81"/>
        <v>127</v>
      </c>
      <c r="Q211" s="30"/>
    </row>
    <row r="212" spans="2:17" s="31" customFormat="1" x14ac:dyDescent="0.25">
      <c r="B212" s="45" t="s">
        <v>78</v>
      </c>
      <c r="C212" s="46"/>
      <c r="D212" s="30">
        <f t="shared" ref="D212:O212" si="91">SUM(D63:D63)</f>
        <v>9</v>
      </c>
      <c r="E212" s="30">
        <f t="shared" si="91"/>
        <v>9</v>
      </c>
      <c r="F212" s="30">
        <f t="shared" si="91"/>
        <v>9</v>
      </c>
      <c r="G212" s="30">
        <f t="shared" si="91"/>
        <v>9</v>
      </c>
      <c r="H212" s="30">
        <f t="shared" si="91"/>
        <v>9</v>
      </c>
      <c r="I212" s="30">
        <f t="shared" si="91"/>
        <v>9</v>
      </c>
      <c r="J212" s="30">
        <f t="shared" si="91"/>
        <v>9</v>
      </c>
      <c r="K212" s="30">
        <f t="shared" si="91"/>
        <v>9</v>
      </c>
      <c r="L212" s="30">
        <f t="shared" si="91"/>
        <v>9</v>
      </c>
      <c r="M212" s="30">
        <f t="shared" si="91"/>
        <v>9</v>
      </c>
      <c r="N212" s="30">
        <f t="shared" si="91"/>
        <v>9</v>
      </c>
      <c r="O212" s="30">
        <f t="shared" si="91"/>
        <v>9</v>
      </c>
      <c r="P212" s="30">
        <f t="shared" si="81"/>
        <v>108</v>
      </c>
      <c r="Q212" s="30"/>
    </row>
    <row r="213" spans="2:17" x14ac:dyDescent="0.25">
      <c r="B213" s="11" t="s">
        <v>86</v>
      </c>
      <c r="C213" s="17"/>
      <c r="D213" s="40">
        <f t="shared" ref="D213:P213" si="92">SUM(D199:D212)</f>
        <v>873038</v>
      </c>
      <c r="E213" s="40">
        <f t="shared" si="92"/>
        <v>873850</v>
      </c>
      <c r="F213" s="40">
        <f t="shared" si="92"/>
        <v>874344</v>
      </c>
      <c r="G213" s="40">
        <f t="shared" si="92"/>
        <v>874551</v>
      </c>
      <c r="H213" s="40">
        <f t="shared" si="92"/>
        <v>874656</v>
      </c>
      <c r="I213" s="40">
        <f t="shared" si="92"/>
        <v>874832</v>
      </c>
      <c r="J213" s="40">
        <f t="shared" si="92"/>
        <v>874539</v>
      </c>
      <c r="K213" s="40">
        <f t="shared" si="92"/>
        <v>874805</v>
      </c>
      <c r="L213" s="40">
        <f t="shared" si="92"/>
        <v>875084</v>
      </c>
      <c r="M213" s="40">
        <f t="shared" si="92"/>
        <v>875747</v>
      </c>
      <c r="N213" s="40">
        <f t="shared" si="92"/>
        <v>876826</v>
      </c>
      <c r="O213" s="40">
        <f t="shared" si="92"/>
        <v>877593</v>
      </c>
      <c r="P213" s="40">
        <f t="shared" si="92"/>
        <v>10499865</v>
      </c>
      <c r="Q213" s="30"/>
    </row>
    <row r="214" spans="2:17" x14ac:dyDescent="0.25">
      <c r="B214" s="50" t="s">
        <v>79</v>
      </c>
      <c r="C214" s="48"/>
      <c r="D214" s="49">
        <f t="shared" ref="D214:P214" si="93">D213-D64</f>
        <v>-1</v>
      </c>
      <c r="E214" s="49">
        <f t="shared" si="93"/>
        <v>-1</v>
      </c>
      <c r="F214" s="49">
        <f t="shared" si="93"/>
        <v>-1</v>
      </c>
      <c r="G214" s="49">
        <f t="shared" si="93"/>
        <v>-1</v>
      </c>
      <c r="H214" s="49">
        <f t="shared" si="93"/>
        <v>-1</v>
      </c>
      <c r="I214" s="49">
        <f t="shared" si="93"/>
        <v>-1</v>
      </c>
      <c r="J214" s="49">
        <f t="shared" si="93"/>
        <v>-1</v>
      </c>
      <c r="K214" s="49">
        <f t="shared" si="93"/>
        <v>-1</v>
      </c>
      <c r="L214" s="49">
        <f t="shared" si="93"/>
        <v>-1</v>
      </c>
      <c r="M214" s="49">
        <f t="shared" si="93"/>
        <v>-1</v>
      </c>
      <c r="N214" s="49">
        <f t="shared" si="93"/>
        <v>-1</v>
      </c>
      <c r="O214" s="49">
        <f t="shared" si="93"/>
        <v>-1</v>
      </c>
      <c r="P214" s="51">
        <f t="shared" si="93"/>
        <v>-12</v>
      </c>
      <c r="Q214" s="22"/>
    </row>
    <row r="215" spans="2:17" x14ac:dyDescent="0.25">
      <c r="C215" s="17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</row>
    <row r="216" spans="2:17" x14ac:dyDescent="0.25">
      <c r="B216" s="41" t="s">
        <v>87</v>
      </c>
      <c r="C216" s="17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</row>
    <row r="217" spans="2:17" x14ac:dyDescent="0.25">
      <c r="B217" s="45" t="s">
        <v>84</v>
      </c>
      <c r="C217" s="17"/>
      <c r="D217" s="30">
        <f>SUM(D180:D181)</f>
        <v>87752816.413259014</v>
      </c>
      <c r="E217" s="30">
        <f t="shared" ref="E217:O217" si="94">SUM(E180:E181)</f>
        <v>75695747.374223158</v>
      </c>
      <c r="F217" s="30">
        <f t="shared" si="94"/>
        <v>71601270.668137357</v>
      </c>
      <c r="G217" s="30">
        <f t="shared" si="94"/>
        <v>51171655.38015037</v>
      </c>
      <c r="H217" s="30">
        <f t="shared" si="94"/>
        <v>28267334.166615579</v>
      </c>
      <c r="I217" s="30">
        <f t="shared" si="94"/>
        <v>16787691.259375826</v>
      </c>
      <c r="J217" s="30">
        <f t="shared" si="94"/>
        <v>12476205.02442559</v>
      </c>
      <c r="K217" s="30">
        <f t="shared" si="94"/>
        <v>12218910.582241647</v>
      </c>
      <c r="L217" s="30">
        <f t="shared" si="94"/>
        <v>17224295.13998726</v>
      </c>
      <c r="M217" s="30">
        <f t="shared" si="94"/>
        <v>40543980.20667927</v>
      </c>
      <c r="N217" s="30">
        <f t="shared" si="94"/>
        <v>64995809.438189752</v>
      </c>
      <c r="O217" s="30">
        <f t="shared" si="94"/>
        <v>87803907.842110977</v>
      </c>
      <c r="P217" s="30">
        <f t="shared" ref="P217:P229" si="95">SUM(D217:O217)</f>
        <v>566539623.49539578</v>
      </c>
      <c r="Q217" s="30"/>
    </row>
    <row r="218" spans="2:17" x14ac:dyDescent="0.25">
      <c r="B218" s="44" t="s">
        <v>66</v>
      </c>
      <c r="C218" s="17"/>
      <c r="D218" s="30">
        <f>SUM(D182:D182,D185:D185)</f>
        <v>32787005.006831121</v>
      </c>
      <c r="E218" s="30">
        <f t="shared" ref="E218:O218" si="96">SUM(E182:E182,E185:E185)</f>
        <v>29516265.859555002</v>
      </c>
      <c r="F218" s="30">
        <f t="shared" si="96"/>
        <v>28501638.98092835</v>
      </c>
      <c r="G218" s="30">
        <f t="shared" si="96"/>
        <v>21540873.961294677</v>
      </c>
      <c r="H218" s="30">
        <f t="shared" si="96"/>
        <v>12268692.402554583</v>
      </c>
      <c r="I218" s="30">
        <f t="shared" si="96"/>
        <v>9978357.5856815334</v>
      </c>
      <c r="J218" s="30">
        <f t="shared" si="96"/>
        <v>8011624.7356907567</v>
      </c>
      <c r="K218" s="30">
        <f t="shared" si="96"/>
        <v>7904356.6882976498</v>
      </c>
      <c r="L218" s="30">
        <f t="shared" si="96"/>
        <v>9482059.8552993946</v>
      </c>
      <c r="M218" s="30">
        <f t="shared" si="96"/>
        <v>15847111.142793093</v>
      </c>
      <c r="N218" s="30">
        <f t="shared" si="96"/>
        <v>24977037.274315685</v>
      </c>
      <c r="O218" s="30">
        <f t="shared" si="96"/>
        <v>31680349.146660607</v>
      </c>
      <c r="P218" s="30">
        <f t="shared" si="95"/>
        <v>232495372.63990244</v>
      </c>
      <c r="Q218" s="30"/>
    </row>
    <row r="219" spans="2:17" x14ac:dyDescent="0.25">
      <c r="B219" s="45" t="s">
        <v>67</v>
      </c>
      <c r="C219" s="17"/>
      <c r="D219" s="30">
        <f>D183</f>
        <v>8255859.8535145996</v>
      </c>
      <c r="E219" s="30">
        <f t="shared" ref="E219:O220" si="97">E183</f>
        <v>7951697.9578932449</v>
      </c>
      <c r="F219" s="30">
        <f t="shared" si="97"/>
        <v>8238535.6085810615</v>
      </c>
      <c r="G219" s="30">
        <f t="shared" si="97"/>
        <v>5778287.9638875034</v>
      </c>
      <c r="H219" s="30">
        <f t="shared" si="97"/>
        <v>4546280.7040374633</v>
      </c>
      <c r="I219" s="30">
        <f t="shared" si="97"/>
        <v>3843074.1624731841</v>
      </c>
      <c r="J219" s="30">
        <f t="shared" si="97"/>
        <v>2905667.575164564</v>
      </c>
      <c r="K219" s="30">
        <f t="shared" si="97"/>
        <v>2795234.2008494399</v>
      </c>
      <c r="L219" s="30">
        <f t="shared" si="97"/>
        <v>3400258.5483004609</v>
      </c>
      <c r="M219" s="30">
        <f t="shared" si="97"/>
        <v>5069143.4239119366</v>
      </c>
      <c r="N219" s="30">
        <f t="shared" si="97"/>
        <v>7762077.715739035</v>
      </c>
      <c r="O219" s="30">
        <f t="shared" si="97"/>
        <v>7357509.8636475662</v>
      </c>
      <c r="P219" s="30">
        <f t="shared" si="95"/>
        <v>67903627.578000069</v>
      </c>
      <c r="Q219" s="30"/>
    </row>
    <row r="220" spans="2:17" x14ac:dyDescent="0.25">
      <c r="B220" s="43" t="s">
        <v>68</v>
      </c>
      <c r="C220" s="17"/>
      <c r="D220" s="30">
        <f>D184</f>
        <v>0</v>
      </c>
      <c r="E220" s="30">
        <f t="shared" si="97"/>
        <v>0</v>
      </c>
      <c r="F220" s="30">
        <f t="shared" si="97"/>
        <v>0</v>
      </c>
      <c r="G220" s="30">
        <f t="shared" si="97"/>
        <v>0</v>
      </c>
      <c r="H220" s="30">
        <f t="shared" si="97"/>
        <v>0</v>
      </c>
      <c r="I220" s="30">
        <f t="shared" si="97"/>
        <v>0</v>
      </c>
      <c r="J220" s="30">
        <f t="shared" si="97"/>
        <v>0</v>
      </c>
      <c r="K220" s="30">
        <f t="shared" si="97"/>
        <v>0</v>
      </c>
      <c r="L220" s="30">
        <f t="shared" si="97"/>
        <v>0</v>
      </c>
      <c r="M220" s="30">
        <f t="shared" si="97"/>
        <v>0</v>
      </c>
      <c r="N220" s="30">
        <f t="shared" si="97"/>
        <v>0</v>
      </c>
      <c r="O220" s="30">
        <f t="shared" si="97"/>
        <v>0</v>
      </c>
      <c r="P220" s="30">
        <f t="shared" si="95"/>
        <v>0</v>
      </c>
      <c r="Q220" s="30"/>
    </row>
    <row r="221" spans="2:17" x14ac:dyDescent="0.25">
      <c r="B221" s="45" t="s">
        <v>70</v>
      </c>
      <c r="C221" s="17"/>
      <c r="D221" s="30">
        <f t="shared" ref="D221:O229" si="98">D186</f>
        <v>2611139.3176225862</v>
      </c>
      <c r="E221" s="30">
        <f t="shared" si="98"/>
        <v>2050921.7160164667</v>
      </c>
      <c r="F221" s="30">
        <f t="shared" si="98"/>
        <v>2444691.3933493397</v>
      </c>
      <c r="G221" s="30">
        <f t="shared" si="98"/>
        <v>2588626.3621984739</v>
      </c>
      <c r="H221" s="30">
        <f t="shared" si="98"/>
        <v>1299367.7292833272</v>
      </c>
      <c r="I221" s="30">
        <f t="shared" si="98"/>
        <v>1483111.2595095132</v>
      </c>
      <c r="J221" s="30">
        <f t="shared" si="98"/>
        <v>811672.79147220484</v>
      </c>
      <c r="K221" s="30">
        <f t="shared" si="98"/>
        <v>1841188.837359969</v>
      </c>
      <c r="L221" s="30">
        <f t="shared" si="98"/>
        <v>1476275.515803132</v>
      </c>
      <c r="M221" s="30">
        <f t="shared" si="98"/>
        <v>1394895.9953661496</v>
      </c>
      <c r="N221" s="30">
        <f t="shared" si="98"/>
        <v>1947228.482806918</v>
      </c>
      <c r="O221" s="30">
        <f t="shared" si="98"/>
        <v>2565001.5782722249</v>
      </c>
      <c r="P221" s="30">
        <f t="shared" si="95"/>
        <v>22514120.979060303</v>
      </c>
      <c r="Q221" s="30"/>
    </row>
    <row r="222" spans="2:17" x14ac:dyDescent="0.25">
      <c r="B222" s="45" t="s">
        <v>71</v>
      </c>
      <c r="C222" s="17"/>
      <c r="D222" s="30">
        <f t="shared" si="98"/>
        <v>880110.25852526422</v>
      </c>
      <c r="E222" s="30">
        <f t="shared" si="98"/>
        <v>692787.97030061018</v>
      </c>
      <c r="F222" s="30">
        <f t="shared" si="98"/>
        <v>717394.62191394728</v>
      </c>
      <c r="G222" s="30">
        <f t="shared" si="98"/>
        <v>569563.15837696288</v>
      </c>
      <c r="H222" s="30">
        <f t="shared" si="98"/>
        <v>439816.21966002573</v>
      </c>
      <c r="I222" s="30">
        <f t="shared" si="98"/>
        <v>226595.15091178674</v>
      </c>
      <c r="J222" s="30">
        <f t="shared" si="98"/>
        <v>155545.50608722281</v>
      </c>
      <c r="K222" s="30">
        <f t="shared" si="98"/>
        <v>142671.90023060879</v>
      </c>
      <c r="L222" s="30">
        <f t="shared" si="98"/>
        <v>201433.25756713082</v>
      </c>
      <c r="M222" s="30">
        <f t="shared" si="98"/>
        <v>385071.14368790324</v>
      </c>
      <c r="N222" s="30">
        <f t="shared" si="98"/>
        <v>559764.37824599782</v>
      </c>
      <c r="O222" s="30">
        <f t="shared" si="98"/>
        <v>646449.07956408104</v>
      </c>
      <c r="P222" s="30">
        <f t="shared" si="95"/>
        <v>5617202.6450715419</v>
      </c>
      <c r="Q222" s="30"/>
    </row>
    <row r="223" spans="2:17" x14ac:dyDescent="0.25">
      <c r="B223" s="45" t="s">
        <v>72</v>
      </c>
      <c r="C223" s="17"/>
      <c r="D223" s="30">
        <f t="shared" si="98"/>
        <v>3562476.197426667</v>
      </c>
      <c r="E223" s="30">
        <f t="shared" si="98"/>
        <v>4177225.5040600011</v>
      </c>
      <c r="F223" s="30">
        <f t="shared" si="98"/>
        <v>-1061637.0763500002</v>
      </c>
      <c r="G223" s="30">
        <f t="shared" si="98"/>
        <v>4747175.736506667</v>
      </c>
      <c r="H223" s="30">
        <f t="shared" si="98"/>
        <v>-979875.83947000001</v>
      </c>
      <c r="I223" s="30">
        <f t="shared" si="98"/>
        <v>1626842.2785</v>
      </c>
      <c r="J223" s="30">
        <f t="shared" si="98"/>
        <v>907108.32249999989</v>
      </c>
      <c r="K223" s="30">
        <f t="shared" si="98"/>
        <v>1003583.997</v>
      </c>
      <c r="L223" s="30">
        <f t="shared" si="98"/>
        <v>780582.4155</v>
      </c>
      <c r="M223" s="30">
        <f t="shared" si="98"/>
        <v>1497856.5155999998</v>
      </c>
      <c r="N223" s="30">
        <f t="shared" si="98"/>
        <v>1629059.7405933337</v>
      </c>
      <c r="O223" s="30">
        <f t="shared" si="98"/>
        <v>2549087.9191600005</v>
      </c>
      <c r="P223" s="30">
        <f t="shared" si="95"/>
        <v>20439485.711026669</v>
      </c>
      <c r="Q223" s="30"/>
    </row>
    <row r="224" spans="2:17" x14ac:dyDescent="0.25">
      <c r="B224" s="2" t="s">
        <v>73</v>
      </c>
      <c r="C224" s="17"/>
      <c r="D224" s="30">
        <f t="shared" si="98"/>
        <v>527.80999999999995</v>
      </c>
      <c r="E224" s="30">
        <f t="shared" si="98"/>
        <v>60.5</v>
      </c>
      <c r="F224" s="30">
        <f t="shared" si="98"/>
        <v>0</v>
      </c>
      <c r="G224" s="30">
        <f t="shared" si="98"/>
        <v>0</v>
      </c>
      <c r="H224" s="30">
        <f t="shared" si="98"/>
        <v>0</v>
      </c>
      <c r="I224" s="30">
        <f t="shared" si="98"/>
        <v>0</v>
      </c>
      <c r="J224" s="30">
        <f t="shared" si="98"/>
        <v>0</v>
      </c>
      <c r="K224" s="30">
        <f t="shared" si="98"/>
        <v>0</v>
      </c>
      <c r="L224" s="30">
        <f t="shared" si="98"/>
        <v>0</v>
      </c>
      <c r="M224" s="30">
        <f t="shared" si="98"/>
        <v>0</v>
      </c>
      <c r="N224" s="30">
        <f t="shared" si="98"/>
        <v>0</v>
      </c>
      <c r="O224" s="30">
        <f t="shared" si="98"/>
        <v>0</v>
      </c>
      <c r="P224" s="30">
        <f t="shared" si="95"/>
        <v>588.30999999999995</v>
      </c>
      <c r="Q224" s="30"/>
    </row>
    <row r="225" spans="2:17" x14ac:dyDescent="0.25">
      <c r="B225" s="2" t="s">
        <v>74</v>
      </c>
      <c r="C225" s="17"/>
      <c r="D225" s="30">
        <f t="shared" si="98"/>
        <v>2140100.5541224331</v>
      </c>
      <c r="E225" s="30">
        <f t="shared" si="98"/>
        <v>1558727.5271812005</v>
      </c>
      <c r="F225" s="30">
        <f t="shared" si="98"/>
        <v>2125176.6864381246</v>
      </c>
      <c r="G225" s="30">
        <f t="shared" si="98"/>
        <v>3235775.6541818753</v>
      </c>
      <c r="H225" s="30">
        <f t="shared" si="98"/>
        <v>335953.78323249973</v>
      </c>
      <c r="I225" s="30">
        <f t="shared" si="98"/>
        <v>1597824.5200000003</v>
      </c>
      <c r="J225" s="30">
        <f t="shared" si="98"/>
        <v>1479486.8199999998</v>
      </c>
      <c r="K225" s="30">
        <f t="shared" si="98"/>
        <v>1250226.92</v>
      </c>
      <c r="L225" s="30">
        <f t="shared" si="98"/>
        <v>1775736.36</v>
      </c>
      <c r="M225" s="30">
        <f t="shared" si="98"/>
        <v>1718918.3319099997</v>
      </c>
      <c r="N225" s="30">
        <f t="shared" si="98"/>
        <v>1668025.5264000001</v>
      </c>
      <c r="O225" s="30">
        <f t="shared" si="98"/>
        <v>1980936.2189031253</v>
      </c>
      <c r="P225" s="30">
        <f t="shared" si="95"/>
        <v>20866888.902369257</v>
      </c>
      <c r="Q225" s="30"/>
    </row>
    <row r="226" spans="2:17" x14ac:dyDescent="0.25">
      <c r="B226" s="2" t="s">
        <v>75</v>
      </c>
      <c r="C226" s="17"/>
      <c r="D226" s="30">
        <f t="shared" si="98"/>
        <v>4768934.4065223336</v>
      </c>
      <c r="E226" s="30">
        <f t="shared" si="98"/>
        <v>3601349.5235973331</v>
      </c>
      <c r="F226" s="30">
        <f t="shared" si="98"/>
        <v>6535431.4298524996</v>
      </c>
      <c r="G226" s="30">
        <f t="shared" si="98"/>
        <v>8436606.6631415002</v>
      </c>
      <c r="H226" s="30">
        <f t="shared" si="98"/>
        <v>3165896.2509959997</v>
      </c>
      <c r="I226" s="30">
        <f t="shared" si="98"/>
        <v>2345625.5900000008</v>
      </c>
      <c r="J226" s="30">
        <f t="shared" si="98"/>
        <v>4384118.4399999995</v>
      </c>
      <c r="K226" s="30">
        <f t="shared" si="98"/>
        <v>4424010.79</v>
      </c>
      <c r="L226" s="30">
        <f t="shared" si="98"/>
        <v>5033402</v>
      </c>
      <c r="M226" s="30">
        <f t="shared" si="98"/>
        <v>5145474.3660166655</v>
      </c>
      <c r="N226" s="30">
        <f t="shared" si="98"/>
        <v>4923633.8742506662</v>
      </c>
      <c r="O226" s="30">
        <f t="shared" si="98"/>
        <v>5180565.6260923333</v>
      </c>
      <c r="P226" s="30">
        <f t="shared" si="95"/>
        <v>57945048.960469335</v>
      </c>
      <c r="Q226" s="30"/>
    </row>
    <row r="227" spans="2:17" x14ac:dyDescent="0.25">
      <c r="B227" s="11" t="s">
        <v>81</v>
      </c>
      <c r="C227" s="17"/>
      <c r="D227" s="30">
        <f t="shared" si="98"/>
        <v>361653.32</v>
      </c>
      <c r="E227" s="30">
        <f t="shared" si="98"/>
        <v>204540.56</v>
      </c>
      <c r="F227" s="30">
        <f t="shared" si="98"/>
        <v>115073.89</v>
      </c>
      <c r="G227" s="30">
        <f t="shared" si="98"/>
        <v>274351.99</v>
      </c>
      <c r="H227" s="30">
        <f t="shared" si="98"/>
        <v>10712.070000000011</v>
      </c>
      <c r="I227" s="30">
        <f t="shared" si="98"/>
        <v>168813.03999999998</v>
      </c>
      <c r="J227" s="30">
        <f t="shared" si="98"/>
        <v>159235</v>
      </c>
      <c r="K227" s="30">
        <f t="shared" si="98"/>
        <v>198103.7</v>
      </c>
      <c r="L227" s="30">
        <f t="shared" si="98"/>
        <v>113608.76</v>
      </c>
      <c r="M227" s="30">
        <f t="shared" si="98"/>
        <v>95125.420000000013</v>
      </c>
      <c r="N227" s="30">
        <f t="shared" si="98"/>
        <v>63320.320000000007</v>
      </c>
      <c r="O227" s="30">
        <f t="shared" si="98"/>
        <v>44367.169999999991</v>
      </c>
      <c r="P227" s="30">
        <f t="shared" si="95"/>
        <v>1808905.24</v>
      </c>
      <c r="Q227" s="30"/>
    </row>
    <row r="228" spans="2:17" x14ac:dyDescent="0.25">
      <c r="B228" s="2" t="s">
        <v>77</v>
      </c>
      <c r="C228" s="17"/>
      <c r="D228" s="30">
        <f t="shared" si="98"/>
        <v>9494626.7997700013</v>
      </c>
      <c r="E228" s="30">
        <f t="shared" si="98"/>
        <v>5915210.0033599995</v>
      </c>
      <c r="F228" s="30">
        <f t="shared" si="98"/>
        <v>6007206.2329499982</v>
      </c>
      <c r="G228" s="30">
        <f t="shared" si="98"/>
        <v>11889981.9552125</v>
      </c>
      <c r="H228" s="30">
        <f t="shared" si="98"/>
        <v>9170372.329189999</v>
      </c>
      <c r="I228" s="30">
        <f t="shared" si="98"/>
        <v>890540.01837499859</v>
      </c>
      <c r="J228" s="30">
        <f t="shared" si="98"/>
        <v>11398642.710000001</v>
      </c>
      <c r="K228" s="30">
        <f t="shared" si="98"/>
        <v>6893360.7199999997</v>
      </c>
      <c r="L228" s="30">
        <f t="shared" si="98"/>
        <v>5470598.8199999994</v>
      </c>
      <c r="M228" s="30">
        <f t="shared" si="98"/>
        <v>8108010.752580001</v>
      </c>
      <c r="N228" s="30">
        <f t="shared" si="98"/>
        <v>6418330.6955199987</v>
      </c>
      <c r="O228" s="30">
        <f t="shared" si="98"/>
        <v>7414643.1908425009</v>
      </c>
      <c r="P228" s="30">
        <f t="shared" si="95"/>
        <v>89071524.227799997</v>
      </c>
      <c r="Q228" s="30"/>
    </row>
    <row r="229" spans="2:17" s="31" customFormat="1" x14ac:dyDescent="0.25">
      <c r="B229" s="45" t="s">
        <v>78</v>
      </c>
      <c r="C229" s="46"/>
      <c r="D229" s="30">
        <f t="shared" si="98"/>
        <v>3692758.79482</v>
      </c>
      <c r="E229" s="30">
        <f t="shared" si="98"/>
        <v>1112060.65292</v>
      </c>
      <c r="F229" s="30">
        <f t="shared" si="98"/>
        <v>5798700.9299500007</v>
      </c>
      <c r="G229" s="30">
        <f t="shared" si="98"/>
        <v>-181635.61081253138</v>
      </c>
      <c r="H229" s="30">
        <f t="shared" si="98"/>
        <v>5178931.1576175354</v>
      </c>
      <c r="I229" s="30">
        <f t="shared" si="98"/>
        <v>1839517.6399999997</v>
      </c>
      <c r="J229" s="30">
        <f t="shared" si="98"/>
        <v>1681835.35</v>
      </c>
      <c r="K229" s="30">
        <f t="shared" si="98"/>
        <v>1653340.1099999999</v>
      </c>
      <c r="L229" s="30">
        <f t="shared" si="98"/>
        <v>1784397.1</v>
      </c>
      <c r="M229" s="30">
        <f t="shared" si="98"/>
        <v>2451147.8409999991</v>
      </c>
      <c r="N229" s="30">
        <f t="shared" si="98"/>
        <v>3506197.4932800005</v>
      </c>
      <c r="O229" s="30">
        <f t="shared" si="98"/>
        <v>-7079771.5392024983</v>
      </c>
      <c r="P229" s="30">
        <f t="shared" si="95"/>
        <v>21437479.91957251</v>
      </c>
      <c r="Q229" s="30"/>
    </row>
    <row r="230" spans="2:17" x14ac:dyDescent="0.25">
      <c r="B230" s="43" t="s">
        <v>82</v>
      </c>
      <c r="C230" s="17"/>
      <c r="D230" s="40">
        <f t="shared" ref="D230:P230" si="99">SUM(D217:D229)</f>
        <v>156308008.73241401</v>
      </c>
      <c r="E230" s="40">
        <f t="shared" ref="E230:O230" si="100">SUM(E217:E229)</f>
        <v>132476595.14910701</v>
      </c>
      <c r="F230" s="40">
        <f t="shared" si="100"/>
        <v>131023483.36575069</v>
      </c>
      <c r="G230" s="40">
        <f t="shared" si="100"/>
        <v>110051263.21413799</v>
      </c>
      <c r="H230" s="40">
        <f t="shared" si="100"/>
        <v>63703480.973717019</v>
      </c>
      <c r="I230" s="40">
        <f t="shared" si="100"/>
        <v>40787992.504826851</v>
      </c>
      <c r="J230" s="40">
        <f t="shared" si="100"/>
        <v>44371142.275340341</v>
      </c>
      <c r="K230" s="40">
        <f t="shared" si="100"/>
        <v>40324988.44597932</v>
      </c>
      <c r="L230" s="40">
        <f t="shared" si="100"/>
        <v>46742647.772457376</v>
      </c>
      <c r="M230" s="40">
        <f t="shared" si="100"/>
        <v>82256735.139545023</v>
      </c>
      <c r="N230" s="40">
        <f t="shared" si="100"/>
        <v>118450484.93934137</v>
      </c>
      <c r="O230" s="40">
        <f t="shared" si="100"/>
        <v>140143046.09605092</v>
      </c>
      <c r="P230" s="40">
        <f t="shared" si="99"/>
        <v>1106639868.6086679</v>
      </c>
      <c r="Q230" s="30"/>
    </row>
    <row r="231" spans="2:17" x14ac:dyDescent="0.25">
      <c r="B231" s="43" t="s">
        <v>79</v>
      </c>
      <c r="C231" s="17"/>
      <c r="D231" s="30">
        <f t="shared" ref="D231:P231" si="101">D230-D195</f>
        <v>0</v>
      </c>
      <c r="E231" s="30">
        <f t="shared" si="101"/>
        <v>0</v>
      </c>
      <c r="F231" s="30">
        <f t="shared" si="101"/>
        <v>0</v>
      </c>
      <c r="G231" s="30">
        <f t="shared" si="101"/>
        <v>0</v>
      </c>
      <c r="H231" s="30">
        <f t="shared" si="101"/>
        <v>0</v>
      </c>
      <c r="I231" s="30">
        <f t="shared" si="101"/>
        <v>0</v>
      </c>
      <c r="J231" s="30">
        <f t="shared" si="101"/>
        <v>0</v>
      </c>
      <c r="K231" s="30">
        <f t="shared" si="101"/>
        <v>0</v>
      </c>
      <c r="L231" s="30">
        <f t="shared" si="101"/>
        <v>0</v>
      </c>
      <c r="M231" s="30">
        <f t="shared" si="101"/>
        <v>0</v>
      </c>
      <c r="N231" s="30">
        <f t="shared" si="101"/>
        <v>0</v>
      </c>
      <c r="O231" s="30">
        <f t="shared" si="101"/>
        <v>0</v>
      </c>
      <c r="P231" s="30">
        <f t="shared" si="101"/>
        <v>0</v>
      </c>
      <c r="Q231" s="30"/>
    </row>
    <row r="232" spans="2:17" x14ac:dyDescent="0.25">
      <c r="B232" s="43"/>
      <c r="C232" s="17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</row>
    <row r="233" spans="2:17" x14ac:dyDescent="0.25">
      <c r="B233" s="43" t="s">
        <v>88</v>
      </c>
      <c r="C233" s="17"/>
      <c r="D233" s="30">
        <f>SUM(D217:D223)</f>
        <v>135849407.04717925</v>
      </c>
      <c r="E233" s="30">
        <f t="shared" ref="E233:O233" si="102">SUM(E217:E223)</f>
        <v>120084646.38204849</v>
      </c>
      <c r="F233" s="30">
        <f t="shared" si="102"/>
        <v>110441894.19656006</v>
      </c>
      <c r="G233" s="30">
        <f t="shared" si="102"/>
        <v>86396182.562414646</v>
      </c>
      <c r="H233" s="30">
        <f t="shared" si="102"/>
        <v>45841615.382680982</v>
      </c>
      <c r="I233" s="30">
        <f t="shared" si="102"/>
        <v>33945671.696451843</v>
      </c>
      <c r="J233" s="30">
        <f t="shared" si="102"/>
        <v>25267823.955340337</v>
      </c>
      <c r="K233" s="30">
        <f t="shared" si="102"/>
        <v>25905946.205979317</v>
      </c>
      <c r="L233" s="30">
        <f t="shared" si="102"/>
        <v>32564904.732457377</v>
      </c>
      <c r="M233" s="30">
        <f t="shared" si="102"/>
        <v>64738058.428038351</v>
      </c>
      <c r="N233" s="30">
        <f t="shared" si="102"/>
        <v>101870977.02989072</v>
      </c>
      <c r="O233" s="30">
        <f t="shared" si="102"/>
        <v>132602305.42941545</v>
      </c>
      <c r="P233" s="30">
        <f>SUM(D233:O233)</f>
        <v>915509433.04845691</v>
      </c>
      <c r="Q233" s="30"/>
    </row>
    <row r="234" spans="2:17" x14ac:dyDescent="0.25">
      <c r="B234" s="43" t="s">
        <v>89</v>
      </c>
      <c r="C234" s="17"/>
      <c r="D234" s="30">
        <f>SUM(D224:D229)</f>
        <v>20458601.68523477</v>
      </c>
      <c r="E234" s="30">
        <f t="shared" ref="E234:O234" si="103">SUM(E224:E229)</f>
        <v>12391948.767058533</v>
      </c>
      <c r="F234" s="30">
        <f t="shared" si="103"/>
        <v>20581589.169190623</v>
      </c>
      <c r="G234" s="30">
        <f t="shared" si="103"/>
        <v>23655080.651723348</v>
      </c>
      <c r="H234" s="30">
        <f t="shared" si="103"/>
        <v>17861865.591036033</v>
      </c>
      <c r="I234" s="30">
        <f t="shared" si="103"/>
        <v>6842320.808375</v>
      </c>
      <c r="J234" s="30">
        <f t="shared" si="103"/>
        <v>19103318.32</v>
      </c>
      <c r="K234" s="30">
        <f t="shared" si="103"/>
        <v>14419042.239999998</v>
      </c>
      <c r="L234" s="30">
        <f t="shared" si="103"/>
        <v>14177743.039999999</v>
      </c>
      <c r="M234" s="30">
        <f t="shared" si="103"/>
        <v>17518676.711506665</v>
      </c>
      <c r="N234" s="30">
        <f t="shared" si="103"/>
        <v>16579507.909450665</v>
      </c>
      <c r="O234" s="30">
        <f t="shared" si="103"/>
        <v>7540740.6666354612</v>
      </c>
      <c r="P234" s="30">
        <f>SUM(D234:O234)</f>
        <v>191130435.56021112</v>
      </c>
      <c r="Q234" s="30"/>
    </row>
    <row r="235" spans="2:17" x14ac:dyDescent="0.25">
      <c r="B235" s="43" t="s">
        <v>3</v>
      </c>
      <c r="C235" s="17"/>
      <c r="D235" s="40">
        <f t="shared" ref="D235:P235" si="104">SUM(D233:D234)</f>
        <v>156308008.73241401</v>
      </c>
      <c r="E235" s="40">
        <f t="shared" si="104"/>
        <v>132476595.14910702</v>
      </c>
      <c r="F235" s="40">
        <f t="shared" si="104"/>
        <v>131023483.36575067</v>
      </c>
      <c r="G235" s="40">
        <f t="shared" si="104"/>
        <v>110051263.214138</v>
      </c>
      <c r="H235" s="40">
        <f t="shared" si="104"/>
        <v>63703480.973717019</v>
      </c>
      <c r="I235" s="40">
        <f t="shared" si="104"/>
        <v>40787992.504826844</v>
      </c>
      <c r="J235" s="40">
        <f t="shared" si="104"/>
        <v>44371142.275340334</v>
      </c>
      <c r="K235" s="40">
        <f t="shared" si="104"/>
        <v>40324988.445979312</v>
      </c>
      <c r="L235" s="40">
        <f t="shared" si="104"/>
        <v>46742647.772457376</v>
      </c>
      <c r="M235" s="40">
        <f t="shared" si="104"/>
        <v>82256735.139545023</v>
      </c>
      <c r="N235" s="40">
        <f t="shared" si="104"/>
        <v>118450484.93934138</v>
      </c>
      <c r="O235" s="40">
        <f t="shared" si="104"/>
        <v>140143046.09605092</v>
      </c>
      <c r="P235" s="40">
        <f t="shared" si="104"/>
        <v>1106639868.6086681</v>
      </c>
      <c r="Q235" s="30"/>
    </row>
    <row r="236" spans="2:17" x14ac:dyDescent="0.25">
      <c r="B236" s="47" t="s">
        <v>79</v>
      </c>
      <c r="C236" s="48"/>
      <c r="D236" s="49">
        <f t="shared" ref="D236:P236" si="105">D235-D230</f>
        <v>0</v>
      </c>
      <c r="E236" s="49">
        <f t="shared" si="105"/>
        <v>0</v>
      </c>
      <c r="F236" s="49">
        <f t="shared" si="105"/>
        <v>0</v>
      </c>
      <c r="G236" s="49">
        <f t="shared" si="105"/>
        <v>0</v>
      </c>
      <c r="H236" s="49">
        <f t="shared" si="105"/>
        <v>0</v>
      </c>
      <c r="I236" s="49">
        <f t="shared" si="105"/>
        <v>0</v>
      </c>
      <c r="J236" s="49">
        <f t="shared" si="105"/>
        <v>0</v>
      </c>
      <c r="K236" s="49">
        <f t="shared" si="105"/>
        <v>0</v>
      </c>
      <c r="L236" s="49">
        <f t="shared" si="105"/>
        <v>0</v>
      </c>
      <c r="M236" s="49">
        <f t="shared" si="105"/>
        <v>0</v>
      </c>
      <c r="N236" s="49">
        <f t="shared" si="105"/>
        <v>0</v>
      </c>
      <c r="O236" s="49">
        <f t="shared" si="105"/>
        <v>0</v>
      </c>
      <c r="P236" s="49">
        <f t="shared" si="105"/>
        <v>0</v>
      </c>
      <c r="Q236" s="30"/>
    </row>
    <row r="237" spans="2:17" s="11" customFormat="1" x14ac:dyDescent="0.25">
      <c r="B237" s="43"/>
      <c r="C237" s="17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</row>
    <row r="238" spans="2:17" s="11" customFormat="1" x14ac:dyDescent="0.25">
      <c r="B238" s="52" t="s">
        <v>90</v>
      </c>
      <c r="C238" s="17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</row>
    <row r="239" spans="2:17" s="11" customFormat="1" x14ac:dyDescent="0.25">
      <c r="B239" s="11" t="s">
        <v>91</v>
      </c>
      <c r="C239" s="12">
        <v>23</v>
      </c>
      <c r="D239" s="22">
        <f>IFERROR(ROUND(SUMIF($C$114:$C$139,$C239,D$114:D$139),0)/ROUND(SUMIF($C$36:$C$63,$C239,D$36:D$63),0),0)</f>
        <v>107.87324887273871</v>
      </c>
      <c r="E239" s="22">
        <f t="shared" ref="E239:O239" si="106">IFERROR(ROUND(SUMIF($C$114:$C$139,$C239,E$114:E$139),0)/ROUND(SUMIF($C$36:$C$63,$C239,E$36:E$63),0),0)</f>
        <v>92.964026665291158</v>
      </c>
      <c r="F239" s="22">
        <f t="shared" si="106"/>
        <v>87.88666542284588</v>
      </c>
      <c r="G239" s="22">
        <f t="shared" si="106"/>
        <v>62.793125917272455</v>
      </c>
      <c r="H239" s="22">
        <f t="shared" si="106"/>
        <v>34.680894762800989</v>
      </c>
      <c r="I239" s="22">
        <f t="shared" si="106"/>
        <v>20.590010376472147</v>
      </c>
      <c r="J239" s="22">
        <f t="shared" si="106"/>
        <v>15.306297143305835</v>
      </c>
      <c r="K239" s="22">
        <f t="shared" si="106"/>
        <v>14.985036277919772</v>
      </c>
      <c r="L239" s="22">
        <f t="shared" si="106"/>
        <v>21.116158495469982</v>
      </c>
      <c r="M239" s="22">
        <f t="shared" si="106"/>
        <v>49.665394306966171</v>
      </c>
      <c r="N239" s="22">
        <f t="shared" si="106"/>
        <v>79.525562011875877</v>
      </c>
      <c r="O239" s="22">
        <f t="shared" si="106"/>
        <v>107.34196110169087</v>
      </c>
      <c r="P239" s="22">
        <f>SUM(D239:O239)</f>
        <v>694.72838135464985</v>
      </c>
      <c r="Q239" s="22"/>
    </row>
    <row r="240" spans="2:17" s="11" customFormat="1" x14ac:dyDescent="0.25">
      <c r="B240" s="11" t="s">
        <v>92</v>
      </c>
      <c r="C240" s="12">
        <v>31</v>
      </c>
      <c r="D240" s="22">
        <f t="shared" ref="D240:O252" si="107">IFERROR(ROUND(SUMIF($C$114:$C$139,$C240,D$114:D$139),0)/ROUND(SUMIF($C$36:$C$63,$C240,D$36:D$63),0),0)</f>
        <v>565.5954906933016</v>
      </c>
      <c r="E240" s="22">
        <f t="shared" si="107"/>
        <v>508.80464049921568</v>
      </c>
      <c r="F240" s="22">
        <f t="shared" si="107"/>
        <v>491.01814078489474</v>
      </c>
      <c r="G240" s="22">
        <f t="shared" si="107"/>
        <v>371.13842177808408</v>
      </c>
      <c r="H240" s="22">
        <f t="shared" si="107"/>
        <v>211.53281953137122</v>
      </c>
      <c r="I240" s="22">
        <f t="shared" si="107"/>
        <v>172.27828038674033</v>
      </c>
      <c r="J240" s="22">
        <f t="shared" si="107"/>
        <v>138.4609069855864</v>
      </c>
      <c r="K240" s="22">
        <f t="shared" si="107"/>
        <v>136.73938691485313</v>
      </c>
      <c r="L240" s="22">
        <f t="shared" si="107"/>
        <v>164.08922576402588</v>
      </c>
      <c r="M240" s="22">
        <f t="shared" si="107"/>
        <v>274.22365848171796</v>
      </c>
      <c r="N240" s="22">
        <f t="shared" si="107"/>
        <v>431.53139253628194</v>
      </c>
      <c r="O240" s="22">
        <f t="shared" si="107"/>
        <v>546.63702872918645</v>
      </c>
      <c r="P240" s="22">
        <f t="shared" ref="P240:P253" si="108">SUM(D240:O240)</f>
        <v>4012.0493930852595</v>
      </c>
      <c r="Q240" s="22"/>
    </row>
    <row r="241" spans="2:17" s="11" customFormat="1" x14ac:dyDescent="0.25">
      <c r="B241" s="11" t="s">
        <v>93</v>
      </c>
      <c r="C241" s="12">
        <v>41</v>
      </c>
      <c r="D241" s="22">
        <f t="shared" si="107"/>
        <v>6647.2302737520131</v>
      </c>
      <c r="E241" s="22">
        <f t="shared" si="107"/>
        <v>6376.6623897353647</v>
      </c>
      <c r="F241" s="22">
        <f t="shared" si="107"/>
        <v>6564.5705179282868</v>
      </c>
      <c r="G241" s="22">
        <f t="shared" si="107"/>
        <v>4626.3314651721375</v>
      </c>
      <c r="H241" s="22">
        <f t="shared" si="107"/>
        <v>3616.7708830548927</v>
      </c>
      <c r="I241" s="22">
        <f t="shared" si="107"/>
        <v>3047.6399682791434</v>
      </c>
      <c r="J241" s="22">
        <f t="shared" si="107"/>
        <v>2300.608076009501</v>
      </c>
      <c r="K241" s="22">
        <f t="shared" si="107"/>
        <v>2178.6703039750582</v>
      </c>
      <c r="L241" s="22">
        <f t="shared" si="107"/>
        <v>2646.1159533073928</v>
      </c>
      <c r="M241" s="22">
        <f t="shared" si="107"/>
        <v>3938.7280497280499</v>
      </c>
      <c r="N241" s="22">
        <f t="shared" si="107"/>
        <v>5875.9106737320208</v>
      </c>
      <c r="O241" s="22">
        <f t="shared" si="107"/>
        <v>5573.871212121212</v>
      </c>
      <c r="P241" s="22">
        <f t="shared" si="108"/>
        <v>53393.109766795082</v>
      </c>
      <c r="Q241" s="22"/>
    </row>
    <row r="242" spans="2:17" s="11" customFormat="1" x14ac:dyDescent="0.25">
      <c r="B242" s="11" t="s">
        <v>7</v>
      </c>
      <c r="C242" s="12">
        <v>53</v>
      </c>
      <c r="D242" s="22">
        <f t="shared" si="107"/>
        <v>0</v>
      </c>
      <c r="E242" s="22">
        <f t="shared" si="107"/>
        <v>0</v>
      </c>
      <c r="F242" s="22">
        <f t="shared" si="107"/>
        <v>0</v>
      </c>
      <c r="G242" s="22">
        <f t="shared" si="107"/>
        <v>0</v>
      </c>
      <c r="H242" s="22">
        <f t="shared" si="107"/>
        <v>0</v>
      </c>
      <c r="I242" s="22">
        <f t="shared" si="107"/>
        <v>0</v>
      </c>
      <c r="J242" s="22">
        <f t="shared" si="107"/>
        <v>0</v>
      </c>
      <c r="K242" s="22">
        <f t="shared" si="107"/>
        <v>0</v>
      </c>
      <c r="L242" s="22">
        <f t="shared" si="107"/>
        <v>0</v>
      </c>
      <c r="M242" s="22">
        <f t="shared" si="107"/>
        <v>0</v>
      </c>
      <c r="N242" s="22">
        <f t="shared" si="107"/>
        <v>0</v>
      </c>
      <c r="O242" s="22">
        <f t="shared" si="107"/>
        <v>0</v>
      </c>
      <c r="P242" s="22">
        <f t="shared" si="108"/>
        <v>0</v>
      </c>
      <c r="Q242" s="22"/>
    </row>
    <row r="243" spans="2:17" s="11" customFormat="1" x14ac:dyDescent="0.25">
      <c r="B243" s="11" t="s">
        <v>10</v>
      </c>
      <c r="C243" s="12">
        <v>50</v>
      </c>
      <c r="D243" s="22">
        <f t="shared" si="107"/>
        <v>0</v>
      </c>
      <c r="E243" s="22">
        <f t="shared" si="107"/>
        <v>0</v>
      </c>
      <c r="F243" s="22">
        <f t="shared" si="107"/>
        <v>0</v>
      </c>
      <c r="G243" s="22">
        <f t="shared" si="107"/>
        <v>0</v>
      </c>
      <c r="H243" s="22">
        <f t="shared" si="107"/>
        <v>0</v>
      </c>
      <c r="I243" s="22">
        <f t="shared" si="107"/>
        <v>0</v>
      </c>
      <c r="J243" s="22">
        <f t="shared" si="107"/>
        <v>0</v>
      </c>
      <c r="K243" s="22">
        <f t="shared" si="107"/>
        <v>0</v>
      </c>
      <c r="L243" s="22">
        <f t="shared" si="107"/>
        <v>0</v>
      </c>
      <c r="M243" s="22">
        <f t="shared" si="107"/>
        <v>0</v>
      </c>
      <c r="N243" s="22">
        <f t="shared" si="107"/>
        <v>0</v>
      </c>
      <c r="O243" s="22">
        <f t="shared" si="107"/>
        <v>0</v>
      </c>
      <c r="P243" s="22">
        <f t="shared" si="108"/>
        <v>0</v>
      </c>
      <c r="Q243" s="22"/>
    </row>
    <row r="244" spans="2:17" s="11" customFormat="1" x14ac:dyDescent="0.25">
      <c r="B244" s="2" t="s">
        <v>73</v>
      </c>
      <c r="C244" s="12" t="s">
        <v>20</v>
      </c>
      <c r="D244" s="22">
        <f t="shared" si="107"/>
        <v>528</v>
      </c>
      <c r="E244" s="22">
        <f t="shared" si="107"/>
        <v>61</v>
      </c>
      <c r="F244" s="22">
        <f t="shared" si="107"/>
        <v>0</v>
      </c>
      <c r="G244" s="22">
        <f t="shared" si="107"/>
        <v>0</v>
      </c>
      <c r="H244" s="22">
        <f t="shared" si="107"/>
        <v>0</v>
      </c>
      <c r="I244" s="22">
        <f t="shared" si="107"/>
        <v>0</v>
      </c>
      <c r="J244" s="22">
        <f t="shared" si="107"/>
        <v>0</v>
      </c>
      <c r="K244" s="22">
        <f t="shared" si="107"/>
        <v>0</v>
      </c>
      <c r="L244" s="22">
        <f t="shared" si="107"/>
        <v>0</v>
      </c>
      <c r="M244" s="22">
        <f t="shared" si="107"/>
        <v>0</v>
      </c>
      <c r="N244" s="22">
        <f t="shared" si="107"/>
        <v>0</v>
      </c>
      <c r="O244" s="22">
        <f t="shared" si="107"/>
        <v>0</v>
      </c>
      <c r="P244" s="22">
        <f t="shared" si="108"/>
        <v>589</v>
      </c>
      <c r="Q244" s="22"/>
    </row>
    <row r="245" spans="2:17" s="11" customFormat="1" x14ac:dyDescent="0.25">
      <c r="B245" s="11" t="s">
        <v>74</v>
      </c>
      <c r="C245" s="12" t="s">
        <v>22</v>
      </c>
      <c r="D245" s="22">
        <f t="shared" si="107"/>
        <v>22767.031914893618</v>
      </c>
      <c r="E245" s="22">
        <f t="shared" si="107"/>
        <v>16582.212765957447</v>
      </c>
      <c r="F245" s="22">
        <f t="shared" si="107"/>
        <v>22608.265957446809</v>
      </c>
      <c r="G245" s="22">
        <f t="shared" si="107"/>
        <v>35171.478260869568</v>
      </c>
      <c r="H245" s="22">
        <f t="shared" si="107"/>
        <v>3651.6739130434785</v>
      </c>
      <c r="I245" s="22">
        <f t="shared" si="107"/>
        <v>17367.66304347826</v>
      </c>
      <c r="J245" s="22">
        <f t="shared" si="107"/>
        <v>16081.380434782608</v>
      </c>
      <c r="K245" s="22">
        <f t="shared" si="107"/>
        <v>13589.423913043478</v>
      </c>
      <c r="L245" s="22">
        <f t="shared" si="107"/>
        <v>19301.478260869564</v>
      </c>
      <c r="M245" s="22">
        <f t="shared" si="107"/>
        <v>18683.891304347828</v>
      </c>
      <c r="N245" s="22">
        <f t="shared" si="107"/>
        <v>18130.717391304348</v>
      </c>
      <c r="O245" s="22">
        <f t="shared" si="107"/>
        <v>21531.91304347826</v>
      </c>
      <c r="P245" s="22">
        <f t="shared" si="108"/>
        <v>225467.13020351529</v>
      </c>
      <c r="Q245" s="22"/>
    </row>
    <row r="246" spans="2:17" s="11" customFormat="1" x14ac:dyDescent="0.25">
      <c r="B246" s="11" t="s">
        <v>75</v>
      </c>
      <c r="C246" s="12" t="s">
        <v>24</v>
      </c>
      <c r="D246" s="22">
        <f t="shared" si="107"/>
        <v>58157.731707317071</v>
      </c>
      <c r="E246" s="22">
        <f t="shared" si="107"/>
        <v>43918.902439024387</v>
      </c>
      <c r="F246" s="22">
        <f t="shared" si="107"/>
        <v>80684.333333333328</v>
      </c>
      <c r="G246" s="22">
        <f t="shared" si="107"/>
        <v>104155.64197530864</v>
      </c>
      <c r="H246" s="22">
        <f t="shared" si="107"/>
        <v>39085.135802469136</v>
      </c>
      <c r="I246" s="22">
        <f t="shared" si="107"/>
        <v>28958.345679012345</v>
      </c>
      <c r="J246" s="22">
        <f t="shared" si="107"/>
        <v>54124.91358024691</v>
      </c>
      <c r="K246" s="22">
        <f t="shared" si="107"/>
        <v>54617.419753086418</v>
      </c>
      <c r="L246" s="22">
        <f t="shared" si="107"/>
        <v>62917.525000000001</v>
      </c>
      <c r="M246" s="22">
        <f t="shared" si="107"/>
        <v>63524.370370370372</v>
      </c>
      <c r="N246" s="22">
        <f t="shared" si="107"/>
        <v>60785.604938271608</v>
      </c>
      <c r="O246" s="22">
        <f t="shared" si="107"/>
        <v>63957.604938271608</v>
      </c>
      <c r="P246" s="22">
        <f t="shared" si="108"/>
        <v>714887.52951671171</v>
      </c>
      <c r="Q246" s="22"/>
    </row>
    <row r="247" spans="2:17" s="11" customFormat="1" x14ac:dyDescent="0.25">
      <c r="B247" s="11" t="s">
        <v>81</v>
      </c>
      <c r="C247" s="12" t="s">
        <v>25</v>
      </c>
      <c r="D247" s="22">
        <f t="shared" si="107"/>
        <v>60275.5</v>
      </c>
      <c r="E247" s="22">
        <f t="shared" si="107"/>
        <v>34090.166666666664</v>
      </c>
      <c r="F247" s="22">
        <f t="shared" si="107"/>
        <v>19179</v>
      </c>
      <c r="G247" s="22">
        <f t="shared" si="107"/>
        <v>45725.333333333336</v>
      </c>
      <c r="H247" s="22">
        <f t="shared" si="107"/>
        <v>1785.3333333333333</v>
      </c>
      <c r="I247" s="22">
        <f t="shared" si="107"/>
        <v>28135.5</v>
      </c>
      <c r="J247" s="22">
        <f t="shared" si="107"/>
        <v>26539.166666666668</v>
      </c>
      <c r="K247" s="22">
        <f t="shared" si="107"/>
        <v>33017.333333333336</v>
      </c>
      <c r="L247" s="22">
        <f t="shared" si="107"/>
        <v>18934.833333333332</v>
      </c>
      <c r="M247" s="22">
        <f t="shared" si="107"/>
        <v>19025</v>
      </c>
      <c r="N247" s="22">
        <f t="shared" si="107"/>
        <v>12664</v>
      </c>
      <c r="O247" s="22">
        <f t="shared" si="107"/>
        <v>8873.4</v>
      </c>
      <c r="P247" s="22">
        <f t="shared" si="108"/>
        <v>308244.56666666671</v>
      </c>
      <c r="Q247" s="22"/>
    </row>
    <row r="248" spans="2:17" s="11" customFormat="1" x14ac:dyDescent="0.25">
      <c r="B248" s="11" t="s">
        <v>77</v>
      </c>
      <c r="C248" s="12" t="s">
        <v>27</v>
      </c>
      <c r="D248" s="22">
        <f t="shared" si="107"/>
        <v>863147.90909090906</v>
      </c>
      <c r="E248" s="22">
        <f t="shared" si="107"/>
        <v>537746.36363636365</v>
      </c>
      <c r="F248" s="22">
        <f t="shared" si="107"/>
        <v>546109.63636363635</v>
      </c>
      <c r="G248" s="22">
        <f t="shared" si="107"/>
        <v>1080907.4545454546</v>
      </c>
      <c r="H248" s="22">
        <f t="shared" si="107"/>
        <v>833670.18181818177</v>
      </c>
      <c r="I248" s="22">
        <f t="shared" si="107"/>
        <v>80958.181818181823</v>
      </c>
      <c r="J248" s="22">
        <f t="shared" si="107"/>
        <v>1036240.2727272727</v>
      </c>
      <c r="K248" s="22">
        <f t="shared" si="107"/>
        <v>689336.1</v>
      </c>
      <c r="L248" s="22">
        <f t="shared" si="107"/>
        <v>547059.9</v>
      </c>
      <c r="M248" s="22">
        <f t="shared" si="107"/>
        <v>810801.1</v>
      </c>
      <c r="N248" s="22">
        <f t="shared" si="107"/>
        <v>641833.1</v>
      </c>
      <c r="O248" s="22">
        <f t="shared" si="107"/>
        <v>741464.3</v>
      </c>
      <c r="P248" s="22">
        <f t="shared" si="108"/>
        <v>8409274.5</v>
      </c>
      <c r="Q248" s="22"/>
    </row>
    <row r="249" spans="2:17" s="11" customFormat="1" x14ac:dyDescent="0.25">
      <c r="B249" s="11" t="s">
        <v>94</v>
      </c>
      <c r="C249" s="11">
        <v>85</v>
      </c>
      <c r="D249" s="22">
        <f t="shared" si="107"/>
        <v>74603.971428571429</v>
      </c>
      <c r="E249" s="22">
        <f t="shared" si="107"/>
        <v>60321.23529411765</v>
      </c>
      <c r="F249" s="22">
        <f t="shared" si="107"/>
        <v>71902.676470588238</v>
      </c>
      <c r="G249" s="22">
        <f t="shared" si="107"/>
        <v>78443.212121212127</v>
      </c>
      <c r="H249" s="22">
        <f t="shared" si="107"/>
        <v>39374.78787878788</v>
      </c>
      <c r="I249" s="22">
        <f t="shared" si="107"/>
        <v>44942.757575757576</v>
      </c>
      <c r="J249" s="22">
        <f t="shared" si="107"/>
        <v>24596.151515151516</v>
      </c>
      <c r="K249" s="22">
        <f t="shared" si="107"/>
        <v>55793.606060606064</v>
      </c>
      <c r="L249" s="22">
        <f t="shared" si="107"/>
        <v>44735.63636363636</v>
      </c>
      <c r="M249" s="22">
        <f t="shared" si="107"/>
        <v>42269.57575757576</v>
      </c>
      <c r="N249" s="22">
        <f t="shared" si="107"/>
        <v>59006.909090909088</v>
      </c>
      <c r="O249" s="22">
        <f t="shared" si="107"/>
        <v>77727.333333333328</v>
      </c>
      <c r="P249" s="22">
        <f t="shared" si="108"/>
        <v>673717.85289024701</v>
      </c>
      <c r="Q249" s="22"/>
    </row>
    <row r="250" spans="2:17" s="11" customFormat="1" x14ac:dyDescent="0.25">
      <c r="B250" s="11" t="s">
        <v>95</v>
      </c>
      <c r="C250" s="11">
        <v>86</v>
      </c>
      <c r="D250" s="22">
        <f t="shared" si="107"/>
        <v>8225.3271028037379</v>
      </c>
      <c r="E250" s="22">
        <f t="shared" si="107"/>
        <v>6474.6542056074768</v>
      </c>
      <c r="F250" s="22">
        <f t="shared" si="107"/>
        <v>6704.6261682242994</v>
      </c>
      <c r="G250" s="22">
        <f t="shared" si="107"/>
        <v>5373.2358490566039</v>
      </c>
      <c r="H250" s="22">
        <f t="shared" si="107"/>
        <v>4149.2075471698117</v>
      </c>
      <c r="I250" s="22">
        <f t="shared" si="107"/>
        <v>2158.0476190476193</v>
      </c>
      <c r="J250" s="22">
        <f t="shared" si="107"/>
        <v>1481.3904761904762</v>
      </c>
      <c r="K250" s="22">
        <f t="shared" si="107"/>
        <v>1358.7809523809524</v>
      </c>
      <c r="L250" s="22">
        <f t="shared" si="107"/>
        <v>1936.8557692307693</v>
      </c>
      <c r="M250" s="22">
        <f t="shared" si="107"/>
        <v>3812.5841584158416</v>
      </c>
      <c r="N250" s="22">
        <f t="shared" si="107"/>
        <v>5542.2178217821784</v>
      </c>
      <c r="O250" s="22">
        <f t="shared" si="107"/>
        <v>6400.4851485148511</v>
      </c>
      <c r="P250" s="22">
        <f t="shared" si="108"/>
        <v>53617.412818424622</v>
      </c>
      <c r="Q250" s="22"/>
    </row>
    <row r="251" spans="2:17" s="11" customFormat="1" x14ac:dyDescent="0.25">
      <c r="B251" s="11" t="s">
        <v>96</v>
      </c>
      <c r="C251" s="11">
        <v>87</v>
      </c>
      <c r="D251" s="22">
        <f t="shared" si="107"/>
        <v>890619</v>
      </c>
      <c r="E251" s="22">
        <f t="shared" si="107"/>
        <v>1044306.5</v>
      </c>
      <c r="F251" s="22">
        <f t="shared" si="107"/>
        <v>-265409.25</v>
      </c>
      <c r="G251" s="22">
        <f t="shared" si="107"/>
        <v>1186794</v>
      </c>
      <c r="H251" s="22">
        <f t="shared" si="107"/>
        <v>-244969</v>
      </c>
      <c r="I251" s="22">
        <f t="shared" si="107"/>
        <v>406710.5</v>
      </c>
      <c r="J251" s="22">
        <f t="shared" si="107"/>
        <v>226777</v>
      </c>
      <c r="K251" s="22">
        <f t="shared" si="107"/>
        <v>250896</v>
      </c>
      <c r="L251" s="22">
        <f t="shared" si="107"/>
        <v>195145.5</v>
      </c>
      <c r="M251" s="22">
        <f t="shared" si="107"/>
        <v>374464.25</v>
      </c>
      <c r="N251" s="22">
        <f t="shared" si="107"/>
        <v>407265</v>
      </c>
      <c r="O251" s="22">
        <f t="shared" si="107"/>
        <v>637272</v>
      </c>
      <c r="P251" s="22">
        <f t="shared" si="108"/>
        <v>5109871.5</v>
      </c>
      <c r="Q251" s="22"/>
    </row>
    <row r="252" spans="2:17" s="18" customFormat="1" ht="14.4" x14ac:dyDescent="0.3">
      <c r="B252" s="44" t="s">
        <v>78</v>
      </c>
      <c r="C252" s="29" t="s">
        <v>33</v>
      </c>
      <c r="D252" s="22">
        <f t="shared" si="107"/>
        <v>410306.55555555556</v>
      </c>
      <c r="E252" s="22">
        <f t="shared" si="107"/>
        <v>123562.33333333333</v>
      </c>
      <c r="F252" s="22">
        <f t="shared" si="107"/>
        <v>644300.11111111112</v>
      </c>
      <c r="G252" s="22">
        <f t="shared" si="107"/>
        <v>-20181.777777777777</v>
      </c>
      <c r="H252" s="22">
        <f t="shared" si="107"/>
        <v>575436.77777777775</v>
      </c>
      <c r="I252" s="22">
        <f t="shared" si="107"/>
        <v>204390.88888888888</v>
      </c>
      <c r="J252" s="22">
        <f t="shared" si="107"/>
        <v>186870.55555555556</v>
      </c>
      <c r="K252" s="22">
        <f t="shared" si="107"/>
        <v>183704.44444444444</v>
      </c>
      <c r="L252" s="22">
        <f t="shared" si="107"/>
        <v>198266.33333333334</v>
      </c>
      <c r="M252" s="22">
        <f t="shared" si="107"/>
        <v>272349.77777777775</v>
      </c>
      <c r="N252" s="22">
        <f t="shared" si="107"/>
        <v>389577.44444444444</v>
      </c>
      <c r="O252" s="22">
        <f t="shared" si="107"/>
        <v>-786641.33333333337</v>
      </c>
      <c r="P252" s="22">
        <f t="shared" si="108"/>
        <v>2381942.111111111</v>
      </c>
      <c r="Q252" s="22"/>
    </row>
    <row r="253" spans="2:17" x14ac:dyDescent="0.25">
      <c r="B253" s="11" t="s">
        <v>3</v>
      </c>
      <c r="C253" s="11"/>
      <c r="D253" s="22">
        <f t="shared" ref="D253:O253" si="109">IFERROR(ROUND(D142,0)/ROUND(D64,0),0)</f>
        <v>179.03897649474996</v>
      </c>
      <c r="E253" s="22">
        <f t="shared" si="109"/>
        <v>151.60089649150714</v>
      </c>
      <c r="F253" s="22">
        <f t="shared" si="109"/>
        <v>149.85329932692471</v>
      </c>
      <c r="G253" s="22">
        <f t="shared" si="109"/>
        <v>125.83730069795736</v>
      </c>
      <c r="H253" s="22">
        <f t="shared" si="109"/>
        <v>72.832528636939969</v>
      </c>
      <c r="I253" s="22">
        <f t="shared" si="109"/>
        <v>46.62374761811683</v>
      </c>
      <c r="J253" s="22">
        <f t="shared" si="109"/>
        <v>50.736549500308733</v>
      </c>
      <c r="K253" s="22">
        <f t="shared" si="109"/>
        <v>46.095920695559933</v>
      </c>
      <c r="L253" s="22">
        <f t="shared" si="109"/>
        <v>53.414980259060549</v>
      </c>
      <c r="M253" s="22">
        <f t="shared" si="109"/>
        <v>93.927402631807325</v>
      </c>
      <c r="N253" s="22">
        <f t="shared" si="109"/>
        <v>135.08991511438401</v>
      </c>
      <c r="O253" s="22">
        <f t="shared" si="109"/>
        <v>159.69006852827161</v>
      </c>
      <c r="P253" s="22">
        <f t="shared" si="108"/>
        <v>1264.7415859955884</v>
      </c>
      <c r="Q253" s="22"/>
    </row>
    <row r="254" spans="2:17" x14ac:dyDescent="0.25">
      <c r="B254" s="11"/>
      <c r="C254" s="12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53"/>
      <c r="Q254" s="53"/>
    </row>
    <row r="255" spans="2:17" x14ac:dyDescent="0.25">
      <c r="B255" s="11"/>
      <c r="C255" s="12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53"/>
      <c r="Q255" s="53"/>
    </row>
    <row r="256" spans="2:17" x14ac:dyDescent="0.25"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</row>
    <row r="257" spans="4:17" x14ac:dyDescent="0.25"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</row>
    <row r="258" spans="4:17" x14ac:dyDescent="0.25"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</row>
    <row r="259" spans="4:17" x14ac:dyDescent="0.25"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</row>
    <row r="260" spans="4:17" x14ac:dyDescent="0.25"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</row>
    <row r="261" spans="4:17" x14ac:dyDescent="0.25"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</row>
    <row r="262" spans="4:17" x14ac:dyDescent="0.25"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</row>
    <row r="263" spans="4:17" x14ac:dyDescent="0.25"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</row>
    <row r="264" spans="4:17" x14ac:dyDescent="0.25"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</row>
    <row r="265" spans="4:17" x14ac:dyDescent="0.25"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</row>
    <row r="266" spans="4:17" x14ac:dyDescent="0.25"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</row>
    <row r="267" spans="4:17" x14ac:dyDescent="0.25"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</row>
    <row r="268" spans="4:17" x14ac:dyDescent="0.25"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</row>
    <row r="269" spans="4:17" x14ac:dyDescent="0.25"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</row>
    <row r="270" spans="4:17" x14ac:dyDescent="0.25"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</row>
    <row r="271" spans="4:17" x14ac:dyDescent="0.25"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</row>
    <row r="272" spans="4:17" x14ac:dyDescent="0.25"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</row>
    <row r="273" spans="4:17" x14ac:dyDescent="0.25"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</row>
    <row r="274" spans="4:17" x14ac:dyDescent="0.25"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</row>
    <row r="275" spans="4:17" x14ac:dyDescent="0.25"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</row>
    <row r="276" spans="4:17" x14ac:dyDescent="0.25"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</row>
    <row r="277" spans="4:17" x14ac:dyDescent="0.25"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</row>
    <row r="278" spans="4:17" x14ac:dyDescent="0.25"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</row>
    <row r="279" spans="4:17" x14ac:dyDescent="0.25"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</row>
    <row r="280" spans="4:17" x14ac:dyDescent="0.25"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</row>
    <row r="281" spans="4:17" x14ac:dyDescent="0.25"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</row>
    <row r="282" spans="4:17" x14ac:dyDescent="0.25"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</row>
    <row r="283" spans="4:17" x14ac:dyDescent="0.25"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</row>
    <row r="284" spans="4:17" x14ac:dyDescent="0.25"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</row>
    <row r="285" spans="4:17" x14ac:dyDescent="0.25"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</row>
    <row r="286" spans="4:17" x14ac:dyDescent="0.25"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</row>
    <row r="287" spans="4:17" x14ac:dyDescent="0.25"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</row>
    <row r="288" spans="4:17" x14ac:dyDescent="0.25"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</row>
    <row r="289" spans="4:17" x14ac:dyDescent="0.25"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</row>
    <row r="290" spans="4:17" x14ac:dyDescent="0.25"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</row>
    <row r="291" spans="4:17" x14ac:dyDescent="0.25"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</row>
    <row r="292" spans="4:17" x14ac:dyDescent="0.25"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</row>
    <row r="293" spans="4:17" x14ac:dyDescent="0.25"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</row>
    <row r="294" spans="4:17" x14ac:dyDescent="0.25"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</row>
    <row r="295" spans="4:17" x14ac:dyDescent="0.25"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</row>
    <row r="296" spans="4:17" x14ac:dyDescent="0.25"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</row>
    <row r="297" spans="4:17" x14ac:dyDescent="0.25"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</row>
    <row r="298" spans="4:17" x14ac:dyDescent="0.25"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</row>
    <row r="299" spans="4:17" x14ac:dyDescent="0.25"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</row>
  </sheetData>
  <printOptions horizontalCentered="1"/>
  <pageMargins left="0.5" right="0.5" top="0.75" bottom="0.75" header="0.5" footer="0.3"/>
  <pageSetup scale="55" fitToHeight="5" orientation="landscape" blackAndWhite="1" r:id="rId1"/>
  <headerFooter alignWithMargins="0">
    <oddFooter>&amp;C    Page &amp;P of &amp;N&amp;R&amp;F
&amp;A</oddFooter>
  </headerFooter>
  <rowBreaks count="3" manualBreakCount="3">
    <brk id="65" min="1" max="15" man="1"/>
    <brk id="112" min="1" max="15" man="1"/>
    <brk id="177" min="1" max="15" man="1"/>
  </rowBreaks>
  <customProperties>
    <customPr name="_pios_id" r:id="rId2"/>
  </customProperties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A863F1F3F84D34DA9D1C0B7B6EF12CC" ma:contentTypeVersion="16" ma:contentTypeDescription="" ma:contentTypeScope="" ma:versionID="98915a28353ae780bc35b12d984ad18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2024-03-29T07:00:00+00:00</OpenedDate>
    <SignificantOrder xmlns="dc463f71-b30c-4ab2-9473-d307f9d35888">false</SignificantOrder>
    <Date1 xmlns="dc463f71-b30c-4ab2-9473-d307f9d35888">2024-03-29T07:00:00+00:00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240220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3EFA290-010E-4B1F-BF81-750BA6ABC706}"/>
</file>

<file path=customXml/itemProps2.xml><?xml version="1.0" encoding="utf-8"?>
<ds:datastoreItem xmlns:ds="http://schemas.openxmlformats.org/officeDocument/2006/customXml" ds:itemID="{7B5DDD7E-8168-4915-9AF6-D14AE1D2D77F}"/>
</file>

<file path=customXml/itemProps3.xml><?xml version="1.0" encoding="utf-8"?>
<ds:datastoreItem xmlns:ds="http://schemas.openxmlformats.org/officeDocument/2006/customXml" ds:itemID="{777FEA43-73E7-4A6C-8531-6DFC6A02D5E1}"/>
</file>

<file path=customXml/itemProps4.xml><?xml version="1.0" encoding="utf-8"?>
<ds:datastoreItem xmlns:ds="http://schemas.openxmlformats.org/officeDocument/2006/customXml" ds:itemID="{73825118-6068-497C-8059-EE650F5273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 Lead Sheet</vt:lpstr>
      <vt:lpstr>Weather Adj. For CBR</vt:lpstr>
      <vt:lpstr>Weather Adj. Volumes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Schmidt</dc:creator>
  <cp:lastModifiedBy>Marina</cp:lastModifiedBy>
  <cp:lastPrinted>2023-02-17T00:11:24Z</cp:lastPrinted>
  <dcterms:created xsi:type="dcterms:W3CDTF">2020-01-29T19:28:41Z</dcterms:created>
  <dcterms:modified xsi:type="dcterms:W3CDTF">2024-03-26T20:43:39Z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0x0101006E56B4D1795A2E4DB2F0B01679ED314A000A863F1F3F84D34DA9D1C0B7B6EF12CC</vt:lpwstr>
  </property>
  <property fmtid="{D5CDD505-2E9C-101B-9397-08002B2CF9AE}" pid="3" name="_docset_NoMedatataSyncRequired">
    <vt:lpwstr>False</vt:lpwstr>
  </property>
</Properties>
</file>