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png" ContentType="image/png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drawings/drawing8.xml" ContentType="application/vnd.openxmlformats-officedocument.drawing+xml"/>
  <Override PartName="/xl/drawings/drawing7.xml" ContentType="application/vnd.openxmlformats-officedocument.drawing+xml"/>
  <Override PartName="/xl/drawings/drawing5.xml" ContentType="application/vnd.openxmlformats-officedocument.drawing+xml"/>
  <Override PartName="/xl/worksheets/sheet1.xml" ContentType="application/vnd.openxmlformats-officedocument.spreadsheetml.worksheet+xml"/>
  <Override PartName="/xl/drawings/drawing4.xml" ContentType="application/vnd.openxmlformats-officedocument.drawing+xml"/>
  <Override PartName="/xl/drawings/drawing6.xml" ContentType="application/vnd.openxmlformats-officedocument.drawing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worksheets/sheet10.xml" ContentType="application/vnd.openxmlformats-officedocument.spreadsheetml.worksheet+xml"/>
  <Override PartName="/xl/worksheets/sheet13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drawings/drawing3.xml" ContentType="application/vnd.openxmlformats-officedocument.drawing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printerSettings/printerSettings1.bin" ContentType="application/vnd.openxmlformats-officedocument.spreadsheetml.printerSettings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rinterSettings/printerSettings4.bin" ContentType="application/vnd.openxmlformats-officedocument.spreadsheetml.printerSettings"/>
  <Override PartName="/xl/printerSettings/printerSettings3.bin" ContentType="application/vnd.openxmlformats-officedocument.spreadsheetml.printerSettings"/>
  <Override PartName="/xl/printerSettings/printerSettings5.bin" ContentType="application/vnd.openxmlformats-officedocument.spreadsheetml.printerSettings"/>
  <Override PartName="/docProps/core.xml" ContentType="application/vnd.openxmlformats-package.core-properties+xml"/>
  <Override PartName="/customXml/itemProps1.xml" ContentType="application/vnd.openxmlformats-officedocument.customXmlProperties+xml"/>
  <Override PartName="/xl/calcChain.xml" ContentType="application/vnd.openxmlformats-officedocument.spreadsheetml.calcChain+xml"/>
  <Override PartName="/xl/printerSettings/printerSettings2.bin" ContentType="application/vnd.openxmlformats-officedocument.spreadsheetml.printerSettings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GrpRevnu\PUBLIC\# Commission Basis Report\Dec_31_21\To File 2021 WP\"/>
    </mc:Choice>
  </mc:AlternateContent>
  <bookViews>
    <workbookView xWindow="240" yWindow="120" windowWidth="18195" windowHeight="11490" tabRatio="792" firstSheet="1" activeTab="1"/>
  </bookViews>
  <sheets>
    <sheet name="_com.sap.ip.bi.xl.hiddensheet" sheetId="40" state="veryHidden" r:id="rId1"/>
    <sheet name="Lead 3.05 " sheetId="1" r:id="rId2"/>
    <sheet name="CF" sheetId="52" r:id="rId3"/>
    <sheet name="141X repurposed" sheetId="53" r:id="rId4"/>
    <sheet name="SOG 12ME Dec 21 4th Close" sheetId="46" r:id="rId5"/>
    <sheet name="Schedule 129" sheetId="49" r:id="rId6"/>
    <sheet name="Schedule 120" sheetId="50" r:id="rId7"/>
    <sheet name="Schedule 140" sheetId="51" r:id="rId8"/>
    <sheet name="Schedule 106" sheetId="48" r:id="rId9"/>
    <sheet name="SC 137 Carb Offset" sheetId="33" r:id="rId10"/>
    <sheet name="SOGE Mu Tx Wtr Htr" sheetId="37" r:id="rId11"/>
    <sheet name="SOGE Muni Tax" sheetId="36" r:id="rId12"/>
    <sheet name="ZO12 Decoup" sheetId="35" r:id="rId13"/>
  </sheets>
  <externalReferences>
    <externalReference r:id="rId14"/>
  </externalReferences>
  <calcPr calcId="162913"/>
</workbook>
</file>

<file path=xl/calcChain.xml><?xml version="1.0" encoding="utf-8"?>
<calcChain xmlns="http://schemas.openxmlformats.org/spreadsheetml/2006/main">
  <c r="D14" i="1" l="1"/>
  <c r="H31" i="53"/>
  <c r="E14" i="53"/>
  <c r="D20" i="1" s="1"/>
  <c r="A13" i="1"/>
  <c r="A14" i="1"/>
  <c r="A15" i="1"/>
  <c r="A16" i="1"/>
  <c r="A17" i="1"/>
  <c r="A18" i="1"/>
  <c r="A20" i="1"/>
  <c r="A21" i="1"/>
  <c r="A22" i="1"/>
  <c r="A23" i="1"/>
  <c r="A24" i="1"/>
  <c r="A25" i="1"/>
  <c r="A19" i="1"/>
  <c r="A26" i="1"/>
  <c r="A27" i="1"/>
  <c r="A28" i="1"/>
  <c r="A29" i="1"/>
  <c r="A30" i="1"/>
  <c r="A31" i="1"/>
  <c r="A32" i="1"/>
  <c r="A33" i="1"/>
  <c r="A34" i="1"/>
  <c r="B1" i="37"/>
  <c r="A1" i="37"/>
  <c r="D27" i="1" l="1"/>
  <c r="D45" i="1" l="1"/>
  <c r="C36" i="1"/>
  <c r="C35" i="1"/>
  <c r="C34" i="1"/>
  <c r="C19" i="1" l="1"/>
  <c r="C17" i="1"/>
  <c r="B2" i="37"/>
  <c r="A2" i="36"/>
  <c r="B2" i="36"/>
  <c r="B3" i="37"/>
  <c r="A3" i="36"/>
  <c r="A3" i="37"/>
  <c r="B3" i="36"/>
  <c r="A2" i="37"/>
  <c r="A1" i="36"/>
  <c r="B1" i="36"/>
  <c r="A35" i="1" l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D47" i="1"/>
  <c r="D25" i="1"/>
  <c r="D18" i="1"/>
  <c r="E39" i="33"/>
  <c r="F41" i="33" s="1"/>
  <c r="D44" i="1" s="1"/>
  <c r="D46" i="1"/>
  <c r="A12" i="1" l="1"/>
  <c r="B5" i="51" l="1"/>
  <c r="D42" i="1" s="1"/>
  <c r="D41" i="1"/>
  <c r="D40" i="1"/>
  <c r="B20" i="35"/>
  <c r="B18" i="35"/>
  <c r="D26" i="1" s="1"/>
  <c r="D10" i="48"/>
  <c r="D43" i="1" s="1"/>
  <c r="D48" i="1"/>
  <c r="D28" i="1"/>
  <c r="D21" i="1"/>
  <c r="B22" i="35" l="1"/>
  <c r="D15" i="1" l="1"/>
  <c r="D16" i="1"/>
  <c r="E58" i="46"/>
  <c r="E52" i="46"/>
  <c r="E28" i="46"/>
  <c r="E20" i="46"/>
  <c r="E14" i="46"/>
  <c r="E60" i="46" l="1"/>
  <c r="E22" i="46"/>
  <c r="E66" i="46"/>
  <c r="E30" i="46" l="1"/>
  <c r="E68" i="46"/>
  <c r="E35" i="46" l="1"/>
  <c r="D19" i="1" l="1"/>
  <c r="D17" i="1"/>
  <c r="D49" i="1"/>
  <c r="D35" i="1" l="1"/>
  <c r="D34" i="1"/>
  <c r="D36" i="1"/>
  <c r="D29" i="1"/>
  <c r="D22" i="1"/>
  <c r="D31" i="1" l="1"/>
  <c r="D37" i="1" l="1"/>
  <c r="D51" i="1" s="1"/>
  <c r="D52" i="1" s="1"/>
  <c r="D53" i="1" s="1"/>
</calcChain>
</file>

<file path=xl/sharedStrings.xml><?xml version="1.0" encoding="utf-8"?>
<sst xmlns="http://schemas.openxmlformats.org/spreadsheetml/2006/main" count="562" uniqueCount="266">
  <si>
    <t>PUGET SOUND ENERGY</t>
  </si>
  <si>
    <t>PASS THROUGH REVENUE AND EXPENSE - GAS</t>
  </si>
  <si>
    <t>LINE</t>
  </si>
  <si>
    <t>ORIGINAL</t>
  </si>
  <si>
    <t>NO.</t>
  </si>
  <si>
    <t>DESCRIPTION</t>
  </si>
  <si>
    <t>ADJUSTMENT</t>
  </si>
  <si>
    <t>REMOVE REVENUES ASSOCIATED WITH RIDERS:</t>
  </si>
  <si>
    <t>REMOVE LOW INCOME RIDER - SCHEDULE 129</t>
  </si>
  <si>
    <t>REMOVE CONSERVATION TRACKER - SCHEDULE 120</t>
  </si>
  <si>
    <t>REMOVE PROPERTY TAX TRACKER - SCHEDULE 140</t>
  </si>
  <si>
    <t>REMOVE REVENUE ASSOC WITH PGA AMORTIZATION - SCHEDULE 106</t>
  </si>
  <si>
    <t>REMOVE CARBON OFFSET - SCHEDULE 137</t>
  </si>
  <si>
    <t>REMOVE OTHER ASSOC WITH CARBON OFFSET - SCHEDULE 137</t>
  </si>
  <si>
    <t>REMOVE DECOUPLING SCH 142 REVENUE</t>
  </si>
  <si>
    <t>REMOVE DECOUPLING SCH 142 SURCHARGE AMORT EXPENSE</t>
  </si>
  <si>
    <t>REMOVE MUNICIPAL TAXES ASSOC WITH SALES TO CUSTOMERS</t>
  </si>
  <si>
    <t>REMOVE MUNICIPAL TAXES ASSOC WITH OTHER OPRTG REV</t>
  </si>
  <si>
    <t>TOTAL (INCREASE) DECREASE REVENUES</t>
  </si>
  <si>
    <t>DECREASE REVENUE SENSITIVE ITEMS FOR DECREASE IN REVENUES:</t>
  </si>
  <si>
    <t>UNCOLLECTIBLES @</t>
  </si>
  <si>
    <t>ANNUAL FILING FEE</t>
  </si>
  <si>
    <t xml:space="preserve">STATE UTILITY TAX </t>
  </si>
  <si>
    <t xml:space="preserve">TOTAL </t>
  </si>
  <si>
    <t>REMOVE EXPENSES ASSOCIATED WITH RIDERS</t>
  </si>
  <si>
    <t>REMOVE LOW INCOME AMORTIZATION - SCHEDULE 129</t>
  </si>
  <si>
    <t>REMOVE CONSERVATION AMORTIZATION - SCHEDULE 120</t>
  </si>
  <si>
    <t>REMOVE PROPERTY TAX AMORTIZATION EXP - SCHEDULE 140</t>
  </si>
  <si>
    <t>REMOVE PGA DEFERRAL AMORTIZATION EXP - SCHEDULE 106</t>
  </si>
  <si>
    <t>REMOVE CARBON OFFSET AMORTIZATION EXP - SCHEDULE 137</t>
  </si>
  <si>
    <t>TOTAL INCREASE (DECREASE) EXPENSE</t>
  </si>
  <si>
    <t>INCREASE (DECREASE) OPERATING INCOME BEFORE FIT</t>
  </si>
  <si>
    <t>INCREASE (DECREASE) NOI</t>
  </si>
  <si>
    <t/>
  </si>
  <si>
    <t>Overall Result</t>
  </si>
  <si>
    <t>Fiscal year/period</t>
  </si>
  <si>
    <t>Total Billed Amount Incl Tax</t>
  </si>
  <si>
    <t>Division</t>
  </si>
  <si>
    <t>Statistical Rate</t>
  </si>
  <si>
    <t>Result</t>
  </si>
  <si>
    <t>GSC_137</t>
  </si>
  <si>
    <t>GSR_137</t>
  </si>
  <si>
    <t>Rate Category</t>
  </si>
  <si>
    <t>GSU_FFSTAT</t>
  </si>
  <si>
    <t>GSR_FFSTAT</t>
  </si>
  <si>
    <t>GSC_FFSTAT</t>
  </si>
  <si>
    <t>GST_FFSTAT</t>
  </si>
  <si>
    <t>COMMISSION BASIS REPORT</t>
  </si>
  <si>
    <t>90800407  4400-Cust Asst Exp-Consr Trckr Amort-Gas</t>
  </si>
  <si>
    <t>40810303  Municipal Taxes</t>
  </si>
  <si>
    <t>40810304  Property Taxes-Washington-Gas</t>
  </si>
  <si>
    <t>40810307  Prop Tax Sch140 Tracker Amort Defer -Gas</t>
  </si>
  <si>
    <t>90800350  4465 - Low Income Program  - Gas</t>
  </si>
  <si>
    <t>Act. Costs</t>
  </si>
  <si>
    <t>Decoupling Revenue</t>
  </si>
  <si>
    <t>Orders</t>
  </si>
  <si>
    <t>Conversion Factor Before FIT</t>
  </si>
  <si>
    <t>SUMMARY OF GAS OPERATING REVENUE &amp; THERM SALES</t>
  </si>
  <si>
    <t>INCREASE (DECREASE)</t>
  </si>
  <si>
    <t>ACTUAL</t>
  </si>
  <si>
    <t>SALE OF GAS - REVENUE</t>
  </si>
  <si>
    <t>Firm Sales Revenue</t>
  </si>
  <si>
    <t>Residential firm</t>
  </si>
  <si>
    <t>Commercial firm</t>
  </si>
  <si>
    <t>Industrial firm</t>
  </si>
  <si>
    <t xml:space="preserve">  Total firm</t>
  </si>
  <si>
    <t>Interruptible Sales Revenue</t>
  </si>
  <si>
    <t>Commercial interruptible</t>
  </si>
  <si>
    <t>Industrial interruptible</t>
  </si>
  <si>
    <t xml:space="preserve">  Total interruptible</t>
  </si>
  <si>
    <t xml:space="preserve">      Total gas sales revenue</t>
  </si>
  <si>
    <t>Transportation Revenue</t>
  </si>
  <si>
    <t>Commercial transportation</t>
  </si>
  <si>
    <t>Industrial transportation</t>
  </si>
  <si>
    <t xml:space="preserve">  Total transportation</t>
  </si>
  <si>
    <t xml:space="preserve">      Total gas revenue</t>
  </si>
  <si>
    <t>Other Operating Revenues</t>
  </si>
  <si>
    <t xml:space="preserve">    Total operating revenues</t>
  </si>
  <si>
    <t>SALE OF GAS - THERMS</t>
  </si>
  <si>
    <t>Firm Sales Therms</t>
  </si>
  <si>
    <t>Interruptible Sales Therms</t>
  </si>
  <si>
    <t xml:space="preserve">    Total gas sales - therms</t>
  </si>
  <si>
    <t>Transportation Therms</t>
  </si>
  <si>
    <t xml:space="preserve">    Total therms</t>
  </si>
  <si>
    <t>* Note: Sch. 141 Expedited Rate Filing and Sch. 142 Decoupling Riders were included in this report starting in July 2015</t>
  </si>
  <si>
    <t>$</t>
  </si>
  <si>
    <t xml:space="preserve">  ZO12                      Orders: Actual 12 Month Ended</t>
  </si>
  <si>
    <t xml:space="preserve">  Date:                     01/21/2021</t>
  </si>
  <si>
    <t xml:space="preserve">  Pages:                      3</t>
  </si>
  <si>
    <t xml:space="preserve">  Requested by:             JDIMAS</t>
  </si>
  <si>
    <t xml:space="preserve">     49500063  G Decoup Rev Schedule 31 &amp; 31T</t>
  </si>
  <si>
    <t xml:space="preserve">     49500064  G Decoup Rev 41, 41T, 86 &amp; 86T</t>
  </si>
  <si>
    <t xml:space="preserve">     49500066  G Decoup Amort Sch 142 - Sch 31 &amp; 31T in</t>
  </si>
  <si>
    <t xml:space="preserve">     49500067  G Decoup Amort Sch 142-Sch 41,41T,86,86T</t>
  </si>
  <si>
    <t xml:space="preserve">     49500102  9900-Gas Residential Decoupling Revenue</t>
  </si>
  <si>
    <t xml:space="preserve">     49500122  9900- Amort Sch 142 Gas Resid in Rates</t>
  </si>
  <si>
    <t>*    Decoupling Revenue</t>
  </si>
  <si>
    <t>**   Decoupling Revenue</t>
  </si>
  <si>
    <t>***  Debit</t>
  </si>
  <si>
    <t>**** Total</t>
  </si>
  <si>
    <t>PGA Deferral - Demand - Purch Gas Cost</t>
  </si>
  <si>
    <t>PGA Deferral - Commodity -Purch Gas Cos</t>
  </si>
  <si>
    <t>PGA Deferral - PGA Amort -Purch Gas Cos</t>
  </si>
  <si>
    <t>PGA Deferral - PGA Amort (Demand)</t>
  </si>
  <si>
    <t>PGA Deferral - PGA Amort (Commodity)</t>
  </si>
  <si>
    <t>PGA Deferral - PGA Amort Nov19-Oct21</t>
  </si>
  <si>
    <t>Gas</t>
  </si>
  <si>
    <t>SCH_031GC</t>
  </si>
  <si>
    <t>Natural Gas Commercial General Service</t>
  </si>
  <si>
    <t>SCH_041GC</t>
  </si>
  <si>
    <t>Natural Gas Large Vol. High Load Factor</t>
  </si>
  <si>
    <t>SCH_085GC</t>
  </si>
  <si>
    <t>Natural Gas Inter Service w/ Firm Option</t>
  </si>
  <si>
    <t>SCH_086GC</t>
  </si>
  <si>
    <t>Nat Gas Limit Inter Serv w/ Firm Option</t>
  </si>
  <si>
    <t>SCH_087GC</t>
  </si>
  <si>
    <t>Nat Gas Non-Ex Inter Serv w/ Firm Option</t>
  </si>
  <si>
    <t>SCH_031GTC</t>
  </si>
  <si>
    <t>NGDS Transportation Service Firm Com</t>
  </si>
  <si>
    <t>SCH_041GTC</t>
  </si>
  <si>
    <t>NGDS Transportation Service Firm LVHLF</t>
  </si>
  <si>
    <t>SCH_085GTC</t>
  </si>
  <si>
    <t>NGDS Trans Service Inter. w/ Firm Option</t>
  </si>
  <si>
    <t>SCH_086GTC</t>
  </si>
  <si>
    <t>NGDS Trans Service Limited Inter w/ Firm</t>
  </si>
  <si>
    <t>SCH_087GTC</t>
  </si>
  <si>
    <t>NGDS Trans Serv Non-Excl Inter w/ Firm</t>
  </si>
  <si>
    <t>SCH_031GI</t>
  </si>
  <si>
    <t>Natural Gas Industrial General Service</t>
  </si>
  <si>
    <t>SCH_041GI</t>
  </si>
  <si>
    <t>SCH_085GI</t>
  </si>
  <si>
    <t>SCH_086GI</t>
  </si>
  <si>
    <t>SCH_041GTI</t>
  </si>
  <si>
    <t>SCH_085GTI</t>
  </si>
  <si>
    <t>SCH_086GTI</t>
  </si>
  <si>
    <t>SCH_087GTI</t>
  </si>
  <si>
    <t>SCH_099GT</t>
  </si>
  <si>
    <t>NGDS Transportation Service Special</t>
  </si>
  <si>
    <t>SCH_016GR</t>
  </si>
  <si>
    <t>Natural Gas Lighting Service</t>
  </si>
  <si>
    <t>SCH_023G</t>
  </si>
  <si>
    <t>Natural Gas Residential General Service</t>
  </si>
  <si>
    <t>SCH_071G</t>
  </si>
  <si>
    <t>Natural Gas Water Heater Rental Service</t>
  </si>
  <si>
    <t>SCH_072G</t>
  </si>
  <si>
    <t>Natural Gas Large Vol H2O Heater Rental</t>
  </si>
  <si>
    <t>SCH_074G</t>
  </si>
  <si>
    <t>Natural Gas Conv. Burner Rental Service</t>
  </si>
  <si>
    <t>SCH.  81 (UtilityTax &amp; FranFee) in above</t>
  </si>
  <si>
    <t>SCH. 120 (Cons. Trk Rev) in above</t>
  </si>
  <si>
    <t>Low Income Surcharge in above</t>
  </si>
  <si>
    <t>SCH. 140 (Prop Tax in BillEngy) in above</t>
  </si>
  <si>
    <t>SCH. 149 (Pipeline Replacement) in above</t>
  </si>
  <si>
    <t>SCH. 141Y (TCJA Overcollection) in above</t>
  </si>
  <si>
    <t>SCH. 141X (Protected-Plus EDIT) in above</t>
  </si>
  <si>
    <t>SCH. 141Z (Unprotected EDIT) in above</t>
  </si>
  <si>
    <t xml:space="preserve"> FOR THE TWELVE MONTHS ENDED DECEMBER 31, 2021</t>
  </si>
  <si>
    <t>001/2021</t>
  </si>
  <si>
    <t>002/2021</t>
  </si>
  <si>
    <t>003/2021</t>
  </si>
  <si>
    <t>004/2021</t>
  </si>
  <si>
    <t>005/2021</t>
  </si>
  <si>
    <t>006/2021</t>
  </si>
  <si>
    <t>007/2021</t>
  </si>
  <si>
    <t>008/2021</t>
  </si>
  <si>
    <t>009/2021</t>
  </si>
  <si>
    <t>010/2021</t>
  </si>
  <si>
    <t>011/2021</t>
  </si>
  <si>
    <t>012/2021</t>
  </si>
  <si>
    <t>Carbon Offset Optional Rider</t>
  </si>
  <si>
    <t>ZRW_ZO12</t>
  </si>
  <si>
    <t>Order Group 8051</t>
  </si>
  <si>
    <t>PGA Deferral – PGA Amort May19-May20</t>
  </si>
  <si>
    <t>TWELVE MONTHS ENDED DECEMBER 31, 2021</t>
  </si>
  <si>
    <t>SALES TO CUSTOMERS:</t>
  </si>
  <si>
    <t>OTHER OPERATING REVENUES:</t>
  </si>
  <si>
    <t>TOTAL INCREASE (DECREASE) SALES TO CUSTOMERS</t>
  </si>
  <si>
    <t>TOTAL INCREASE (DECREASE) OTHER OPERATING REVENUES</t>
  </si>
  <si>
    <t xml:space="preserve"> PURCHASED GAS</t>
  </si>
  <si>
    <t>CONSERVATION AMORTIZATION</t>
  </si>
  <si>
    <t>CUSTOMER SERVICE EXPENSES</t>
  </si>
  <si>
    <t>TAXES OTHER THAN F.I.T.</t>
  </si>
  <si>
    <t>ADMIN &amp; GENERAL EXPENSE</t>
  </si>
  <si>
    <t>90800313 PTAX</t>
  </si>
  <si>
    <t>90800313 CUST SERV</t>
  </si>
  <si>
    <t>90800313  9810-Cust Assist-Carbon Offset Sch-137-G</t>
  </si>
  <si>
    <t>90900313  9810 -Cust Promo-Carbon Offset Sch-137-G</t>
  </si>
  <si>
    <t>80500022  9810 - Carbon Offset Gas</t>
  </si>
  <si>
    <t>49500012  4430-Other Gas Reven-Carbon Offset Progm</t>
  </si>
  <si>
    <t>INCREASE (DECREASE) FIT  (LINE 47 * 21%)</t>
  </si>
  <si>
    <t>PUGET SOUND ENERGY-GAS</t>
  </si>
  <si>
    <t>CONVERSION FACTOR</t>
  </si>
  <si>
    <t>FOR THE TWELVE MONTHS ENDED DECEMBER 31, 2018</t>
  </si>
  <si>
    <t>2019 GENERAL RATE CASE</t>
  </si>
  <si>
    <t>%'s</t>
  </si>
  <si>
    <t>RATE</t>
  </si>
  <si>
    <t>BAD DEBTS</t>
  </si>
  <si>
    <t>SUM OF TAXES OTHER</t>
  </si>
  <si>
    <t>CONVERSION FACTOR EXCLUDING FEDERAL INCOME TAX ( 1 - LINE 5)</t>
  </si>
  <si>
    <t xml:space="preserve">FEDERAL INCOME TAX </t>
  </si>
  <si>
    <t xml:space="preserve">CONVERSION FACTOR INCL FEDERAL INCOME TAX ( LINE 5 + LINE 8 ) </t>
  </si>
  <si>
    <t>STATE UTILITY TAX - NET OF BAD DEBTS ( 3.852% - ( LINE 1 * 3.852%) )</t>
  </si>
  <si>
    <t>90800313 A&amp;G</t>
  </si>
  <si>
    <t>90900313 CUST SERV</t>
  </si>
  <si>
    <t>PGA</t>
  </si>
  <si>
    <t>OOR</t>
  </si>
  <si>
    <t>REMOVE 141X (OCT - DEC 2021)</t>
  </si>
  <si>
    <t>Order</t>
  </si>
  <si>
    <t>Cost Element</t>
  </si>
  <si>
    <t>Offsetting acct no.</t>
  </si>
  <si>
    <t>Purchasing Document</t>
  </si>
  <si>
    <t>Val.in rep.cur.</t>
  </si>
  <si>
    <t>Cost element name</t>
  </si>
  <si>
    <t>Name of offsetting account</t>
  </si>
  <si>
    <t>Name</t>
  </si>
  <si>
    <t>Period</t>
  </si>
  <si>
    <t>49500062</t>
  </si>
  <si>
    <t>Gas - Misc Revenue</t>
  </si>
  <si>
    <t>10</t>
  </si>
  <si>
    <t>11</t>
  </si>
  <si>
    <t>12</t>
  </si>
  <si>
    <t>49500011</t>
  </si>
  <si>
    <t>18609752</t>
  </si>
  <si>
    <t>PLR EDIT Gas</t>
  </si>
  <si>
    <t>PLR EDIT Gas True-Up</t>
  </si>
  <si>
    <t>18230492</t>
  </si>
  <si>
    <t>Sch 141X (Unbilled)-10/21</t>
  </si>
  <si>
    <t>Sch 141X (Billed)-10/21</t>
  </si>
  <si>
    <t>Sch 141X reverse 9/21 unbilled</t>
  </si>
  <si>
    <t>18230042</t>
  </si>
  <si>
    <t>UG950288 DSM Tracker</t>
  </si>
  <si>
    <t>Sch 141X (Billed)-11/21</t>
  </si>
  <si>
    <t>Sch 141X (Unbilled)-11/21</t>
  </si>
  <si>
    <t>Sch 141X (Unbilled)-12/21</t>
  </si>
  <si>
    <t>Sch 141X (Billed)-12/21</t>
  </si>
  <si>
    <t>Cleared/open items symbol</t>
  </si>
  <si>
    <t>Assignment</t>
  </si>
  <si>
    <t>Document Number</t>
  </si>
  <si>
    <t>Business Area</t>
  </si>
  <si>
    <t>Document Type</t>
  </si>
  <si>
    <t>Document Date</t>
  </si>
  <si>
    <t>Posting Key</t>
  </si>
  <si>
    <t>Amount in local currency</t>
  </si>
  <si>
    <t>Local Currency</t>
  </si>
  <si>
    <t>20211029</t>
  </si>
  <si>
    <t>100193456</t>
  </si>
  <si>
    <t>SA</t>
  </si>
  <si>
    <t>40</t>
  </si>
  <si>
    <t>USD</t>
  </si>
  <si>
    <t>20211031</t>
  </si>
  <si>
    <t>100195272</t>
  </si>
  <si>
    <t>50</t>
  </si>
  <si>
    <t>9800002151</t>
  </si>
  <si>
    <t>Z3</t>
  </si>
  <si>
    <t>9800002249</t>
  </si>
  <si>
    <t>Z4</t>
  </si>
  <si>
    <t>20211130</t>
  </si>
  <si>
    <t>100213679</t>
  </si>
  <si>
    <t>9800002361</t>
  </si>
  <si>
    <t>9800002457</t>
  </si>
  <si>
    <t>20211231</t>
  </si>
  <si>
    <t>100233396</t>
  </si>
  <si>
    <t>9800002576</t>
  </si>
  <si>
    <t>@01\QPosted@</t>
  </si>
  <si>
    <t>Account 18230492</t>
  </si>
  <si>
    <t>OCT - DEC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</si>
</sst>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7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00"/>
    <numFmt numFmtId="165" formatCode="_(&quot;$&quot;* #,##0_);_(&quot;$&quot;* \(#,##0\);_(&quot;$&quot;* &quot;-&quot;??_);_(@_)"/>
    <numFmt numFmtId="166" formatCode="#,##0;\(#,##0\)"/>
    <numFmt numFmtId="167" formatCode="0.000000%"/>
    <numFmt numFmtId="168" formatCode="_(* #,##0_);_(* \(#,##0\);_(* &quot;-&quot;??_);_(@_)"/>
    <numFmt numFmtId="169" formatCode="_-* #,##0.00\ _D_M_-;\-* #,##0.00\ _D_M_-;_-* &quot;-&quot;??\ _D_M_-;_-@_-"/>
    <numFmt numFmtId="170" formatCode="###,000"/>
    <numFmt numFmtId="171" formatCode="0.00000%"/>
    <numFmt numFmtId="172" formatCode="#,##0.00_-;#,##0.00\-;&quot; &quot;"/>
    <numFmt numFmtId="173" formatCode="_(#,##0_);\(#,##0\);_(#,##0_);_(@_)"/>
    <numFmt numFmtId="174" formatCode="_(#,##0.00_);\(#,##0.00\);_(#,##0.00_);_(@_)"/>
    <numFmt numFmtId="175" formatCode="#,##0.00;\-#,##0.00;#,##0.00"/>
    <numFmt numFmtId="176" formatCode="0.0000%"/>
  </numFmts>
  <fonts count="2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u/>
      <sz val="10"/>
      <name val="Times New Roman"/>
      <family val="1"/>
    </font>
    <font>
      <b/>
      <sz val="10"/>
      <name val="Arial"/>
      <family val="2"/>
    </font>
    <font>
      <b/>
      <sz val="11"/>
      <name val="Calibri"/>
      <family val="2"/>
    </font>
    <font>
      <sz val="8"/>
      <color rgb="FF000000"/>
      <name val="Arial"/>
      <family val="2"/>
    </font>
    <font>
      <sz val="8"/>
      <color rgb="FF1F497D"/>
      <name val="Verdana"/>
      <family val="2"/>
    </font>
    <font>
      <b/>
      <sz val="8"/>
      <color rgb="FF1F497D"/>
      <name val="Verdana"/>
      <family val="2"/>
    </font>
    <font>
      <sz val="8"/>
      <color rgb="FF000000"/>
      <name val="Verdana"/>
      <family val="2"/>
    </font>
    <font>
      <i/>
      <sz val="8"/>
      <color rgb="FF000000"/>
      <name val="Verdana"/>
      <family val="2"/>
    </font>
    <font>
      <b/>
      <i/>
      <sz val="8"/>
      <color rgb="FF000000"/>
      <name val="Verdana"/>
      <family val="2"/>
    </font>
    <font>
      <b/>
      <sz val="8"/>
      <color rgb="FF00CC00"/>
      <name val="Verdana"/>
      <family val="2"/>
    </font>
    <font>
      <b/>
      <sz val="8"/>
      <color rgb="FF33CC33"/>
      <name val="Verdana"/>
      <family val="2"/>
    </font>
    <font>
      <b/>
      <sz val="8"/>
      <color rgb="FFFF9900"/>
      <name val="Verdana"/>
      <family val="2"/>
    </font>
    <font>
      <b/>
      <sz val="8"/>
      <color rgb="FFFF0000"/>
      <name val="Verdana"/>
      <family val="2"/>
    </font>
    <font>
      <b/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color rgb="FFDBE5F1"/>
      <name val="Verdana"/>
      <family val="2"/>
    </font>
    <font>
      <sz val="10"/>
      <name val="Courier"/>
    </font>
    <font>
      <b/>
      <i/>
      <sz val="8"/>
      <color rgb="FF1F497D"/>
      <name val="Verdana"/>
      <family val="2"/>
    </font>
    <font>
      <i/>
      <sz val="8"/>
      <color rgb="FF1F497D"/>
      <name val="Verdana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8"/>
      <name val="Verdana"/>
      <family val="2"/>
    </font>
    <font>
      <sz val="8"/>
      <name val="Verdana"/>
      <family val="2"/>
    </font>
  </fonts>
  <fills count="19">
    <fill>
      <patternFill patternType="none"/>
    </fill>
    <fill>
      <patternFill patternType="gray125"/>
    </fill>
    <fill>
      <patternFill patternType="solid">
        <fgColor rgb="FFDBE5F1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6F9C1"/>
        <bgColor rgb="FF000000"/>
      </patternFill>
    </fill>
    <fill>
      <patternFill patternType="solid">
        <fgColor rgb="FFABEDA5"/>
        <bgColor rgb="FF000000"/>
      </patternFill>
    </fill>
    <fill>
      <patternFill patternType="solid">
        <fgColor rgb="FF94D88F"/>
        <bgColor rgb="FF000000"/>
      </patternFill>
    </fill>
    <fill>
      <patternFill patternType="solid">
        <fgColor rgb="FFFFFDBF"/>
        <bgColor rgb="FF000000"/>
      </patternFill>
    </fill>
    <fill>
      <patternFill patternType="solid">
        <fgColor rgb="FFFFFB8C"/>
        <bgColor rgb="FF000000"/>
      </patternFill>
    </fill>
    <fill>
      <patternFill patternType="solid">
        <fgColor rgb="FFFFF843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988C"/>
        <bgColor rgb="FF000000"/>
      </patternFill>
    </fill>
    <fill>
      <patternFill patternType="solid">
        <fgColor rgb="FFFF6758"/>
        <bgColor rgb="FF000000"/>
      </patternFill>
    </fill>
    <fill>
      <patternFill patternType="solid">
        <fgColor rgb="FFB7CFE8"/>
        <bgColor rgb="FF000000"/>
      </patternFill>
    </fill>
    <fill>
      <patternFill patternType="solid">
        <fgColor rgb="FFC3D6EB"/>
        <bgColor rgb="FF000000"/>
      </patternFill>
    </fill>
    <fill>
      <patternFill patternType="solid">
        <fgColor rgb="FFDBE5F2"/>
        <bgColor rgb="FF000000"/>
      </patternFill>
    </fill>
    <fill>
      <patternFill patternType="solid">
        <fgColor rgb="FFE9EFF7"/>
        <bgColor rgb="FF000000"/>
      </patternFill>
    </fill>
    <fill>
      <patternFill patternType="solid">
        <fgColor rgb="FFF1F5FB"/>
        <bgColor rgb="FF000000"/>
      </patternFill>
    </fill>
    <fill>
      <patternFill patternType="solid">
        <fgColor rgb="FFDBE5F1"/>
        <bgColor rgb="FFFFFFFF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C0C0C0"/>
      </left>
      <right style="hair">
        <color rgb="FFC0C0C0"/>
      </right>
      <top style="thin">
        <color rgb="FF808080"/>
      </top>
      <bottom style="thin">
        <color rgb="FF808080"/>
      </bottom>
      <diagonal/>
    </border>
    <border>
      <left/>
      <right/>
      <top/>
      <bottom style="double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808080"/>
      </left>
      <right style="thin">
        <color theme="3" tint="-0.24994659260841701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theme="3" tint="-0.24994659260841701"/>
      </right>
      <top style="thin">
        <color rgb="FF808080"/>
      </top>
      <bottom style="thin">
        <color theme="3" tint="-0.2499465926084170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-0.24994659260841701"/>
      </bottom>
      <diagonal/>
    </border>
  </borders>
  <cellStyleXfs count="42">
    <xf numFmtId="0" fontId="0" fillId="0" borderId="0"/>
    <xf numFmtId="170" fontId="8" fillId="0" borderId="8" applyNumberFormat="0" applyFill="0" applyBorder="0" applyAlignment="0" applyProtection="0">
      <alignment horizontal="right" vertical="center"/>
    </xf>
    <xf numFmtId="170" fontId="22" fillId="16" borderId="9" applyNumberFormat="0" applyBorder="0">
      <alignment horizontal="right" vertical="center"/>
      <protection locked="0"/>
    </xf>
    <xf numFmtId="170" fontId="23" fillId="16" borderId="8" applyNumberFormat="0" applyBorder="0">
      <alignment horizontal="right" vertical="center"/>
      <protection locked="0"/>
    </xf>
    <xf numFmtId="170" fontId="22" fillId="17" borderId="9" applyNumberFormat="0" applyProtection="0">
      <alignment horizontal="right" vertical="center"/>
    </xf>
    <xf numFmtId="0" fontId="11" fillId="17" borderId="9" applyNumberFormat="0" applyAlignment="0" applyProtection="0">
      <alignment horizontal="left" vertical="center" indent="1"/>
    </xf>
    <xf numFmtId="0" fontId="11" fillId="3" borderId="9" applyNumberFormat="0" applyAlignment="0">
      <alignment horizontal="left" vertical="center" indent="1"/>
      <protection locked="0"/>
    </xf>
    <xf numFmtId="0" fontId="11" fillId="3" borderId="9" applyNumberFormat="0" applyAlignment="0">
      <alignment horizontal="left" vertical="center" indent="1"/>
      <protection locked="0"/>
    </xf>
    <xf numFmtId="0" fontId="12" fillId="0" borderId="10" applyNumberFormat="0" applyBorder="0" applyAlignment="0" applyProtection="0"/>
    <xf numFmtId="0" fontId="11" fillId="0" borderId="10" applyNumberFormat="0" applyFill="0" applyBorder="0" applyAlignment="0" applyProtection="0"/>
    <xf numFmtId="0" fontId="10" fillId="17" borderId="9" applyNumberFormat="0" applyAlignment="0" applyProtection="0">
      <alignment horizontal="left" vertical="center" indent="1"/>
    </xf>
    <xf numFmtId="0" fontId="10" fillId="16" borderId="7" applyNumberFormat="0" applyAlignment="0" applyProtection="0">
      <alignment horizontal="left" vertical="center" indent="1"/>
    </xf>
    <xf numFmtId="0" fontId="10" fillId="15" borderId="7" applyNumberFormat="0" applyAlignment="0" applyProtection="0">
      <alignment horizontal="left" vertical="center" indent="1"/>
    </xf>
    <xf numFmtId="0" fontId="10" fillId="14" borderId="7" applyNumberFormat="0" applyAlignment="0" applyProtection="0">
      <alignment horizontal="left" vertical="center" indent="1"/>
    </xf>
    <xf numFmtId="0" fontId="10" fillId="13" borderId="7" applyNumberFormat="0" applyAlignment="0" applyProtection="0">
      <alignment horizontal="left" vertical="center" indent="1"/>
    </xf>
    <xf numFmtId="0" fontId="9" fillId="2" borderId="9" applyNumberFormat="0" applyAlignment="0" applyProtection="0">
      <alignment horizontal="left" vertical="center" indent="1"/>
    </xf>
    <xf numFmtId="170" fontId="8" fillId="18" borderId="7" applyNumberFormat="0" applyAlignment="0" applyProtection="0">
      <alignment horizontal="left" vertical="center" indent="1"/>
    </xf>
    <xf numFmtId="170" fontId="8" fillId="0" borderId="8" applyNumberFormat="0" applyFill="0" applyBorder="0" applyAlignment="0" applyProtection="0">
      <alignment horizontal="right" vertical="center"/>
    </xf>
    <xf numFmtId="0" fontId="7" fillId="0" borderId="13" applyNumberFormat="0" applyFont="0" applyFill="0" applyAlignment="0" applyProtection="0"/>
    <xf numFmtId="170" fontId="20" fillId="18" borderId="0" applyNumberFormat="0" applyAlignment="0" applyProtection="0">
      <alignment horizontal="left" vertical="center" indent="1"/>
    </xf>
    <xf numFmtId="0" fontId="7" fillId="0" borderId="7" applyNumberFormat="0" applyFont="0" applyFill="0" applyAlignment="0" applyProtection="0"/>
    <xf numFmtId="170" fontId="16" fillId="12" borderId="11" applyNumberFormat="0" applyBorder="0" applyAlignment="0" applyProtection="0">
      <alignment horizontal="right" vertical="center" indent="1"/>
    </xf>
    <xf numFmtId="170" fontId="16" fillId="11" borderId="11" applyNumberFormat="0" applyBorder="0" applyAlignment="0" applyProtection="0">
      <alignment horizontal="right" vertical="center" indent="1"/>
    </xf>
    <xf numFmtId="170" fontId="16" fillId="10" borderId="11" applyNumberFormat="0" applyBorder="0" applyAlignment="0" applyProtection="0">
      <alignment horizontal="right" vertical="center" indent="1"/>
    </xf>
    <xf numFmtId="170" fontId="15" fillId="9" borderId="11" applyNumberFormat="0" applyBorder="0" applyAlignment="0" applyProtection="0">
      <alignment horizontal="right" vertical="center" indent="1"/>
    </xf>
    <xf numFmtId="170" fontId="15" fillId="8" borderId="11" applyNumberFormat="0" applyBorder="0" applyAlignment="0" applyProtection="0">
      <alignment horizontal="right" vertical="center" indent="1"/>
    </xf>
    <xf numFmtId="170" fontId="15" fillId="7" borderId="11" applyNumberFormat="0" applyBorder="0" applyAlignment="0" applyProtection="0">
      <alignment horizontal="right" vertical="center" indent="1"/>
    </xf>
    <xf numFmtId="170" fontId="14" fillId="6" borderId="11" applyNumberFormat="0" applyBorder="0" applyAlignment="0" applyProtection="0">
      <alignment horizontal="right" vertical="center" indent="1"/>
    </xf>
    <xf numFmtId="170" fontId="14" fillId="5" borderId="11" applyNumberFormat="0" applyBorder="0" applyAlignment="0" applyProtection="0">
      <alignment horizontal="right" vertical="center" indent="1"/>
    </xf>
    <xf numFmtId="170" fontId="13" fillId="4" borderId="11" applyNumberFormat="0" applyBorder="0" applyAlignment="0" applyProtection="0">
      <alignment horizontal="right" vertical="center" indent="1"/>
    </xf>
    <xf numFmtId="170" fontId="9" fillId="16" borderId="9" applyNumberFormat="0" applyBorder="0">
      <alignment horizontal="right" vertical="center"/>
      <protection locked="0"/>
    </xf>
    <xf numFmtId="170" fontId="9" fillId="17" borderId="9" applyNumberFormat="0" applyProtection="0">
      <alignment horizontal="right" vertical="center"/>
    </xf>
    <xf numFmtId="0" fontId="10" fillId="3" borderId="9" applyNumberFormat="0" applyAlignment="0">
      <alignment horizontal="left" vertical="center" indent="1"/>
      <protection locked="0"/>
    </xf>
    <xf numFmtId="170" fontId="8" fillId="16" borderId="8" applyNumberFormat="0" applyBorder="0">
      <alignment horizontal="right" vertical="center"/>
      <protection locked="0"/>
    </xf>
    <xf numFmtId="0" fontId="10" fillId="17" borderId="9" applyNumberFormat="0" applyAlignment="0" applyProtection="0">
      <alignment horizontal="left" vertical="center" indent="1"/>
    </xf>
    <xf numFmtId="0" fontId="10" fillId="3" borderId="9" applyNumberFormat="0" applyAlignment="0">
      <alignment horizontal="left" vertical="center" indent="1"/>
      <protection locked="0"/>
    </xf>
    <xf numFmtId="170" fontId="8" fillId="18" borderId="7" applyNumberFormat="0" applyAlignment="0" applyProtection="0">
      <alignment horizontal="left" vertical="center" indent="1"/>
    </xf>
    <xf numFmtId="170" fontId="9" fillId="0" borderId="9" applyNumberFormat="0" applyProtection="0">
      <alignment horizontal="right" vertical="center"/>
    </xf>
    <xf numFmtId="170" fontId="8" fillId="0" borderId="8" applyNumberFormat="0" applyProtection="0">
      <alignment horizontal="right" vertical="center"/>
    </xf>
    <xf numFmtId="0" fontId="9" fillId="2" borderId="7" applyNumberFormat="0" applyAlignment="0" applyProtection="0">
      <alignment horizontal="left" vertical="center" indent="1"/>
    </xf>
    <xf numFmtId="43" fontId="24" fillId="0" borderId="0" applyFont="0" applyFill="0" applyBorder="0" applyAlignment="0" applyProtection="0"/>
    <xf numFmtId="164" fontId="1" fillId="0" borderId="0">
      <alignment horizontal="left" wrapText="1"/>
    </xf>
  </cellStyleXfs>
  <cellXfs count="141">
    <xf numFmtId="0" fontId="0" fillId="0" borderId="0" xfId="0"/>
    <xf numFmtId="164" fontId="2" fillId="0" borderId="0" xfId="0" applyNumberFormat="1" applyFont="1" applyFill="1" applyAlignment="1" applyProtection="1">
      <alignment horizontal="left"/>
      <protection locked="0"/>
    </xf>
    <xf numFmtId="164" fontId="2" fillId="0" borderId="0" xfId="0" applyNumberFormat="1" applyFont="1" applyFill="1" applyAlignment="1" applyProtection="1">
      <protection locked="0"/>
    </xf>
    <xf numFmtId="18" fontId="2" fillId="0" borderId="0" xfId="0" applyNumberFormat="1" applyFont="1" applyFill="1" applyAlignment="1">
      <alignment horizontal="left" wrapText="1"/>
    </xf>
    <xf numFmtId="164" fontId="2" fillId="0" borderId="0" xfId="0" applyNumberFormat="1" applyFont="1" applyFill="1" applyAlignment="1">
      <alignment horizontal="center"/>
    </xf>
    <xf numFmtId="164" fontId="2" fillId="0" borderId="0" xfId="0" applyNumberFormat="1" applyFont="1" applyFill="1" applyAlignment="1">
      <alignment horizontal="left" wrapText="1"/>
    </xf>
    <xf numFmtId="164" fontId="2" fillId="0" borderId="0" xfId="0" applyNumberFormat="1" applyFont="1" applyFill="1" applyBorder="1" applyAlignment="1" applyProtection="1">
      <alignment horizontal="center"/>
      <protection locked="0"/>
    </xf>
    <xf numFmtId="164" fontId="2" fillId="0" borderId="2" xfId="0" applyNumberFormat="1" applyFont="1" applyFill="1" applyBorder="1" applyAlignment="1">
      <alignment horizontal="center"/>
    </xf>
    <xf numFmtId="164" fontId="2" fillId="0" borderId="2" xfId="0" applyNumberFormat="1" applyFont="1" applyFill="1" applyBorder="1" applyAlignment="1">
      <alignment horizontal="left"/>
    </xf>
    <xf numFmtId="164" fontId="2" fillId="0" borderId="2" xfId="0" applyNumberFormat="1" applyFont="1" applyFill="1" applyBorder="1" applyAlignment="1">
      <alignment horizontal="left" wrapText="1"/>
    </xf>
    <xf numFmtId="1" fontId="3" fillId="0" borderId="0" xfId="0" applyNumberFormat="1" applyFont="1" applyFill="1" applyAlignment="1">
      <alignment horizontal="center"/>
    </xf>
    <xf numFmtId="164" fontId="4" fillId="0" borderId="0" xfId="0" applyNumberFormat="1" applyFont="1" applyFill="1" applyAlignment="1">
      <alignment horizontal="left"/>
    </xf>
    <xf numFmtId="9" fontId="3" fillId="0" borderId="0" xfId="0" applyNumberFormat="1" applyFont="1" applyFill="1" applyBorder="1" applyAlignment="1" applyProtection="1">
      <alignment horizontal="left"/>
      <protection locked="0"/>
    </xf>
    <xf numFmtId="164" fontId="3" fillId="0" borderId="0" xfId="0" applyNumberFormat="1" applyFont="1" applyFill="1" applyBorder="1" applyAlignment="1"/>
    <xf numFmtId="166" fontId="3" fillId="0" borderId="0" xfId="0" applyNumberFormat="1" applyFont="1" applyFill="1" applyBorder="1" applyAlignment="1" applyProtection="1">
      <protection locked="0"/>
    </xf>
    <xf numFmtId="164" fontId="3" fillId="0" borderId="0" xfId="0" quotePrefix="1" applyNumberFormat="1" applyFont="1" applyFill="1" applyAlignment="1">
      <alignment horizontal="left"/>
    </xf>
    <xf numFmtId="164" fontId="3" fillId="0" borderId="0" xfId="0" quotePrefix="1" applyNumberFormat="1" applyFont="1" applyFill="1" applyBorder="1" applyAlignment="1">
      <alignment horizontal="left"/>
    </xf>
    <xf numFmtId="166" fontId="4" fillId="0" borderId="0" xfId="0" applyNumberFormat="1" applyFont="1" applyFill="1" applyBorder="1" applyAlignment="1" applyProtection="1">
      <protection locked="0"/>
    </xf>
    <xf numFmtId="164" fontId="4" fillId="0" borderId="0" xfId="0" applyNumberFormat="1" applyFont="1" applyFill="1" applyBorder="1" applyAlignment="1" applyProtection="1">
      <alignment horizontal="left"/>
      <protection locked="0"/>
    </xf>
    <xf numFmtId="164" fontId="3" fillId="0" borderId="0" xfId="0" applyNumberFormat="1" applyFont="1" applyFill="1" applyAlignment="1">
      <alignment horizontal="left" wrapText="1"/>
    </xf>
    <xf numFmtId="41" fontId="3" fillId="0" borderId="0" xfId="0" applyNumberFormat="1" applyFont="1" applyFill="1" applyBorder="1" applyAlignment="1"/>
    <xf numFmtId="165" fontId="3" fillId="0" borderId="0" xfId="0" applyNumberFormat="1" applyFont="1" applyFill="1" applyAlignment="1">
      <alignment horizontal="right" wrapText="1"/>
    </xf>
    <xf numFmtId="37" fontId="3" fillId="0" borderId="0" xfId="0" applyNumberFormat="1" applyFont="1" applyFill="1" applyAlignment="1">
      <alignment horizontal="right" wrapText="1"/>
    </xf>
    <xf numFmtId="167" fontId="3" fillId="0" borderId="0" xfId="0" applyNumberFormat="1" applyFont="1" applyFill="1" applyBorder="1" applyAlignment="1">
      <alignment horizontal="right" wrapText="1"/>
    </xf>
    <xf numFmtId="165" fontId="3" fillId="0" borderId="4" xfId="0" applyNumberFormat="1" applyFont="1" applyFill="1" applyBorder="1" applyAlignment="1">
      <alignment horizontal="right" wrapText="1"/>
    </xf>
    <xf numFmtId="164" fontId="3" fillId="0" borderId="0" xfId="0" applyNumberFormat="1" applyFont="1" applyFill="1" applyBorder="1" applyAlignment="1">
      <alignment horizontal="left" wrapText="1"/>
    </xf>
    <xf numFmtId="165" fontId="3" fillId="0" borderId="0" xfId="0" applyNumberFormat="1" applyFont="1" applyFill="1" applyBorder="1" applyAlignment="1" applyProtection="1">
      <protection locked="0"/>
    </xf>
    <xf numFmtId="41" fontId="3" fillId="0" borderId="0" xfId="0" applyNumberFormat="1" applyFont="1" applyFill="1"/>
    <xf numFmtId="165" fontId="3" fillId="0" borderId="5" xfId="0" applyNumberFormat="1" applyFont="1" applyFill="1" applyBorder="1"/>
    <xf numFmtId="165" fontId="3" fillId="0" borderId="3" xfId="0" applyNumberFormat="1" applyFont="1" applyFill="1" applyBorder="1" applyAlignment="1">
      <alignment horizontal="right" wrapText="1"/>
    </xf>
    <xf numFmtId="164" fontId="4" fillId="0" borderId="0" xfId="0" applyNumberFormat="1" applyFont="1" applyFill="1" applyBorder="1" applyAlignment="1">
      <alignment horizontal="left"/>
    </xf>
    <xf numFmtId="43" fontId="18" fillId="0" borderId="0" xfId="0" applyNumberFormat="1" applyFont="1" applyFill="1" applyAlignment="1" applyProtection="1">
      <alignment horizontal="right"/>
    </xf>
    <xf numFmtId="164" fontId="3" fillId="0" borderId="0" xfId="0" applyNumberFormat="1" applyFont="1" applyFill="1" applyAlignment="1">
      <alignment horizontal="left"/>
    </xf>
    <xf numFmtId="164" fontId="2" fillId="0" borderId="0" xfId="0" applyNumberFormat="1" applyFont="1" applyFill="1" applyAlignment="1" applyProtection="1">
      <alignment horizontal="center"/>
      <protection locked="0"/>
    </xf>
    <xf numFmtId="0" fontId="17" fillId="0" borderId="0" xfId="0" applyFont="1" applyFill="1" applyProtection="1"/>
    <xf numFmtId="0" fontId="5" fillId="0" borderId="0" xfId="0" applyFont="1" applyFill="1" applyProtection="1"/>
    <xf numFmtId="0" fontId="18" fillId="0" borderId="0" xfId="0" applyFont="1" applyFill="1" applyProtection="1"/>
    <xf numFmtId="0" fontId="1" fillId="0" borderId="0" xfId="0" applyFont="1" applyFill="1" applyProtection="1"/>
    <xf numFmtId="0" fontId="1" fillId="0" borderId="0" xfId="0" applyFont="1" applyFill="1" applyAlignment="1" applyProtection="1">
      <alignment horizontal="center"/>
    </xf>
    <xf numFmtId="0" fontId="19" fillId="0" borderId="0" xfId="0" applyFont="1" applyFill="1" applyProtection="1"/>
    <xf numFmtId="44" fontId="18" fillId="0" borderId="0" xfId="0" applyNumberFormat="1" applyFont="1" applyFill="1" applyAlignment="1" applyProtection="1">
      <alignment horizontal="right"/>
    </xf>
    <xf numFmtId="43" fontId="18" fillId="0" borderId="2" xfId="0" applyNumberFormat="1" applyFont="1" applyFill="1" applyBorder="1" applyAlignment="1" applyProtection="1">
      <alignment horizontal="right"/>
    </xf>
    <xf numFmtId="44" fontId="18" fillId="0" borderId="12" xfId="0" applyNumberFormat="1" applyFont="1" applyFill="1" applyBorder="1" applyAlignment="1" applyProtection="1">
      <alignment horizontal="right"/>
    </xf>
    <xf numFmtId="165" fontId="18" fillId="0" borderId="0" xfId="0" applyNumberFormat="1" applyFont="1" applyFill="1" applyAlignment="1" applyProtection="1">
      <alignment horizontal="right"/>
    </xf>
    <xf numFmtId="49" fontId="18" fillId="0" borderId="0" xfId="0" applyNumberFormat="1" applyFont="1" applyFill="1" applyProtection="1"/>
    <xf numFmtId="174" fontId="18" fillId="0" borderId="0" xfId="0" applyNumberFormat="1" applyFont="1" applyFill="1" applyAlignment="1" applyProtection="1">
      <alignment horizontal="right"/>
    </xf>
    <xf numFmtId="169" fontId="18" fillId="0" borderId="0" xfId="0" applyNumberFormat="1" applyFont="1" applyFill="1" applyAlignment="1" applyProtection="1"/>
    <xf numFmtId="173" fontId="18" fillId="0" borderId="0" xfId="0" applyNumberFormat="1" applyFont="1" applyFill="1" applyBorder="1" applyAlignment="1" applyProtection="1"/>
    <xf numFmtId="173" fontId="18" fillId="0" borderId="0" xfId="0" applyNumberFormat="1" applyFont="1" applyFill="1" applyAlignment="1" applyProtection="1"/>
    <xf numFmtId="173" fontId="18" fillId="0" borderId="2" xfId="0" applyNumberFormat="1" applyFont="1" applyFill="1" applyBorder="1" applyAlignment="1" applyProtection="1"/>
    <xf numFmtId="173" fontId="18" fillId="0" borderId="12" xfId="0" applyNumberFormat="1" applyFont="1" applyFill="1" applyBorder="1" applyAlignment="1" applyProtection="1"/>
    <xf numFmtId="0" fontId="21" fillId="0" borderId="0" xfId="0" applyFont="1" applyFill="1"/>
    <xf numFmtId="49" fontId="17" fillId="0" borderId="6" xfId="0" applyNumberFormat="1" applyFont="1" applyFill="1" applyBorder="1" applyAlignment="1">
      <alignment horizontal="left"/>
    </xf>
    <xf numFmtId="49" fontId="17" fillId="0" borderId="6" xfId="0" applyNumberFormat="1" applyFont="1" applyFill="1" applyBorder="1" applyAlignment="1">
      <alignment horizontal="center"/>
    </xf>
    <xf numFmtId="49" fontId="5" fillId="0" borderId="6" xfId="0" applyNumberFormat="1" applyFont="1" applyFill="1" applyBorder="1" applyAlignment="1">
      <alignment horizontal="left"/>
    </xf>
    <xf numFmtId="172" fontId="5" fillId="0" borderId="6" xfId="0" applyNumberFormat="1" applyFont="1" applyFill="1" applyBorder="1"/>
    <xf numFmtId="39" fontId="1" fillId="0" borderId="0" xfId="0" applyNumberFormat="1" applyFont="1" applyFill="1" applyAlignment="1" applyProtection="1">
      <alignment horizontal="centerContinuous" wrapText="1"/>
    </xf>
    <xf numFmtId="9" fontId="3" fillId="0" borderId="0" xfId="0" applyNumberFormat="1" applyFont="1" applyFill="1" applyBorder="1" applyAlignment="1"/>
    <xf numFmtId="0" fontId="2" fillId="0" borderId="0" xfId="0" applyFont="1" applyFill="1" applyAlignment="1"/>
    <xf numFmtId="0" fontId="3" fillId="0" borderId="0" xfId="0" applyNumberFormat="1" applyFont="1" applyFill="1" applyAlignment="1">
      <alignment horizontal="left"/>
    </xf>
    <xf numFmtId="0" fontId="2" fillId="0" borderId="0" xfId="0" applyNumberFormat="1" applyFont="1" applyFill="1" applyAlignment="1">
      <alignment horizontal="left"/>
    </xf>
    <xf numFmtId="0" fontId="3" fillId="0" borderId="4" xfId="0" applyFont="1" applyFill="1" applyBorder="1" applyAlignment="1"/>
    <xf numFmtId="164" fontId="3" fillId="0" borderId="2" xfId="0" applyNumberFormat="1" applyFont="1" applyFill="1" applyBorder="1" applyAlignment="1"/>
    <xf numFmtId="164" fontId="3" fillId="0" borderId="0" xfId="0" applyNumberFormat="1" applyFont="1" applyFill="1" applyAlignment="1"/>
    <xf numFmtId="165" fontId="2" fillId="0" borderId="3" xfId="0" applyNumberFormat="1" applyFont="1" applyFill="1" applyBorder="1" applyAlignment="1"/>
    <xf numFmtId="164" fontId="2" fillId="0" borderId="0" xfId="0" applyNumberFormat="1" applyFont="1" applyFill="1" applyBorder="1" applyAlignment="1">
      <alignment horizontal="center"/>
    </xf>
    <xf numFmtId="164" fontId="2" fillId="0" borderId="0" xfId="0" applyNumberFormat="1" applyFont="1" applyFill="1" applyBorder="1" applyAlignment="1">
      <alignment horizontal="left"/>
    </xf>
    <xf numFmtId="164" fontId="2" fillId="0" borderId="0" xfId="0" applyNumberFormat="1" applyFont="1" applyFill="1" applyBorder="1" applyAlignment="1">
      <alignment horizontal="left" wrapText="1"/>
    </xf>
    <xf numFmtId="0" fontId="1" fillId="0" borderId="2" xfId="0" applyFont="1" applyFill="1" applyBorder="1" applyAlignment="1" applyProtection="1">
      <alignment horizontal="center"/>
    </xf>
    <xf numFmtId="0" fontId="17" fillId="0" borderId="0" xfId="0" applyFont="1" applyFill="1" applyAlignment="1" applyProtection="1">
      <alignment horizontal="center"/>
    </xf>
    <xf numFmtId="0" fontId="5" fillId="0" borderId="0" xfId="0" applyFont="1" applyFill="1" applyAlignment="1" applyProtection="1">
      <alignment horizontal="center"/>
    </xf>
    <xf numFmtId="41" fontId="3" fillId="0" borderId="0" xfId="0" applyNumberFormat="1" applyFont="1" applyFill="1" applyAlignment="1"/>
    <xf numFmtId="164" fontId="3" fillId="0" borderId="0" xfId="41" applyFont="1" applyFill="1" applyBorder="1" applyAlignment="1">
      <alignment horizontal="left"/>
    </xf>
    <xf numFmtId="41" fontId="3" fillId="0" borderId="2" xfId="0" applyNumberFormat="1" applyFont="1" applyFill="1" applyBorder="1" applyAlignment="1"/>
    <xf numFmtId="171" fontId="3" fillId="0" borderId="0" xfId="0" applyNumberFormat="1" applyFont="1" applyFill="1" applyBorder="1" applyAlignment="1">
      <alignment horizontal="center"/>
    </xf>
    <xf numFmtId="42" fontId="3" fillId="0" borderId="0" xfId="0" applyNumberFormat="1" applyFont="1" applyFill="1" applyAlignment="1"/>
    <xf numFmtId="168" fontId="3" fillId="0" borderId="0" xfId="0" applyNumberFormat="1" applyFont="1" applyFill="1" applyBorder="1" applyAlignment="1"/>
    <xf numFmtId="0" fontId="6" fillId="0" borderId="0" xfId="0" applyFont="1" applyFill="1" applyAlignment="1">
      <alignment horizontal="left" vertical="top"/>
    </xf>
    <xf numFmtId="0" fontId="25" fillId="0" borderId="0" xfId="0" applyFont="1" applyFill="1"/>
    <xf numFmtId="0" fontId="25" fillId="0" borderId="0" xfId="0" applyFont="1" applyFill="1" applyAlignment="1">
      <alignment horizontal="left"/>
    </xf>
    <xf numFmtId="0" fontId="25" fillId="0" borderId="2" xfId="0" applyFont="1" applyFill="1" applyBorder="1"/>
    <xf numFmtId="41" fontId="26" fillId="0" borderId="0" xfId="0" applyNumberFormat="1" applyFont="1" applyFill="1"/>
    <xf numFmtId="0" fontId="25" fillId="0" borderId="0" xfId="0" applyFont="1" applyFill="1" applyBorder="1"/>
    <xf numFmtId="4" fontId="25" fillId="0" borderId="0" xfId="0" applyNumberFormat="1" applyFont="1" applyFill="1"/>
    <xf numFmtId="168" fontId="25" fillId="0" borderId="0" xfId="40" applyNumberFormat="1" applyFont="1" applyFill="1"/>
    <xf numFmtId="49" fontId="25" fillId="0" borderId="16" xfId="0" applyNumberFormat="1" applyFont="1" applyFill="1" applyBorder="1" applyAlignment="1">
      <alignment horizontal="left"/>
    </xf>
    <xf numFmtId="172" fontId="25" fillId="0" borderId="16" xfId="0" applyNumberFormat="1" applyFont="1" applyFill="1" applyBorder="1"/>
    <xf numFmtId="49" fontId="25" fillId="0" borderId="17" xfId="0" applyNumberFormat="1" applyFont="1" applyFill="1" applyBorder="1" applyAlignment="1">
      <alignment horizontal="left"/>
    </xf>
    <xf numFmtId="4" fontId="26" fillId="0" borderId="0" xfId="0" applyNumberFormat="1" applyFont="1" applyFill="1"/>
    <xf numFmtId="0" fontId="26" fillId="0" borderId="0" xfId="0" applyFont="1" applyFill="1"/>
    <xf numFmtId="43" fontId="26" fillId="0" borderId="1" xfId="0" applyNumberFormat="1" applyFont="1" applyFill="1" applyBorder="1"/>
    <xf numFmtId="0" fontId="27" fillId="0" borderId="7" xfId="39" quotePrefix="1" applyNumberFormat="1" applyFont="1" applyFill="1" applyBorder="1" applyAlignment="1"/>
    <xf numFmtId="0" fontId="28" fillId="0" borderId="7" xfId="16" quotePrefix="1" applyNumberFormat="1" applyFont="1" applyFill="1" applyBorder="1" applyAlignment="1"/>
    <xf numFmtId="0" fontId="28" fillId="0" borderId="7" xfId="16" applyNumberFormat="1" applyFont="1" applyFill="1" applyBorder="1" applyAlignment="1"/>
    <xf numFmtId="0" fontId="27" fillId="0" borderId="7" xfId="39" quotePrefix="1" applyNumberFormat="1" applyFont="1" applyFill="1" applyAlignment="1"/>
    <xf numFmtId="0" fontId="28" fillId="0" borderId="7" xfId="16" quotePrefix="1" applyNumberFormat="1" applyFont="1" applyFill="1" applyAlignment="1"/>
    <xf numFmtId="0" fontId="27" fillId="0" borderId="14" xfId="15" quotePrefix="1" applyNumberFormat="1" applyFont="1" applyFill="1" applyBorder="1" applyAlignment="1"/>
    <xf numFmtId="0" fontId="27" fillId="0" borderId="7" xfId="39" applyNumberFormat="1" applyFont="1" applyFill="1" applyBorder="1" applyAlignment="1"/>
    <xf numFmtId="0" fontId="28" fillId="0" borderId="7" xfId="16" quotePrefix="1" applyNumberFormat="1" applyFont="1" applyFill="1" applyBorder="1" applyAlignment="1">
      <alignment horizontal="right"/>
    </xf>
    <xf numFmtId="0" fontId="27" fillId="0" borderId="15" xfId="15" quotePrefix="1" applyNumberFormat="1" applyFont="1" applyFill="1" applyBorder="1" applyAlignment="1">
      <alignment horizontal="right"/>
    </xf>
    <xf numFmtId="0" fontId="27" fillId="0" borderId="9" xfId="15" quotePrefix="1" applyNumberFormat="1" applyFont="1" applyFill="1" applyAlignment="1"/>
    <xf numFmtId="0" fontId="27" fillId="0" borderId="9" xfId="15" applyNumberFormat="1" applyFont="1" applyFill="1" applyAlignment="1"/>
    <xf numFmtId="0" fontId="27" fillId="0" borderId="14" xfId="15" applyNumberFormat="1" applyFont="1" applyFill="1" applyBorder="1" applyAlignment="1"/>
    <xf numFmtId="175" fontId="27" fillId="0" borderId="9" xfId="37" applyNumberFormat="1" applyFont="1" applyFill="1">
      <alignment horizontal="right" vertical="center"/>
    </xf>
    <xf numFmtId="175" fontId="27" fillId="0" borderId="14" xfId="37" applyNumberFormat="1" applyFont="1" applyFill="1" applyBorder="1">
      <alignment horizontal="right" vertical="center"/>
    </xf>
    <xf numFmtId="4" fontId="26" fillId="0" borderId="1" xfId="0" applyNumberFormat="1" applyFont="1" applyFill="1" applyBorder="1"/>
    <xf numFmtId="175" fontId="28" fillId="0" borderId="8" xfId="38" applyNumberFormat="1" applyFont="1" applyFill="1">
      <alignment horizontal="right" vertical="center"/>
    </xf>
    <xf numFmtId="175" fontId="28" fillId="0" borderId="18" xfId="38" applyNumberFormat="1" applyFont="1" applyFill="1" applyBorder="1">
      <alignment horizontal="right" vertical="center"/>
    </xf>
    <xf numFmtId="175" fontId="27" fillId="0" borderId="15" xfId="37" applyNumberFormat="1" applyFont="1" applyFill="1" applyBorder="1">
      <alignment horizontal="right" vertical="center"/>
    </xf>
    <xf numFmtId="9" fontId="25" fillId="0" borderId="0" xfId="0" applyNumberFormat="1" applyFont="1" applyFill="1"/>
    <xf numFmtId="0" fontId="26" fillId="0" borderId="1" xfId="0" applyFont="1" applyFill="1" applyBorder="1"/>
    <xf numFmtId="168" fontId="25" fillId="0" borderId="2" xfId="40" applyNumberFormat="1" applyFont="1" applyFill="1" applyBorder="1"/>
    <xf numFmtId="168" fontId="25" fillId="0" borderId="0" xfId="0" applyNumberFormat="1" applyFont="1" applyFill="1"/>
    <xf numFmtId="0" fontId="26" fillId="0" borderId="0" xfId="0" applyNumberFormat="1" applyFont="1" applyFill="1" applyAlignment="1">
      <alignment horizontal="center"/>
    </xf>
    <xf numFmtId="168" fontId="26" fillId="0" borderId="1" xfId="0" applyNumberFormat="1" applyFont="1" applyFill="1" applyBorder="1"/>
    <xf numFmtId="43" fontId="25" fillId="0" borderId="1" xfId="0" applyNumberFormat="1" applyFont="1" applyFill="1" applyBorder="1"/>
    <xf numFmtId="0" fontId="25" fillId="0" borderId="0" xfId="0" applyFont="1" applyFill="1" applyAlignment="1">
      <alignment horizontal="centerContinuous" wrapText="1"/>
    </xf>
    <xf numFmtId="0" fontId="25" fillId="0" borderId="6" xfId="0" applyFont="1" applyFill="1" applyBorder="1" applyAlignment="1">
      <alignment vertical="top"/>
    </xf>
    <xf numFmtId="0" fontId="25" fillId="0" borderId="6" xfId="0" applyFont="1" applyFill="1" applyBorder="1" applyAlignment="1">
      <alignment vertical="top" wrapText="1"/>
    </xf>
    <xf numFmtId="168" fontId="25" fillId="0" borderId="6" xfId="40" applyNumberFormat="1" applyFont="1" applyFill="1" applyBorder="1" applyAlignment="1">
      <alignment vertical="top"/>
    </xf>
    <xf numFmtId="0" fontId="25" fillId="0" borderId="0" xfId="0" applyFont="1" applyFill="1" applyAlignment="1">
      <alignment vertical="top"/>
    </xf>
    <xf numFmtId="168" fontId="25" fillId="0" borderId="0" xfId="40" applyNumberFormat="1" applyFont="1" applyFill="1" applyAlignment="1">
      <alignment horizontal="right" vertical="top"/>
    </xf>
    <xf numFmtId="168" fontId="25" fillId="0" borderId="6" xfId="40" applyNumberFormat="1" applyFont="1" applyFill="1" applyBorder="1" applyAlignment="1">
      <alignment horizontal="right" vertical="top"/>
    </xf>
    <xf numFmtId="0" fontId="25" fillId="0" borderId="0" xfId="0" applyFont="1" applyFill="1" applyAlignment="1">
      <alignment vertical="top" indent="2"/>
    </xf>
    <xf numFmtId="14" fontId="25" fillId="0" borderId="0" xfId="0" applyNumberFormat="1" applyFont="1" applyFill="1" applyAlignment="1">
      <alignment horizontal="right" vertical="top"/>
    </xf>
    <xf numFmtId="0" fontId="25" fillId="0" borderId="6" xfId="0" quotePrefix="1" applyFont="1" applyFill="1" applyBorder="1" applyAlignment="1">
      <alignment vertical="top"/>
    </xf>
    <xf numFmtId="14" fontId="25" fillId="0" borderId="6" xfId="0" applyNumberFormat="1" applyFont="1" applyFill="1" applyBorder="1" applyAlignment="1">
      <alignment horizontal="right" vertical="top"/>
    </xf>
    <xf numFmtId="0" fontId="1" fillId="0" borderId="0" xfId="0" applyNumberFormat="1" applyFont="1" applyFill="1" applyAlignment="1"/>
    <xf numFmtId="0" fontId="2" fillId="0" borderId="0" xfId="0" applyNumberFormat="1" applyFont="1" applyFill="1" applyAlignment="1"/>
    <xf numFmtId="0" fontId="3" fillId="0" borderId="0" xfId="0" applyNumberFormat="1" applyFont="1" applyFill="1" applyAlignment="1"/>
    <xf numFmtId="164" fontId="2" fillId="0" borderId="0" xfId="0" applyNumberFormat="1" applyFont="1" applyFill="1" applyAlignment="1">
      <alignment horizontal="right"/>
    </xf>
    <xf numFmtId="0" fontId="2" fillId="0" borderId="0" xfId="0" applyNumberFormat="1" applyFont="1" applyFill="1" applyAlignment="1" applyProtection="1">
      <alignment horizontal="centerContinuous"/>
      <protection locked="0"/>
    </xf>
    <xf numFmtId="0" fontId="1" fillId="0" borderId="0" xfId="0" applyNumberFormat="1" applyFont="1" applyFill="1" applyAlignment="1">
      <alignment horizontal="centerContinuous"/>
    </xf>
    <xf numFmtId="0" fontId="2" fillId="0" borderId="0" xfId="0" applyNumberFormat="1" applyFont="1" applyFill="1" applyAlignment="1">
      <alignment horizontal="centerContinuous"/>
    </xf>
    <xf numFmtId="0" fontId="2" fillId="0" borderId="0" xfId="0" applyNumberFormat="1" applyFont="1" applyFill="1" applyAlignment="1">
      <alignment horizontal="center"/>
    </xf>
    <xf numFmtId="0" fontId="2" fillId="0" borderId="2" xfId="0" applyNumberFormat="1" applyFont="1" applyFill="1" applyBorder="1" applyAlignment="1">
      <alignment horizontal="center"/>
    </xf>
    <xf numFmtId="0" fontId="2" fillId="0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NumberFormat="1" applyFont="1" applyFill="1" applyAlignment="1">
      <alignment horizontal="center"/>
    </xf>
    <xf numFmtId="176" fontId="3" fillId="0" borderId="0" xfId="0" applyNumberFormat="1" applyFont="1" applyFill="1" applyAlignment="1">
      <alignment horizontal="center"/>
    </xf>
    <xf numFmtId="9" fontId="3" fillId="0" borderId="0" xfId="0" applyNumberFormat="1" applyFont="1" applyFill="1" applyAlignment="1">
      <alignment horizontal="center"/>
    </xf>
    <xf numFmtId="164" fontId="3" fillId="0" borderId="6" xfId="0" applyNumberFormat="1" applyFont="1" applyFill="1" applyBorder="1" applyAlignment="1" applyProtection="1">
      <protection locked="0"/>
    </xf>
  </cellXfs>
  <cellStyles count="42">
    <cellStyle name="Comma" xfId="40" builtinId="3"/>
    <cellStyle name="Normal" xfId="0" builtinId="0"/>
    <cellStyle name="SAPBorder" xfId="20"/>
    <cellStyle name="SAPDataCell" xfId="38"/>
    <cellStyle name="SAPDataRemoved" xfId="19"/>
    <cellStyle name="SAPDataTotalCell" xfId="37"/>
    <cellStyle name="SAPDimensionCell" xfId="39"/>
    <cellStyle name="SAPEditableDataCell" xfId="35"/>
    <cellStyle name="SAPEditableDataTotalCell" xfId="32"/>
    <cellStyle name="SAPEmphasized" xfId="9"/>
    <cellStyle name="SAPEmphasizedEditableDataCell" xfId="7"/>
    <cellStyle name="SAPEmphasizedEditableDataTotalCell" xfId="6"/>
    <cellStyle name="SAPEmphasizedLockedDataCell" xfId="3"/>
    <cellStyle name="SAPEmphasizedLockedDataTotalCell" xfId="2"/>
    <cellStyle name="SAPEmphasizedReadonlyDataCell" xfId="5"/>
    <cellStyle name="SAPEmphasizedReadonlyDataTotalCell" xfId="4"/>
    <cellStyle name="SAPEmphasizedTotal" xfId="8"/>
    <cellStyle name="SAPError" xfId="18"/>
    <cellStyle name="SAPExceptionLevel1" xfId="29"/>
    <cellStyle name="SAPExceptionLevel2" xfId="28"/>
    <cellStyle name="SAPExceptionLevel3" xfId="27"/>
    <cellStyle name="SAPExceptionLevel4" xfId="26"/>
    <cellStyle name="SAPExceptionLevel5" xfId="25"/>
    <cellStyle name="SAPExceptionLevel6" xfId="24"/>
    <cellStyle name="SAPExceptionLevel7" xfId="23"/>
    <cellStyle name="SAPExceptionLevel8" xfId="22"/>
    <cellStyle name="SAPExceptionLevel9" xfId="21"/>
    <cellStyle name="SAPFormula" xfId="1"/>
    <cellStyle name="SAPGroupingFillCell" xfId="36"/>
    <cellStyle name="SAPHierarchyCell0" xfId="14"/>
    <cellStyle name="SAPHierarchyCell1" xfId="13"/>
    <cellStyle name="SAPHierarchyCell2" xfId="12"/>
    <cellStyle name="SAPHierarchyCell3" xfId="11"/>
    <cellStyle name="SAPHierarchyCell4" xfId="10"/>
    <cellStyle name="SAPLockedDataCell" xfId="33"/>
    <cellStyle name="SAPLockedDataTotalCell" xfId="30"/>
    <cellStyle name="SAPMemberCell" xfId="16"/>
    <cellStyle name="SAPMemberTotalCell" xfId="15"/>
    <cellStyle name="SAPMessageText" xfId="17"/>
    <cellStyle name="SAPReadonlyDataCell" xfId="34"/>
    <cellStyle name="SAPReadonlyDataTotalCell" xfId="31"/>
    <cellStyle name="Style 1" xfId="41"/>
  </cellStyles>
  <dxfs count="0"/>
  <tableStyles count="0" defaultTableStyle="TableStyleMedium2" defaultPivotStyle="PivotStyleLight16"/>
  <colors>
    <mruColors>
      <color rgb="FFFF66FF"/>
      <color rgb="FF00FF00"/>
      <color rgb="FFCCFF33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23" Type="http://schemas.openxmlformats.org/officeDocument/2006/relationships/customXml" Target="../customXml/item5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image" Target="../media/image7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9.png"/><Relationship Id="rId1" Type="http://schemas.openxmlformats.org/officeDocument/2006/relationships/image" Target="../media/image5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16</xdr:row>
      <xdr:rowOff>0</xdr:rowOff>
    </xdr:from>
    <xdr:to>
      <xdr:col>0</xdr:col>
      <xdr:colOff>152400</xdr:colOff>
      <xdr:row>16</xdr:row>
      <xdr:rowOff>133350</xdr:rowOff>
    </xdr:to>
    <xdr:pic>
      <xdr:nvPicPr>
        <xdr:cNvPr id="3" name="Picture@01\QPosted@" descr="@01\QPosted@"/>
        <xdr:cNvPicPr preferRelativeResize="0"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7150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headEnd/>
          <a:tailEnd/>
        </a:ln>
      </xdr:spPr>
    </xdr:pic>
    <xdr:clientData/>
  </xdr:twoCellAnchor>
  <xdr:twoCellAnchor>
    <xdr:from>
      <xdr:col>0</xdr:col>
      <xdr:colOff>0</xdr:colOff>
      <xdr:row>17</xdr:row>
      <xdr:rowOff>0</xdr:rowOff>
    </xdr:from>
    <xdr:to>
      <xdr:col>0</xdr:col>
      <xdr:colOff>152400</xdr:colOff>
      <xdr:row>17</xdr:row>
      <xdr:rowOff>133350</xdr:rowOff>
    </xdr:to>
    <xdr:pic>
      <xdr:nvPicPr>
        <xdr:cNvPr id="4" name="Picture@01\QPosted@" descr="@01\QPosted@"/>
        <xdr:cNvPicPr preferRelativeResize="0"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4295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headEnd/>
          <a:tailEnd/>
        </a:ln>
      </xdr:spPr>
    </xdr:pic>
    <xdr:clientData/>
  </xdr:twoCellAnchor>
  <xdr:twoCellAnchor>
    <xdr:from>
      <xdr:col>0</xdr:col>
      <xdr:colOff>0</xdr:colOff>
      <xdr:row>18</xdr:row>
      <xdr:rowOff>0</xdr:rowOff>
    </xdr:from>
    <xdr:to>
      <xdr:col>0</xdr:col>
      <xdr:colOff>152400</xdr:colOff>
      <xdr:row>18</xdr:row>
      <xdr:rowOff>133350</xdr:rowOff>
    </xdr:to>
    <xdr:pic>
      <xdr:nvPicPr>
        <xdr:cNvPr id="5" name="Picture@01\QPosted@" descr="@01\QPosted@"/>
        <xdr:cNvPicPr preferRelativeResize="0"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1440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headEnd/>
          <a:tailEnd/>
        </a:ln>
      </xdr:spPr>
    </xdr:pic>
    <xdr:clientData/>
  </xdr:twoCellAnchor>
  <xdr:twoCellAnchor>
    <xdr:from>
      <xdr:col>0</xdr:col>
      <xdr:colOff>0</xdr:colOff>
      <xdr:row>19</xdr:row>
      <xdr:rowOff>0</xdr:rowOff>
    </xdr:from>
    <xdr:to>
      <xdr:col>0</xdr:col>
      <xdr:colOff>152400</xdr:colOff>
      <xdr:row>19</xdr:row>
      <xdr:rowOff>133350</xdr:rowOff>
    </xdr:to>
    <xdr:pic>
      <xdr:nvPicPr>
        <xdr:cNvPr id="6" name="Picture@01\QPosted@" descr="@01\QPosted@"/>
        <xdr:cNvPicPr preferRelativeResize="0"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8585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headEnd/>
          <a:tailEnd/>
        </a:ln>
      </xdr:spPr>
    </xdr:pic>
    <xdr:clientData/>
  </xdr:twoCellAnchor>
  <xdr:twoCellAnchor>
    <xdr:from>
      <xdr:col>0</xdr:col>
      <xdr:colOff>0</xdr:colOff>
      <xdr:row>20</xdr:row>
      <xdr:rowOff>0</xdr:rowOff>
    </xdr:from>
    <xdr:to>
      <xdr:col>0</xdr:col>
      <xdr:colOff>152400</xdr:colOff>
      <xdr:row>20</xdr:row>
      <xdr:rowOff>133350</xdr:rowOff>
    </xdr:to>
    <xdr:pic>
      <xdr:nvPicPr>
        <xdr:cNvPr id="7" name="Picture@01\QPosted@" descr="@01\QPosted@"/>
        <xdr:cNvPicPr preferRelativeResize="0"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5730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headEnd/>
          <a:tailEnd/>
        </a:ln>
      </xdr:spPr>
    </xdr:pic>
    <xdr:clientData/>
  </xdr:twoCellAnchor>
  <xdr:twoCellAnchor>
    <xdr:from>
      <xdr:col>0</xdr:col>
      <xdr:colOff>0</xdr:colOff>
      <xdr:row>21</xdr:row>
      <xdr:rowOff>0</xdr:rowOff>
    </xdr:from>
    <xdr:to>
      <xdr:col>0</xdr:col>
      <xdr:colOff>152400</xdr:colOff>
      <xdr:row>21</xdr:row>
      <xdr:rowOff>133350</xdr:rowOff>
    </xdr:to>
    <xdr:pic>
      <xdr:nvPicPr>
        <xdr:cNvPr id="8" name="Picture@01\QPosted@" descr="@01\QPosted@"/>
        <xdr:cNvPicPr preferRelativeResize="0"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42875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headEnd/>
          <a:tailEnd/>
        </a:ln>
      </xdr:spPr>
    </xdr:pic>
    <xdr:clientData/>
  </xdr:twoCellAnchor>
  <xdr:twoCellAnchor>
    <xdr:from>
      <xdr:col>0</xdr:col>
      <xdr:colOff>0</xdr:colOff>
      <xdr:row>22</xdr:row>
      <xdr:rowOff>0</xdr:rowOff>
    </xdr:from>
    <xdr:to>
      <xdr:col>0</xdr:col>
      <xdr:colOff>152400</xdr:colOff>
      <xdr:row>22</xdr:row>
      <xdr:rowOff>133350</xdr:rowOff>
    </xdr:to>
    <xdr:pic>
      <xdr:nvPicPr>
        <xdr:cNvPr id="9" name="Picture@01\QPosted@" descr="@01\QPosted@"/>
        <xdr:cNvPicPr preferRelativeResize="0"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0020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headEnd/>
          <a:tailEnd/>
        </a:ln>
      </xdr:spPr>
    </xdr:pic>
    <xdr:clientData/>
  </xdr:twoCellAnchor>
  <xdr:twoCellAnchor>
    <xdr:from>
      <xdr:col>0</xdr:col>
      <xdr:colOff>0</xdr:colOff>
      <xdr:row>23</xdr:row>
      <xdr:rowOff>0</xdr:rowOff>
    </xdr:from>
    <xdr:to>
      <xdr:col>0</xdr:col>
      <xdr:colOff>152400</xdr:colOff>
      <xdr:row>23</xdr:row>
      <xdr:rowOff>133350</xdr:rowOff>
    </xdr:to>
    <xdr:pic>
      <xdr:nvPicPr>
        <xdr:cNvPr id="10" name="Picture@01\QPosted@" descr="@01\QPosted@"/>
        <xdr:cNvPicPr preferRelativeResize="0"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77165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headEnd/>
          <a:tailEnd/>
        </a:ln>
      </xdr:spPr>
    </xdr:pic>
    <xdr:clientData/>
  </xdr:twoCellAnchor>
  <xdr:twoCellAnchor>
    <xdr:from>
      <xdr:col>0</xdr:col>
      <xdr:colOff>0</xdr:colOff>
      <xdr:row>24</xdr:row>
      <xdr:rowOff>0</xdr:rowOff>
    </xdr:from>
    <xdr:to>
      <xdr:col>0</xdr:col>
      <xdr:colOff>152400</xdr:colOff>
      <xdr:row>24</xdr:row>
      <xdr:rowOff>133350</xdr:rowOff>
    </xdr:to>
    <xdr:pic>
      <xdr:nvPicPr>
        <xdr:cNvPr id="11" name="Picture@01\QPosted@" descr="@01\QPosted@"/>
        <xdr:cNvPicPr preferRelativeResize="0"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4310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headEnd/>
          <a:tailEnd/>
        </a:ln>
      </xdr:spPr>
    </xdr:pic>
    <xdr:clientData/>
  </xdr:twoCellAnchor>
  <xdr:twoCellAnchor>
    <xdr:from>
      <xdr:col>0</xdr:col>
      <xdr:colOff>0</xdr:colOff>
      <xdr:row>25</xdr:row>
      <xdr:rowOff>0</xdr:rowOff>
    </xdr:from>
    <xdr:to>
      <xdr:col>0</xdr:col>
      <xdr:colOff>152400</xdr:colOff>
      <xdr:row>25</xdr:row>
      <xdr:rowOff>133350</xdr:rowOff>
    </xdr:to>
    <xdr:pic>
      <xdr:nvPicPr>
        <xdr:cNvPr id="12" name="Picture@01\QPosted@" descr="@01\QPosted@"/>
        <xdr:cNvPicPr preferRelativeResize="0"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11455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headEnd/>
          <a:tailEnd/>
        </a:ln>
      </xdr:spPr>
    </xdr:pic>
    <xdr:clientData/>
  </xdr:twoCellAnchor>
  <xdr:twoCellAnchor editAs="oneCell">
    <xdr:from>
      <xdr:col>0</xdr:col>
      <xdr:colOff>400050</xdr:colOff>
      <xdr:row>29</xdr:row>
      <xdr:rowOff>104775</xdr:rowOff>
    </xdr:from>
    <xdr:to>
      <xdr:col>4</xdr:col>
      <xdr:colOff>980556</xdr:colOff>
      <xdr:row>65</xdr:row>
      <xdr:rowOff>113442</xdr:rowOff>
    </xdr:to>
    <xdr:pic>
      <xdr:nvPicPr>
        <xdr:cNvPr id="13" name="Picture 1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00050" y="5819775"/>
          <a:ext cx="4152381" cy="68666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6</xdr:row>
      <xdr:rowOff>0</xdr:rowOff>
    </xdr:from>
    <xdr:to>
      <xdr:col>3</xdr:col>
      <xdr:colOff>170850</xdr:colOff>
      <xdr:row>17</xdr:row>
      <xdr:rowOff>190214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1162050"/>
          <a:ext cx="4800000" cy="228571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8</xdr:row>
      <xdr:rowOff>0</xdr:rowOff>
    </xdr:from>
    <xdr:to>
      <xdr:col>3</xdr:col>
      <xdr:colOff>161321</xdr:colOff>
      <xdr:row>21</xdr:row>
      <xdr:rowOff>123500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38550"/>
          <a:ext cx="4828571" cy="2600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14</xdr:row>
      <xdr:rowOff>0</xdr:rowOff>
    </xdr:from>
    <xdr:to>
      <xdr:col>3</xdr:col>
      <xdr:colOff>94655</xdr:colOff>
      <xdr:row>37</xdr:row>
      <xdr:rowOff>18500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4591050"/>
          <a:ext cx="4761905" cy="44000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13</xdr:row>
      <xdr:rowOff>0</xdr:rowOff>
    </xdr:from>
    <xdr:to>
      <xdr:col>3</xdr:col>
      <xdr:colOff>532798</xdr:colOff>
      <xdr:row>28</xdr:row>
      <xdr:rowOff>56786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095500"/>
          <a:ext cx="4819048" cy="2914286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43</xdr:row>
      <xdr:rowOff>0</xdr:rowOff>
    </xdr:from>
    <xdr:to>
      <xdr:col>7</xdr:col>
      <xdr:colOff>208563</xdr:colOff>
      <xdr:row>61</xdr:row>
      <xdr:rowOff>66238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7429500"/>
          <a:ext cx="7895238" cy="3495238"/>
        </a:xfrm>
        <a:prstGeom prst="rect">
          <a:avLst/>
        </a:prstGeom>
      </xdr:spPr>
    </xdr:pic>
    <xdr:clientData/>
  </xdr:twoCellAnchor>
  <xdr:twoCellAnchor editAs="oneCell">
    <xdr:from>
      <xdr:col>0</xdr:col>
      <xdr:colOff>200025</xdr:colOff>
      <xdr:row>18</xdr:row>
      <xdr:rowOff>28575</xdr:rowOff>
    </xdr:from>
    <xdr:to>
      <xdr:col>4</xdr:col>
      <xdr:colOff>94620</xdr:colOff>
      <xdr:row>32</xdr:row>
      <xdr:rowOff>142527</xdr:rowOff>
    </xdr:to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00025" y="3457575"/>
          <a:ext cx="5038095" cy="278095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866775</xdr:colOff>
      <xdr:row>9</xdr:row>
      <xdr:rowOff>28575</xdr:rowOff>
    </xdr:from>
    <xdr:to>
      <xdr:col>24</xdr:col>
      <xdr:colOff>313730</xdr:colOff>
      <xdr:row>32</xdr:row>
      <xdr:rowOff>47075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154775" y="1190625"/>
          <a:ext cx="4761905" cy="4400000"/>
        </a:xfrm>
        <a:prstGeom prst="rect">
          <a:avLst/>
        </a:prstGeom>
      </xdr:spPr>
    </xdr:pic>
    <xdr:clientData/>
  </xdr:twoCellAnchor>
  <xdr:twoCellAnchor editAs="oneCell">
    <xdr:from>
      <xdr:col>18</xdr:col>
      <xdr:colOff>857250</xdr:colOff>
      <xdr:row>31</xdr:row>
      <xdr:rowOff>0</xdr:rowOff>
    </xdr:from>
    <xdr:to>
      <xdr:col>24</xdr:col>
      <xdr:colOff>389919</xdr:colOff>
      <xdr:row>53</xdr:row>
      <xdr:rowOff>104238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145250" y="6543675"/>
          <a:ext cx="4847619" cy="4295238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25</xdr:row>
      <xdr:rowOff>0</xdr:rowOff>
    </xdr:from>
    <xdr:to>
      <xdr:col>1</xdr:col>
      <xdr:colOff>266099</xdr:colOff>
      <xdr:row>41</xdr:row>
      <xdr:rowOff>123429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4781550"/>
          <a:ext cx="4809524" cy="317142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%23GS%20Dec%202021CB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lfwd"/>
      <sheetName val="1.01 ROR ROE"/>
      <sheetName val="1.02 COC"/>
      <sheetName val="model"/>
      <sheetName val="Earnings Sharing-CBR to Adj CBR"/>
      <sheetName val="Inputs"/>
      <sheetName val="Restating Print Macros"/>
      <sheetName val="Module13"/>
      <sheetName val="Module14"/>
      <sheetName val="Module15"/>
      <sheetName val="Module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6">
          <cell r="B6">
            <v>3.6350000000000002E-3</v>
          </cell>
        </row>
        <row r="7">
          <cell r="B7">
            <v>2E-3</v>
          </cell>
        </row>
        <row r="8">
          <cell r="B8">
            <v>3.8379999999999997E-2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3.bin"/><Relationship Id="rId2" Type="http://schemas.openxmlformats.org/officeDocument/2006/relationships/customProperty" Target="../customProperty2.bin"/><Relationship Id="rId1" Type="http://schemas.openxmlformats.org/officeDocument/2006/relationships/customProperty" Target="../customProperty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5.bin"/><Relationship Id="rId2" Type="http://schemas.openxmlformats.org/officeDocument/2006/relationships/customProperty" Target="../customProperty14.bin"/><Relationship Id="rId1" Type="http://schemas.openxmlformats.org/officeDocument/2006/relationships/printerSettings" Target="../printerSettings/printerSettings4.bin"/><Relationship Id="rId4" Type="http://schemas.openxmlformats.org/officeDocument/2006/relationships/drawing" Target="../drawings/drawing6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7.bin"/><Relationship Id="rId1" Type="http://schemas.openxmlformats.org/officeDocument/2006/relationships/customProperty" Target="../customProperty16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9.bin"/><Relationship Id="rId2" Type="http://schemas.openxmlformats.org/officeDocument/2006/relationships/customProperty" Target="../customProperty18.bin"/><Relationship Id="rId1" Type="http://schemas.openxmlformats.org/officeDocument/2006/relationships/printerSettings" Target="../printerSettings/printerSettings5.bin"/><Relationship Id="rId4" Type="http://schemas.openxmlformats.org/officeDocument/2006/relationships/drawing" Target="../drawings/drawing7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customProperty" Target="../customProperty21.bin"/><Relationship Id="rId1" Type="http://schemas.openxmlformats.org/officeDocument/2006/relationships/customProperty" Target="../customProperty2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5.bin"/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6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8.bin"/><Relationship Id="rId1" Type="http://schemas.openxmlformats.org/officeDocument/2006/relationships/customProperty" Target="../customProperty7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customProperty" Target="../customProperty10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customProperty" Target="../customProperty11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customProperty" Target="../customProperty12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customProperty" Target="../customProperty13.bin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customProperties>
    <customPr name="_pios_id" r:id="rId1"/>
    <customPr name="CofWorksheetType" r:id="rId2"/>
    <customPr name="serializedData2" r:id="rId3"/>
  </customPropertie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41"/>
  <sheetViews>
    <sheetView topLeftCell="A37" workbookViewId="0">
      <selection sqref="A1:XFD1048576"/>
    </sheetView>
  </sheetViews>
  <sheetFormatPr defaultColWidth="13.28515625" defaultRowHeight="15" x14ac:dyDescent="0.25"/>
  <cols>
    <col min="1" max="1" width="8.42578125" style="78" customWidth="1"/>
    <col min="2" max="2" width="18.7109375" style="78" customWidth="1"/>
    <col min="3" max="4" width="25" style="78" customWidth="1"/>
    <col min="5" max="6" width="14.140625" style="78" customWidth="1"/>
    <col min="7" max="7" width="9.85546875" style="78" customWidth="1"/>
    <col min="8" max="8" width="11.7109375" style="78" customWidth="1"/>
    <col min="9" max="9" width="12.85546875" style="78" customWidth="1"/>
    <col min="10" max="10" width="12.140625" style="78" customWidth="1"/>
    <col min="11" max="12" width="12" style="78" customWidth="1"/>
    <col min="13" max="14" width="10.140625" style="78" customWidth="1"/>
    <col min="15" max="15" width="9.28515625" style="78" customWidth="1"/>
    <col min="16" max="16" width="11.5703125" style="78" customWidth="1"/>
    <col min="17" max="17" width="12.7109375" style="78" customWidth="1"/>
    <col min="18" max="18" width="8.85546875" style="78" customWidth="1"/>
    <col min="19" max="19" width="11.5703125" style="78" customWidth="1"/>
    <col min="20" max="20" width="12.42578125" style="78" customWidth="1"/>
    <col min="21" max="21" width="12.7109375" style="78" customWidth="1"/>
    <col min="22" max="22" width="12.42578125" style="78" customWidth="1"/>
    <col min="23" max="23" width="11.7109375" style="78" customWidth="1"/>
    <col min="24" max="24" width="10.140625" style="78" customWidth="1"/>
    <col min="25" max="25" width="10.85546875" style="78" customWidth="1"/>
    <col min="26" max="26" width="9.140625" style="78" customWidth="1"/>
    <col min="27" max="27" width="11.7109375" style="78" customWidth="1"/>
    <col min="28" max="28" width="10.42578125" style="78" customWidth="1"/>
    <col min="29" max="29" width="12.7109375" style="78" customWidth="1"/>
    <col min="30" max="30" width="11.7109375" style="78" customWidth="1"/>
    <col min="31" max="31" width="9.140625" style="78" customWidth="1"/>
    <col min="32" max="32" width="11.42578125" style="78" customWidth="1"/>
    <col min="33" max="33" width="12.28515625" style="78" customWidth="1"/>
    <col min="34" max="34" width="9.140625" style="78" customWidth="1"/>
    <col min="35" max="35" width="9.85546875" style="78" customWidth="1"/>
    <col min="36" max="37" width="11.85546875" style="78" customWidth="1"/>
    <col min="38" max="38" width="12" style="78" customWidth="1"/>
    <col min="39" max="39" width="12.140625" style="78" customWidth="1"/>
    <col min="40" max="40" width="10.85546875" style="78" customWidth="1"/>
    <col min="41" max="41" width="12.42578125" style="78" customWidth="1"/>
    <col min="42" max="42" width="12.28515625" style="78" customWidth="1"/>
    <col min="43" max="43" width="11.42578125" style="78" customWidth="1"/>
    <col min="44" max="44" width="11.7109375" style="78" customWidth="1"/>
    <col min="45" max="46" width="9.85546875" style="78" customWidth="1"/>
    <col min="47" max="47" width="12.42578125" style="78" customWidth="1"/>
    <col min="48" max="48" width="11.7109375" style="78" customWidth="1"/>
    <col min="49" max="52" width="12.140625" style="78" customWidth="1"/>
    <col min="53" max="53" width="11.28515625" style="78" customWidth="1"/>
    <col min="54" max="54" width="11.140625" style="78" customWidth="1"/>
    <col min="55" max="56" width="12.28515625" style="78" customWidth="1"/>
    <col min="57" max="57" width="12.140625" style="78" customWidth="1"/>
    <col min="58" max="59" width="12.28515625" style="78" customWidth="1"/>
    <col min="60" max="60" width="13.28515625" style="78" customWidth="1"/>
    <col min="61" max="61" width="10.7109375" style="78" customWidth="1"/>
    <col min="62" max="62" width="11.5703125" style="78" customWidth="1"/>
    <col min="63" max="63" width="12.85546875" style="78" customWidth="1"/>
    <col min="64" max="64" width="11.5703125" style="78" customWidth="1"/>
    <col min="65" max="65" width="10.5703125" style="78" customWidth="1"/>
    <col min="66" max="66" width="12" style="78" customWidth="1"/>
    <col min="67" max="67" width="11.7109375" style="78" customWidth="1"/>
    <col min="68" max="16384" width="13.28515625" style="78"/>
  </cols>
  <sheetData>
    <row r="3" spans="1:5" x14ac:dyDescent="0.25">
      <c r="A3" s="91" t="s">
        <v>33</v>
      </c>
      <c r="B3" s="91" t="s">
        <v>33</v>
      </c>
      <c r="C3" s="92" t="s">
        <v>36</v>
      </c>
      <c r="D3" s="93"/>
      <c r="E3" s="93"/>
    </row>
    <row r="4" spans="1:5" x14ac:dyDescent="0.25">
      <c r="A4" s="91" t="s">
        <v>33</v>
      </c>
      <c r="B4" s="91" t="s">
        <v>38</v>
      </c>
      <c r="C4" s="95" t="s">
        <v>40</v>
      </c>
      <c r="D4" s="95" t="s">
        <v>41</v>
      </c>
      <c r="E4" s="96" t="s">
        <v>34</v>
      </c>
    </row>
    <row r="5" spans="1:5" x14ac:dyDescent="0.25">
      <c r="A5" s="91" t="s">
        <v>33</v>
      </c>
      <c r="B5" s="97"/>
      <c r="C5" s="95" t="s">
        <v>169</v>
      </c>
      <c r="D5" s="95" t="s">
        <v>169</v>
      </c>
      <c r="E5" s="102"/>
    </row>
    <row r="6" spans="1:5" x14ac:dyDescent="0.25">
      <c r="A6" s="91" t="s">
        <v>37</v>
      </c>
      <c r="B6" s="91" t="s">
        <v>35</v>
      </c>
      <c r="C6" s="98" t="s">
        <v>85</v>
      </c>
      <c r="D6" s="98" t="s">
        <v>85</v>
      </c>
      <c r="E6" s="99" t="s">
        <v>85</v>
      </c>
    </row>
    <row r="7" spans="1:5" x14ac:dyDescent="0.25">
      <c r="A7" s="92" t="s">
        <v>106</v>
      </c>
      <c r="B7" s="96" t="s">
        <v>39</v>
      </c>
      <c r="C7" s="103">
        <v>53095.519999999997</v>
      </c>
      <c r="D7" s="103">
        <v>950576</v>
      </c>
      <c r="E7" s="104">
        <v>1003671.52</v>
      </c>
    </row>
    <row r="8" spans="1:5" x14ac:dyDescent="0.25">
      <c r="A8" s="93"/>
      <c r="B8" s="92" t="s">
        <v>157</v>
      </c>
      <c r="C8" s="106">
        <v>2467.3000000000002</v>
      </c>
      <c r="D8" s="106">
        <v>66406.62</v>
      </c>
      <c r="E8" s="104">
        <v>68873.919999999998</v>
      </c>
    </row>
    <row r="9" spans="1:5" x14ac:dyDescent="0.25">
      <c r="A9" s="93"/>
      <c r="B9" s="92" t="s">
        <v>158</v>
      </c>
      <c r="C9" s="106">
        <v>2504</v>
      </c>
      <c r="D9" s="106">
        <v>68955.13</v>
      </c>
      <c r="E9" s="104">
        <v>71459.13</v>
      </c>
    </row>
    <row r="10" spans="1:5" x14ac:dyDescent="0.25">
      <c r="A10" s="93"/>
      <c r="B10" s="92" t="s">
        <v>159</v>
      </c>
      <c r="C10" s="106">
        <v>2503</v>
      </c>
      <c r="D10" s="106">
        <v>71251.55</v>
      </c>
      <c r="E10" s="104">
        <v>73754.55</v>
      </c>
    </row>
    <row r="11" spans="1:5" x14ac:dyDescent="0.25">
      <c r="A11" s="93"/>
      <c r="B11" s="92" t="s">
        <v>160</v>
      </c>
      <c r="C11" s="106">
        <v>2665.15</v>
      </c>
      <c r="D11" s="106">
        <v>73175.31</v>
      </c>
      <c r="E11" s="104">
        <v>75840.460000000006</v>
      </c>
    </row>
    <row r="12" spans="1:5" x14ac:dyDescent="0.25">
      <c r="A12" s="93"/>
      <c r="B12" s="92" t="s">
        <v>161</v>
      </c>
      <c r="C12" s="106">
        <v>2667</v>
      </c>
      <c r="D12" s="106">
        <v>74639.98</v>
      </c>
      <c r="E12" s="104">
        <v>77306.98</v>
      </c>
    </row>
    <row r="13" spans="1:5" x14ac:dyDescent="0.25">
      <c r="A13" s="93"/>
      <c r="B13" s="92" t="s">
        <v>162</v>
      </c>
      <c r="C13" s="106">
        <v>3121.2</v>
      </c>
      <c r="D13" s="106">
        <v>76505.52</v>
      </c>
      <c r="E13" s="104">
        <v>79626.720000000001</v>
      </c>
    </row>
    <row r="14" spans="1:5" x14ac:dyDescent="0.25">
      <c r="A14" s="93"/>
      <c r="B14" s="92" t="s">
        <v>163</v>
      </c>
      <c r="C14" s="106">
        <v>6200.4</v>
      </c>
      <c r="D14" s="106">
        <v>81343.56</v>
      </c>
      <c r="E14" s="104">
        <v>87543.96</v>
      </c>
    </row>
    <row r="15" spans="1:5" x14ac:dyDescent="0.25">
      <c r="A15" s="93"/>
      <c r="B15" s="92" t="s">
        <v>164</v>
      </c>
      <c r="C15" s="106">
        <v>6125.9</v>
      </c>
      <c r="D15" s="106">
        <v>82620.37</v>
      </c>
      <c r="E15" s="104">
        <v>88746.27</v>
      </c>
    </row>
    <row r="16" spans="1:5" x14ac:dyDescent="0.25">
      <c r="A16" s="93"/>
      <c r="B16" s="92" t="s">
        <v>165</v>
      </c>
      <c r="C16" s="106">
        <v>6152.49</v>
      </c>
      <c r="D16" s="106">
        <v>85623.95</v>
      </c>
      <c r="E16" s="104">
        <v>91776.44</v>
      </c>
    </row>
    <row r="17" spans="1:7" x14ac:dyDescent="0.25">
      <c r="A17" s="93"/>
      <c r="B17" s="92" t="s">
        <v>166</v>
      </c>
      <c r="C17" s="106">
        <v>6197.4</v>
      </c>
      <c r="D17" s="106">
        <v>87747.46</v>
      </c>
      <c r="E17" s="104">
        <v>93944.86</v>
      </c>
    </row>
    <row r="18" spans="1:7" x14ac:dyDescent="0.25">
      <c r="A18" s="93"/>
      <c r="B18" s="92" t="s">
        <v>167</v>
      </c>
      <c r="C18" s="106">
        <v>6234.7</v>
      </c>
      <c r="D18" s="106">
        <v>90395</v>
      </c>
      <c r="E18" s="104">
        <v>96629.7</v>
      </c>
    </row>
    <row r="19" spans="1:7" x14ac:dyDescent="0.25">
      <c r="A19" s="93"/>
      <c r="B19" s="92" t="s">
        <v>168</v>
      </c>
      <c r="C19" s="107">
        <v>6256.98</v>
      </c>
      <c r="D19" s="107">
        <v>91911.55</v>
      </c>
      <c r="E19" s="108">
        <v>98168.53</v>
      </c>
    </row>
    <row r="26" spans="1:7" x14ac:dyDescent="0.25">
      <c r="G26" s="109"/>
    </row>
    <row r="27" spans="1:7" x14ac:dyDescent="0.25">
      <c r="G27" s="109"/>
    </row>
    <row r="28" spans="1:7" x14ac:dyDescent="0.25">
      <c r="G28" s="109"/>
    </row>
    <row r="29" spans="1:7" x14ac:dyDescent="0.25">
      <c r="G29" s="109"/>
    </row>
    <row r="30" spans="1:7" x14ac:dyDescent="0.25">
      <c r="G30" s="109"/>
    </row>
    <row r="31" spans="1:7" x14ac:dyDescent="0.25">
      <c r="G31" s="109"/>
    </row>
    <row r="32" spans="1:7" x14ac:dyDescent="0.25">
      <c r="G32" s="109"/>
    </row>
    <row r="33" spans="1:7" ht="15.75" thickBot="1" x14ac:dyDescent="0.3">
      <c r="G33" s="109"/>
    </row>
    <row r="34" spans="1:7" ht="15.75" thickBot="1" x14ac:dyDescent="0.3">
      <c r="A34" s="78" t="s">
        <v>188</v>
      </c>
      <c r="D34" s="78" t="s">
        <v>205</v>
      </c>
      <c r="F34" s="110">
        <v>-232.4</v>
      </c>
      <c r="G34" s="109"/>
    </row>
    <row r="35" spans="1:7" x14ac:dyDescent="0.25">
      <c r="G35" s="109"/>
    </row>
    <row r="36" spans="1:7" x14ac:dyDescent="0.25">
      <c r="A36" s="78" t="s">
        <v>186</v>
      </c>
      <c r="D36" s="78" t="s">
        <v>203</v>
      </c>
      <c r="F36" s="84">
        <v>19880</v>
      </c>
      <c r="G36" s="109"/>
    </row>
    <row r="37" spans="1:7" x14ac:dyDescent="0.25">
      <c r="A37" s="78" t="s">
        <v>187</v>
      </c>
      <c r="D37" s="78" t="s">
        <v>204</v>
      </c>
      <c r="F37" s="84">
        <v>501250</v>
      </c>
      <c r="G37" s="109"/>
    </row>
    <row r="38" spans="1:7" x14ac:dyDescent="0.25">
      <c r="F38" s="84"/>
      <c r="G38" s="109"/>
    </row>
    <row r="39" spans="1:7" x14ac:dyDescent="0.25">
      <c r="A39" s="78" t="s">
        <v>185</v>
      </c>
      <c r="D39" s="78" t="s">
        <v>202</v>
      </c>
      <c r="E39" s="84">
        <f>63162.96</f>
        <v>63162.96</v>
      </c>
      <c r="F39" s="84">
        <v>12061.68</v>
      </c>
      <c r="G39" s="109"/>
    </row>
    <row r="40" spans="1:7" x14ac:dyDescent="0.25">
      <c r="A40" s="78" t="s">
        <v>185</v>
      </c>
      <c r="D40" s="78" t="s">
        <v>183</v>
      </c>
      <c r="F40" s="84">
        <v>3538.07</v>
      </c>
      <c r="G40" s="109"/>
    </row>
    <row r="41" spans="1:7" x14ac:dyDescent="0.25">
      <c r="A41" s="78" t="s">
        <v>185</v>
      </c>
      <c r="D41" s="78" t="s">
        <v>184</v>
      </c>
      <c r="F41" s="111">
        <f>E39-F40-F39</f>
        <v>47563.21</v>
      </c>
      <c r="G41" s="109"/>
    </row>
  </sheetData>
  <pageMargins left="0.7" right="0.7" top="0.75" bottom="0.75" header="0.3" footer="0.3"/>
  <pageSetup orientation="portrait" r:id="rId1"/>
  <customProperties>
    <customPr name="_pios_id" r:id="rId2"/>
    <customPr name="CofWorksheetType" r:id="rId3"/>
  </customProperties>
  <drawing r:id="rId4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"/>
  <sheetViews>
    <sheetView topLeftCell="A4" workbookViewId="0">
      <selection sqref="A1:XFD1048576"/>
    </sheetView>
  </sheetViews>
  <sheetFormatPr defaultColWidth="13.28515625" defaultRowHeight="15" x14ac:dyDescent="0.25"/>
  <cols>
    <col min="1" max="1" width="8.42578125" style="78" customWidth="1"/>
    <col min="2" max="2" width="14.28515625" style="78" customWidth="1"/>
    <col min="3" max="3" width="35.42578125" style="78" customWidth="1"/>
    <col min="4" max="4" width="18.7109375" style="78" customWidth="1"/>
    <col min="5" max="5" width="24.42578125" style="78" customWidth="1"/>
    <col min="6" max="16" width="8.7109375" style="78" customWidth="1"/>
    <col min="17" max="17" width="14.140625" style="78" customWidth="1"/>
    <col min="18" max="16384" width="13.28515625" style="78"/>
  </cols>
  <sheetData>
    <row r="1" spans="1:17" x14ac:dyDescent="0.25">
      <c r="A1" s="78" t="str">
        <f>_xll.SAPGetInfoLabel("QueryTechName")</f>
        <v>Query Technical Name</v>
      </c>
      <c r="B1" s="78" t="str">
        <f>_xll.SAPGetSourceInfo("DS_7", "QueryTechName")</f>
        <v>ZB_ZUCSAM02_Q028</v>
      </c>
    </row>
    <row r="2" spans="1:17" x14ac:dyDescent="0.25">
      <c r="A2" s="78" t="str">
        <f>_xll.SAPGetDimensionInfo("DS_7", "0UCRATE_CAT", "Name")</f>
        <v>Rate Category</v>
      </c>
      <c r="B2" s="78" t="str">
        <f>_xll.SAPGetDimensionEffectiveFilter("DS_7", "0UCRATE_CAT")</f>
        <v>SCH_071G; SCH_072G; SCH_074G</v>
      </c>
    </row>
    <row r="3" spans="1:17" x14ac:dyDescent="0.25">
      <c r="A3" s="78" t="str">
        <f>_xll.SAPGetDimensionInfo("DS_7", "0UCRATE_STA", "Name")</f>
        <v>Statistical Rate</v>
      </c>
      <c r="B3" s="78" t="str">
        <f>_xll.SAPGetDimensionEffectiveFilter("DS_7", "0UCRATE_STA")</f>
        <v>GSC_FFSTAT; GSR_FFSTAT; GST_FFSTAT; GSU_FFSTAT</v>
      </c>
    </row>
    <row r="5" spans="1:17" x14ac:dyDescent="0.25">
      <c r="A5" s="91" t="s">
        <v>33</v>
      </c>
      <c r="B5" s="91" t="s">
        <v>33</v>
      </c>
      <c r="C5" s="91" t="s">
        <v>33</v>
      </c>
      <c r="D5" s="91" t="s">
        <v>33</v>
      </c>
      <c r="E5" s="92" t="s">
        <v>36</v>
      </c>
      <c r="F5" s="93"/>
      <c r="G5" s="93"/>
      <c r="H5" s="93"/>
      <c r="I5" s="93"/>
      <c r="J5" s="93"/>
      <c r="K5" s="93"/>
      <c r="L5" s="93"/>
      <c r="M5" s="93"/>
      <c r="N5" s="93"/>
      <c r="O5" s="93"/>
      <c r="P5" s="93"/>
      <c r="Q5" s="93"/>
    </row>
    <row r="6" spans="1:17" x14ac:dyDescent="0.25">
      <c r="A6" s="91" t="s">
        <v>33</v>
      </c>
      <c r="B6" s="94" t="s">
        <v>33</v>
      </c>
      <c r="C6" s="94" t="s">
        <v>33</v>
      </c>
      <c r="D6" s="91" t="s">
        <v>35</v>
      </c>
      <c r="E6" s="95" t="s">
        <v>157</v>
      </c>
      <c r="F6" s="95" t="s">
        <v>158</v>
      </c>
      <c r="G6" s="95" t="s">
        <v>159</v>
      </c>
      <c r="H6" s="95" t="s">
        <v>160</v>
      </c>
      <c r="I6" s="95" t="s">
        <v>161</v>
      </c>
      <c r="J6" s="95" t="s">
        <v>162</v>
      </c>
      <c r="K6" s="95" t="s">
        <v>163</v>
      </c>
      <c r="L6" s="95" t="s">
        <v>164</v>
      </c>
      <c r="M6" s="95" t="s">
        <v>165</v>
      </c>
      <c r="N6" s="95" t="s">
        <v>166</v>
      </c>
      <c r="O6" s="95" t="s">
        <v>167</v>
      </c>
      <c r="P6" s="95" t="s">
        <v>168</v>
      </c>
      <c r="Q6" s="96" t="s">
        <v>34</v>
      </c>
    </row>
    <row r="7" spans="1:17" x14ac:dyDescent="0.25">
      <c r="A7" s="91" t="s">
        <v>37</v>
      </c>
      <c r="B7" s="91" t="s">
        <v>42</v>
      </c>
      <c r="C7" s="97"/>
      <c r="D7" s="91" t="s">
        <v>38</v>
      </c>
      <c r="E7" s="98" t="s">
        <v>85</v>
      </c>
      <c r="F7" s="98" t="s">
        <v>85</v>
      </c>
      <c r="G7" s="98" t="s">
        <v>85</v>
      </c>
      <c r="H7" s="98" t="s">
        <v>85</v>
      </c>
      <c r="I7" s="98" t="s">
        <v>85</v>
      </c>
      <c r="J7" s="98" t="s">
        <v>85</v>
      </c>
      <c r="K7" s="98" t="s">
        <v>85</v>
      </c>
      <c r="L7" s="98" t="s">
        <v>85</v>
      </c>
      <c r="M7" s="98" t="s">
        <v>85</v>
      </c>
      <c r="N7" s="98" t="s">
        <v>85</v>
      </c>
      <c r="O7" s="98" t="s">
        <v>85</v>
      </c>
      <c r="P7" s="98" t="s">
        <v>85</v>
      </c>
      <c r="Q7" s="99" t="s">
        <v>85</v>
      </c>
    </row>
    <row r="8" spans="1:17" x14ac:dyDescent="0.25">
      <c r="A8" s="92" t="s">
        <v>106</v>
      </c>
      <c r="B8" s="100" t="s">
        <v>39</v>
      </c>
      <c r="C8" s="101"/>
      <c r="D8" s="102"/>
      <c r="E8" s="103">
        <v>3129.07</v>
      </c>
      <c r="F8" s="103">
        <v>6.81</v>
      </c>
      <c r="G8" s="103">
        <v>15</v>
      </c>
      <c r="H8" s="103">
        <v>-3.84</v>
      </c>
      <c r="I8" s="103">
        <v>3.84</v>
      </c>
      <c r="J8" s="103">
        <v>0</v>
      </c>
      <c r="K8" s="103">
        <v>19.649999999999999</v>
      </c>
      <c r="L8" s="103">
        <v>-0.12</v>
      </c>
      <c r="M8" s="103">
        <v>0.12</v>
      </c>
      <c r="N8" s="103">
        <v>0</v>
      </c>
      <c r="O8" s="103">
        <v>0</v>
      </c>
      <c r="P8" s="103">
        <v>0</v>
      </c>
      <c r="Q8" s="104">
        <v>3170.53</v>
      </c>
    </row>
    <row r="9" spans="1:17" x14ac:dyDescent="0.25">
      <c r="A9" s="93"/>
      <c r="B9" s="95" t="s">
        <v>142</v>
      </c>
      <c r="C9" s="95" t="s">
        <v>143</v>
      </c>
      <c r="D9" s="92" t="s">
        <v>43</v>
      </c>
      <c r="E9" s="106">
        <v>1729.03</v>
      </c>
      <c r="F9" s="106">
        <v>2.02</v>
      </c>
      <c r="G9" s="106">
        <v>15</v>
      </c>
      <c r="H9" s="106">
        <v>-1.52</v>
      </c>
      <c r="I9" s="106">
        <v>1.52</v>
      </c>
      <c r="J9" s="106">
        <v>0</v>
      </c>
      <c r="K9" s="106">
        <v>19.649999999999999</v>
      </c>
      <c r="L9" s="106">
        <v>-0.12</v>
      </c>
      <c r="M9" s="106">
        <v>0.12</v>
      </c>
      <c r="N9" s="106">
        <v>0</v>
      </c>
      <c r="O9" s="106"/>
      <c r="P9" s="106">
        <v>0</v>
      </c>
      <c r="Q9" s="104">
        <v>1765.7</v>
      </c>
    </row>
    <row r="10" spans="1:17" x14ac:dyDescent="0.25">
      <c r="A10" s="93"/>
      <c r="B10" s="95" t="s">
        <v>144</v>
      </c>
      <c r="C10" s="95" t="s">
        <v>145</v>
      </c>
      <c r="D10" s="92" t="s">
        <v>43</v>
      </c>
      <c r="E10" s="106">
        <v>1400.04</v>
      </c>
      <c r="F10" s="106">
        <v>4.79</v>
      </c>
      <c r="G10" s="106">
        <v>0</v>
      </c>
      <c r="H10" s="106">
        <v>-2.3199999999999998</v>
      </c>
      <c r="I10" s="106">
        <v>2.3199999999999998</v>
      </c>
      <c r="J10" s="106">
        <v>0</v>
      </c>
      <c r="K10" s="106">
        <v>0</v>
      </c>
      <c r="L10" s="106"/>
      <c r="M10" s="106"/>
      <c r="N10" s="106">
        <v>0</v>
      </c>
      <c r="O10" s="106">
        <v>0</v>
      </c>
      <c r="P10" s="106"/>
      <c r="Q10" s="104">
        <v>1404.83</v>
      </c>
    </row>
    <row r="11" spans="1:17" x14ac:dyDescent="0.25">
      <c r="A11" s="93"/>
      <c r="B11" s="92" t="s">
        <v>146</v>
      </c>
      <c r="C11" s="92" t="s">
        <v>147</v>
      </c>
      <c r="D11" s="92" t="s">
        <v>43</v>
      </c>
      <c r="E11" s="107">
        <v>0</v>
      </c>
      <c r="F11" s="107">
        <v>0</v>
      </c>
      <c r="G11" s="107">
        <v>0</v>
      </c>
      <c r="H11" s="107">
        <v>0</v>
      </c>
      <c r="I11" s="107">
        <v>0</v>
      </c>
      <c r="J11" s="107">
        <v>0</v>
      </c>
      <c r="K11" s="107">
        <v>0</v>
      </c>
      <c r="L11" s="107">
        <v>0</v>
      </c>
      <c r="M11" s="107">
        <v>0</v>
      </c>
      <c r="N11" s="107">
        <v>0</v>
      </c>
      <c r="O11" s="107">
        <v>0</v>
      </c>
      <c r="P11" s="107">
        <v>0</v>
      </c>
      <c r="Q11" s="108">
        <v>0</v>
      </c>
    </row>
  </sheetData>
  <pageMargins left="0.7" right="0.7" top="0.75" bottom="0.75" header="0.3" footer="0.3"/>
  <customProperties>
    <customPr name="_pios_id" r:id="rId1"/>
    <customPr name="CofWorksheetType" r:id="rId2"/>
  </customPropertie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0"/>
  <sheetViews>
    <sheetView topLeftCell="B1" workbookViewId="0">
      <selection sqref="A1:XFD1048576"/>
    </sheetView>
  </sheetViews>
  <sheetFormatPr defaultColWidth="13.28515625" defaultRowHeight="15" x14ac:dyDescent="0.25"/>
  <cols>
    <col min="1" max="1" width="8.42578125" style="78" customWidth="1"/>
    <col min="2" max="2" width="14.28515625" style="78" customWidth="1"/>
    <col min="3" max="3" width="36.28515625" style="78" customWidth="1"/>
    <col min="4" max="4" width="18.7109375" style="78" customWidth="1"/>
    <col min="5" max="5" width="24.42578125" style="78" customWidth="1"/>
    <col min="6" max="16" width="13.140625" style="78" customWidth="1"/>
    <col min="17" max="17" width="14.28515625" style="78" customWidth="1"/>
    <col min="18" max="34" width="13.28515625" style="78"/>
    <col min="35" max="35" width="14.28515625" style="78" bestFit="1" customWidth="1"/>
    <col min="36" max="16384" width="13.28515625" style="78"/>
  </cols>
  <sheetData>
    <row r="1" spans="1:24" x14ac:dyDescent="0.25">
      <c r="A1" s="78" t="str">
        <f>_xll.SAPGetInfoLabel("QueryTechName")</f>
        <v>Query Technical Name</v>
      </c>
      <c r="B1" s="78" t="str">
        <f>_xll.SAPGetSourceInfo("DS_6", "QueryTechName")</f>
        <v>ZB_ZUCSAM02_Q028</v>
      </c>
    </row>
    <row r="2" spans="1:24" x14ac:dyDescent="0.25">
      <c r="A2" s="78" t="str">
        <f>_xll.SAPGetDimensionInfo("DS_6", "0UCRATE_CAT", "Name")</f>
        <v>Rate Category</v>
      </c>
      <c r="B2" s="78" t="str">
        <f>_xll.SAPGetDimensionEffectiveFilter("DS_6", "0UCRATE_CAT")</f>
        <v>SCH_016GR; SCH_023G; SCH_031GC; SCH_031GI; SCH_041GC; SCH_041GI; SCH_085GTC; SCH_085GTI; SCH_086GC; SCH_086GTI; SCH_085GC; SCH_085GI; SCH_086GI; SCH_086GTC; SCH_041GTC; SCH_041GTI; SCH_087GTI; SCH_087GC; SCH_099GT; SCH_087GTC; SCH_031GTC</v>
      </c>
    </row>
    <row r="3" spans="1:24" x14ac:dyDescent="0.25">
      <c r="A3" s="78" t="str">
        <f>_xll.SAPGetDimensionInfo("DS_6", "0UCRATE_STA", "Name")</f>
        <v>Statistical Rate</v>
      </c>
      <c r="B3" s="78" t="str">
        <f>_xll.SAPGetDimensionEffectiveFilter("DS_6", "0UCRATE_STA")</f>
        <v>GSC_FFSTAT; GSR_FFSTAT; GST_FFSTAT; GSU_FFSTAT</v>
      </c>
    </row>
    <row r="4" spans="1:24" x14ac:dyDescent="0.25">
      <c r="A4" s="82"/>
      <c r="B4" s="82"/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T4" s="89"/>
      <c r="U4" s="77"/>
    </row>
    <row r="5" spans="1:24" x14ac:dyDescent="0.25">
      <c r="T5" s="89"/>
    </row>
    <row r="6" spans="1:24" x14ac:dyDescent="0.25">
      <c r="A6" s="91" t="s">
        <v>33</v>
      </c>
      <c r="B6" s="91" t="s">
        <v>33</v>
      </c>
      <c r="C6" s="91" t="s">
        <v>33</v>
      </c>
      <c r="D6" s="91" t="s">
        <v>33</v>
      </c>
      <c r="E6" s="92" t="s">
        <v>36</v>
      </c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W6" s="77"/>
      <c r="X6" s="77"/>
    </row>
    <row r="7" spans="1:24" x14ac:dyDescent="0.25">
      <c r="A7" s="91" t="s">
        <v>33</v>
      </c>
      <c r="B7" s="94" t="s">
        <v>33</v>
      </c>
      <c r="C7" s="94" t="s">
        <v>33</v>
      </c>
      <c r="D7" s="91" t="s">
        <v>35</v>
      </c>
      <c r="E7" s="95" t="s">
        <v>157</v>
      </c>
      <c r="F7" s="95" t="s">
        <v>158</v>
      </c>
      <c r="G7" s="95" t="s">
        <v>159</v>
      </c>
      <c r="H7" s="95" t="s">
        <v>160</v>
      </c>
      <c r="I7" s="95" t="s">
        <v>161</v>
      </c>
      <c r="J7" s="95" t="s">
        <v>162</v>
      </c>
      <c r="K7" s="95" t="s">
        <v>163</v>
      </c>
      <c r="L7" s="95" t="s">
        <v>164</v>
      </c>
      <c r="M7" s="95" t="s">
        <v>165</v>
      </c>
      <c r="N7" s="95" t="s">
        <v>166</v>
      </c>
      <c r="O7" s="95" t="s">
        <v>167</v>
      </c>
      <c r="P7" s="95" t="s">
        <v>168</v>
      </c>
      <c r="Q7" s="96" t="s">
        <v>34</v>
      </c>
    </row>
    <row r="8" spans="1:24" ht="15.75" thickBot="1" x14ac:dyDescent="0.3">
      <c r="A8" s="91" t="s">
        <v>37</v>
      </c>
      <c r="B8" s="91" t="s">
        <v>42</v>
      </c>
      <c r="C8" s="97"/>
      <c r="D8" s="91" t="s">
        <v>38</v>
      </c>
      <c r="E8" s="98" t="s">
        <v>85</v>
      </c>
      <c r="F8" s="98" t="s">
        <v>85</v>
      </c>
      <c r="G8" s="98" t="s">
        <v>85</v>
      </c>
      <c r="H8" s="98" t="s">
        <v>85</v>
      </c>
      <c r="I8" s="98" t="s">
        <v>85</v>
      </c>
      <c r="J8" s="98" t="s">
        <v>85</v>
      </c>
      <c r="K8" s="98" t="s">
        <v>85</v>
      </c>
      <c r="L8" s="98" t="s">
        <v>85</v>
      </c>
      <c r="M8" s="98" t="s">
        <v>85</v>
      </c>
      <c r="N8" s="98" t="s">
        <v>85</v>
      </c>
      <c r="O8" s="98" t="s">
        <v>85</v>
      </c>
      <c r="P8" s="98" t="s">
        <v>85</v>
      </c>
      <c r="Q8" s="99" t="s">
        <v>85</v>
      </c>
    </row>
    <row r="9" spans="1:24" ht="15.75" thickBot="1" x14ac:dyDescent="0.3">
      <c r="A9" s="92" t="s">
        <v>106</v>
      </c>
      <c r="B9" s="100" t="s">
        <v>39</v>
      </c>
      <c r="C9" s="101"/>
      <c r="D9" s="102"/>
      <c r="E9" s="103">
        <v>5935676.0499999998</v>
      </c>
      <c r="F9" s="103">
        <v>6370865.0700000003</v>
      </c>
      <c r="G9" s="103">
        <v>5980382.25</v>
      </c>
      <c r="H9" s="103">
        <v>4845157.54</v>
      </c>
      <c r="I9" s="103">
        <v>3065058.9</v>
      </c>
      <c r="J9" s="103">
        <v>2538496.6800000002</v>
      </c>
      <c r="K9" s="103">
        <v>1887817.35</v>
      </c>
      <c r="L9" s="103">
        <v>1753235.43</v>
      </c>
      <c r="M9" s="103">
        <v>1967858.19</v>
      </c>
      <c r="N9" s="103">
        <v>2936176.87</v>
      </c>
      <c r="O9" s="103">
        <v>4791054.74</v>
      </c>
      <c r="P9" s="103">
        <v>6260215.7300000004</v>
      </c>
      <c r="Q9" s="104">
        <v>48331994.799999997</v>
      </c>
      <c r="R9" s="83"/>
      <c r="T9" s="78" t="s">
        <v>49</v>
      </c>
      <c r="X9" s="105">
        <v>46365566.93</v>
      </c>
    </row>
    <row r="10" spans="1:24" x14ac:dyDescent="0.25">
      <c r="A10" s="93"/>
      <c r="B10" s="95" t="s">
        <v>138</v>
      </c>
      <c r="C10" s="95" t="s">
        <v>139</v>
      </c>
      <c r="D10" s="92" t="s">
        <v>43</v>
      </c>
      <c r="E10" s="106">
        <v>21.31</v>
      </c>
      <c r="F10" s="106">
        <v>26.75</v>
      </c>
      <c r="G10" s="106">
        <v>24.03</v>
      </c>
      <c r="H10" s="106">
        <v>24.03</v>
      </c>
      <c r="I10" s="106">
        <v>24.04</v>
      </c>
      <c r="J10" s="106">
        <v>24.05</v>
      </c>
      <c r="K10" s="106">
        <v>24.05</v>
      </c>
      <c r="L10" s="106">
        <v>24.05</v>
      </c>
      <c r="M10" s="106">
        <v>24.07</v>
      </c>
      <c r="N10" s="106">
        <v>24.17</v>
      </c>
      <c r="O10" s="106">
        <v>25.11</v>
      </c>
      <c r="P10" s="106">
        <v>0.03</v>
      </c>
      <c r="Q10" s="104">
        <v>265.69</v>
      </c>
      <c r="R10" s="83"/>
    </row>
    <row r="11" spans="1:24" x14ac:dyDescent="0.25">
      <c r="A11" s="93"/>
      <c r="B11" s="95" t="s">
        <v>140</v>
      </c>
      <c r="C11" s="95" t="s">
        <v>141</v>
      </c>
      <c r="D11" s="92" t="s">
        <v>44</v>
      </c>
      <c r="E11" s="106">
        <v>4072267.18</v>
      </c>
      <c r="F11" s="106">
        <v>4216869.3099999996</v>
      </c>
      <c r="G11" s="106">
        <v>3973604.48</v>
      </c>
      <c r="H11" s="106">
        <v>3113475.47</v>
      </c>
      <c r="I11" s="106">
        <v>1890011.35</v>
      </c>
      <c r="J11" s="106">
        <v>1474534.92</v>
      </c>
      <c r="K11" s="106">
        <v>1059171.02</v>
      </c>
      <c r="L11" s="106">
        <v>960479.8</v>
      </c>
      <c r="M11" s="106">
        <v>1100470.1000000001</v>
      </c>
      <c r="N11" s="106">
        <v>1819282.85</v>
      </c>
      <c r="O11" s="106">
        <v>2986596.26</v>
      </c>
      <c r="P11" s="106">
        <v>4203728.42</v>
      </c>
      <c r="Q11" s="104">
        <v>30870491.16</v>
      </c>
      <c r="R11" s="83"/>
    </row>
    <row r="12" spans="1:24" x14ac:dyDescent="0.25">
      <c r="A12" s="93"/>
      <c r="B12" s="95" t="s">
        <v>107</v>
      </c>
      <c r="C12" s="95" t="s">
        <v>108</v>
      </c>
      <c r="D12" s="92" t="s">
        <v>45</v>
      </c>
      <c r="E12" s="106">
        <v>1413844.22</v>
      </c>
      <c r="F12" s="106">
        <v>1473378.4</v>
      </c>
      <c r="G12" s="106">
        <v>1510683</v>
      </c>
      <c r="H12" s="106">
        <v>1211210.31</v>
      </c>
      <c r="I12" s="106">
        <v>771252.34</v>
      </c>
      <c r="J12" s="106">
        <v>669913.88</v>
      </c>
      <c r="K12" s="106">
        <v>514296.47</v>
      </c>
      <c r="L12" s="106">
        <v>483074.36</v>
      </c>
      <c r="M12" s="106">
        <v>549630.24</v>
      </c>
      <c r="N12" s="106">
        <v>743903.86</v>
      </c>
      <c r="O12" s="106">
        <v>1175116.77</v>
      </c>
      <c r="P12" s="106">
        <v>1592138.31</v>
      </c>
      <c r="Q12" s="104">
        <v>12108442.16</v>
      </c>
      <c r="R12" s="83"/>
    </row>
    <row r="13" spans="1:24" x14ac:dyDescent="0.25">
      <c r="A13" s="93"/>
      <c r="B13" s="95" t="s">
        <v>127</v>
      </c>
      <c r="C13" s="95" t="s">
        <v>128</v>
      </c>
      <c r="D13" s="92" t="s">
        <v>45</v>
      </c>
      <c r="E13" s="106">
        <v>93570.51</v>
      </c>
      <c r="F13" s="106">
        <v>97188.95</v>
      </c>
      <c r="G13" s="106">
        <v>97218.2</v>
      </c>
      <c r="H13" s="106">
        <v>74021.13</v>
      </c>
      <c r="I13" s="106">
        <v>39837.42</v>
      </c>
      <c r="J13" s="106">
        <v>38049.79</v>
      </c>
      <c r="K13" s="106">
        <v>23795.95</v>
      </c>
      <c r="L13" s="106">
        <v>22630.65</v>
      </c>
      <c r="M13" s="106">
        <v>26385.38</v>
      </c>
      <c r="N13" s="106">
        <v>40144.660000000003</v>
      </c>
      <c r="O13" s="106">
        <v>70404.429999999993</v>
      </c>
      <c r="P13" s="106">
        <v>100365.15</v>
      </c>
      <c r="Q13" s="104">
        <v>723612.22</v>
      </c>
      <c r="R13" s="83"/>
    </row>
    <row r="14" spans="1:24" x14ac:dyDescent="0.25">
      <c r="A14" s="93"/>
      <c r="B14" s="95" t="s">
        <v>117</v>
      </c>
      <c r="C14" s="95" t="s">
        <v>118</v>
      </c>
      <c r="D14" s="92" t="s">
        <v>46</v>
      </c>
      <c r="E14" s="106"/>
      <c r="F14" s="106">
        <v>300.20999999999998</v>
      </c>
      <c r="G14" s="106"/>
      <c r="H14" s="106">
        <v>140.75</v>
      </c>
      <c r="I14" s="106">
        <v>106.17</v>
      </c>
      <c r="J14" s="106">
        <v>100.12</v>
      </c>
      <c r="K14" s="106">
        <v>88.4</v>
      </c>
      <c r="L14" s="106">
        <v>87.68</v>
      </c>
      <c r="M14" s="106">
        <v>91.71</v>
      </c>
      <c r="N14" s="106">
        <v>98.4</v>
      </c>
      <c r="O14" s="106">
        <v>308.85000000000002</v>
      </c>
      <c r="P14" s="106"/>
      <c r="Q14" s="104">
        <v>1322.29</v>
      </c>
      <c r="R14" s="83"/>
    </row>
    <row r="15" spans="1:24" x14ac:dyDescent="0.25">
      <c r="A15" s="93"/>
      <c r="B15" s="95" t="s">
        <v>109</v>
      </c>
      <c r="C15" s="95" t="s">
        <v>110</v>
      </c>
      <c r="D15" s="92" t="s">
        <v>45</v>
      </c>
      <c r="E15" s="106">
        <v>201145.61</v>
      </c>
      <c r="F15" s="106">
        <v>225914.31</v>
      </c>
      <c r="G15" s="106">
        <v>236436.3</v>
      </c>
      <c r="H15" s="106">
        <v>200304.14</v>
      </c>
      <c r="I15" s="106">
        <v>149873.34</v>
      </c>
      <c r="J15" s="106">
        <v>145129.74</v>
      </c>
      <c r="K15" s="106">
        <v>108950.77</v>
      </c>
      <c r="L15" s="106">
        <v>109305.99</v>
      </c>
      <c r="M15" s="106">
        <v>114874.61</v>
      </c>
      <c r="N15" s="106">
        <v>139375.4</v>
      </c>
      <c r="O15" s="106">
        <v>192638.71</v>
      </c>
      <c r="P15" s="106">
        <v>236538.03</v>
      </c>
      <c r="Q15" s="104">
        <v>2060486.95</v>
      </c>
      <c r="R15" s="83"/>
    </row>
    <row r="16" spans="1:24" x14ac:dyDescent="0.25">
      <c r="A16" s="93"/>
      <c r="B16" s="95" t="s">
        <v>129</v>
      </c>
      <c r="C16" s="95" t="s">
        <v>110</v>
      </c>
      <c r="D16" s="92" t="s">
        <v>45</v>
      </c>
      <c r="E16" s="106">
        <v>25958.04</v>
      </c>
      <c r="F16" s="106">
        <v>27591.87</v>
      </c>
      <c r="G16" s="106">
        <v>33819.040000000001</v>
      </c>
      <c r="H16" s="106">
        <v>28464.13</v>
      </c>
      <c r="I16" s="106">
        <v>26505.279999999999</v>
      </c>
      <c r="J16" s="106">
        <v>28342.07</v>
      </c>
      <c r="K16" s="106">
        <v>21986.36</v>
      </c>
      <c r="L16" s="106">
        <v>23329.06</v>
      </c>
      <c r="M16" s="106">
        <v>24276.17</v>
      </c>
      <c r="N16" s="106">
        <v>23982.19</v>
      </c>
      <c r="O16" s="106">
        <v>28187.14</v>
      </c>
      <c r="P16" s="106">
        <v>33983.660000000003</v>
      </c>
      <c r="Q16" s="104">
        <v>326425.01</v>
      </c>
      <c r="R16" s="83"/>
    </row>
    <row r="17" spans="1:18" x14ac:dyDescent="0.25">
      <c r="A17" s="93"/>
      <c r="B17" s="95" t="s">
        <v>119</v>
      </c>
      <c r="C17" s="95" t="s">
        <v>120</v>
      </c>
      <c r="D17" s="92" t="s">
        <v>46</v>
      </c>
      <c r="E17" s="106">
        <v>3370.16</v>
      </c>
      <c r="F17" s="106">
        <v>21175.26</v>
      </c>
      <c r="G17" s="106">
        <v>2773.13</v>
      </c>
      <c r="H17" s="106">
        <v>12161.08</v>
      </c>
      <c r="I17" s="106">
        <v>11726.32</v>
      </c>
      <c r="J17" s="106">
        <v>12672.61</v>
      </c>
      <c r="K17" s="106">
        <v>11332.98</v>
      </c>
      <c r="L17" s="106">
        <v>10574.33</v>
      </c>
      <c r="M17" s="106">
        <v>10808.93</v>
      </c>
      <c r="N17" s="106">
        <v>11028.93</v>
      </c>
      <c r="O17" s="106">
        <v>22918.19</v>
      </c>
      <c r="P17" s="106">
        <v>1394.27</v>
      </c>
      <c r="Q17" s="104">
        <v>131936.19</v>
      </c>
      <c r="R17" s="83"/>
    </row>
    <row r="18" spans="1:18" x14ac:dyDescent="0.25">
      <c r="A18" s="93"/>
      <c r="B18" s="95" t="s">
        <v>132</v>
      </c>
      <c r="C18" s="95" t="s">
        <v>120</v>
      </c>
      <c r="D18" s="92" t="s">
        <v>46</v>
      </c>
      <c r="E18" s="106">
        <v>2057.75</v>
      </c>
      <c r="F18" s="106">
        <v>10702.22</v>
      </c>
      <c r="G18" s="106">
        <v>1228.01</v>
      </c>
      <c r="H18" s="106">
        <v>5726.92</v>
      </c>
      <c r="I18" s="106">
        <v>5927.47</v>
      </c>
      <c r="J18" s="106">
        <v>6204.34</v>
      </c>
      <c r="K18" s="106">
        <v>6115.09</v>
      </c>
      <c r="L18" s="106">
        <v>6090.14</v>
      </c>
      <c r="M18" s="106">
        <v>6261.73</v>
      </c>
      <c r="N18" s="106">
        <v>6136.41</v>
      </c>
      <c r="O18" s="106">
        <v>11941.34</v>
      </c>
      <c r="P18" s="106">
        <v>1617.76</v>
      </c>
      <c r="Q18" s="104">
        <v>70009.179999999993</v>
      </c>
      <c r="R18" s="83"/>
    </row>
    <row r="19" spans="1:18" x14ac:dyDescent="0.25">
      <c r="A19" s="93"/>
      <c r="B19" s="95" t="s">
        <v>111</v>
      </c>
      <c r="C19" s="95" t="s">
        <v>112</v>
      </c>
      <c r="D19" s="92" t="s">
        <v>45</v>
      </c>
      <c r="E19" s="106">
        <v>38980.230000000003</v>
      </c>
      <c r="F19" s="106">
        <v>28972.11</v>
      </c>
      <c r="G19" s="106">
        <v>45658.97</v>
      </c>
      <c r="H19" s="106">
        <v>34651.68</v>
      </c>
      <c r="I19" s="106">
        <v>30682.080000000002</v>
      </c>
      <c r="J19" s="106">
        <v>25554.71</v>
      </c>
      <c r="K19" s="106">
        <v>21198.46</v>
      </c>
      <c r="L19" s="106">
        <v>19778.93</v>
      </c>
      <c r="M19" s="106">
        <v>21046.44</v>
      </c>
      <c r="N19" s="106">
        <v>26096.33</v>
      </c>
      <c r="O19" s="106">
        <v>35351.9</v>
      </c>
      <c r="P19" s="106">
        <v>37468.949999999997</v>
      </c>
      <c r="Q19" s="104">
        <v>365440.79</v>
      </c>
      <c r="R19" s="83"/>
    </row>
    <row r="20" spans="1:18" x14ac:dyDescent="0.25">
      <c r="A20" s="93"/>
      <c r="B20" s="95" t="s">
        <v>130</v>
      </c>
      <c r="C20" s="95" t="s">
        <v>112</v>
      </c>
      <c r="D20" s="92" t="s">
        <v>45</v>
      </c>
      <c r="E20" s="106">
        <v>6795.43</v>
      </c>
      <c r="F20" s="106">
        <v>5363.72</v>
      </c>
      <c r="G20" s="106">
        <v>21153.49</v>
      </c>
      <c r="H20" s="106">
        <v>11867.3</v>
      </c>
      <c r="I20" s="106">
        <v>11220.23</v>
      </c>
      <c r="J20" s="106">
        <v>8968.59</v>
      </c>
      <c r="K20" s="106">
        <v>10003.86</v>
      </c>
      <c r="L20" s="106">
        <v>9752.68</v>
      </c>
      <c r="M20" s="106">
        <v>9066.43</v>
      </c>
      <c r="N20" s="106">
        <v>11091.72</v>
      </c>
      <c r="O20" s="106">
        <v>10482.59</v>
      </c>
      <c r="P20" s="106">
        <v>10981.9</v>
      </c>
      <c r="Q20" s="104">
        <v>126747.94</v>
      </c>
      <c r="R20" s="83"/>
    </row>
    <row r="21" spans="1:18" x14ac:dyDescent="0.25">
      <c r="A21" s="93"/>
      <c r="B21" s="95" t="s">
        <v>121</v>
      </c>
      <c r="C21" s="95" t="s">
        <v>122</v>
      </c>
      <c r="D21" s="92" t="s">
        <v>46</v>
      </c>
      <c r="E21" s="106">
        <v>6530.24</v>
      </c>
      <c r="F21" s="106">
        <v>22555.4</v>
      </c>
      <c r="G21" s="106">
        <v>1793.11</v>
      </c>
      <c r="H21" s="106">
        <v>12332.23</v>
      </c>
      <c r="I21" s="106">
        <v>10820.27</v>
      </c>
      <c r="J21" s="106">
        <v>11693.71</v>
      </c>
      <c r="K21" s="106">
        <v>10398.76</v>
      </c>
      <c r="L21" s="106">
        <v>10345.120000000001</v>
      </c>
      <c r="M21" s="106">
        <v>10418.040000000001</v>
      </c>
      <c r="N21" s="106">
        <v>10777.12</v>
      </c>
      <c r="O21" s="106">
        <v>22806.51</v>
      </c>
      <c r="P21" s="106">
        <v>1010.66</v>
      </c>
      <c r="Q21" s="104">
        <v>131481.17000000001</v>
      </c>
      <c r="R21" s="83"/>
    </row>
    <row r="22" spans="1:18" x14ac:dyDescent="0.25">
      <c r="A22" s="93"/>
      <c r="B22" s="95" t="s">
        <v>133</v>
      </c>
      <c r="C22" s="95" t="s">
        <v>122</v>
      </c>
      <c r="D22" s="92" t="s">
        <v>46</v>
      </c>
      <c r="E22" s="106">
        <v>14366.22</v>
      </c>
      <c r="F22" s="106">
        <v>46714.26</v>
      </c>
      <c r="G22" s="106">
        <v>7541.86</v>
      </c>
      <c r="H22" s="106">
        <v>28736.2</v>
      </c>
      <c r="I22" s="106">
        <v>27261.42</v>
      </c>
      <c r="J22" s="106">
        <v>25500.43</v>
      </c>
      <c r="K22" s="106">
        <v>26301.01</v>
      </c>
      <c r="L22" s="106">
        <v>25701.5</v>
      </c>
      <c r="M22" s="106">
        <v>26425.599999999999</v>
      </c>
      <c r="N22" s="106">
        <v>26138.86</v>
      </c>
      <c r="O22" s="106">
        <v>54510.37</v>
      </c>
      <c r="P22" s="106">
        <v>5961.01</v>
      </c>
      <c r="Q22" s="104">
        <v>315158.74</v>
      </c>
      <c r="R22" s="83"/>
    </row>
    <row r="23" spans="1:18" x14ac:dyDescent="0.25">
      <c r="A23" s="93"/>
      <c r="B23" s="95" t="s">
        <v>113</v>
      </c>
      <c r="C23" s="95" t="s">
        <v>114</v>
      </c>
      <c r="D23" s="92" t="s">
        <v>45</v>
      </c>
      <c r="E23" s="106">
        <v>26085.96</v>
      </c>
      <c r="F23" s="106">
        <v>21367.27</v>
      </c>
      <c r="G23" s="106">
        <v>28922.95</v>
      </c>
      <c r="H23" s="106">
        <v>22542.84</v>
      </c>
      <c r="I23" s="106">
        <v>15218.29</v>
      </c>
      <c r="J23" s="106">
        <v>12933.83</v>
      </c>
      <c r="K23" s="106">
        <v>9310.41</v>
      </c>
      <c r="L23" s="106">
        <v>5700.75</v>
      </c>
      <c r="M23" s="106">
        <v>7097</v>
      </c>
      <c r="N23" s="106">
        <v>10316.81</v>
      </c>
      <c r="O23" s="106">
        <v>17698.89</v>
      </c>
      <c r="P23" s="106">
        <v>25145.31</v>
      </c>
      <c r="Q23" s="104">
        <v>202340.31</v>
      </c>
      <c r="R23" s="83"/>
    </row>
    <row r="24" spans="1:18" x14ac:dyDescent="0.25">
      <c r="A24" s="93"/>
      <c r="B24" s="95" t="s">
        <v>131</v>
      </c>
      <c r="C24" s="95" t="s">
        <v>114</v>
      </c>
      <c r="D24" s="92" t="s">
        <v>45</v>
      </c>
      <c r="E24" s="106">
        <v>462.3</v>
      </c>
      <c r="F24" s="106">
        <v>408.95</v>
      </c>
      <c r="G24" s="106">
        <v>492.14</v>
      </c>
      <c r="H24" s="106">
        <v>371.07</v>
      </c>
      <c r="I24" s="106">
        <v>305.31</v>
      </c>
      <c r="J24" s="106">
        <v>709.74</v>
      </c>
      <c r="K24" s="106">
        <v>251.14</v>
      </c>
      <c r="L24" s="106">
        <v>234.53</v>
      </c>
      <c r="M24" s="106">
        <v>280.99</v>
      </c>
      <c r="N24" s="106">
        <v>353.02</v>
      </c>
      <c r="O24" s="106">
        <v>388.76</v>
      </c>
      <c r="P24" s="106">
        <v>558.62</v>
      </c>
      <c r="Q24" s="104">
        <v>4816.57</v>
      </c>
      <c r="R24" s="83"/>
    </row>
    <row r="25" spans="1:18" x14ac:dyDescent="0.25">
      <c r="A25" s="93"/>
      <c r="B25" s="95" t="s">
        <v>123</v>
      </c>
      <c r="C25" s="95" t="s">
        <v>124</v>
      </c>
      <c r="D25" s="92" t="s">
        <v>46</v>
      </c>
      <c r="E25" s="106">
        <v>274.68</v>
      </c>
      <c r="F25" s="106">
        <v>287.19</v>
      </c>
      <c r="G25" s="106">
        <v>285.89</v>
      </c>
      <c r="H25" s="106">
        <v>281.61</v>
      </c>
      <c r="I25" s="106">
        <v>233.14</v>
      </c>
      <c r="J25" s="106">
        <v>224.15</v>
      </c>
      <c r="K25" s="106">
        <v>189.8</v>
      </c>
      <c r="L25" s="106">
        <v>192.12</v>
      </c>
      <c r="M25" s="106">
        <v>189.1</v>
      </c>
      <c r="N25" s="106">
        <v>195.38</v>
      </c>
      <c r="O25" s="106">
        <v>500.59</v>
      </c>
      <c r="P25" s="106"/>
      <c r="Q25" s="104">
        <v>2853.65</v>
      </c>
      <c r="R25" s="83"/>
    </row>
    <row r="26" spans="1:18" x14ac:dyDescent="0.25">
      <c r="A26" s="93"/>
      <c r="B26" s="95" t="s">
        <v>134</v>
      </c>
      <c r="C26" s="95" t="s">
        <v>124</v>
      </c>
      <c r="D26" s="92" t="s">
        <v>46</v>
      </c>
      <c r="E26" s="106">
        <v>939.2</v>
      </c>
      <c r="F26" s="106">
        <v>1762.57</v>
      </c>
      <c r="G26" s="106">
        <v>385.01</v>
      </c>
      <c r="H26" s="106">
        <v>1170.31</v>
      </c>
      <c r="I26" s="106">
        <v>1013.29</v>
      </c>
      <c r="J26" s="106">
        <v>945.77</v>
      </c>
      <c r="K26" s="106">
        <v>1041.9000000000001</v>
      </c>
      <c r="L26" s="106">
        <v>522.34</v>
      </c>
      <c r="M26" s="106">
        <v>1370.05</v>
      </c>
      <c r="N26" s="106">
        <v>1035.46</v>
      </c>
      <c r="O26" s="106">
        <v>1773.47</v>
      </c>
      <c r="P26" s="106">
        <v>429.59</v>
      </c>
      <c r="Q26" s="104">
        <v>12388.96</v>
      </c>
      <c r="R26" s="83"/>
    </row>
    <row r="27" spans="1:18" x14ac:dyDescent="0.25">
      <c r="A27" s="93"/>
      <c r="B27" s="95" t="s">
        <v>115</v>
      </c>
      <c r="C27" s="95" t="s">
        <v>116</v>
      </c>
      <c r="D27" s="92" t="s">
        <v>45</v>
      </c>
      <c r="E27" s="106">
        <v>0</v>
      </c>
      <c r="F27" s="106">
        <v>100131.45</v>
      </c>
      <c r="G27" s="106">
        <v>12596.34</v>
      </c>
      <c r="H27" s="106">
        <v>49081.93</v>
      </c>
      <c r="I27" s="106">
        <v>35846.11</v>
      </c>
      <c r="J27" s="106">
        <v>40568.699999999997</v>
      </c>
      <c r="K27" s="106">
        <v>29001.56</v>
      </c>
      <c r="L27" s="106">
        <v>28915.38</v>
      </c>
      <c r="M27" s="106">
        <v>29222.15</v>
      </c>
      <c r="N27" s="106">
        <v>29054.51</v>
      </c>
      <c r="O27" s="106">
        <v>90171.23</v>
      </c>
      <c r="P27" s="106">
        <v>5251.86</v>
      </c>
      <c r="Q27" s="104">
        <v>449841.22</v>
      </c>
      <c r="R27" s="83"/>
    </row>
    <row r="28" spans="1:18" x14ac:dyDescent="0.25">
      <c r="A28" s="93"/>
      <c r="B28" s="95" t="s">
        <v>125</v>
      </c>
      <c r="C28" s="95" t="s">
        <v>126</v>
      </c>
      <c r="D28" s="92" t="s">
        <v>46</v>
      </c>
      <c r="E28" s="106">
        <v>840.39</v>
      </c>
      <c r="F28" s="106">
        <v>7895.49</v>
      </c>
      <c r="G28" s="106">
        <v>812.25</v>
      </c>
      <c r="H28" s="106">
        <v>4225.6899999999996</v>
      </c>
      <c r="I28" s="106">
        <v>3694.48</v>
      </c>
      <c r="J28" s="106">
        <v>3513.37</v>
      </c>
      <c r="K28" s="106">
        <v>3149.38</v>
      </c>
      <c r="L28" s="106">
        <v>3177.52</v>
      </c>
      <c r="M28" s="106">
        <v>862.74</v>
      </c>
      <c r="N28" s="106">
        <v>5517.46</v>
      </c>
      <c r="O28" s="106">
        <v>7960.68</v>
      </c>
      <c r="P28" s="106"/>
      <c r="Q28" s="104">
        <v>41649.449999999997</v>
      </c>
      <c r="R28" s="83"/>
    </row>
    <row r="29" spans="1:18" x14ac:dyDescent="0.25">
      <c r="A29" s="93"/>
      <c r="B29" s="95" t="s">
        <v>135</v>
      </c>
      <c r="C29" s="95" t="s">
        <v>126</v>
      </c>
      <c r="D29" s="92" t="s">
        <v>46</v>
      </c>
      <c r="E29" s="106">
        <v>18368.5</v>
      </c>
      <c r="F29" s="106">
        <v>43580.01</v>
      </c>
      <c r="G29" s="106">
        <v>4037.28</v>
      </c>
      <c r="H29" s="106">
        <v>24710.67</v>
      </c>
      <c r="I29" s="106">
        <v>24715.21</v>
      </c>
      <c r="J29" s="106">
        <v>24794.25</v>
      </c>
      <c r="K29" s="106">
        <v>23511.94</v>
      </c>
      <c r="L29" s="106">
        <v>25710.05</v>
      </c>
      <c r="M29" s="106">
        <v>21438.91</v>
      </c>
      <c r="N29" s="106">
        <v>23834.95</v>
      </c>
      <c r="O29" s="106">
        <v>47015.1</v>
      </c>
      <c r="P29" s="106"/>
      <c r="Q29" s="104">
        <v>281716.87</v>
      </c>
      <c r="R29" s="83"/>
    </row>
    <row r="30" spans="1:18" x14ac:dyDescent="0.25">
      <c r="A30" s="93"/>
      <c r="B30" s="92" t="s">
        <v>136</v>
      </c>
      <c r="C30" s="92" t="s">
        <v>137</v>
      </c>
      <c r="D30" s="92" t="s">
        <v>46</v>
      </c>
      <c r="E30" s="107">
        <v>9798.1200000000008</v>
      </c>
      <c r="F30" s="107">
        <v>18679.37</v>
      </c>
      <c r="G30" s="107">
        <v>916.77</v>
      </c>
      <c r="H30" s="107">
        <v>9658.0499999999993</v>
      </c>
      <c r="I30" s="107">
        <v>8785.34</v>
      </c>
      <c r="J30" s="107">
        <v>8117.91</v>
      </c>
      <c r="K30" s="107">
        <v>7698.04</v>
      </c>
      <c r="L30" s="107">
        <v>7608.45</v>
      </c>
      <c r="M30" s="107">
        <v>7617.8</v>
      </c>
      <c r="N30" s="107">
        <v>7788.38</v>
      </c>
      <c r="O30" s="107">
        <v>14257.85</v>
      </c>
      <c r="P30" s="107">
        <v>3642.2</v>
      </c>
      <c r="Q30" s="108">
        <v>104568.28</v>
      </c>
      <c r="R30" s="83"/>
    </row>
  </sheetData>
  <pageMargins left="0.7" right="0.7" top="0.75" bottom="0.75" header="0.3" footer="0.3"/>
  <pageSetup orientation="portrait" horizontalDpi="90" verticalDpi="90" r:id="rId1"/>
  <customProperties>
    <customPr name="_pios_id" r:id="rId2"/>
    <customPr name="CofWorksheetType" r:id="rId3"/>
  </customProperties>
  <drawing r:id="rId4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2"/>
  <sheetViews>
    <sheetView workbookViewId="0">
      <selection sqref="A1:XFD1048576"/>
    </sheetView>
  </sheetViews>
  <sheetFormatPr defaultRowHeight="15" x14ac:dyDescent="0.25"/>
  <cols>
    <col min="1" max="1" width="68.140625" style="78" bestFit="1" customWidth="1"/>
    <col min="2" max="2" width="15" style="78" bestFit="1" customWidth="1"/>
    <col min="3" max="16384" width="9.140625" style="78"/>
  </cols>
  <sheetData>
    <row r="1" spans="1:2" x14ac:dyDescent="0.25">
      <c r="A1" s="51" t="s">
        <v>86</v>
      </c>
    </row>
    <row r="2" spans="1:2" x14ac:dyDescent="0.25">
      <c r="A2" s="51" t="s">
        <v>87</v>
      </c>
    </row>
    <row r="3" spans="1:2" x14ac:dyDescent="0.25">
      <c r="A3" s="51" t="s">
        <v>88</v>
      </c>
    </row>
    <row r="4" spans="1:2" x14ac:dyDescent="0.25">
      <c r="A4" s="51" t="s">
        <v>89</v>
      </c>
    </row>
    <row r="5" spans="1:2" x14ac:dyDescent="0.25">
      <c r="A5" s="51"/>
    </row>
    <row r="7" spans="1:2" x14ac:dyDescent="0.25">
      <c r="A7" s="52" t="s">
        <v>55</v>
      </c>
      <c r="B7" s="53" t="s">
        <v>53</v>
      </c>
    </row>
    <row r="8" spans="1:2" x14ac:dyDescent="0.25">
      <c r="A8" s="85" t="s">
        <v>90</v>
      </c>
      <c r="B8" s="86">
        <v>-3361414.39</v>
      </c>
    </row>
    <row r="9" spans="1:2" x14ac:dyDescent="0.25">
      <c r="A9" s="85" t="s">
        <v>91</v>
      </c>
      <c r="B9" s="86">
        <v>1671826.04</v>
      </c>
    </row>
    <row r="10" spans="1:2" x14ac:dyDescent="0.25">
      <c r="A10" s="85" t="s">
        <v>92</v>
      </c>
      <c r="B10" s="86">
        <v>3093453.36</v>
      </c>
    </row>
    <row r="11" spans="1:2" x14ac:dyDescent="0.25">
      <c r="A11" s="85" t="s">
        <v>93</v>
      </c>
      <c r="B11" s="86">
        <v>-1480325.75</v>
      </c>
    </row>
    <row r="12" spans="1:2" x14ac:dyDescent="0.25">
      <c r="A12" s="85" t="s">
        <v>94</v>
      </c>
      <c r="B12" s="86">
        <v>-8564064.4499999993</v>
      </c>
    </row>
    <row r="13" spans="1:2" x14ac:dyDescent="0.25">
      <c r="A13" s="85" t="s">
        <v>95</v>
      </c>
      <c r="B13" s="86">
        <v>10193193.98</v>
      </c>
    </row>
    <row r="14" spans="1:2" x14ac:dyDescent="0.25">
      <c r="A14" s="85" t="s">
        <v>96</v>
      </c>
      <c r="B14" s="86">
        <v>1552668.79</v>
      </c>
    </row>
    <row r="15" spans="1:2" x14ac:dyDescent="0.25">
      <c r="A15" s="85" t="s">
        <v>97</v>
      </c>
      <c r="B15" s="86">
        <v>1552668.79</v>
      </c>
    </row>
    <row r="16" spans="1:2" x14ac:dyDescent="0.25">
      <c r="A16" s="87" t="s">
        <v>98</v>
      </c>
      <c r="B16" s="86">
        <v>1552668.79</v>
      </c>
    </row>
    <row r="17" spans="1:2" x14ac:dyDescent="0.25">
      <c r="A17" s="54" t="s">
        <v>99</v>
      </c>
      <c r="B17" s="55">
        <v>1552668.79</v>
      </c>
    </row>
    <row r="18" spans="1:2" x14ac:dyDescent="0.25">
      <c r="B18" s="88">
        <f>+B13+B11+B10</f>
        <v>11806321.59</v>
      </c>
    </row>
    <row r="20" spans="1:2" x14ac:dyDescent="0.25">
      <c r="A20" s="78" t="s">
        <v>56</v>
      </c>
      <c r="B20" s="78">
        <f>+'Lead 3.05 '!C19</f>
        <v>0.95455299999999998</v>
      </c>
    </row>
    <row r="21" spans="1:2" ht="15.75" thickBot="1" x14ac:dyDescent="0.3"/>
    <row r="22" spans="1:2" ht="15.75" thickBot="1" x14ac:dyDescent="0.3">
      <c r="A22" s="89" t="s">
        <v>54</v>
      </c>
      <c r="B22" s="90">
        <f>-B18/B20</f>
        <v>-12368429.610508794</v>
      </c>
    </row>
  </sheetData>
  <pageMargins left="0.7" right="0.7" top="0.75" bottom="0.75" header="0.3" footer="0.3"/>
  <customProperties>
    <customPr name="_pios_id" r:id="rId1"/>
    <customPr name="CofWorksheetType" r:id="rId2"/>
  </customPropertie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5"/>
  <sheetViews>
    <sheetView tabSelected="1" zoomScale="84" zoomScaleNormal="84" workbookViewId="0">
      <pane ySplit="4" topLeftCell="A5" activePane="bottomLeft" state="frozen"/>
      <selection sqref="A1:XFD1048576"/>
      <selection pane="bottomLeft" activeCell="B37" sqref="B37"/>
    </sheetView>
  </sheetViews>
  <sheetFormatPr defaultRowHeight="15" x14ac:dyDescent="0.25"/>
  <cols>
    <col min="1" max="1" width="6.7109375" style="78" customWidth="1"/>
    <col min="2" max="2" width="67" style="78" bestFit="1" customWidth="1"/>
    <col min="3" max="3" width="32" style="78" bestFit="1" customWidth="1"/>
    <col min="4" max="4" width="14.42578125" style="78" bestFit="1" customWidth="1"/>
    <col min="5" max="16384" width="9.140625" style="78"/>
  </cols>
  <sheetData>
    <row r="1" spans="1:4" s="1" customFormat="1" ht="12.75" x14ac:dyDescent="0.2">
      <c r="B1" s="2" t="s">
        <v>0</v>
      </c>
      <c r="C1" s="2"/>
      <c r="D1" s="2"/>
    </row>
    <row r="2" spans="1:4" x14ac:dyDescent="0.25">
      <c r="B2" s="2" t="s">
        <v>47</v>
      </c>
      <c r="C2" s="2"/>
      <c r="D2" s="2"/>
    </row>
    <row r="3" spans="1:4" s="79" customFormat="1" x14ac:dyDescent="0.25">
      <c r="B3" s="2" t="s">
        <v>1</v>
      </c>
      <c r="C3" s="2"/>
      <c r="D3" s="2"/>
    </row>
    <row r="4" spans="1:4" x14ac:dyDescent="0.25">
      <c r="B4" s="2" t="s">
        <v>156</v>
      </c>
      <c r="C4" s="2"/>
      <c r="D4" s="2"/>
    </row>
    <row r="5" spans="1:4" x14ac:dyDescent="0.25">
      <c r="A5" s="33"/>
      <c r="B5" s="33"/>
      <c r="C5" s="33"/>
      <c r="D5" s="4"/>
    </row>
    <row r="6" spans="1:4" x14ac:dyDescent="0.25">
      <c r="A6" s="3"/>
      <c r="B6" s="2"/>
      <c r="C6" s="2"/>
      <c r="D6" s="2"/>
    </row>
    <row r="7" spans="1:4" x14ac:dyDescent="0.25">
      <c r="A7" s="4" t="s">
        <v>2</v>
      </c>
      <c r="B7" s="5"/>
      <c r="C7" s="5"/>
      <c r="D7" s="6" t="s">
        <v>3</v>
      </c>
    </row>
    <row r="8" spans="1:4" x14ac:dyDescent="0.25">
      <c r="A8" s="7" t="s">
        <v>4</v>
      </c>
      <c r="B8" s="8" t="s">
        <v>5</v>
      </c>
      <c r="C8" s="9"/>
      <c r="D8" s="7" t="s">
        <v>6</v>
      </c>
    </row>
    <row r="9" spans="1:4" x14ac:dyDescent="0.25">
      <c r="A9" s="65"/>
      <c r="B9" s="66"/>
      <c r="C9" s="67"/>
      <c r="D9" s="65"/>
    </row>
    <row r="10" spans="1:4" x14ac:dyDescent="0.25">
      <c r="A10" s="65"/>
      <c r="B10" s="66"/>
      <c r="C10" s="67"/>
      <c r="D10" s="65"/>
    </row>
    <row r="12" spans="1:4" x14ac:dyDescent="0.25">
      <c r="A12" s="10">
        <f>ROW()</f>
        <v>12</v>
      </c>
      <c r="B12" s="11" t="s">
        <v>7</v>
      </c>
      <c r="C12" s="12"/>
      <c r="D12" s="12"/>
    </row>
    <row r="13" spans="1:4" x14ac:dyDescent="0.25">
      <c r="A13" s="10">
        <f>ROW()</f>
        <v>13</v>
      </c>
      <c r="B13" s="58" t="s">
        <v>174</v>
      </c>
    </row>
    <row r="14" spans="1:4" x14ac:dyDescent="0.25">
      <c r="A14" s="10">
        <f>ROW()</f>
        <v>14</v>
      </c>
      <c r="B14" s="32" t="s">
        <v>8</v>
      </c>
      <c r="C14" s="18"/>
      <c r="D14" s="71">
        <f>'SOG 12ME Dec 21 4th Close'!E39</f>
        <v>5043097.24</v>
      </c>
    </row>
    <row r="15" spans="1:4" x14ac:dyDescent="0.25">
      <c r="A15" s="10">
        <f>ROW()</f>
        <v>15</v>
      </c>
      <c r="B15" s="32" t="s">
        <v>9</v>
      </c>
      <c r="C15" s="19"/>
      <c r="D15" s="71">
        <f>'SOG 12ME Dec 21 4th Close'!E38</f>
        <v>19757735.510000002</v>
      </c>
    </row>
    <row r="16" spans="1:4" x14ac:dyDescent="0.25">
      <c r="A16" s="10">
        <f>ROW()</f>
        <v>16</v>
      </c>
      <c r="B16" s="32" t="s">
        <v>10</v>
      </c>
      <c r="C16" s="19"/>
      <c r="D16" s="71">
        <f>'SOG 12ME Dec 21 4th Close'!E40</f>
        <v>19990793.940000001</v>
      </c>
    </row>
    <row r="17" spans="1:4" x14ac:dyDescent="0.25">
      <c r="A17" s="10">
        <f>ROW()</f>
        <v>17</v>
      </c>
      <c r="B17" s="32" t="s">
        <v>11</v>
      </c>
      <c r="C17" s="78">
        <f>CF!E19</f>
        <v>0.95455299999999998</v>
      </c>
      <c r="D17" s="71">
        <f>-D43/C17</f>
        <v>40198140.658507176</v>
      </c>
    </row>
    <row r="18" spans="1:4" x14ac:dyDescent="0.25">
      <c r="A18" s="10">
        <f>ROW()</f>
        <v>18</v>
      </c>
      <c r="B18" s="32" t="s">
        <v>12</v>
      </c>
      <c r="C18" s="19"/>
      <c r="D18" s="71">
        <f>'SC 137 Carb Offset'!E7</f>
        <v>1003671.52</v>
      </c>
    </row>
    <row r="19" spans="1:4" x14ac:dyDescent="0.25">
      <c r="A19" s="10">
        <f>ROW()</f>
        <v>19</v>
      </c>
      <c r="B19" s="32" t="s">
        <v>14</v>
      </c>
      <c r="C19" s="78">
        <f>CF!E19</f>
        <v>0.95455299999999998</v>
      </c>
      <c r="D19" s="71">
        <f>-D26/C19</f>
        <v>12368429.610508794</v>
      </c>
    </row>
    <row r="20" spans="1:4" x14ac:dyDescent="0.25">
      <c r="A20" s="10">
        <f>ROW()</f>
        <v>20</v>
      </c>
      <c r="B20" s="72" t="s">
        <v>206</v>
      </c>
      <c r="C20" s="19"/>
      <c r="D20" s="71">
        <f>'141X repurposed'!E14</f>
        <v>947246.31</v>
      </c>
    </row>
    <row r="21" spans="1:4" x14ac:dyDescent="0.25">
      <c r="A21" s="10">
        <f>ROW()</f>
        <v>21</v>
      </c>
      <c r="B21" s="32" t="s">
        <v>16</v>
      </c>
      <c r="C21" s="80"/>
      <c r="D21" s="73">
        <f>'SOGE Muni Tax'!Q9</f>
        <v>48331994.799999997</v>
      </c>
    </row>
    <row r="22" spans="1:4" x14ac:dyDescent="0.25">
      <c r="A22" s="10">
        <f>ROW()</f>
        <v>22</v>
      </c>
      <c r="B22" s="61" t="s">
        <v>176</v>
      </c>
      <c r="D22" s="81">
        <f>SUM(D14:D21)</f>
        <v>147641109.58901596</v>
      </c>
    </row>
    <row r="23" spans="1:4" x14ac:dyDescent="0.25">
      <c r="A23" s="10">
        <f>ROW()</f>
        <v>23</v>
      </c>
    </row>
    <row r="24" spans="1:4" x14ac:dyDescent="0.25">
      <c r="A24" s="10">
        <f>ROW()</f>
        <v>24</v>
      </c>
      <c r="B24" s="60" t="s">
        <v>175</v>
      </c>
    </row>
    <row r="25" spans="1:4" x14ac:dyDescent="0.25">
      <c r="A25" s="10">
        <f>ROW()</f>
        <v>25</v>
      </c>
      <c r="B25" s="32" t="s">
        <v>13</v>
      </c>
      <c r="C25" s="19"/>
      <c r="D25" s="71">
        <f>-'SC 137 Carb Offset'!F34</f>
        <v>232.4</v>
      </c>
    </row>
    <row r="26" spans="1:4" x14ac:dyDescent="0.25">
      <c r="A26" s="10">
        <f>ROW()</f>
        <v>26</v>
      </c>
      <c r="B26" s="32" t="s">
        <v>15</v>
      </c>
      <c r="C26" s="19"/>
      <c r="D26" s="71">
        <f>-'ZO12 Decoup'!B18</f>
        <v>-11806321.59</v>
      </c>
    </row>
    <row r="27" spans="1:4" x14ac:dyDescent="0.25">
      <c r="A27" s="10">
        <f>ROW()</f>
        <v>27</v>
      </c>
      <c r="B27" s="72" t="s">
        <v>206</v>
      </c>
      <c r="C27" s="19"/>
      <c r="D27" s="71">
        <f>-D20</f>
        <v>-947246.31</v>
      </c>
    </row>
    <row r="28" spans="1:4" x14ac:dyDescent="0.25">
      <c r="A28" s="10">
        <f>ROW()</f>
        <v>28</v>
      </c>
      <c r="B28" s="62" t="s">
        <v>17</v>
      </c>
      <c r="C28" s="80"/>
      <c r="D28" s="73">
        <f>'SOGE Mu Tx Wtr Htr'!Q8</f>
        <v>3170.53</v>
      </c>
    </row>
    <row r="29" spans="1:4" x14ac:dyDescent="0.25">
      <c r="A29" s="10">
        <f>ROW()</f>
        <v>29</v>
      </c>
      <c r="B29" s="63" t="s">
        <v>177</v>
      </c>
      <c r="D29" s="81">
        <f>SUM(D25:D28)</f>
        <v>-12750164.970000001</v>
      </c>
    </row>
    <row r="30" spans="1:4" x14ac:dyDescent="0.25">
      <c r="A30" s="10">
        <f>ROW()</f>
        <v>30</v>
      </c>
    </row>
    <row r="31" spans="1:4" x14ac:dyDescent="0.25">
      <c r="A31" s="10">
        <f>ROW()</f>
        <v>31</v>
      </c>
      <c r="B31" s="14" t="s">
        <v>18</v>
      </c>
      <c r="C31" s="32"/>
      <c r="D31" s="64">
        <f>SUM(D22,D29)</f>
        <v>134890944.61901596</v>
      </c>
    </row>
    <row r="32" spans="1:4" x14ac:dyDescent="0.25">
      <c r="A32" s="10">
        <f>ROW()</f>
        <v>32</v>
      </c>
      <c r="B32" s="14"/>
      <c r="C32" s="32"/>
      <c r="D32" s="20"/>
    </row>
    <row r="33" spans="1:4" x14ac:dyDescent="0.25">
      <c r="A33" s="10">
        <f>ROW()</f>
        <v>33</v>
      </c>
      <c r="B33" s="30" t="s">
        <v>19</v>
      </c>
      <c r="C33" s="19"/>
      <c r="D33" s="25"/>
    </row>
    <row r="34" spans="1:4" x14ac:dyDescent="0.25">
      <c r="A34" s="10">
        <f>ROW()</f>
        <v>34</v>
      </c>
      <c r="B34" s="32" t="s">
        <v>20</v>
      </c>
      <c r="C34" s="74">
        <f>[1]Inputs!$B$6</f>
        <v>3.6350000000000002E-3</v>
      </c>
      <c r="D34" s="21">
        <f>-SUM(D14:D18,D21,D28)*C34</f>
        <v>-488284.47626157355</v>
      </c>
    </row>
    <row r="35" spans="1:4" x14ac:dyDescent="0.25">
      <c r="A35" s="10">
        <f>ROW()</f>
        <v>35</v>
      </c>
      <c r="B35" s="15" t="s">
        <v>21</v>
      </c>
      <c r="C35" s="74">
        <f>[1]Inputs!$B$7</f>
        <v>2E-3</v>
      </c>
      <c r="D35" s="22">
        <f>-SUM(D14:D18,D21,D28)*C35</f>
        <v>-268657.2083970143</v>
      </c>
    </row>
    <row r="36" spans="1:4" x14ac:dyDescent="0.25">
      <c r="A36" s="10">
        <f>ROW()</f>
        <v>36</v>
      </c>
      <c r="B36" s="16" t="s">
        <v>22</v>
      </c>
      <c r="C36" s="74">
        <f>[1]Inputs!$B$8</f>
        <v>3.8379999999999997E-2</v>
      </c>
      <c r="D36" s="22">
        <f>-SUM(D14:D18,D21,D28)*C36</f>
        <v>-5155531.8291387046</v>
      </c>
    </row>
    <row r="37" spans="1:4" x14ac:dyDescent="0.25">
      <c r="A37" s="10">
        <f>ROW()</f>
        <v>37</v>
      </c>
      <c r="B37" s="16" t="s">
        <v>23</v>
      </c>
      <c r="C37" s="23"/>
      <c r="D37" s="24">
        <f>SUM(D34:D36)</f>
        <v>-5912473.5137972925</v>
      </c>
    </row>
    <row r="38" spans="1:4" x14ac:dyDescent="0.25">
      <c r="A38" s="10">
        <f>ROW()</f>
        <v>38</v>
      </c>
      <c r="D38" s="82"/>
    </row>
    <row r="39" spans="1:4" x14ac:dyDescent="0.25">
      <c r="A39" s="10">
        <f>ROW()</f>
        <v>39</v>
      </c>
      <c r="B39" s="17" t="s">
        <v>24</v>
      </c>
      <c r="C39" s="14"/>
      <c r="D39" s="82"/>
    </row>
    <row r="40" spans="1:4" x14ac:dyDescent="0.25">
      <c r="A40" s="10">
        <f>ROW()</f>
        <v>40</v>
      </c>
      <c r="B40" s="32" t="s">
        <v>25</v>
      </c>
      <c r="C40" s="59" t="s">
        <v>180</v>
      </c>
      <c r="D40" s="75">
        <f>-'Schedule 129'!B3</f>
        <v>-4813903.58</v>
      </c>
    </row>
    <row r="41" spans="1:4" x14ac:dyDescent="0.25">
      <c r="A41" s="10">
        <f>ROW()</f>
        <v>41</v>
      </c>
      <c r="B41" s="32" t="s">
        <v>26</v>
      </c>
      <c r="C41" s="59" t="s">
        <v>179</v>
      </c>
      <c r="D41" s="76">
        <f>-'Schedule 120'!B3</f>
        <v>-18859669.43</v>
      </c>
    </row>
    <row r="42" spans="1:4" x14ac:dyDescent="0.25">
      <c r="A42" s="10">
        <f>ROW()</f>
        <v>42</v>
      </c>
      <c r="B42" s="32" t="s">
        <v>27</v>
      </c>
      <c r="C42" s="59" t="s">
        <v>181</v>
      </c>
      <c r="D42" s="76">
        <f>-'Schedule 140'!B5</f>
        <v>-19082142.329999998</v>
      </c>
    </row>
    <row r="43" spans="1:4" x14ac:dyDescent="0.25">
      <c r="A43" s="10">
        <f>ROW()</f>
        <v>43</v>
      </c>
      <c r="B43" s="32" t="s">
        <v>28</v>
      </c>
      <c r="C43" s="59" t="s">
        <v>178</v>
      </c>
      <c r="D43" s="20">
        <f>-'Schedule 106'!D10</f>
        <v>-38371255.759999998</v>
      </c>
    </row>
    <row r="44" spans="1:4" x14ac:dyDescent="0.25">
      <c r="A44" s="10">
        <f>ROW()</f>
        <v>44</v>
      </c>
      <c r="B44" s="32" t="s">
        <v>29</v>
      </c>
      <c r="C44" s="59" t="s">
        <v>180</v>
      </c>
      <c r="D44" s="20">
        <f>-'SC 137 Carb Offset'!F36-'SC 137 Carb Offset'!F41</f>
        <v>-67443.209999999992</v>
      </c>
    </row>
    <row r="45" spans="1:4" x14ac:dyDescent="0.25">
      <c r="A45" s="10">
        <f>ROW()</f>
        <v>45</v>
      </c>
      <c r="B45" s="32" t="s">
        <v>29</v>
      </c>
      <c r="C45" s="59" t="s">
        <v>182</v>
      </c>
      <c r="D45" s="20">
        <f>-'SC 137 Carb Offset'!F39</f>
        <v>-12061.68</v>
      </c>
    </row>
    <row r="46" spans="1:4" x14ac:dyDescent="0.25">
      <c r="A46" s="10">
        <f>ROW()</f>
        <v>46</v>
      </c>
      <c r="B46" s="32" t="s">
        <v>29</v>
      </c>
      <c r="C46" s="59" t="s">
        <v>181</v>
      </c>
      <c r="D46" s="20">
        <f>-'SC 137 Carb Offset'!F40</f>
        <v>-3538.07</v>
      </c>
    </row>
    <row r="47" spans="1:4" x14ac:dyDescent="0.25">
      <c r="A47" s="10">
        <f>ROW()</f>
        <v>47</v>
      </c>
      <c r="B47" s="32" t="s">
        <v>29</v>
      </c>
      <c r="C47" s="59" t="s">
        <v>178</v>
      </c>
      <c r="D47" s="20">
        <f>-SUM('SC 137 Carb Offset'!F37)</f>
        <v>-501250</v>
      </c>
    </row>
    <row r="48" spans="1:4" x14ac:dyDescent="0.25">
      <c r="A48" s="10">
        <f>ROW()</f>
        <v>48</v>
      </c>
      <c r="B48" s="32" t="s">
        <v>16</v>
      </c>
      <c r="C48" s="59" t="s">
        <v>181</v>
      </c>
      <c r="D48" s="20">
        <f>-'SOGE Muni Tax'!X9</f>
        <v>-46365566.93</v>
      </c>
    </row>
    <row r="49" spans="1:4" x14ac:dyDescent="0.25">
      <c r="A49" s="10">
        <f>ROW()</f>
        <v>49</v>
      </c>
      <c r="B49" s="14" t="s">
        <v>30</v>
      </c>
      <c r="C49" s="14"/>
      <c r="D49" s="29">
        <f>SUM(D40:D48)</f>
        <v>-128076830.98999998</v>
      </c>
    </row>
    <row r="50" spans="1:4" x14ac:dyDescent="0.25">
      <c r="A50" s="10">
        <f>ROW()</f>
        <v>50</v>
      </c>
      <c r="D50" s="83"/>
    </row>
    <row r="51" spans="1:4" x14ac:dyDescent="0.25">
      <c r="A51" s="10">
        <f>ROW()</f>
        <v>51</v>
      </c>
      <c r="B51" s="13" t="s">
        <v>31</v>
      </c>
      <c r="C51" s="13"/>
      <c r="D51" s="26">
        <f>-D31-D37-D49</f>
        <v>-901640.11521868408</v>
      </c>
    </row>
    <row r="52" spans="1:4" x14ac:dyDescent="0.25">
      <c r="A52" s="10">
        <f>ROW()</f>
        <v>52</v>
      </c>
      <c r="B52" s="13" t="s">
        <v>189</v>
      </c>
      <c r="C52" s="57">
        <v>0.21</v>
      </c>
      <c r="D52" s="27">
        <f>D51*C52</f>
        <v>-189344.42419592364</v>
      </c>
    </row>
    <row r="53" spans="1:4" ht="15.75" thickBot="1" x14ac:dyDescent="0.3">
      <c r="A53" s="10">
        <f>ROW()</f>
        <v>53</v>
      </c>
      <c r="B53" s="13" t="s">
        <v>32</v>
      </c>
      <c r="C53" s="13"/>
      <c r="D53" s="28">
        <f>D51-D52</f>
        <v>-712295.69102276047</v>
      </c>
    </row>
    <row r="54" spans="1:4" ht="15.75" thickTop="1" x14ac:dyDescent="0.25"/>
    <row r="55" spans="1:4" x14ac:dyDescent="0.25">
      <c r="D55" s="84">
        <v>-712295.69102276047</v>
      </c>
    </row>
  </sheetData>
  <pageMargins left="0.45" right="0.45" top="0.75" bottom="0.75" header="0.3" footer="0.3"/>
  <pageSetup scale="95" orientation="portrait" r:id="rId1"/>
  <customProperties>
    <customPr name="_pios_id" r:id="rId2"/>
    <customPr name="CofWorksheetType" r:id="rId3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sqref="A1:XFD1048576"/>
    </sheetView>
  </sheetViews>
  <sheetFormatPr defaultRowHeight="15" x14ac:dyDescent="0.25"/>
  <cols>
    <col min="1" max="1" width="5" style="78" bestFit="1" customWidth="1"/>
    <col min="2" max="2" width="61.28515625" style="78" bestFit="1" customWidth="1"/>
    <col min="3" max="3" width="9.140625" style="78"/>
    <col min="4" max="4" width="7.28515625" style="78" bestFit="1" customWidth="1"/>
    <col min="5" max="5" width="7.42578125" style="78" bestFit="1" customWidth="1"/>
    <col min="6" max="16384" width="9.140625" style="78"/>
  </cols>
  <sheetData>
    <row r="1" spans="1:5" x14ac:dyDescent="0.25">
      <c r="A1" s="127"/>
      <c r="B1" s="127"/>
      <c r="C1" s="127"/>
      <c r="D1" s="127"/>
      <c r="E1" s="127"/>
    </row>
    <row r="2" spans="1:5" x14ac:dyDescent="0.25">
      <c r="A2" s="128"/>
      <c r="B2" s="129"/>
      <c r="C2" s="129"/>
      <c r="D2" s="129"/>
      <c r="E2" s="130"/>
    </row>
    <row r="3" spans="1:5" x14ac:dyDescent="0.25">
      <c r="A3" s="128"/>
      <c r="B3" s="128"/>
      <c r="C3" s="128"/>
      <c r="D3" s="128"/>
      <c r="E3" s="130"/>
    </row>
    <row r="4" spans="1:5" x14ac:dyDescent="0.25">
      <c r="A4" s="128"/>
      <c r="B4" s="128"/>
      <c r="C4" s="128"/>
      <c r="D4" s="128"/>
      <c r="E4" s="127"/>
    </row>
    <row r="5" spans="1:5" x14ac:dyDescent="0.25">
      <c r="A5" s="131" t="s">
        <v>190</v>
      </c>
      <c r="B5" s="132"/>
      <c r="C5" s="131"/>
      <c r="D5" s="131"/>
      <c r="E5" s="131"/>
    </row>
    <row r="6" spans="1:5" x14ac:dyDescent="0.25">
      <c r="A6" s="133" t="s">
        <v>191</v>
      </c>
      <c r="B6" s="132"/>
      <c r="C6" s="133"/>
      <c r="D6" s="133"/>
      <c r="E6" s="133"/>
    </row>
    <row r="7" spans="1:5" x14ac:dyDescent="0.25">
      <c r="A7" s="133" t="s">
        <v>192</v>
      </c>
      <c r="B7" s="133"/>
      <c r="C7" s="133"/>
      <c r="D7" s="133"/>
      <c r="E7" s="133"/>
    </row>
    <row r="8" spans="1:5" x14ac:dyDescent="0.25">
      <c r="A8" s="133" t="s">
        <v>193</v>
      </c>
      <c r="B8" s="132"/>
      <c r="C8" s="133"/>
      <c r="D8" s="133"/>
      <c r="E8" s="133"/>
    </row>
    <row r="9" spans="1:5" x14ac:dyDescent="0.25">
      <c r="A9" s="128"/>
      <c r="B9" s="128"/>
      <c r="C9" s="128"/>
      <c r="D9" s="128"/>
      <c r="E9" s="128"/>
    </row>
    <row r="10" spans="1:5" x14ac:dyDescent="0.25">
      <c r="A10" s="134" t="s">
        <v>2</v>
      </c>
      <c r="B10" s="134"/>
      <c r="C10" s="134"/>
      <c r="D10" s="134"/>
      <c r="E10" s="134"/>
    </row>
    <row r="11" spans="1:5" x14ac:dyDescent="0.25">
      <c r="A11" s="135" t="s">
        <v>4</v>
      </c>
      <c r="B11" s="136" t="s">
        <v>5</v>
      </c>
      <c r="C11" s="135"/>
      <c r="D11" s="135" t="s">
        <v>194</v>
      </c>
      <c r="E11" s="135" t="s">
        <v>195</v>
      </c>
    </row>
    <row r="12" spans="1:5" x14ac:dyDescent="0.25">
      <c r="A12" s="129"/>
      <c r="B12" s="129"/>
      <c r="C12" s="129"/>
      <c r="D12" s="129"/>
      <c r="E12" s="137"/>
    </row>
    <row r="13" spans="1:5" x14ac:dyDescent="0.25">
      <c r="A13" s="137">
        <v>1</v>
      </c>
      <c r="B13" s="59" t="s">
        <v>196</v>
      </c>
      <c r="C13" s="129"/>
      <c r="D13" s="129"/>
      <c r="E13" s="63">
        <v>5.1240000000000001E-3</v>
      </c>
    </row>
    <row r="14" spans="1:5" x14ac:dyDescent="0.25">
      <c r="A14" s="137">
        <v>2</v>
      </c>
      <c r="B14" s="59" t="s">
        <v>21</v>
      </c>
      <c r="C14" s="129"/>
      <c r="D14" s="129"/>
      <c r="E14" s="63">
        <v>2E-3</v>
      </c>
    </row>
    <row r="15" spans="1:5" x14ac:dyDescent="0.25">
      <c r="A15" s="137">
        <v>3</v>
      </c>
      <c r="B15" s="59" t="s">
        <v>201</v>
      </c>
      <c r="C15" s="129"/>
      <c r="D15" s="138">
        <v>3.8519999999999999E-2</v>
      </c>
      <c r="E15" s="62">
        <v>3.8323000000000003E-2</v>
      </c>
    </row>
    <row r="16" spans="1:5" x14ac:dyDescent="0.25">
      <c r="A16" s="137">
        <v>4</v>
      </c>
      <c r="B16" s="59"/>
      <c r="C16" s="129"/>
      <c r="D16" s="137"/>
      <c r="E16" s="13"/>
    </row>
    <row r="17" spans="1:5" x14ac:dyDescent="0.25">
      <c r="A17" s="137">
        <v>5</v>
      </c>
      <c r="B17" s="59" t="s">
        <v>197</v>
      </c>
      <c r="C17" s="129"/>
      <c r="D17" s="137"/>
      <c r="E17" s="63">
        <v>4.5447000000000001E-2</v>
      </c>
    </row>
    <row r="18" spans="1:5" x14ac:dyDescent="0.25">
      <c r="A18" s="137">
        <v>6</v>
      </c>
      <c r="B18" s="129"/>
      <c r="C18" s="129"/>
      <c r="D18" s="137"/>
      <c r="E18" s="63"/>
    </row>
    <row r="19" spans="1:5" x14ac:dyDescent="0.25">
      <c r="A19" s="137">
        <v>7</v>
      </c>
      <c r="B19" s="129" t="s">
        <v>198</v>
      </c>
      <c r="C19" s="129"/>
      <c r="D19" s="137"/>
      <c r="E19" s="63">
        <v>0.95455299999999998</v>
      </c>
    </row>
    <row r="20" spans="1:5" x14ac:dyDescent="0.25">
      <c r="A20" s="137">
        <v>8</v>
      </c>
      <c r="B20" s="59" t="s">
        <v>199</v>
      </c>
      <c r="C20" s="129"/>
      <c r="D20" s="139">
        <v>0.21</v>
      </c>
      <c r="E20" s="63">
        <v>0.200456</v>
      </c>
    </row>
    <row r="21" spans="1:5" x14ac:dyDescent="0.25">
      <c r="A21" s="137">
        <v>9</v>
      </c>
      <c r="B21" s="59" t="s">
        <v>200</v>
      </c>
      <c r="C21" s="129"/>
      <c r="D21" s="129"/>
      <c r="E21" s="140">
        <v>0.75409700000000002</v>
      </c>
    </row>
  </sheetData>
  <pageMargins left="0.7" right="0.7" top="0.75" bottom="0.75" header="0.3" footer="0.3"/>
  <customProperties>
    <customPr name="_pios_id" r:id="rId1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topLeftCell="A22" workbookViewId="0">
      <selection sqref="A1:XFD1048576"/>
    </sheetView>
  </sheetViews>
  <sheetFormatPr defaultRowHeight="15" x14ac:dyDescent="0.25"/>
  <cols>
    <col min="1" max="1" width="26.140625" style="78" bestFit="1" customWidth="1"/>
    <col min="2" max="4" width="9.140625" style="78"/>
    <col min="5" max="5" width="15" style="78" bestFit="1" customWidth="1"/>
    <col min="6" max="6" width="18.5703125" style="78" bestFit="1" customWidth="1"/>
    <col min="7" max="7" width="9.140625" style="78"/>
    <col min="8" max="8" width="28.42578125" style="78" bestFit="1" customWidth="1"/>
    <col min="9" max="16384" width="9.140625" style="78"/>
  </cols>
  <sheetData>
    <row r="1" spans="1:9" s="120" customFormat="1" ht="30" x14ac:dyDescent="0.25">
      <c r="A1" s="117" t="s">
        <v>207</v>
      </c>
      <c r="B1" s="117" t="s">
        <v>208</v>
      </c>
      <c r="C1" s="118" t="s">
        <v>209</v>
      </c>
      <c r="D1" s="117" t="s">
        <v>210</v>
      </c>
      <c r="E1" s="119" t="s">
        <v>211</v>
      </c>
      <c r="F1" s="117" t="s">
        <v>212</v>
      </c>
      <c r="G1" s="117" t="s">
        <v>213</v>
      </c>
      <c r="H1" s="117" t="s">
        <v>214</v>
      </c>
      <c r="I1" s="117" t="s">
        <v>215</v>
      </c>
    </row>
    <row r="2" spans="1:9" s="120" customFormat="1" x14ac:dyDescent="0.25">
      <c r="A2" s="120" t="s">
        <v>221</v>
      </c>
      <c r="B2" s="120" t="s">
        <v>216</v>
      </c>
      <c r="C2" s="120" t="s">
        <v>222</v>
      </c>
      <c r="D2" s="120" t="s">
        <v>33</v>
      </c>
      <c r="E2" s="121">
        <v>270463.24</v>
      </c>
      <c r="F2" s="120" t="s">
        <v>217</v>
      </c>
      <c r="G2" s="120" t="s">
        <v>223</v>
      </c>
      <c r="H2" s="120" t="s">
        <v>224</v>
      </c>
      <c r="I2" s="120" t="s">
        <v>218</v>
      </c>
    </row>
    <row r="3" spans="1:9" s="120" customFormat="1" x14ac:dyDescent="0.25">
      <c r="A3" s="120" t="s">
        <v>221</v>
      </c>
      <c r="B3" s="120" t="s">
        <v>216</v>
      </c>
      <c r="C3" s="120" t="s">
        <v>225</v>
      </c>
      <c r="D3" s="120" t="s">
        <v>33</v>
      </c>
      <c r="E3" s="121">
        <v>132908.54</v>
      </c>
      <c r="F3" s="120" t="s">
        <v>217</v>
      </c>
      <c r="G3" s="120" t="s">
        <v>223</v>
      </c>
      <c r="H3" s="120" t="s">
        <v>226</v>
      </c>
      <c r="I3" s="120" t="s">
        <v>218</v>
      </c>
    </row>
    <row r="4" spans="1:9" s="120" customFormat="1" x14ac:dyDescent="0.25">
      <c r="A4" s="120" t="s">
        <v>221</v>
      </c>
      <c r="B4" s="120" t="s">
        <v>216</v>
      </c>
      <c r="C4" s="120" t="s">
        <v>216</v>
      </c>
      <c r="D4" s="120" t="s">
        <v>33</v>
      </c>
      <c r="E4" s="121">
        <v>-262572.93</v>
      </c>
      <c r="F4" s="120" t="s">
        <v>217</v>
      </c>
      <c r="G4" s="120" t="s">
        <v>217</v>
      </c>
      <c r="H4" s="120" t="s">
        <v>227</v>
      </c>
      <c r="I4" s="120" t="s">
        <v>218</v>
      </c>
    </row>
    <row r="5" spans="1:9" s="120" customFormat="1" x14ac:dyDescent="0.25">
      <c r="A5" s="120" t="s">
        <v>221</v>
      </c>
      <c r="B5" s="120" t="s">
        <v>216</v>
      </c>
      <c r="C5" s="120" t="s">
        <v>225</v>
      </c>
      <c r="D5" s="120" t="s">
        <v>33</v>
      </c>
      <c r="E5" s="121">
        <v>302611.34999999998</v>
      </c>
      <c r="F5" s="120" t="s">
        <v>217</v>
      </c>
      <c r="G5" s="120" t="s">
        <v>223</v>
      </c>
      <c r="H5" s="120" t="s">
        <v>228</v>
      </c>
      <c r="I5" s="120" t="s">
        <v>218</v>
      </c>
    </row>
    <row r="6" spans="1:9" s="120" customFormat="1" x14ac:dyDescent="0.25">
      <c r="A6" s="120" t="s">
        <v>221</v>
      </c>
      <c r="B6" s="120" t="s">
        <v>216</v>
      </c>
      <c r="C6" s="120" t="s">
        <v>225</v>
      </c>
      <c r="D6" s="120" t="s">
        <v>33</v>
      </c>
      <c r="E6" s="121">
        <v>-132908.54</v>
      </c>
      <c r="F6" s="120" t="s">
        <v>217</v>
      </c>
      <c r="G6" s="120" t="s">
        <v>223</v>
      </c>
      <c r="H6" s="120" t="s">
        <v>226</v>
      </c>
      <c r="I6" s="120" t="s">
        <v>219</v>
      </c>
    </row>
    <row r="7" spans="1:9" s="120" customFormat="1" x14ac:dyDescent="0.25">
      <c r="A7" s="120" t="s">
        <v>221</v>
      </c>
      <c r="B7" s="120" t="s">
        <v>216</v>
      </c>
      <c r="C7" s="120" t="s">
        <v>229</v>
      </c>
      <c r="D7" s="120" t="s">
        <v>33</v>
      </c>
      <c r="E7" s="121">
        <v>268199.84000000003</v>
      </c>
      <c r="F7" s="120" t="s">
        <v>217</v>
      </c>
      <c r="G7" s="120" t="s">
        <v>230</v>
      </c>
      <c r="H7" s="120" t="s">
        <v>231</v>
      </c>
      <c r="I7" s="120" t="s">
        <v>219</v>
      </c>
    </row>
    <row r="8" spans="1:9" s="120" customFormat="1" x14ac:dyDescent="0.25">
      <c r="A8" s="120" t="s">
        <v>221</v>
      </c>
      <c r="B8" s="120" t="s">
        <v>216</v>
      </c>
      <c r="C8" s="120" t="s">
        <v>229</v>
      </c>
      <c r="D8" s="120" t="s">
        <v>33</v>
      </c>
      <c r="E8" s="121">
        <v>158613.16</v>
      </c>
      <c r="F8" s="120" t="s">
        <v>217</v>
      </c>
      <c r="G8" s="120" t="s">
        <v>230</v>
      </c>
      <c r="H8" s="120" t="s">
        <v>232</v>
      </c>
      <c r="I8" s="120" t="s">
        <v>219</v>
      </c>
    </row>
    <row r="9" spans="1:9" s="120" customFormat="1" x14ac:dyDescent="0.25">
      <c r="A9" s="120" t="s">
        <v>221</v>
      </c>
      <c r="B9" s="120" t="s">
        <v>216</v>
      </c>
      <c r="C9" s="120" t="s">
        <v>229</v>
      </c>
      <c r="D9" s="120" t="s">
        <v>33</v>
      </c>
      <c r="E9" s="121">
        <v>-158613.16</v>
      </c>
      <c r="F9" s="120" t="s">
        <v>217</v>
      </c>
      <c r="G9" s="120" t="s">
        <v>230</v>
      </c>
      <c r="H9" s="120" t="s">
        <v>232</v>
      </c>
      <c r="I9" s="120" t="s">
        <v>220</v>
      </c>
    </row>
    <row r="10" spans="1:9" s="120" customFormat="1" x14ac:dyDescent="0.25">
      <c r="A10" s="120" t="s">
        <v>221</v>
      </c>
      <c r="B10" s="120" t="s">
        <v>216</v>
      </c>
      <c r="C10" s="120" t="s">
        <v>229</v>
      </c>
      <c r="D10" s="120" t="s">
        <v>33</v>
      </c>
      <c r="E10" s="121">
        <v>265455.59999999998</v>
      </c>
      <c r="F10" s="120" t="s">
        <v>217</v>
      </c>
      <c r="G10" s="120" t="s">
        <v>230</v>
      </c>
      <c r="H10" s="120" t="s">
        <v>233</v>
      </c>
      <c r="I10" s="120" t="s">
        <v>220</v>
      </c>
    </row>
    <row r="11" spans="1:9" s="120" customFormat="1" x14ac:dyDescent="0.25">
      <c r="A11" s="120" t="s">
        <v>221</v>
      </c>
      <c r="B11" s="120" t="s">
        <v>216</v>
      </c>
      <c r="C11" s="120" t="s">
        <v>229</v>
      </c>
      <c r="D11" s="120" t="s">
        <v>33</v>
      </c>
      <c r="E11" s="121">
        <v>373552.45</v>
      </c>
      <c r="F11" s="120" t="s">
        <v>217</v>
      </c>
      <c r="G11" s="120" t="s">
        <v>230</v>
      </c>
      <c r="H11" s="120" t="s">
        <v>234</v>
      </c>
      <c r="I11" s="120" t="s">
        <v>220</v>
      </c>
    </row>
    <row r="12" spans="1:9" s="120" customFormat="1" x14ac:dyDescent="0.25">
      <c r="A12" s="117" t="s">
        <v>221</v>
      </c>
      <c r="B12" s="117" t="s">
        <v>33</v>
      </c>
      <c r="C12" s="117" t="s">
        <v>33</v>
      </c>
      <c r="D12" s="117" t="s">
        <v>33</v>
      </c>
      <c r="E12" s="122">
        <v>1217709.55</v>
      </c>
      <c r="F12" s="117" t="s">
        <v>33</v>
      </c>
      <c r="G12" s="117" t="s">
        <v>33</v>
      </c>
      <c r="H12" s="117" t="s">
        <v>33</v>
      </c>
      <c r="I12" s="117" t="s">
        <v>33</v>
      </c>
    </row>
    <row r="13" spans="1:9" x14ac:dyDescent="0.25">
      <c r="E13" s="84"/>
    </row>
    <row r="14" spans="1:9" x14ac:dyDescent="0.25">
      <c r="A14" s="117" t="s">
        <v>221</v>
      </c>
      <c r="E14" s="84">
        <f>SUM(E3:E11)</f>
        <v>947246.31</v>
      </c>
    </row>
    <row r="16" spans="1:9" s="120" customFormat="1" ht="30" x14ac:dyDescent="0.25">
      <c r="A16" s="117" t="s">
        <v>235</v>
      </c>
      <c r="B16" s="117" t="s">
        <v>236</v>
      </c>
      <c r="C16" s="117" t="s">
        <v>237</v>
      </c>
      <c r="D16" s="117" t="s">
        <v>238</v>
      </c>
      <c r="E16" s="118" t="s">
        <v>239</v>
      </c>
      <c r="F16" s="117" t="s">
        <v>240</v>
      </c>
      <c r="G16" s="117" t="s">
        <v>241</v>
      </c>
      <c r="H16" s="118" t="s">
        <v>242</v>
      </c>
      <c r="I16" s="118" t="s">
        <v>243</v>
      </c>
    </row>
    <row r="17" spans="1:9" s="120" customFormat="1" ht="14.1" customHeight="1" x14ac:dyDescent="0.25">
      <c r="A17" s="123" t="s">
        <v>33</v>
      </c>
      <c r="B17" s="120" t="s">
        <v>244</v>
      </c>
      <c r="C17" s="120" t="s">
        <v>245</v>
      </c>
      <c r="D17" s="120" t="s">
        <v>33</v>
      </c>
      <c r="E17" s="120" t="s">
        <v>246</v>
      </c>
      <c r="F17" s="124">
        <v>44498</v>
      </c>
      <c r="G17" s="120" t="s">
        <v>247</v>
      </c>
      <c r="H17" s="121">
        <v>4095266.99</v>
      </c>
      <c r="I17" s="120" t="s">
        <v>248</v>
      </c>
    </row>
    <row r="18" spans="1:9" s="120" customFormat="1" ht="14.1" customHeight="1" x14ac:dyDescent="0.25">
      <c r="A18" s="123" t="s">
        <v>33</v>
      </c>
      <c r="B18" s="120" t="s">
        <v>249</v>
      </c>
      <c r="C18" s="120" t="s">
        <v>250</v>
      </c>
      <c r="D18" s="120" t="s">
        <v>33</v>
      </c>
      <c r="E18" s="120" t="s">
        <v>246</v>
      </c>
      <c r="F18" s="124">
        <v>44502</v>
      </c>
      <c r="G18" s="120" t="s">
        <v>247</v>
      </c>
      <c r="H18" s="121">
        <v>262572.93</v>
      </c>
      <c r="I18" s="120" t="s">
        <v>248</v>
      </c>
    </row>
    <row r="19" spans="1:9" s="120" customFormat="1" ht="14.1" customHeight="1" x14ac:dyDescent="0.25">
      <c r="A19" s="123" t="s">
        <v>33</v>
      </c>
      <c r="B19" s="120" t="s">
        <v>249</v>
      </c>
      <c r="C19" s="120" t="s">
        <v>250</v>
      </c>
      <c r="D19" s="120" t="s">
        <v>33</v>
      </c>
      <c r="E19" s="120" t="s">
        <v>246</v>
      </c>
      <c r="F19" s="124">
        <v>44502</v>
      </c>
      <c r="G19" s="120" t="s">
        <v>251</v>
      </c>
      <c r="H19" s="121">
        <v>-302611.34999999998</v>
      </c>
      <c r="I19" s="120" t="s">
        <v>248</v>
      </c>
    </row>
    <row r="20" spans="1:9" s="120" customFormat="1" ht="14.1" customHeight="1" x14ac:dyDescent="0.25">
      <c r="A20" s="123" t="s">
        <v>33</v>
      </c>
      <c r="B20" s="120" t="s">
        <v>249</v>
      </c>
      <c r="C20" s="120" t="s">
        <v>252</v>
      </c>
      <c r="D20" s="120" t="s">
        <v>33</v>
      </c>
      <c r="E20" s="120" t="s">
        <v>253</v>
      </c>
      <c r="F20" s="124">
        <v>44502</v>
      </c>
      <c r="G20" s="120" t="s">
        <v>251</v>
      </c>
      <c r="H20" s="121">
        <v>-132908.54</v>
      </c>
      <c r="I20" s="120" t="s">
        <v>248</v>
      </c>
    </row>
    <row r="21" spans="1:9" s="120" customFormat="1" ht="14.1" customHeight="1" x14ac:dyDescent="0.25">
      <c r="A21" s="123" t="s">
        <v>33</v>
      </c>
      <c r="B21" s="120" t="s">
        <v>249</v>
      </c>
      <c r="C21" s="120" t="s">
        <v>254</v>
      </c>
      <c r="D21" s="120" t="s">
        <v>33</v>
      </c>
      <c r="E21" s="120" t="s">
        <v>255</v>
      </c>
      <c r="F21" s="124">
        <v>44502</v>
      </c>
      <c r="G21" s="120" t="s">
        <v>247</v>
      </c>
      <c r="H21" s="121">
        <v>132908.54</v>
      </c>
      <c r="I21" s="120" t="s">
        <v>248</v>
      </c>
    </row>
    <row r="22" spans="1:9" s="120" customFormat="1" ht="14.1" customHeight="1" x14ac:dyDescent="0.25">
      <c r="A22" s="123" t="s">
        <v>33</v>
      </c>
      <c r="B22" s="120" t="s">
        <v>256</v>
      </c>
      <c r="C22" s="120" t="s">
        <v>257</v>
      </c>
      <c r="D22" s="120" t="s">
        <v>33</v>
      </c>
      <c r="E22" s="120" t="s">
        <v>246</v>
      </c>
      <c r="F22" s="124">
        <v>44532</v>
      </c>
      <c r="G22" s="120" t="s">
        <v>251</v>
      </c>
      <c r="H22" s="121">
        <v>-268199.84000000003</v>
      </c>
      <c r="I22" s="120" t="s">
        <v>248</v>
      </c>
    </row>
    <row r="23" spans="1:9" s="120" customFormat="1" ht="14.1" customHeight="1" x14ac:dyDescent="0.25">
      <c r="A23" s="123" t="s">
        <v>33</v>
      </c>
      <c r="B23" s="120" t="s">
        <v>256</v>
      </c>
      <c r="C23" s="120" t="s">
        <v>258</v>
      </c>
      <c r="D23" s="120" t="s">
        <v>33</v>
      </c>
      <c r="E23" s="120" t="s">
        <v>253</v>
      </c>
      <c r="F23" s="124">
        <v>44532</v>
      </c>
      <c r="G23" s="120" t="s">
        <v>251</v>
      </c>
      <c r="H23" s="121">
        <v>-158613.16</v>
      </c>
      <c r="I23" s="120" t="s">
        <v>248</v>
      </c>
    </row>
    <row r="24" spans="1:9" s="120" customFormat="1" ht="14.1" customHeight="1" x14ac:dyDescent="0.25">
      <c r="A24" s="123" t="s">
        <v>33</v>
      </c>
      <c r="B24" s="120" t="s">
        <v>256</v>
      </c>
      <c r="C24" s="120" t="s">
        <v>259</v>
      </c>
      <c r="D24" s="120" t="s">
        <v>33</v>
      </c>
      <c r="E24" s="120" t="s">
        <v>255</v>
      </c>
      <c r="F24" s="124">
        <v>44532</v>
      </c>
      <c r="G24" s="120" t="s">
        <v>247</v>
      </c>
      <c r="H24" s="121">
        <v>158613.16</v>
      </c>
      <c r="I24" s="120" t="s">
        <v>248</v>
      </c>
    </row>
    <row r="25" spans="1:9" s="120" customFormat="1" ht="14.1" customHeight="1" x14ac:dyDescent="0.25">
      <c r="A25" s="123" t="s">
        <v>33</v>
      </c>
      <c r="B25" s="120" t="s">
        <v>260</v>
      </c>
      <c r="C25" s="120" t="s">
        <v>261</v>
      </c>
      <c r="D25" s="120" t="s">
        <v>33</v>
      </c>
      <c r="E25" s="120" t="s">
        <v>246</v>
      </c>
      <c r="F25" s="124">
        <v>44565</v>
      </c>
      <c r="G25" s="120" t="s">
        <v>251</v>
      </c>
      <c r="H25" s="121">
        <v>-373552.45</v>
      </c>
      <c r="I25" s="120" t="s">
        <v>248</v>
      </c>
    </row>
    <row r="26" spans="1:9" s="120" customFormat="1" ht="14.1" customHeight="1" x14ac:dyDescent="0.25">
      <c r="A26" s="123" t="s">
        <v>33</v>
      </c>
      <c r="B26" s="120" t="s">
        <v>260</v>
      </c>
      <c r="C26" s="120" t="s">
        <v>262</v>
      </c>
      <c r="D26" s="120" t="s">
        <v>33</v>
      </c>
      <c r="E26" s="120" t="s">
        <v>253</v>
      </c>
      <c r="F26" s="124">
        <v>44565</v>
      </c>
      <c r="G26" s="120" t="s">
        <v>251</v>
      </c>
      <c r="H26" s="121">
        <v>-265455.59999999998</v>
      </c>
      <c r="I26" s="120" t="s">
        <v>248</v>
      </c>
    </row>
    <row r="27" spans="1:9" s="120" customFormat="1" x14ac:dyDescent="0.25">
      <c r="A27" s="125" t="s">
        <v>263</v>
      </c>
      <c r="B27" s="117" t="s">
        <v>33</v>
      </c>
      <c r="C27" s="117" t="s">
        <v>33</v>
      </c>
      <c r="D27" s="117" t="s">
        <v>33</v>
      </c>
      <c r="E27" s="117" t="s">
        <v>33</v>
      </c>
      <c r="F27" s="126"/>
      <c r="G27" s="117" t="s">
        <v>33</v>
      </c>
      <c r="H27" s="122">
        <v>3148020.68</v>
      </c>
      <c r="I27" s="117" t="s">
        <v>248</v>
      </c>
    </row>
    <row r="28" spans="1:9" s="120" customFormat="1" x14ac:dyDescent="0.25">
      <c r="A28" s="117" t="s">
        <v>264</v>
      </c>
      <c r="B28" s="117" t="s">
        <v>33</v>
      </c>
      <c r="C28" s="117" t="s">
        <v>33</v>
      </c>
      <c r="D28" s="117" t="s">
        <v>33</v>
      </c>
      <c r="E28" s="117" t="s">
        <v>33</v>
      </c>
      <c r="F28" s="126"/>
      <c r="G28" s="117" t="s">
        <v>33</v>
      </c>
      <c r="H28" s="122">
        <v>3148020.68</v>
      </c>
      <c r="I28" s="117" t="s">
        <v>248</v>
      </c>
    </row>
    <row r="29" spans="1:9" s="120" customFormat="1" x14ac:dyDescent="0.25">
      <c r="A29" s="117" t="s">
        <v>33</v>
      </c>
      <c r="B29" s="117" t="s">
        <v>33</v>
      </c>
      <c r="C29" s="117" t="s">
        <v>33</v>
      </c>
      <c r="D29" s="117" t="s">
        <v>33</v>
      </c>
      <c r="E29" s="117" t="s">
        <v>33</v>
      </c>
      <c r="F29" s="126"/>
      <c r="G29" s="117" t="s">
        <v>33</v>
      </c>
      <c r="H29" s="122">
        <v>3148020.68</v>
      </c>
      <c r="I29" s="117" t="s">
        <v>248</v>
      </c>
    </row>
    <row r="31" spans="1:9" x14ac:dyDescent="0.25">
      <c r="G31" s="78" t="s">
        <v>265</v>
      </c>
      <c r="H31" s="84">
        <f>SUM(H18:H26)</f>
        <v>-947246.30999999994</v>
      </c>
    </row>
  </sheetData>
  <pageMargins left="0.7" right="0.7" top="0.75" bottom="0.75" header="0.3" footer="0.3"/>
  <customProperties>
    <customPr name="_pios_id" r:id="rId1"/>
    <customPr name="CofWorksheetType" r:id="rId2"/>
  </customProperties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84"/>
  <sheetViews>
    <sheetView zoomScaleNormal="100" zoomScaleSheetLayoutView="100" workbookViewId="0">
      <pane xSplit="4" ySplit="8" topLeftCell="E48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ColWidth="9.140625" defaultRowHeight="12" x14ac:dyDescent="0.2"/>
  <cols>
    <col min="1" max="2" width="1.7109375" style="36" customWidth="1"/>
    <col min="3" max="3" width="9.140625" style="36"/>
    <col min="4" max="4" width="23.85546875" style="36" customWidth="1"/>
    <col min="5" max="5" width="16.7109375" style="36" customWidth="1"/>
    <col min="6" max="16384" width="9.140625" style="36"/>
  </cols>
  <sheetData>
    <row r="1" spans="1:5" s="34" customFormat="1" ht="15" x14ac:dyDescent="0.25">
      <c r="E1" s="69" t="s">
        <v>0</v>
      </c>
    </row>
    <row r="2" spans="1:5" s="34" customFormat="1" ht="15" x14ac:dyDescent="0.25">
      <c r="E2" s="69" t="s">
        <v>57</v>
      </c>
    </row>
    <row r="3" spans="1:5" s="34" customFormat="1" ht="15" x14ac:dyDescent="0.25">
      <c r="E3" s="69" t="s">
        <v>173</v>
      </c>
    </row>
    <row r="4" spans="1:5" s="35" customFormat="1" ht="12.75" x14ac:dyDescent="0.2">
      <c r="E4" s="70" t="s">
        <v>58</v>
      </c>
    </row>
    <row r="5" spans="1:5" x14ac:dyDescent="0.2">
      <c r="A5" s="36" t="s">
        <v>33</v>
      </c>
    </row>
    <row r="6" spans="1:5" s="37" customFormat="1" ht="12.75" x14ac:dyDescent="0.2">
      <c r="A6" s="37" t="s">
        <v>33</v>
      </c>
    </row>
    <row r="7" spans="1:5" s="37" customFormat="1" ht="12.75" x14ac:dyDescent="0.2">
      <c r="E7" s="38" t="s">
        <v>59</v>
      </c>
    </row>
    <row r="8" spans="1:5" s="37" customFormat="1" ht="12.75" x14ac:dyDescent="0.2">
      <c r="A8" s="35" t="s">
        <v>60</v>
      </c>
      <c r="E8" s="68">
        <v>2021</v>
      </c>
    </row>
    <row r="9" spans="1:5" x14ac:dyDescent="0.2">
      <c r="B9" s="39" t="s">
        <v>61</v>
      </c>
    </row>
    <row r="10" spans="1:5" x14ac:dyDescent="0.2">
      <c r="C10" s="36" t="s">
        <v>62</v>
      </c>
      <c r="E10" s="40">
        <v>722002483.42999995</v>
      </c>
    </row>
    <row r="11" spans="1:5" x14ac:dyDescent="0.2">
      <c r="C11" s="36" t="s">
        <v>63</v>
      </c>
      <c r="E11" s="31">
        <v>270708079.77999997</v>
      </c>
    </row>
    <row r="12" spans="1:5" x14ac:dyDescent="0.2">
      <c r="C12" s="36" t="s">
        <v>64</v>
      </c>
      <c r="E12" s="41">
        <v>19664445.210000001</v>
      </c>
    </row>
    <row r="13" spans="1:5" ht="6.95" customHeight="1" x14ac:dyDescent="0.2">
      <c r="E13" s="31"/>
    </row>
    <row r="14" spans="1:5" x14ac:dyDescent="0.2">
      <c r="C14" s="36" t="s">
        <v>65</v>
      </c>
      <c r="E14" s="31">
        <f>SUM(E10:E12)</f>
        <v>1012375008.42</v>
      </c>
    </row>
    <row r="15" spans="1:5" ht="6.95" customHeight="1" x14ac:dyDescent="0.2">
      <c r="E15" s="31"/>
    </row>
    <row r="16" spans="1:5" x14ac:dyDescent="0.2">
      <c r="B16" s="39" t="s">
        <v>66</v>
      </c>
      <c r="E16" s="31"/>
    </row>
    <row r="17" spans="2:5" x14ac:dyDescent="0.2">
      <c r="C17" s="36" t="s">
        <v>67</v>
      </c>
      <c r="E17" s="31">
        <v>21508531.140000001</v>
      </c>
    </row>
    <row r="18" spans="2:5" x14ac:dyDescent="0.2">
      <c r="C18" s="36" t="s">
        <v>68</v>
      </c>
      <c r="E18" s="41">
        <v>2061888.42</v>
      </c>
    </row>
    <row r="19" spans="2:5" ht="6.95" customHeight="1" x14ac:dyDescent="0.2">
      <c r="E19" s="31"/>
    </row>
    <row r="20" spans="2:5" x14ac:dyDescent="0.2">
      <c r="C20" s="36" t="s">
        <v>69</v>
      </c>
      <c r="E20" s="41">
        <f>SUM(E17:E18)</f>
        <v>23570419.560000002</v>
      </c>
    </row>
    <row r="21" spans="2:5" ht="6.95" customHeight="1" x14ac:dyDescent="0.2">
      <c r="E21" s="31"/>
    </row>
    <row r="22" spans="2:5" x14ac:dyDescent="0.2">
      <c r="C22" s="36" t="s">
        <v>70</v>
      </c>
      <c r="E22" s="31">
        <f>E14+E20</f>
        <v>1035945427.98</v>
      </c>
    </row>
    <row r="23" spans="2:5" ht="6.95" customHeight="1" x14ac:dyDescent="0.2">
      <c r="E23" s="31"/>
    </row>
    <row r="24" spans="2:5" x14ac:dyDescent="0.2">
      <c r="B24" s="39" t="s">
        <v>71</v>
      </c>
      <c r="E24" s="31"/>
    </row>
    <row r="25" spans="2:5" x14ac:dyDescent="0.2">
      <c r="C25" s="36" t="s">
        <v>72</v>
      </c>
      <c r="E25" s="31">
        <v>6849727.2199999997</v>
      </c>
    </row>
    <row r="26" spans="2:5" x14ac:dyDescent="0.2">
      <c r="C26" s="36" t="s">
        <v>73</v>
      </c>
      <c r="E26" s="41">
        <v>13180715.43</v>
      </c>
    </row>
    <row r="27" spans="2:5" ht="6.95" customHeight="1" x14ac:dyDescent="0.2">
      <c r="E27" s="31"/>
    </row>
    <row r="28" spans="2:5" x14ac:dyDescent="0.2">
      <c r="C28" s="36" t="s">
        <v>74</v>
      </c>
      <c r="E28" s="41">
        <f>SUM(E25:E26)</f>
        <v>20030442.649999999</v>
      </c>
    </row>
    <row r="29" spans="2:5" ht="6.95" customHeight="1" x14ac:dyDescent="0.2">
      <c r="E29" s="31"/>
    </row>
    <row r="30" spans="2:5" x14ac:dyDescent="0.2">
      <c r="C30" s="36" t="s">
        <v>75</v>
      </c>
      <c r="E30" s="31">
        <f>E22+E28</f>
        <v>1055975870.63</v>
      </c>
    </row>
    <row r="31" spans="2:5" ht="6.95" customHeight="1" x14ac:dyDescent="0.2">
      <c r="E31" s="31"/>
    </row>
    <row r="32" spans="2:5" x14ac:dyDescent="0.2">
      <c r="B32" s="36" t="s">
        <v>54</v>
      </c>
      <c r="E32" s="31">
        <v>-1552668.79</v>
      </c>
    </row>
    <row r="33" spans="1:5" x14ac:dyDescent="0.2">
      <c r="B33" s="36" t="s">
        <v>76</v>
      </c>
      <c r="E33" s="41">
        <v>12994609.439999999</v>
      </c>
    </row>
    <row r="34" spans="1:5" ht="6.95" customHeight="1" x14ac:dyDescent="0.2">
      <c r="E34" s="31"/>
    </row>
    <row r="35" spans="1:5" ht="12.75" thickBot="1" x14ac:dyDescent="0.25">
      <c r="C35" s="36" t="s">
        <v>77</v>
      </c>
      <c r="E35" s="42">
        <f>SUM(E30:E33)</f>
        <v>1067417811.2800001</v>
      </c>
    </row>
    <row r="36" spans="1:5" ht="12.75" thickTop="1" x14ac:dyDescent="0.2">
      <c r="E36" s="43"/>
    </row>
    <row r="37" spans="1:5" x14ac:dyDescent="0.2">
      <c r="C37" s="44" t="s">
        <v>148</v>
      </c>
      <c r="E37" s="40">
        <v>48455397.530000001</v>
      </c>
    </row>
    <row r="38" spans="1:5" x14ac:dyDescent="0.2">
      <c r="C38" s="36" t="s">
        <v>149</v>
      </c>
      <c r="E38" s="45">
        <v>19757735.510000002</v>
      </c>
    </row>
    <row r="39" spans="1:5" x14ac:dyDescent="0.2">
      <c r="C39" s="36" t="s">
        <v>150</v>
      </c>
      <c r="E39" s="45">
        <v>5043097.24</v>
      </c>
    </row>
    <row r="40" spans="1:5" x14ac:dyDescent="0.2">
      <c r="C40" s="36" t="s">
        <v>151</v>
      </c>
      <c r="E40" s="45">
        <v>19990793.940000001</v>
      </c>
    </row>
    <row r="41" spans="1:5" x14ac:dyDescent="0.2">
      <c r="C41" s="36" t="s">
        <v>152</v>
      </c>
      <c r="E41" s="45">
        <v>19289340.800000001</v>
      </c>
    </row>
    <row r="42" spans="1:5" x14ac:dyDescent="0.2">
      <c r="C42" s="36" t="s">
        <v>153</v>
      </c>
      <c r="E42" s="45">
        <v>-392008.93</v>
      </c>
    </row>
    <row r="43" spans="1:5" x14ac:dyDescent="0.2">
      <c r="C43" s="36" t="s">
        <v>154</v>
      </c>
      <c r="E43" s="45">
        <v>-7490132.5999999996</v>
      </c>
    </row>
    <row r="44" spans="1:5" x14ac:dyDescent="0.2">
      <c r="C44" s="36" t="s">
        <v>155</v>
      </c>
      <c r="E44" s="45">
        <v>-1263822.1100000001</v>
      </c>
    </row>
    <row r="45" spans="1:5" x14ac:dyDescent="0.2">
      <c r="E45" s="31"/>
    </row>
    <row r="46" spans="1:5" ht="12.75" x14ac:dyDescent="0.2">
      <c r="A46" s="35" t="s">
        <v>78</v>
      </c>
      <c r="E46" s="46"/>
    </row>
    <row r="47" spans="1:5" x14ac:dyDescent="0.2">
      <c r="B47" s="39" t="s">
        <v>79</v>
      </c>
      <c r="E47" s="46"/>
    </row>
    <row r="48" spans="1:5" x14ac:dyDescent="0.2">
      <c r="C48" s="36" t="s">
        <v>62</v>
      </c>
      <c r="E48" s="47">
        <v>611027742</v>
      </c>
    </row>
    <row r="49" spans="2:5" x14ac:dyDescent="0.2">
      <c r="C49" s="36" t="s">
        <v>63</v>
      </c>
      <c r="E49" s="47">
        <v>270021761</v>
      </c>
    </row>
    <row r="50" spans="2:5" x14ac:dyDescent="0.2">
      <c r="C50" s="36" t="s">
        <v>64</v>
      </c>
      <c r="E50" s="49">
        <v>22794083</v>
      </c>
    </row>
    <row r="51" spans="2:5" ht="6.95" customHeight="1" x14ac:dyDescent="0.2">
      <c r="E51" s="48"/>
    </row>
    <row r="52" spans="2:5" x14ac:dyDescent="0.2">
      <c r="C52" s="36" t="s">
        <v>65</v>
      </c>
      <c r="E52" s="48">
        <f>SUM(E48:E50)</f>
        <v>903843586</v>
      </c>
    </row>
    <row r="53" spans="2:5" ht="6.95" customHeight="1" x14ac:dyDescent="0.2">
      <c r="E53" s="48"/>
    </row>
    <row r="54" spans="2:5" x14ac:dyDescent="0.2">
      <c r="B54" s="39" t="s">
        <v>80</v>
      </c>
      <c r="E54" s="48"/>
    </row>
    <row r="55" spans="2:5" x14ac:dyDescent="0.2">
      <c r="C55" s="36" t="s">
        <v>67</v>
      </c>
      <c r="E55" s="47">
        <v>42025871</v>
      </c>
    </row>
    <row r="56" spans="2:5" x14ac:dyDescent="0.2">
      <c r="C56" s="36" t="s">
        <v>68</v>
      </c>
      <c r="E56" s="49">
        <v>4089396</v>
      </c>
    </row>
    <row r="57" spans="2:5" ht="6.95" customHeight="1" x14ac:dyDescent="0.2">
      <c r="E57" s="48"/>
    </row>
    <row r="58" spans="2:5" x14ac:dyDescent="0.2">
      <c r="C58" s="36" t="s">
        <v>69</v>
      </c>
      <c r="E58" s="49">
        <f>SUM(E55:E56)</f>
        <v>46115267</v>
      </c>
    </row>
    <row r="59" spans="2:5" ht="6.95" customHeight="1" x14ac:dyDescent="0.2">
      <c r="E59" s="48"/>
    </row>
    <row r="60" spans="2:5" x14ac:dyDescent="0.2">
      <c r="C60" s="36" t="s">
        <v>81</v>
      </c>
      <c r="E60" s="48">
        <f>E52+E58</f>
        <v>949958853</v>
      </c>
    </row>
    <row r="61" spans="2:5" ht="6.95" customHeight="1" x14ac:dyDescent="0.2">
      <c r="E61" s="48"/>
    </row>
    <row r="62" spans="2:5" x14ac:dyDescent="0.2">
      <c r="B62" s="39" t="s">
        <v>82</v>
      </c>
      <c r="E62" s="48"/>
    </row>
    <row r="63" spans="2:5" x14ac:dyDescent="0.2">
      <c r="C63" s="36" t="s">
        <v>72</v>
      </c>
      <c r="E63" s="47">
        <v>51185221</v>
      </c>
    </row>
    <row r="64" spans="2:5" x14ac:dyDescent="0.2">
      <c r="C64" s="36" t="s">
        <v>73</v>
      </c>
      <c r="E64" s="49">
        <v>168619666</v>
      </c>
    </row>
    <row r="65" spans="1:5" ht="6.95" customHeight="1" x14ac:dyDescent="0.2">
      <c r="E65" s="48"/>
    </row>
    <row r="66" spans="1:5" x14ac:dyDescent="0.2">
      <c r="C66" s="36" t="s">
        <v>74</v>
      </c>
      <c r="E66" s="49">
        <f>SUM(E63:E64)</f>
        <v>219804887</v>
      </c>
    </row>
    <row r="67" spans="1:5" ht="6.95" customHeight="1" x14ac:dyDescent="0.2">
      <c r="E67" s="48"/>
    </row>
    <row r="68" spans="1:5" ht="12.75" thickBot="1" x14ac:dyDescent="0.25">
      <c r="C68" s="36" t="s">
        <v>83</v>
      </c>
      <c r="E68" s="50">
        <f>E60+E66</f>
        <v>1169763740</v>
      </c>
    </row>
    <row r="69" spans="1:5" ht="12.75" thickTop="1" x14ac:dyDescent="0.2"/>
    <row r="70" spans="1:5" ht="12.75" customHeight="1" x14ac:dyDescent="0.25">
      <c r="A70" s="36" t="s">
        <v>33</v>
      </c>
      <c r="C70" s="56" t="s">
        <v>84</v>
      </c>
      <c r="D70" s="116"/>
      <c r="E70" s="116"/>
    </row>
    <row r="71" spans="1:5" x14ac:dyDescent="0.2">
      <c r="A71" s="36" t="s">
        <v>33</v>
      </c>
    </row>
    <row r="72" spans="1:5" x14ac:dyDescent="0.2">
      <c r="A72" s="36" t="s">
        <v>33</v>
      </c>
    </row>
    <row r="73" spans="1:5" x14ac:dyDescent="0.2">
      <c r="A73" s="36" t="s">
        <v>33</v>
      </c>
    </row>
    <row r="74" spans="1:5" x14ac:dyDescent="0.2">
      <c r="A74" s="36" t="s">
        <v>33</v>
      </c>
    </row>
    <row r="75" spans="1:5" x14ac:dyDescent="0.2">
      <c r="A75" s="36" t="s">
        <v>33</v>
      </c>
    </row>
    <row r="76" spans="1:5" x14ac:dyDescent="0.2">
      <c r="A76" s="36" t="s">
        <v>33</v>
      </c>
    </row>
    <row r="77" spans="1:5" x14ac:dyDescent="0.2">
      <c r="A77" s="36" t="s">
        <v>33</v>
      </c>
    </row>
    <row r="78" spans="1:5" x14ac:dyDescent="0.2">
      <c r="A78" s="36" t="s">
        <v>33</v>
      </c>
    </row>
    <row r="79" spans="1:5" x14ac:dyDescent="0.2">
      <c r="A79" s="36" t="s">
        <v>33</v>
      </c>
    </row>
    <row r="80" spans="1:5" x14ac:dyDescent="0.2">
      <c r="A80" s="36" t="s">
        <v>33</v>
      </c>
    </row>
    <row r="81" spans="1:1" x14ac:dyDescent="0.2">
      <c r="A81" s="36" t="s">
        <v>33</v>
      </c>
    </row>
    <row r="82" spans="1:1" x14ac:dyDescent="0.2">
      <c r="A82" s="36" t="s">
        <v>33</v>
      </c>
    </row>
    <row r="83" spans="1:1" x14ac:dyDescent="0.2">
      <c r="A83" s="36" t="s">
        <v>33</v>
      </c>
    </row>
    <row r="84" spans="1:1" x14ac:dyDescent="0.2">
      <c r="A84" s="36" t="s">
        <v>33</v>
      </c>
    </row>
  </sheetData>
  <printOptions horizontalCentered="1"/>
  <pageMargins left="0.25" right="0.25" top="0.25" bottom="0.39" header="0" footer="0"/>
  <pageSetup scale="61" orientation="landscape" r:id="rId1"/>
  <headerFooter alignWithMargins="0">
    <oddFooter>&amp;C6c</oddFooter>
  </headerFooter>
  <customProperties>
    <customPr name="_pios_i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3"/>
  <sheetViews>
    <sheetView workbookViewId="0">
      <selection activeCell="G35" sqref="G35"/>
    </sheetView>
  </sheetViews>
  <sheetFormatPr defaultRowHeight="15" x14ac:dyDescent="0.25"/>
  <cols>
    <col min="1" max="1" width="46.5703125" style="78" bestFit="1" customWidth="1"/>
    <col min="2" max="2" width="14.28515625" style="78" bestFit="1" customWidth="1"/>
    <col min="3" max="16384" width="9.140625" style="78"/>
  </cols>
  <sheetData>
    <row r="2" spans="1:2" ht="15.75" thickBot="1" x14ac:dyDescent="0.3"/>
    <row r="3" spans="1:2" ht="15.75" thickBot="1" x14ac:dyDescent="0.3">
      <c r="A3" s="78" t="s">
        <v>52</v>
      </c>
      <c r="B3" s="115">
        <v>4813903.58</v>
      </c>
    </row>
  </sheetData>
  <pageMargins left="0.7" right="0.7" top="0.75" bottom="0.75" header="0.3" footer="0.3"/>
  <customProperties>
    <customPr name="_pios_id" r:id="rId1"/>
  </customPropertie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3"/>
  <sheetViews>
    <sheetView workbookViewId="0">
      <selection sqref="A1:XFD1048576"/>
    </sheetView>
  </sheetViews>
  <sheetFormatPr defaultRowHeight="15" x14ac:dyDescent="0.25"/>
  <cols>
    <col min="1" max="1" width="46.5703125" style="78" bestFit="1" customWidth="1"/>
    <col min="2" max="2" width="14.28515625" style="78" bestFit="1" customWidth="1"/>
    <col min="3" max="16384" width="9.140625" style="78"/>
  </cols>
  <sheetData>
    <row r="2" spans="1:2" ht="15.75" thickBot="1" x14ac:dyDescent="0.3"/>
    <row r="3" spans="1:2" ht="15.75" thickBot="1" x14ac:dyDescent="0.3">
      <c r="A3" s="78" t="s">
        <v>48</v>
      </c>
      <c r="B3" s="115">
        <v>18859669.43</v>
      </c>
    </row>
  </sheetData>
  <pageMargins left="0.7" right="0.7" top="0.75" bottom="0.75" header="0.3" footer="0.3"/>
  <customProperties>
    <customPr name="_pios_id" r:id="rId1"/>
  </customPropertie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5"/>
  <sheetViews>
    <sheetView workbookViewId="0">
      <selection sqref="A1:XFD1048576"/>
    </sheetView>
  </sheetViews>
  <sheetFormatPr defaultRowHeight="15" x14ac:dyDescent="0.25"/>
  <cols>
    <col min="1" max="1" width="46.5703125" style="78" bestFit="1" customWidth="1"/>
    <col min="2" max="2" width="14.28515625" style="78" bestFit="1" customWidth="1"/>
    <col min="3" max="16384" width="9.140625" style="78"/>
  </cols>
  <sheetData>
    <row r="3" spans="1:2" x14ac:dyDescent="0.25">
      <c r="A3" s="78" t="s">
        <v>50</v>
      </c>
      <c r="B3" s="83">
        <v>15295322.33</v>
      </c>
    </row>
    <row r="4" spans="1:2" ht="15.75" thickBot="1" x14ac:dyDescent="0.3">
      <c r="A4" s="78" t="s">
        <v>51</v>
      </c>
      <c r="B4" s="83">
        <v>3786820</v>
      </c>
    </row>
    <row r="5" spans="1:2" ht="15.75" thickBot="1" x14ac:dyDescent="0.3">
      <c r="B5" s="115">
        <f>SUM(B3:B4)</f>
        <v>19082142.329999998</v>
      </c>
    </row>
  </sheetData>
  <pageMargins left="0.7" right="0.7" top="0.75" bottom="0.75" header="0.3" footer="0.3"/>
  <customProperties>
    <customPr name="_pios_id" r:id="rId1"/>
  </customPropertie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workbookViewId="0">
      <selection sqref="A1:XFD1048576"/>
    </sheetView>
  </sheetViews>
  <sheetFormatPr defaultRowHeight="15" x14ac:dyDescent="0.25"/>
  <cols>
    <col min="1" max="1" width="16.7109375" style="78" bestFit="1" customWidth="1"/>
    <col min="2" max="2" width="9" style="78" bestFit="1" customWidth="1"/>
    <col min="3" max="3" width="38.5703125" style="78" bestFit="1" customWidth="1"/>
    <col min="4" max="4" width="14.28515625" style="112" bestFit="1" customWidth="1"/>
    <col min="5" max="16384" width="9.140625" style="78"/>
  </cols>
  <sheetData>
    <row r="1" spans="1:4" x14ac:dyDescent="0.25">
      <c r="A1" s="89" t="s">
        <v>170</v>
      </c>
    </row>
    <row r="2" spans="1:4" x14ac:dyDescent="0.25">
      <c r="A2" s="89" t="s">
        <v>171</v>
      </c>
      <c r="D2" s="113">
        <v>2021</v>
      </c>
    </row>
    <row r="3" spans="1:4" x14ac:dyDescent="0.25">
      <c r="B3" s="78">
        <v>80510001</v>
      </c>
      <c r="C3" s="78" t="s">
        <v>100</v>
      </c>
      <c r="D3" s="112">
        <v>612908.71</v>
      </c>
    </row>
    <row r="4" spans="1:4" x14ac:dyDescent="0.25">
      <c r="B4" s="78">
        <v>80510002</v>
      </c>
      <c r="C4" s="78" t="s">
        <v>101</v>
      </c>
      <c r="D4" s="112">
        <v>-7447372.5199999996</v>
      </c>
    </row>
    <row r="5" spans="1:4" x14ac:dyDescent="0.25">
      <c r="B5" s="78">
        <v>80510004</v>
      </c>
      <c r="C5" s="78" t="s">
        <v>102</v>
      </c>
      <c r="D5" s="112">
        <v>-89957.24</v>
      </c>
    </row>
    <row r="6" spans="1:4" x14ac:dyDescent="0.25">
      <c r="B6" s="78">
        <v>80510006</v>
      </c>
      <c r="C6" s="78" t="s">
        <v>103</v>
      </c>
      <c r="D6" s="112">
        <v>1825908</v>
      </c>
    </row>
    <row r="7" spans="1:4" x14ac:dyDescent="0.25">
      <c r="B7" s="78">
        <v>80510007</v>
      </c>
      <c r="C7" s="78" t="s">
        <v>104</v>
      </c>
      <c r="D7" s="112">
        <v>14007295</v>
      </c>
    </row>
    <row r="8" spans="1:4" x14ac:dyDescent="0.25">
      <c r="B8" s="78">
        <v>80510009</v>
      </c>
      <c r="C8" s="78" t="s">
        <v>172</v>
      </c>
    </row>
    <row r="9" spans="1:4" ht="15.75" thickBot="1" x14ac:dyDescent="0.3">
      <c r="B9" s="78">
        <v>80510010</v>
      </c>
      <c r="C9" s="78" t="s">
        <v>105</v>
      </c>
      <c r="D9" s="112">
        <v>22628010</v>
      </c>
    </row>
    <row r="10" spans="1:4" ht="15.75" thickBot="1" x14ac:dyDescent="0.3">
      <c r="D10" s="114">
        <f>SUM(D5:D9)</f>
        <v>38371255.759999998</v>
      </c>
    </row>
  </sheetData>
  <pageMargins left="0.7" right="0.7" top="0.75" bottom="0.75" header="0.3" footer="0.3"/>
  <pageSetup orientation="portrait" horizontalDpi="90" verticalDpi="90" r:id="rId1"/>
  <customProperties>
    <customPr name="_pios_id" r:id="rId2"/>
  </customProperties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Application xmlns="http://www.sap.com/cof/excel/application">
  <Version>2</Version>
  <Revision>2.6.303.84659</Revision>
</Application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E21C1D357C085C49BC7CACB41DBF096E" ma:contentTypeVersion="28" ma:contentTypeDescription="" ma:contentTypeScope="" ma:versionID="607d2032f40e5706bfb559560ff94543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DocumentOrder xmlns="dc463f71-b30c-4ab2-9473-d307f9d35888">false</IsDocumentOrder>
    <IsHighlyConfidential xmlns="dc463f71-b30c-4ab2-9473-d307f9d35888">false</IsHighlyConfidential>
    <OpenedDate xmlns="dc463f71-b30c-4ab2-9473-d307f9d35888">2022-03-31T07:00:00+00:00</OpenedDate>
    <SignificantOrder xmlns="dc463f71-b30c-4ab2-9473-d307f9d35888">false</SignificantOrder>
    <IndustryCode xmlns="dc463f71-b30c-4ab2-9473-d307f9d35888">150</IndustryCode>
    <CaseCompanyNames xmlns="dc463f71-b30c-4ab2-9473-d307f9d35888">Puget Sound Energy</CaseCompanyNames>
    <IsConfidential xmlns="dc463f71-b30c-4ab2-9473-d307f9d35888">false</IsConfidential>
    <DelegatedOrder xmlns="dc463f71-b30c-4ab2-9473-d307f9d35888">false</DelegatedOrder>
    <Date1 xmlns="dc463f71-b30c-4ab2-9473-d307f9d35888">2022-03-31T07:00:00+00:00</Date1>
    <AgendaOrder xmlns="dc463f71-b30c-4ab2-9473-d307f9d35888">false</AgendaOrder>
    <CaseStatus xmlns="dc463f71-b30c-4ab2-9473-d307f9d35888">Closed</CaseStatus>
    <DocumentSetType xmlns="dc463f71-b30c-4ab2-9473-d307f9d35888">Initial Filing</DocumentSetType>
    <Prefix xmlns="dc463f71-b30c-4ab2-9473-d307f9d35888">UG</Prefix>
    <Nickname xmlns="http://schemas.microsoft.com/sharepoint/v3" xsi:nil="true"/>
    <DocketNumber xmlns="dc463f71-b30c-4ab2-9473-d307f9d35888">220231</DocketNumber>
    <Visibility xmlns="dc463f71-b30c-4ab2-9473-d307f9d35888">Full Visibility</Visibility>
    <CaseType xmlns="dc463f71-b30c-4ab2-9473-d307f9d35888">Staff Investigation</CaseType>
  </documentManagement>
</p:properties>
</file>

<file path=customXml/itemProps1.xml><?xml version="1.0" encoding="utf-8"?>
<ds:datastoreItem xmlns:ds="http://schemas.openxmlformats.org/officeDocument/2006/customXml" ds:itemID="{9511216A-9889-4CFC-9A4E-9B31476ED2AF}">
  <ds:schemaRefs>
    <ds:schemaRef ds:uri="http://www.sap.com/cof/excel/application"/>
  </ds:schemaRefs>
</ds:datastoreItem>
</file>

<file path=customXml/itemProps2.xml><?xml version="1.0" encoding="utf-8"?>
<ds:datastoreItem xmlns:ds="http://schemas.openxmlformats.org/officeDocument/2006/customXml" ds:itemID="{475CE6C1-60A4-4ADE-8AAD-B9B6A3757D7D}"/>
</file>

<file path=customXml/itemProps3.xml><?xml version="1.0" encoding="utf-8"?>
<ds:datastoreItem xmlns:ds="http://schemas.openxmlformats.org/officeDocument/2006/customXml" ds:itemID="{7077D495-D69F-4E51-9699-66D57A6BA003}"/>
</file>

<file path=customXml/itemProps4.xml><?xml version="1.0" encoding="utf-8"?>
<ds:datastoreItem xmlns:ds="http://schemas.openxmlformats.org/officeDocument/2006/customXml" ds:itemID="{4497E77A-B3FC-4C34-A0B3-6694F0BA8B80}"/>
</file>

<file path=customXml/itemProps5.xml><?xml version="1.0" encoding="utf-8"?>
<ds:datastoreItem xmlns:ds="http://schemas.openxmlformats.org/officeDocument/2006/customXml" ds:itemID="{36C980D7-57AD-40CE-97D6-8F57A1AA76D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Lead 3.05 </vt:lpstr>
      <vt:lpstr>CF</vt:lpstr>
      <vt:lpstr>141X repurposed</vt:lpstr>
      <vt:lpstr>SOG 12ME Dec 21 4th Close</vt:lpstr>
      <vt:lpstr>Schedule 129</vt:lpstr>
      <vt:lpstr>Schedule 120</vt:lpstr>
      <vt:lpstr>Schedule 140</vt:lpstr>
      <vt:lpstr>Schedule 106</vt:lpstr>
      <vt:lpstr>SC 137 Carb Offset</vt:lpstr>
      <vt:lpstr>SOGE Mu Tx Wtr Htr</vt:lpstr>
      <vt:lpstr>SOGE Muni Tax</vt:lpstr>
      <vt:lpstr>ZO12 Decoup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Popich</dc:creator>
  <cp:lastModifiedBy>DiMasso, James</cp:lastModifiedBy>
  <cp:lastPrinted>2018-02-01T21:48:45Z</cp:lastPrinted>
  <dcterms:created xsi:type="dcterms:W3CDTF">2016-01-19T22:04:40Z</dcterms:created>
  <dcterms:modified xsi:type="dcterms:W3CDTF">2022-03-25T22:53:44Z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3.05G Pass-Through Rev and Exp Dec 2020 CBR.xlsx</vt:lpwstr>
  </property>
  <property fmtid="{D5CDD505-2E9C-101B-9397-08002B2CF9AE}" pid="3" name="ContentTypeId">
    <vt:lpwstr>0x0101006E56B4D1795A2E4DB2F0B01679ED314A00E21C1D357C085C49BC7CACB41DBF096E</vt:lpwstr>
  </property>
  <property fmtid="{D5CDD505-2E9C-101B-9397-08002B2CF9AE}" pid="4" name="_docset_NoMedatataSyncRequired">
    <vt:lpwstr>False</vt:lpwstr>
  </property>
  <property fmtid="{D5CDD505-2E9C-101B-9397-08002B2CF9AE}" pid="5" name="IsEFSEC">
    <vt:bool>false</vt:bool>
  </property>
</Properties>
</file>