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91EB7776-21FD-4C12-A77A-DABA2A49207C}" xr6:coauthVersionLast="45" xr6:coauthVersionMax="45" xr10:uidLastSave="{00000000-0000-0000-0000-000000000000}"/>
  <bookViews>
    <workbookView xWindow="-108" yWindow="-108" windowWidth="19416" windowHeight="10416" firstSheet="2" activeTab="2" xr2:uid="{00000000-000D-0000-FFFF-FFFF00000000}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6">'Deferral Calc'!$A$1:$P$65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Revenue'!$A$1:$J$78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37" l="1"/>
  <c r="E9" i="37" l="1"/>
  <c r="E87" i="37" l="1"/>
  <c r="D87" i="37"/>
  <c r="C87" i="37"/>
  <c r="B87" i="37"/>
  <c r="F75" i="37"/>
  <c r="E73" i="37"/>
  <c r="F41" i="37"/>
  <c r="E41" i="37"/>
  <c r="D41" i="37"/>
  <c r="C41" i="37"/>
  <c r="O40" i="24" s="1"/>
  <c r="F39" i="37"/>
  <c r="E39" i="37"/>
  <c r="D39" i="37"/>
  <c r="C39" i="37"/>
  <c r="F37" i="37"/>
  <c r="E37" i="37"/>
  <c r="C37" i="37"/>
  <c r="G34" i="37"/>
  <c r="I34" i="37" s="1"/>
  <c r="G33" i="37"/>
  <c r="G32" i="37"/>
  <c r="G31" i="37"/>
  <c r="D37" i="37"/>
  <c r="G29" i="37"/>
  <c r="G28" i="37"/>
  <c r="G27" i="37"/>
  <c r="G26" i="37"/>
  <c r="G25" i="37"/>
  <c r="G24" i="37"/>
  <c r="G21" i="37"/>
  <c r="F21" i="37"/>
  <c r="E21" i="37"/>
  <c r="C21" i="37"/>
  <c r="O35" i="24" s="1"/>
  <c r="G19" i="37"/>
  <c r="F19" i="37"/>
  <c r="E19" i="37"/>
  <c r="C19" i="37"/>
  <c r="G17" i="37"/>
  <c r="F17" i="37"/>
  <c r="C17" i="37"/>
  <c r="H16" i="37"/>
  <c r="I16" i="37" s="1"/>
  <c r="H15" i="37"/>
  <c r="H75" i="37" s="1"/>
  <c r="I14" i="37"/>
  <c r="H13" i="37"/>
  <c r="H12" i="37"/>
  <c r="I73" i="37" s="1"/>
  <c r="H11" i="37"/>
  <c r="H10" i="37"/>
  <c r="H9" i="37"/>
  <c r="E17" i="37"/>
  <c r="H8" i="37"/>
  <c r="H7" i="37"/>
  <c r="F69" i="37" s="1"/>
  <c r="H6" i="37"/>
  <c r="H5" i="37"/>
  <c r="H4" i="37"/>
  <c r="H3" i="37"/>
  <c r="I3" i="37" s="1"/>
  <c r="E75" i="37" l="1"/>
  <c r="E69" i="37"/>
  <c r="I69" i="37"/>
  <c r="F65" i="37"/>
  <c r="E65" i="37"/>
  <c r="G41" i="37"/>
  <c r="G66" i="37"/>
  <c r="C66" i="37"/>
  <c r="D66" i="37"/>
  <c r="G70" i="37"/>
  <c r="C70" i="37"/>
  <c r="D70" i="37"/>
  <c r="G72" i="37"/>
  <c r="D72" i="37"/>
  <c r="C72" i="37"/>
  <c r="G75" i="37"/>
  <c r="C75" i="37"/>
  <c r="D75" i="37"/>
  <c r="I71" i="37"/>
  <c r="I74" i="37"/>
  <c r="G67" i="37"/>
  <c r="C67" i="37"/>
  <c r="D67" i="37"/>
  <c r="G73" i="37"/>
  <c r="C73" i="37"/>
  <c r="D73" i="37"/>
  <c r="I13" i="37"/>
  <c r="E67" i="37"/>
  <c r="E72" i="37"/>
  <c r="G68" i="37"/>
  <c r="D68" i="37"/>
  <c r="C68" i="37"/>
  <c r="G71" i="37"/>
  <c r="C71" i="37"/>
  <c r="D71" i="37"/>
  <c r="I11" i="37"/>
  <c r="F67" i="37"/>
  <c r="F72" i="37"/>
  <c r="E74" i="37"/>
  <c r="G65" i="37"/>
  <c r="D65" i="37"/>
  <c r="D78" i="37" s="1"/>
  <c r="C65" i="37"/>
  <c r="G69" i="37"/>
  <c r="C69" i="37"/>
  <c r="D69" i="37"/>
  <c r="I9" i="37"/>
  <c r="G74" i="37"/>
  <c r="C74" i="37"/>
  <c r="D74" i="37"/>
  <c r="I65" i="37"/>
  <c r="I67" i="37"/>
  <c r="E71" i="37"/>
  <c r="I72" i="37"/>
  <c r="F74" i="37"/>
  <c r="I75" i="37"/>
  <c r="G39" i="37"/>
  <c r="E66" i="37"/>
  <c r="I68" i="37"/>
  <c r="E70" i="37"/>
  <c r="F66" i="37"/>
  <c r="F78" i="37" s="1"/>
  <c r="F68" i="37"/>
  <c r="F70" i="37"/>
  <c r="F71" i="37"/>
  <c r="I5" i="37"/>
  <c r="I7" i="37"/>
  <c r="I15" i="37"/>
  <c r="G30" i="37"/>
  <c r="H65" i="37"/>
  <c r="H66" i="37"/>
  <c r="H67" i="37"/>
  <c r="H68" i="37"/>
  <c r="H69" i="37"/>
  <c r="H70" i="37"/>
  <c r="H71" i="37"/>
  <c r="H72" i="37"/>
  <c r="H73" i="37"/>
  <c r="H74" i="37"/>
  <c r="H19" i="37"/>
  <c r="I66" i="37"/>
  <c r="E68" i="37"/>
  <c r="I70" i="37"/>
  <c r="I4" i="37"/>
  <c r="I6" i="37"/>
  <c r="I8" i="37"/>
  <c r="F73" i="37"/>
  <c r="I10" i="37"/>
  <c r="I12" i="37"/>
  <c r="H17" i="37"/>
  <c r="H21" i="37"/>
  <c r="D86" i="35"/>
  <c r="D30" i="35"/>
  <c r="J73" i="37" l="1"/>
  <c r="H32" i="37" s="1"/>
  <c r="I32" i="37" s="1"/>
  <c r="G80" i="37"/>
  <c r="J75" i="37"/>
  <c r="E80" i="37"/>
  <c r="J69" i="37"/>
  <c r="H28" i="37" s="1"/>
  <c r="I28" i="37" s="1"/>
  <c r="D80" i="37"/>
  <c r="E76" i="37"/>
  <c r="D76" i="37"/>
  <c r="C78" i="37"/>
  <c r="C76" i="37"/>
  <c r="G78" i="37"/>
  <c r="J71" i="37"/>
  <c r="H30" i="37" s="1"/>
  <c r="I30" i="37" s="1"/>
  <c r="J74" i="37"/>
  <c r="H33" i="37" s="1"/>
  <c r="I33" i="37" s="1"/>
  <c r="I80" i="37"/>
  <c r="C80" i="37"/>
  <c r="I78" i="37"/>
  <c r="F80" i="37"/>
  <c r="G76" i="37"/>
  <c r="J67" i="37"/>
  <c r="H26" i="37" s="1"/>
  <c r="J72" i="37"/>
  <c r="H31" i="37" s="1"/>
  <c r="I31" i="37" s="1"/>
  <c r="I19" i="37"/>
  <c r="I17" i="37"/>
  <c r="F76" i="37"/>
  <c r="J66" i="37"/>
  <c r="H25" i="37" s="1"/>
  <c r="I25" i="37" s="1"/>
  <c r="I76" i="37"/>
  <c r="H78" i="37"/>
  <c r="H76" i="37"/>
  <c r="I21" i="37"/>
  <c r="O41" i="24" s="1"/>
  <c r="J70" i="37"/>
  <c r="H29" i="37" s="1"/>
  <c r="I29" i="37" s="1"/>
  <c r="H80" i="37"/>
  <c r="G37" i="37"/>
  <c r="J68" i="37"/>
  <c r="H27" i="37" s="1"/>
  <c r="I27" i="37" s="1"/>
  <c r="J65" i="37"/>
  <c r="E78" i="37"/>
  <c r="E87" i="35"/>
  <c r="C87" i="35"/>
  <c r="B87" i="35"/>
  <c r="D87" i="35"/>
  <c r="J80" i="37" l="1"/>
  <c r="J78" i="37"/>
  <c r="H24" i="37"/>
  <c r="J76" i="37"/>
  <c r="H41" i="37"/>
  <c r="I26" i="37"/>
  <c r="I41" i="37" s="1"/>
  <c r="O39" i="24" s="1"/>
  <c r="E9" i="35"/>
  <c r="H37" i="37" l="1"/>
  <c r="H39" i="37"/>
  <c r="I24" i="37"/>
  <c r="D70" i="35"/>
  <c r="D75" i="35"/>
  <c r="C75" i="35"/>
  <c r="C73" i="35"/>
  <c r="D73" i="35"/>
  <c r="C74" i="35"/>
  <c r="D74" i="35"/>
  <c r="D72" i="35"/>
  <c r="C72" i="35"/>
  <c r="C71" i="35"/>
  <c r="C66" i="35"/>
  <c r="D66" i="35"/>
  <c r="C67" i="35"/>
  <c r="D67" i="35"/>
  <c r="C68" i="35"/>
  <c r="D68" i="35"/>
  <c r="C69" i="35"/>
  <c r="D69" i="35"/>
  <c r="C70" i="35"/>
  <c r="D71" i="35"/>
  <c r="D65" i="35"/>
  <c r="C65" i="35"/>
  <c r="I39" i="37" l="1"/>
  <c r="I37" i="37"/>
  <c r="D80" i="35"/>
  <c r="C76" i="35"/>
  <c r="D78" i="35"/>
  <c r="D76" i="35"/>
  <c r="F75" i="35"/>
  <c r="E41" i="35"/>
  <c r="D41" i="35"/>
  <c r="C41" i="35"/>
  <c r="N40" i="24" s="1"/>
  <c r="F39" i="35"/>
  <c r="E39" i="35"/>
  <c r="D39" i="35"/>
  <c r="C39" i="35"/>
  <c r="E37" i="35"/>
  <c r="D37" i="35"/>
  <c r="C37" i="35"/>
  <c r="G34" i="35"/>
  <c r="I34" i="35" s="1"/>
  <c r="G33" i="35"/>
  <c r="G32" i="35"/>
  <c r="G31" i="35"/>
  <c r="G30" i="35"/>
  <c r="G29" i="35"/>
  <c r="G27" i="35"/>
  <c r="G26" i="35"/>
  <c r="G25" i="35"/>
  <c r="G24" i="35"/>
  <c r="F21" i="35"/>
  <c r="E21" i="35"/>
  <c r="C21" i="35"/>
  <c r="N35" i="24" s="1"/>
  <c r="G19" i="35"/>
  <c r="F19" i="35"/>
  <c r="E19" i="35"/>
  <c r="C19" i="35"/>
  <c r="F17" i="35"/>
  <c r="E17" i="35"/>
  <c r="C17" i="35"/>
  <c r="H16" i="35"/>
  <c r="I16" i="35" s="1"/>
  <c r="H15" i="35"/>
  <c r="H75" i="35" s="1"/>
  <c r="I14" i="35"/>
  <c r="H13" i="35"/>
  <c r="G75" i="35" s="1"/>
  <c r="H12" i="35"/>
  <c r="G74" i="35" s="1"/>
  <c r="H11" i="35"/>
  <c r="G73" i="35" s="1"/>
  <c r="H10" i="35"/>
  <c r="H9" i="35"/>
  <c r="G71" i="35" s="1"/>
  <c r="H8" i="35"/>
  <c r="G70" i="35" s="1"/>
  <c r="H6" i="35"/>
  <c r="G68" i="35" s="1"/>
  <c r="H5" i="35"/>
  <c r="H4" i="35"/>
  <c r="G66" i="35" s="1"/>
  <c r="H3" i="35"/>
  <c r="G65" i="35" s="1"/>
  <c r="I75" i="35" l="1"/>
  <c r="I15" i="35"/>
  <c r="H72" i="35"/>
  <c r="E75" i="35"/>
  <c r="J75" i="35" s="1"/>
  <c r="I10" i="35"/>
  <c r="G72" i="35"/>
  <c r="H74" i="35"/>
  <c r="H67" i="35"/>
  <c r="G67" i="35"/>
  <c r="G78" i="35"/>
  <c r="H71" i="35"/>
  <c r="H68" i="35"/>
  <c r="I66" i="35"/>
  <c r="E66" i="35"/>
  <c r="F66" i="35"/>
  <c r="H70" i="35"/>
  <c r="I8" i="35"/>
  <c r="I9" i="35"/>
  <c r="E67" i="35"/>
  <c r="E68" i="35"/>
  <c r="I68" i="35"/>
  <c r="I70" i="35"/>
  <c r="H73" i="35"/>
  <c r="I6" i="35"/>
  <c r="F68" i="35"/>
  <c r="E71" i="35"/>
  <c r="I73" i="35"/>
  <c r="I4" i="35"/>
  <c r="H66" i="35"/>
  <c r="E73" i="35"/>
  <c r="F65" i="35"/>
  <c r="I3" i="35"/>
  <c r="F41" i="35"/>
  <c r="G28" i="35"/>
  <c r="G37" i="35" s="1"/>
  <c r="F37" i="35"/>
  <c r="I65" i="35"/>
  <c r="F74" i="35"/>
  <c r="I74" i="35"/>
  <c r="E74" i="35"/>
  <c r="E65" i="35"/>
  <c r="G21" i="35"/>
  <c r="G17" i="35"/>
  <c r="H7" i="35"/>
  <c r="F72" i="35"/>
  <c r="I72" i="35"/>
  <c r="E72" i="35"/>
  <c r="I13" i="35"/>
  <c r="G39" i="35"/>
  <c r="F67" i="35"/>
  <c r="I5" i="35"/>
  <c r="F70" i="35"/>
  <c r="F71" i="35"/>
  <c r="I71" i="35"/>
  <c r="I11" i="35"/>
  <c r="H19" i="35"/>
  <c r="H65" i="35"/>
  <c r="I67" i="35"/>
  <c r="E70" i="35"/>
  <c r="F73" i="35"/>
  <c r="I12" i="35"/>
  <c r="F72" i="34"/>
  <c r="F28" i="34"/>
  <c r="G9" i="34"/>
  <c r="G68" i="34" s="1"/>
  <c r="G7" i="34"/>
  <c r="E9" i="34"/>
  <c r="H21" i="35" l="1"/>
  <c r="G69" i="35"/>
  <c r="G76" i="35" s="1"/>
  <c r="J68" i="35"/>
  <c r="H27" i="35" s="1"/>
  <c r="I27" i="35" s="1"/>
  <c r="H78" i="35"/>
  <c r="E78" i="35"/>
  <c r="I78" i="35"/>
  <c r="F78" i="35"/>
  <c r="J66" i="35"/>
  <c r="H25" i="35" s="1"/>
  <c r="I25" i="35" s="1"/>
  <c r="J73" i="35"/>
  <c r="H32" i="35" s="1"/>
  <c r="I32" i="35" s="1"/>
  <c r="J72" i="35"/>
  <c r="H31" i="35" s="1"/>
  <c r="I31" i="35" s="1"/>
  <c r="J70" i="35"/>
  <c r="H29" i="35" s="1"/>
  <c r="I29" i="35" s="1"/>
  <c r="C80" i="35"/>
  <c r="J67" i="35"/>
  <c r="I7" i="35"/>
  <c r="I17" i="35" s="1"/>
  <c r="F69" i="35"/>
  <c r="F80" i="35" s="1"/>
  <c r="E69" i="35"/>
  <c r="E76" i="35" s="1"/>
  <c r="I69" i="35"/>
  <c r="I80" i="35" s="1"/>
  <c r="H69" i="35"/>
  <c r="H76" i="35" s="1"/>
  <c r="H17" i="35"/>
  <c r="J74" i="35"/>
  <c r="H33" i="35" s="1"/>
  <c r="I33" i="35" s="1"/>
  <c r="G41" i="35"/>
  <c r="C78" i="35"/>
  <c r="J65" i="35"/>
  <c r="J71" i="35"/>
  <c r="H30" i="35" s="1"/>
  <c r="I30" i="35" s="1"/>
  <c r="I19" i="35"/>
  <c r="G71" i="34"/>
  <c r="G70" i="34"/>
  <c r="G69" i="34"/>
  <c r="G63" i="34"/>
  <c r="G64" i="34"/>
  <c r="G65" i="34"/>
  <c r="G66" i="34"/>
  <c r="G67" i="34"/>
  <c r="G62" i="34"/>
  <c r="E80" i="35" l="1"/>
  <c r="G80" i="35"/>
  <c r="H80" i="35"/>
  <c r="F76" i="35"/>
  <c r="I21" i="35"/>
  <c r="N41" i="24" s="1"/>
  <c r="I76" i="35"/>
  <c r="J78" i="35"/>
  <c r="H26" i="35"/>
  <c r="H24" i="35"/>
  <c r="J69" i="35"/>
  <c r="H28" i="35" s="1"/>
  <c r="I28" i="35" s="1"/>
  <c r="F41" i="34"/>
  <c r="E41" i="34"/>
  <c r="D41" i="34"/>
  <c r="C41" i="34"/>
  <c r="F39" i="34"/>
  <c r="E39" i="34"/>
  <c r="D39" i="34"/>
  <c r="C39" i="34"/>
  <c r="F37" i="34"/>
  <c r="E37" i="34"/>
  <c r="C37" i="34"/>
  <c r="I34" i="34"/>
  <c r="G34" i="34"/>
  <c r="G33" i="34"/>
  <c r="G32" i="34"/>
  <c r="G31" i="34"/>
  <c r="G30" i="34"/>
  <c r="D37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G17" i="34"/>
  <c r="F17" i="34"/>
  <c r="C17" i="34"/>
  <c r="H16" i="34"/>
  <c r="I16" i="34" s="1"/>
  <c r="H15" i="34"/>
  <c r="I14" i="34"/>
  <c r="H13" i="34"/>
  <c r="F71" i="34" s="1"/>
  <c r="H12" i="34"/>
  <c r="F70" i="34" s="1"/>
  <c r="I11" i="34"/>
  <c r="H11" i="34"/>
  <c r="H10" i="34"/>
  <c r="I10" i="34" s="1"/>
  <c r="H9" i="34"/>
  <c r="E17" i="34"/>
  <c r="H8" i="34"/>
  <c r="H7" i="34"/>
  <c r="H6" i="34"/>
  <c r="H5" i="34"/>
  <c r="H4" i="34"/>
  <c r="H3" i="34"/>
  <c r="E72" i="34" l="1"/>
  <c r="I72" i="34"/>
  <c r="I69" i="34"/>
  <c r="F69" i="34"/>
  <c r="J80" i="35"/>
  <c r="J76" i="35"/>
  <c r="H37" i="35"/>
  <c r="H39" i="35"/>
  <c r="I24" i="35"/>
  <c r="H41" i="35"/>
  <c r="I26" i="35"/>
  <c r="I41" i="35" s="1"/>
  <c r="N39" i="24" s="1"/>
  <c r="C68" i="34"/>
  <c r="H68" i="34"/>
  <c r="D68" i="34"/>
  <c r="E68" i="34"/>
  <c r="I68" i="34"/>
  <c r="F68" i="34"/>
  <c r="I71" i="34"/>
  <c r="I70" i="34"/>
  <c r="I67" i="34"/>
  <c r="F67" i="34"/>
  <c r="I66" i="34"/>
  <c r="F66" i="34"/>
  <c r="I65" i="34"/>
  <c r="F65" i="34"/>
  <c r="I64" i="34"/>
  <c r="F64" i="34"/>
  <c r="I63" i="34"/>
  <c r="F63" i="34"/>
  <c r="I62" i="34"/>
  <c r="I75" i="34" s="1"/>
  <c r="F62" i="34"/>
  <c r="F75" i="34" s="1"/>
  <c r="G41" i="34"/>
  <c r="I9" i="34"/>
  <c r="I13" i="34"/>
  <c r="G39" i="34"/>
  <c r="I8" i="34"/>
  <c r="G37" i="34"/>
  <c r="H19" i="34"/>
  <c r="I4" i="34"/>
  <c r="I12" i="34"/>
  <c r="H17" i="34"/>
  <c r="H21" i="34"/>
  <c r="C62" i="34"/>
  <c r="C63" i="34"/>
  <c r="C64" i="34"/>
  <c r="C65" i="34"/>
  <c r="C66" i="34"/>
  <c r="C67" i="34"/>
  <c r="C69" i="34"/>
  <c r="C70" i="34"/>
  <c r="C71" i="34"/>
  <c r="C72" i="34"/>
  <c r="H72" i="34"/>
  <c r="I6" i="34"/>
  <c r="I3" i="34"/>
  <c r="I5" i="34"/>
  <c r="I7" i="34"/>
  <c r="I15" i="34"/>
  <c r="D62" i="34"/>
  <c r="H62" i="34"/>
  <c r="D63" i="34"/>
  <c r="H63" i="34"/>
  <c r="D64" i="34"/>
  <c r="H64" i="34"/>
  <c r="D65" i="34"/>
  <c r="H65" i="34"/>
  <c r="D66" i="34"/>
  <c r="H66" i="34"/>
  <c r="D67" i="34"/>
  <c r="H67" i="34"/>
  <c r="D69" i="34"/>
  <c r="H69" i="34"/>
  <c r="D70" i="34"/>
  <c r="H70" i="34"/>
  <c r="D71" i="34"/>
  <c r="H71" i="34"/>
  <c r="D72" i="34"/>
  <c r="E62" i="34"/>
  <c r="E63" i="34"/>
  <c r="E64" i="34"/>
  <c r="E65" i="34"/>
  <c r="E66" i="34"/>
  <c r="E67" i="34"/>
  <c r="E69" i="34"/>
  <c r="E70" i="34"/>
  <c r="E71" i="34"/>
  <c r="F63" i="33"/>
  <c r="F64" i="33"/>
  <c r="F65" i="33"/>
  <c r="F66" i="33"/>
  <c r="F67" i="33"/>
  <c r="F68" i="33"/>
  <c r="F69" i="33"/>
  <c r="F70" i="33"/>
  <c r="F71" i="33"/>
  <c r="F72" i="33"/>
  <c r="F62" i="33"/>
  <c r="I77" i="34" l="1"/>
  <c r="I39" i="35"/>
  <c r="I37" i="35"/>
  <c r="F77" i="34"/>
  <c r="F73" i="34"/>
  <c r="I73" i="34"/>
  <c r="I17" i="34"/>
  <c r="I19" i="34"/>
  <c r="E77" i="34"/>
  <c r="J71" i="34"/>
  <c r="H33" i="34" s="1"/>
  <c r="I33" i="34" s="1"/>
  <c r="J69" i="34"/>
  <c r="H31" i="34" s="1"/>
  <c r="I31" i="34" s="1"/>
  <c r="J67" i="34"/>
  <c r="H29" i="34" s="1"/>
  <c r="I29" i="34" s="1"/>
  <c r="J65" i="34"/>
  <c r="H27" i="34" s="1"/>
  <c r="I27" i="34" s="1"/>
  <c r="J63" i="34"/>
  <c r="H25" i="34" s="1"/>
  <c r="I25" i="34" s="1"/>
  <c r="D75" i="34"/>
  <c r="D73" i="34"/>
  <c r="G77" i="34"/>
  <c r="G75" i="34"/>
  <c r="G73" i="34"/>
  <c r="D77" i="34"/>
  <c r="E75" i="34"/>
  <c r="E73" i="34"/>
  <c r="H77" i="34"/>
  <c r="H75" i="34"/>
  <c r="H73" i="34"/>
  <c r="I21" i="34"/>
  <c r="J72" i="34"/>
  <c r="J70" i="34"/>
  <c r="H32" i="34" s="1"/>
  <c r="I32" i="34" s="1"/>
  <c r="J68" i="34"/>
  <c r="H30" i="34" s="1"/>
  <c r="I30" i="34" s="1"/>
  <c r="J66" i="34"/>
  <c r="H28" i="34" s="1"/>
  <c r="I28" i="34" s="1"/>
  <c r="C77" i="34"/>
  <c r="J64" i="34"/>
  <c r="C75" i="34"/>
  <c r="C73" i="34"/>
  <c r="J62" i="34"/>
  <c r="D30" i="33"/>
  <c r="E9" i="33"/>
  <c r="J77" i="34" l="1"/>
  <c r="H26" i="34"/>
  <c r="J75" i="34"/>
  <c r="J73" i="34"/>
  <c r="H24" i="34"/>
  <c r="I72" i="33"/>
  <c r="D67" i="33"/>
  <c r="F41" i="33"/>
  <c r="E41" i="33"/>
  <c r="D41" i="33"/>
  <c r="C41" i="33"/>
  <c r="F39" i="33"/>
  <c r="E39" i="33"/>
  <c r="D39" i="33"/>
  <c r="C39" i="33"/>
  <c r="F37" i="33"/>
  <c r="E37" i="33"/>
  <c r="C37" i="33"/>
  <c r="G34" i="33"/>
  <c r="I34" i="33" s="1"/>
  <c r="G33" i="33"/>
  <c r="G32" i="33"/>
  <c r="G31" i="33"/>
  <c r="G29" i="33"/>
  <c r="G28" i="33"/>
  <c r="G27" i="33"/>
  <c r="G26" i="33"/>
  <c r="G25" i="33"/>
  <c r="G24" i="33"/>
  <c r="G21" i="33"/>
  <c r="F21" i="33"/>
  <c r="E21" i="33"/>
  <c r="C21" i="33"/>
  <c r="G19" i="33"/>
  <c r="F19" i="33"/>
  <c r="E19" i="33"/>
  <c r="C19" i="33"/>
  <c r="G17" i="33"/>
  <c r="F17" i="33"/>
  <c r="C17" i="33"/>
  <c r="H16" i="33"/>
  <c r="I16" i="33" s="1"/>
  <c r="H15" i="33"/>
  <c r="I14" i="33"/>
  <c r="H13" i="33"/>
  <c r="C71" i="33" s="1"/>
  <c r="H12" i="33"/>
  <c r="H11" i="33"/>
  <c r="H10" i="33"/>
  <c r="H9" i="33"/>
  <c r="H8" i="33"/>
  <c r="H7" i="33"/>
  <c r="I66" i="33" s="1"/>
  <c r="H6" i="33"/>
  <c r="H5" i="33"/>
  <c r="I64" i="33" s="1"/>
  <c r="H4" i="33"/>
  <c r="H3" i="33"/>
  <c r="E69" i="33" l="1"/>
  <c r="I69" i="33"/>
  <c r="G62" i="33"/>
  <c r="I62" i="33"/>
  <c r="E63" i="33"/>
  <c r="I63" i="33"/>
  <c r="I73" i="33" s="1"/>
  <c r="G70" i="33"/>
  <c r="I70" i="33"/>
  <c r="H70" i="33"/>
  <c r="E65" i="33"/>
  <c r="I65" i="33"/>
  <c r="E68" i="33"/>
  <c r="I68" i="33"/>
  <c r="H68" i="33"/>
  <c r="G68" i="33"/>
  <c r="E71" i="33"/>
  <c r="I71" i="33"/>
  <c r="H71" i="33"/>
  <c r="E67" i="33"/>
  <c r="I67" i="33"/>
  <c r="H41" i="34"/>
  <c r="I26" i="34"/>
  <c r="I41" i="34" s="1"/>
  <c r="H37" i="34"/>
  <c r="H39" i="34"/>
  <c r="I24" i="34"/>
  <c r="I8" i="33"/>
  <c r="C67" i="33"/>
  <c r="J67" i="33" s="1"/>
  <c r="G39" i="33"/>
  <c r="H67" i="33"/>
  <c r="I77" i="33"/>
  <c r="I75" i="33"/>
  <c r="I6" i="33"/>
  <c r="G63" i="33"/>
  <c r="I4" i="33"/>
  <c r="D63" i="33"/>
  <c r="G67" i="33"/>
  <c r="C69" i="33"/>
  <c r="G65" i="33"/>
  <c r="C65" i="33"/>
  <c r="H65" i="33"/>
  <c r="G69" i="33"/>
  <c r="C63" i="33"/>
  <c r="H63" i="33"/>
  <c r="D65" i="33"/>
  <c r="G71" i="33"/>
  <c r="E66" i="33"/>
  <c r="H66" i="33"/>
  <c r="D66" i="33"/>
  <c r="I7" i="33"/>
  <c r="G66" i="33"/>
  <c r="C66" i="33"/>
  <c r="E70" i="33"/>
  <c r="D70" i="33"/>
  <c r="C70" i="33"/>
  <c r="E72" i="33"/>
  <c r="D72" i="33"/>
  <c r="I15" i="33"/>
  <c r="H72" i="33"/>
  <c r="C72" i="33"/>
  <c r="H21" i="33"/>
  <c r="F75" i="33"/>
  <c r="E64" i="33"/>
  <c r="H64" i="33"/>
  <c r="D64" i="33"/>
  <c r="I5" i="33"/>
  <c r="G64" i="33"/>
  <c r="C64" i="33"/>
  <c r="C68" i="33"/>
  <c r="I12" i="33"/>
  <c r="E62" i="33"/>
  <c r="H19" i="33"/>
  <c r="H62" i="33"/>
  <c r="D62" i="33"/>
  <c r="I3" i="33"/>
  <c r="C62" i="33"/>
  <c r="J62" i="33" s="1"/>
  <c r="I10" i="33"/>
  <c r="H17" i="33"/>
  <c r="G41" i="33"/>
  <c r="G30" i="33"/>
  <c r="D37" i="33"/>
  <c r="I9" i="33"/>
  <c r="E17" i="33"/>
  <c r="D68" i="33"/>
  <c r="D69" i="33"/>
  <c r="H69" i="33"/>
  <c r="D71" i="33"/>
  <c r="I11" i="33"/>
  <c r="I13" i="33"/>
  <c r="D30" i="32"/>
  <c r="I37" i="34" l="1"/>
  <c r="I39" i="34"/>
  <c r="H29" i="33"/>
  <c r="I29" i="33" s="1"/>
  <c r="J63" i="33"/>
  <c r="H25" i="33" s="1"/>
  <c r="I25" i="33" s="1"/>
  <c r="J65" i="33"/>
  <c r="H27" i="33" s="1"/>
  <c r="I27" i="33" s="1"/>
  <c r="J71" i="33"/>
  <c r="H33" i="33" s="1"/>
  <c r="I33" i="33" s="1"/>
  <c r="F73" i="33"/>
  <c r="G77" i="33"/>
  <c r="I17" i="33"/>
  <c r="I19" i="33"/>
  <c r="E75" i="33"/>
  <c r="E73" i="33"/>
  <c r="D77" i="33"/>
  <c r="J72" i="33"/>
  <c r="G37" i="33"/>
  <c r="D75" i="33"/>
  <c r="D73" i="33"/>
  <c r="C77" i="33"/>
  <c r="J64" i="33"/>
  <c r="H77" i="33"/>
  <c r="J70" i="33"/>
  <c r="H32" i="33" s="1"/>
  <c r="I32" i="33" s="1"/>
  <c r="J69" i="33"/>
  <c r="H31" i="33" s="1"/>
  <c r="I31" i="33" s="1"/>
  <c r="C75" i="33"/>
  <c r="C73" i="33"/>
  <c r="H75" i="33"/>
  <c r="H73" i="33"/>
  <c r="E77" i="33"/>
  <c r="J66" i="33"/>
  <c r="H28" i="33" s="1"/>
  <c r="I28" i="33" s="1"/>
  <c r="F77" i="33"/>
  <c r="G75" i="33"/>
  <c r="G73" i="33"/>
  <c r="J68" i="33"/>
  <c r="H30" i="33" s="1"/>
  <c r="I30" i="33" s="1"/>
  <c r="I21" i="33"/>
  <c r="E9" i="32"/>
  <c r="J77" i="33" l="1"/>
  <c r="H26" i="33"/>
  <c r="J75" i="33"/>
  <c r="J73" i="33"/>
  <c r="H24" i="33"/>
  <c r="I72" i="32"/>
  <c r="I71" i="32"/>
  <c r="I70" i="32"/>
  <c r="I69" i="32"/>
  <c r="I68" i="32"/>
  <c r="I67" i="32"/>
  <c r="I66" i="32"/>
  <c r="I65" i="32"/>
  <c r="I64" i="32"/>
  <c r="I63" i="32"/>
  <c r="I62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29" i="32"/>
  <c r="G28" i="32"/>
  <c r="G27" i="32"/>
  <c r="G26" i="32"/>
  <c r="G25" i="32"/>
  <c r="G24" i="32"/>
  <c r="G21" i="32"/>
  <c r="F21" i="32"/>
  <c r="E21" i="32"/>
  <c r="C21" i="32"/>
  <c r="G19" i="32"/>
  <c r="F19" i="32"/>
  <c r="E19" i="32"/>
  <c r="C19" i="32"/>
  <c r="G17" i="32"/>
  <c r="F17" i="32"/>
  <c r="C17" i="32"/>
  <c r="H16" i="32"/>
  <c r="I16" i="32" s="1"/>
  <c r="H15" i="32"/>
  <c r="F72" i="32" s="1"/>
  <c r="I14" i="32"/>
  <c r="H13" i="32"/>
  <c r="E71" i="32" s="1"/>
  <c r="H12" i="32"/>
  <c r="F70" i="32" s="1"/>
  <c r="H11" i="32"/>
  <c r="E69" i="32" s="1"/>
  <c r="H10" i="32"/>
  <c r="H9" i="32"/>
  <c r="H8" i="32"/>
  <c r="E67" i="32" s="1"/>
  <c r="H7" i="32"/>
  <c r="F66" i="32" s="1"/>
  <c r="H6" i="32"/>
  <c r="E65" i="32" s="1"/>
  <c r="H5" i="32"/>
  <c r="F64" i="32" s="1"/>
  <c r="H4" i="32"/>
  <c r="E63" i="32" s="1"/>
  <c r="H3" i="32"/>
  <c r="F62" i="32" s="1"/>
  <c r="C69" i="32" l="1"/>
  <c r="G39" i="32"/>
  <c r="G69" i="32"/>
  <c r="H41" i="33"/>
  <c r="I26" i="33"/>
  <c r="I41" i="33" s="1"/>
  <c r="H37" i="33"/>
  <c r="I24" i="33"/>
  <c r="H39" i="33"/>
  <c r="F71" i="32"/>
  <c r="I77" i="32"/>
  <c r="F68" i="32"/>
  <c r="G67" i="32"/>
  <c r="D67" i="32"/>
  <c r="I8" i="32"/>
  <c r="F65" i="32"/>
  <c r="I75" i="32"/>
  <c r="D63" i="32"/>
  <c r="I4" i="32"/>
  <c r="G63" i="32"/>
  <c r="F63" i="32"/>
  <c r="F75" i="32" s="1"/>
  <c r="G65" i="32"/>
  <c r="C67" i="32"/>
  <c r="H67" i="32"/>
  <c r="F69" i="32"/>
  <c r="C71" i="32"/>
  <c r="I73" i="32"/>
  <c r="H17" i="32"/>
  <c r="C65" i="32"/>
  <c r="H65" i="32"/>
  <c r="I6" i="32"/>
  <c r="E68" i="32"/>
  <c r="C63" i="32"/>
  <c r="H63" i="32"/>
  <c r="D65" i="32"/>
  <c r="F67" i="32"/>
  <c r="G71" i="32"/>
  <c r="H21" i="32"/>
  <c r="I12" i="32"/>
  <c r="G41" i="32"/>
  <c r="G30" i="32"/>
  <c r="D37" i="32"/>
  <c r="E66" i="32"/>
  <c r="H66" i="32"/>
  <c r="D66" i="32"/>
  <c r="I7" i="32"/>
  <c r="G66" i="32"/>
  <c r="C66" i="32"/>
  <c r="E70" i="32"/>
  <c r="H70" i="32"/>
  <c r="D70" i="32"/>
  <c r="G70" i="32"/>
  <c r="C70" i="32"/>
  <c r="E72" i="32"/>
  <c r="D72" i="32"/>
  <c r="I15" i="32"/>
  <c r="H72" i="32"/>
  <c r="C72" i="32"/>
  <c r="E64" i="32"/>
  <c r="H64" i="32"/>
  <c r="D64" i="32"/>
  <c r="I5" i="32"/>
  <c r="G64" i="32"/>
  <c r="C64" i="32"/>
  <c r="G68" i="32"/>
  <c r="C68" i="32"/>
  <c r="E62" i="32"/>
  <c r="H19" i="32"/>
  <c r="H62" i="32"/>
  <c r="D62" i="32"/>
  <c r="I3" i="32"/>
  <c r="G62" i="32"/>
  <c r="C62" i="32"/>
  <c r="I10" i="32"/>
  <c r="I9" i="32"/>
  <c r="E17" i="32"/>
  <c r="D68" i="32"/>
  <c r="H68" i="32"/>
  <c r="D69" i="32"/>
  <c r="H69" i="32"/>
  <c r="D71" i="32"/>
  <c r="H71" i="32"/>
  <c r="I11" i="32"/>
  <c r="I13" i="32"/>
  <c r="I68" i="31"/>
  <c r="D30" i="31"/>
  <c r="E9" i="31"/>
  <c r="F77" i="32" l="1"/>
  <c r="I37" i="33"/>
  <c r="I39" i="33"/>
  <c r="F73" i="32"/>
  <c r="J67" i="32"/>
  <c r="H29" i="32" s="1"/>
  <c r="I29" i="32" s="1"/>
  <c r="J65" i="32"/>
  <c r="H27" i="32" s="1"/>
  <c r="I27" i="32" s="1"/>
  <c r="J63" i="32"/>
  <c r="H25" i="32" s="1"/>
  <c r="I25" i="32" s="1"/>
  <c r="J69" i="32"/>
  <c r="H31" i="32" s="1"/>
  <c r="I31" i="32" s="1"/>
  <c r="H77" i="32"/>
  <c r="G77" i="32"/>
  <c r="J72" i="32"/>
  <c r="J71" i="32"/>
  <c r="H33" i="32" s="1"/>
  <c r="I33" i="32" s="1"/>
  <c r="D75" i="32"/>
  <c r="D73" i="32"/>
  <c r="J68" i="32"/>
  <c r="H30" i="32" s="1"/>
  <c r="I30" i="32" s="1"/>
  <c r="I21" i="32"/>
  <c r="J70" i="32"/>
  <c r="H32" i="32" s="1"/>
  <c r="I32" i="32" s="1"/>
  <c r="G37" i="32"/>
  <c r="G75" i="32"/>
  <c r="G73" i="32"/>
  <c r="C77" i="32"/>
  <c r="J64" i="32"/>
  <c r="I17" i="32"/>
  <c r="I19" i="32"/>
  <c r="E75" i="32"/>
  <c r="E73" i="32"/>
  <c r="E77" i="32"/>
  <c r="C73" i="32"/>
  <c r="C75" i="32"/>
  <c r="J62" i="32"/>
  <c r="H75" i="32"/>
  <c r="H73" i="32"/>
  <c r="D77" i="32"/>
  <c r="J66" i="32"/>
  <c r="H28" i="32" s="1"/>
  <c r="I28" i="32" s="1"/>
  <c r="I72" i="31"/>
  <c r="I70" i="31"/>
  <c r="I71" i="31"/>
  <c r="I69" i="31"/>
  <c r="I63" i="31"/>
  <c r="I64" i="31"/>
  <c r="I65" i="31"/>
  <c r="I66" i="31"/>
  <c r="I67" i="31"/>
  <c r="I62" i="31"/>
  <c r="J75" i="32" l="1"/>
  <c r="J73" i="32"/>
  <c r="H24" i="32"/>
  <c r="J77" i="32"/>
  <c r="H26" i="32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G17" i="31"/>
  <c r="F17" i="31"/>
  <c r="C17" i="31"/>
  <c r="H16" i="31"/>
  <c r="I16" i="31" s="1"/>
  <c r="H15" i="31"/>
  <c r="I14" i="31"/>
  <c r="H13" i="31"/>
  <c r="F71" i="31" s="1"/>
  <c r="H12" i="31"/>
  <c r="H11" i="31"/>
  <c r="H10" i="31"/>
  <c r="H9" i="31"/>
  <c r="H8" i="31"/>
  <c r="G67" i="31" s="1"/>
  <c r="H7" i="31"/>
  <c r="H6" i="31"/>
  <c r="H5" i="31"/>
  <c r="G64" i="31" s="1"/>
  <c r="H4" i="31"/>
  <c r="H3" i="31"/>
  <c r="F62" i="31" s="1"/>
  <c r="F68" i="31" l="1"/>
  <c r="G68" i="31"/>
  <c r="H37" i="32"/>
  <c r="I24" i="32"/>
  <c r="H39" i="32"/>
  <c r="H41" i="32"/>
  <c r="I26" i="32"/>
  <c r="I41" i="32" s="1"/>
  <c r="G39" i="31"/>
  <c r="G71" i="31"/>
  <c r="H67" i="31"/>
  <c r="I8" i="31"/>
  <c r="C67" i="31"/>
  <c r="F67" i="31"/>
  <c r="D63" i="31"/>
  <c r="G65" i="31"/>
  <c r="C69" i="31"/>
  <c r="I6" i="31"/>
  <c r="C62" i="31"/>
  <c r="F63" i="31"/>
  <c r="F75" i="31" s="1"/>
  <c r="C65" i="31"/>
  <c r="H65" i="31"/>
  <c r="F69" i="31"/>
  <c r="I4" i="31"/>
  <c r="G63" i="31"/>
  <c r="D65" i="31"/>
  <c r="G69" i="31"/>
  <c r="C63" i="31"/>
  <c r="H63" i="31"/>
  <c r="F65" i="31"/>
  <c r="D67" i="31"/>
  <c r="C71" i="31"/>
  <c r="E66" i="31"/>
  <c r="H66" i="31"/>
  <c r="D66" i="31"/>
  <c r="I7" i="31"/>
  <c r="E70" i="31"/>
  <c r="H70" i="31"/>
  <c r="D70" i="31"/>
  <c r="G70" i="31"/>
  <c r="E72" i="31"/>
  <c r="D72" i="31"/>
  <c r="I15" i="31"/>
  <c r="H72" i="31"/>
  <c r="C72" i="31"/>
  <c r="H21" i="31"/>
  <c r="C66" i="31"/>
  <c r="E64" i="31"/>
  <c r="H64" i="31"/>
  <c r="D64" i="31"/>
  <c r="I5" i="31"/>
  <c r="I12" i="31"/>
  <c r="F66" i="31"/>
  <c r="F72" i="31"/>
  <c r="E62" i="31"/>
  <c r="H19" i="31"/>
  <c r="H62" i="31"/>
  <c r="D62" i="31"/>
  <c r="I3" i="31"/>
  <c r="I10" i="31"/>
  <c r="H17" i="31"/>
  <c r="G41" i="31"/>
  <c r="G62" i="31"/>
  <c r="C64" i="31"/>
  <c r="G66" i="31"/>
  <c r="C68" i="31"/>
  <c r="C70" i="31"/>
  <c r="I9" i="31"/>
  <c r="E17" i="31"/>
  <c r="G37" i="31"/>
  <c r="F64" i="31"/>
  <c r="F70" i="31"/>
  <c r="D68" i="31"/>
  <c r="H68" i="31"/>
  <c r="D69" i="31"/>
  <c r="H69" i="31"/>
  <c r="D71" i="31"/>
  <c r="H71" i="31"/>
  <c r="I11" i="31"/>
  <c r="I13" i="31"/>
  <c r="E63" i="31"/>
  <c r="E65" i="31"/>
  <c r="E67" i="31"/>
  <c r="E68" i="31"/>
  <c r="E69" i="31"/>
  <c r="E71" i="31"/>
  <c r="D30" i="30"/>
  <c r="I37" i="32" l="1"/>
  <c r="I39" i="32"/>
  <c r="J67" i="31"/>
  <c r="H29" i="31" s="1"/>
  <c r="I29" i="31" s="1"/>
  <c r="C75" i="31"/>
  <c r="J70" i="31"/>
  <c r="H32" i="31" s="1"/>
  <c r="I32" i="31" s="1"/>
  <c r="J65" i="31"/>
  <c r="H27" i="31" s="1"/>
  <c r="I27" i="31" s="1"/>
  <c r="J72" i="31"/>
  <c r="F73" i="31"/>
  <c r="G77" i="31"/>
  <c r="J63" i="31"/>
  <c r="H25" i="31" s="1"/>
  <c r="I25" i="31" s="1"/>
  <c r="J71" i="31"/>
  <c r="H33" i="31" s="1"/>
  <c r="I33" i="31" s="1"/>
  <c r="J68" i="31"/>
  <c r="H30" i="31" s="1"/>
  <c r="I30" i="31" s="1"/>
  <c r="I17" i="31"/>
  <c r="I19" i="31"/>
  <c r="E75" i="31"/>
  <c r="E73" i="31"/>
  <c r="I21" i="31"/>
  <c r="I77" i="31"/>
  <c r="G73" i="31"/>
  <c r="G75" i="31"/>
  <c r="E77" i="31"/>
  <c r="J69" i="31"/>
  <c r="H31" i="31" s="1"/>
  <c r="I31" i="31" s="1"/>
  <c r="F77" i="31"/>
  <c r="D75" i="31"/>
  <c r="D73" i="31"/>
  <c r="I75" i="31"/>
  <c r="I73" i="31"/>
  <c r="D77" i="31"/>
  <c r="C73" i="31"/>
  <c r="C77" i="31"/>
  <c r="J64" i="31"/>
  <c r="H75" i="31"/>
  <c r="H73" i="31"/>
  <c r="H77" i="31"/>
  <c r="J66" i="31"/>
  <c r="H28" i="31" s="1"/>
  <c r="I28" i="31" s="1"/>
  <c r="J62" i="31"/>
  <c r="E9" i="30"/>
  <c r="J77" i="31" l="1"/>
  <c r="H26" i="31"/>
  <c r="J75" i="31"/>
  <c r="J73" i="31"/>
  <c r="H24" i="31"/>
  <c r="M41" i="24"/>
  <c r="L41" i="24"/>
  <c r="K41" i="24"/>
  <c r="J41" i="24"/>
  <c r="M40" i="24"/>
  <c r="L40" i="24"/>
  <c r="K40" i="24"/>
  <c r="J40" i="24"/>
  <c r="M39" i="24"/>
  <c r="L39" i="24"/>
  <c r="K39" i="24"/>
  <c r="M35" i="24"/>
  <c r="L35" i="24"/>
  <c r="K35" i="24"/>
  <c r="J35" i="24"/>
  <c r="M19" i="24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F41" i="30"/>
  <c r="E41" i="30"/>
  <c r="D41" i="30"/>
  <c r="C41" i="30"/>
  <c r="I40" i="24" s="1"/>
  <c r="F39" i="30"/>
  <c r="E39" i="30"/>
  <c r="D39" i="30"/>
  <c r="C39" i="30"/>
  <c r="I18" i="24" s="1"/>
  <c r="F37" i="30"/>
  <c r="E37" i="30"/>
  <c r="D37" i="30"/>
  <c r="C37" i="30"/>
  <c r="G34" i="30"/>
  <c r="I34" i="30" s="1"/>
  <c r="G33" i="30"/>
  <c r="G32" i="30"/>
  <c r="G31" i="30"/>
  <c r="G30" i="30"/>
  <c r="G29" i="30"/>
  <c r="G28" i="30"/>
  <c r="G27" i="30"/>
  <c r="G26" i="30"/>
  <c r="G25" i="30"/>
  <c r="G24" i="30"/>
  <c r="G39" i="30" s="1"/>
  <c r="G21" i="30"/>
  <c r="F21" i="30"/>
  <c r="E21" i="30"/>
  <c r="C21" i="30"/>
  <c r="I35" i="24" s="1"/>
  <c r="G19" i="30"/>
  <c r="F19" i="30"/>
  <c r="E19" i="30"/>
  <c r="C19" i="30"/>
  <c r="I13" i="24" s="1"/>
  <c r="G17" i="30"/>
  <c r="F17" i="30"/>
  <c r="C17" i="30"/>
  <c r="H16" i="30"/>
  <c r="I16" i="30" s="1"/>
  <c r="H15" i="30"/>
  <c r="I14" i="30"/>
  <c r="H13" i="30"/>
  <c r="I70" i="30" s="1"/>
  <c r="H12" i="30"/>
  <c r="H11" i="30"/>
  <c r="I68" i="30" s="1"/>
  <c r="H10" i="30"/>
  <c r="H9" i="30"/>
  <c r="I67" i="30" s="1"/>
  <c r="H8" i="30"/>
  <c r="I66" i="30" s="1"/>
  <c r="H7" i="30"/>
  <c r="H6" i="30"/>
  <c r="I64" i="30" s="1"/>
  <c r="H5" i="30"/>
  <c r="G63" i="30" s="1"/>
  <c r="H4" i="30"/>
  <c r="I62" i="30" s="1"/>
  <c r="H3" i="30"/>
  <c r="F61" i="30" s="1"/>
  <c r="G68" i="30" l="1"/>
  <c r="F68" i="30"/>
  <c r="H41" i="31"/>
  <c r="I26" i="31"/>
  <c r="I41" i="31" s="1"/>
  <c r="J39" i="24" s="1"/>
  <c r="I24" i="31"/>
  <c r="H39" i="31"/>
  <c r="H37" i="31"/>
  <c r="F64" i="30"/>
  <c r="C61" i="30"/>
  <c r="G70" i="30"/>
  <c r="H66" i="30"/>
  <c r="C66" i="30"/>
  <c r="G66" i="30"/>
  <c r="H64" i="30"/>
  <c r="I6" i="30"/>
  <c r="C64" i="30"/>
  <c r="D64" i="30"/>
  <c r="F62" i="30"/>
  <c r="F74" i="30" s="1"/>
  <c r="I4" i="30"/>
  <c r="G62" i="30"/>
  <c r="F67" i="30"/>
  <c r="C62" i="30"/>
  <c r="C74" i="30" s="1"/>
  <c r="H62" i="30"/>
  <c r="D66" i="30"/>
  <c r="G67" i="30"/>
  <c r="C70" i="30"/>
  <c r="I8" i="30"/>
  <c r="D62" i="30"/>
  <c r="G64" i="30"/>
  <c r="F66" i="30"/>
  <c r="C68" i="30"/>
  <c r="F70" i="30"/>
  <c r="I65" i="30"/>
  <c r="E65" i="30"/>
  <c r="H65" i="30"/>
  <c r="D65" i="30"/>
  <c r="I7" i="30"/>
  <c r="I69" i="30"/>
  <c r="E69" i="30"/>
  <c r="H69" i="30"/>
  <c r="D69" i="30"/>
  <c r="G69" i="30"/>
  <c r="E71" i="30"/>
  <c r="I71" i="30"/>
  <c r="D71" i="30"/>
  <c r="I15" i="30"/>
  <c r="H71" i="30"/>
  <c r="C71" i="30"/>
  <c r="H21" i="30"/>
  <c r="C65" i="30"/>
  <c r="I63" i="30"/>
  <c r="E63" i="30"/>
  <c r="H63" i="30"/>
  <c r="D63" i="30"/>
  <c r="I5" i="30"/>
  <c r="I12" i="30"/>
  <c r="F65" i="30"/>
  <c r="F71" i="30"/>
  <c r="I61" i="30"/>
  <c r="E61" i="30"/>
  <c r="H19" i="30"/>
  <c r="H61" i="30"/>
  <c r="D61" i="30"/>
  <c r="I3" i="30"/>
  <c r="I10" i="30"/>
  <c r="H17" i="30"/>
  <c r="G41" i="30"/>
  <c r="G61" i="30"/>
  <c r="C63" i="30"/>
  <c r="G65" i="30"/>
  <c r="C67" i="30"/>
  <c r="C69" i="30"/>
  <c r="I9" i="30"/>
  <c r="E17" i="30"/>
  <c r="G37" i="30"/>
  <c r="F63" i="30"/>
  <c r="F69" i="30"/>
  <c r="D67" i="30"/>
  <c r="H67" i="30"/>
  <c r="D68" i="30"/>
  <c r="H68" i="30"/>
  <c r="D70" i="30"/>
  <c r="H70" i="30"/>
  <c r="I11" i="30"/>
  <c r="I13" i="30"/>
  <c r="E62" i="30"/>
  <c r="E64" i="30"/>
  <c r="E66" i="30"/>
  <c r="E67" i="30"/>
  <c r="E68" i="30"/>
  <c r="E70" i="30"/>
  <c r="D30" i="29"/>
  <c r="E9" i="29"/>
  <c r="J64" i="30" l="1"/>
  <c r="H27" i="30" s="1"/>
  <c r="I27" i="30" s="1"/>
  <c r="I37" i="31"/>
  <c r="I39" i="31"/>
  <c r="J17" i="24" s="1"/>
  <c r="J69" i="30"/>
  <c r="H32" i="30" s="1"/>
  <c r="I32" i="30" s="1"/>
  <c r="G76" i="30"/>
  <c r="J62" i="30"/>
  <c r="H25" i="30" s="1"/>
  <c r="I25" i="30" s="1"/>
  <c r="J70" i="30"/>
  <c r="H33" i="30" s="1"/>
  <c r="I33" i="30" s="1"/>
  <c r="J66" i="30"/>
  <c r="H29" i="30" s="1"/>
  <c r="I29" i="30" s="1"/>
  <c r="F72" i="30"/>
  <c r="G72" i="30"/>
  <c r="G74" i="30"/>
  <c r="E76" i="30"/>
  <c r="J67" i="30"/>
  <c r="H30" i="30" s="1"/>
  <c r="I30" i="30" s="1"/>
  <c r="I17" i="30"/>
  <c r="I19" i="30"/>
  <c r="I19" i="24" s="1"/>
  <c r="E74" i="30"/>
  <c r="E72" i="30"/>
  <c r="I21" i="30"/>
  <c r="I41" i="24" s="1"/>
  <c r="I76" i="30"/>
  <c r="J68" i="30"/>
  <c r="H31" i="30" s="1"/>
  <c r="I31" i="30" s="1"/>
  <c r="F76" i="30"/>
  <c r="D74" i="30"/>
  <c r="D72" i="30"/>
  <c r="I74" i="30"/>
  <c r="I72" i="30"/>
  <c r="D76" i="30"/>
  <c r="J71" i="30"/>
  <c r="C72" i="30"/>
  <c r="C76" i="30"/>
  <c r="J63" i="30"/>
  <c r="H74" i="30"/>
  <c r="H72" i="30"/>
  <c r="H76" i="30"/>
  <c r="J65" i="30"/>
  <c r="H28" i="30" s="1"/>
  <c r="I28" i="30" s="1"/>
  <c r="J61" i="30"/>
  <c r="H26" i="24"/>
  <c r="I26" i="24" s="1"/>
  <c r="I48" i="24" s="1"/>
  <c r="F41" i="29"/>
  <c r="E41" i="29"/>
  <c r="D41" i="29"/>
  <c r="C41" i="29"/>
  <c r="F39" i="29"/>
  <c r="E39" i="29"/>
  <c r="D39" i="29"/>
  <c r="C39" i="29"/>
  <c r="F37" i="29"/>
  <c r="E37" i="29"/>
  <c r="D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C21" i="29"/>
  <c r="G19" i="29"/>
  <c r="F19" i="29"/>
  <c r="E19" i="29"/>
  <c r="C19" i="29"/>
  <c r="G17" i="29"/>
  <c r="F17" i="29"/>
  <c r="C17" i="29"/>
  <c r="H16" i="29"/>
  <c r="I16" i="29" s="1"/>
  <c r="H15" i="29"/>
  <c r="I14" i="29"/>
  <c r="H13" i="29"/>
  <c r="I70" i="29" s="1"/>
  <c r="H12" i="29"/>
  <c r="H11" i="29"/>
  <c r="I68" i="29" s="1"/>
  <c r="H10" i="29"/>
  <c r="H9" i="29"/>
  <c r="H8" i="29"/>
  <c r="I66" i="29" s="1"/>
  <c r="H7" i="29"/>
  <c r="H6" i="29"/>
  <c r="I64" i="29" s="1"/>
  <c r="H5" i="29"/>
  <c r="G63" i="29" s="1"/>
  <c r="H4" i="29"/>
  <c r="I62" i="29" s="1"/>
  <c r="H3" i="29"/>
  <c r="F61" i="29" s="1"/>
  <c r="J74" i="30" l="1"/>
  <c r="J72" i="30"/>
  <c r="H24" i="30"/>
  <c r="J76" i="30"/>
  <c r="H26" i="30"/>
  <c r="C66" i="29"/>
  <c r="I8" i="29"/>
  <c r="G66" i="29"/>
  <c r="G68" i="29"/>
  <c r="I67" i="29"/>
  <c r="D66" i="29"/>
  <c r="F68" i="29"/>
  <c r="G39" i="29"/>
  <c r="G70" i="29"/>
  <c r="H66" i="29"/>
  <c r="F62" i="29"/>
  <c r="F74" i="29" s="1"/>
  <c r="C61" i="29"/>
  <c r="C74" i="29" s="1"/>
  <c r="C64" i="29"/>
  <c r="H64" i="29"/>
  <c r="I6" i="29"/>
  <c r="G62" i="29"/>
  <c r="D64" i="29"/>
  <c r="I4" i="29"/>
  <c r="F67" i="29"/>
  <c r="C62" i="29"/>
  <c r="H62" i="29"/>
  <c r="F64" i="29"/>
  <c r="G67" i="29"/>
  <c r="C70" i="29"/>
  <c r="D62" i="29"/>
  <c r="G64" i="29"/>
  <c r="F66" i="29"/>
  <c r="C68" i="29"/>
  <c r="F70" i="29"/>
  <c r="I65" i="29"/>
  <c r="E65" i="29"/>
  <c r="H65" i="29"/>
  <c r="D65" i="29"/>
  <c r="I7" i="29"/>
  <c r="I69" i="29"/>
  <c r="E69" i="29"/>
  <c r="H69" i="29"/>
  <c r="D69" i="29"/>
  <c r="G69" i="29"/>
  <c r="E71" i="29"/>
  <c r="I71" i="29"/>
  <c r="D71" i="29"/>
  <c r="I15" i="29"/>
  <c r="H71" i="29"/>
  <c r="C71" i="29"/>
  <c r="H21" i="29"/>
  <c r="C65" i="29"/>
  <c r="I63" i="29"/>
  <c r="E63" i="29"/>
  <c r="H63" i="29"/>
  <c r="D63" i="29"/>
  <c r="I5" i="29"/>
  <c r="I12" i="29"/>
  <c r="F65" i="29"/>
  <c r="F71" i="29"/>
  <c r="I61" i="29"/>
  <c r="E61" i="29"/>
  <c r="H19" i="29"/>
  <c r="H61" i="29"/>
  <c r="D61" i="29"/>
  <c r="I3" i="29"/>
  <c r="I10" i="29"/>
  <c r="H17" i="29"/>
  <c r="G41" i="29"/>
  <c r="G61" i="29"/>
  <c r="C63" i="29"/>
  <c r="G65" i="29"/>
  <c r="C67" i="29"/>
  <c r="C69" i="29"/>
  <c r="I9" i="29"/>
  <c r="E17" i="29"/>
  <c r="G37" i="29"/>
  <c r="F63" i="29"/>
  <c r="F69" i="29"/>
  <c r="D67" i="29"/>
  <c r="H67" i="29"/>
  <c r="D68" i="29"/>
  <c r="H68" i="29"/>
  <c r="D70" i="29"/>
  <c r="H70" i="29"/>
  <c r="I11" i="29"/>
  <c r="I13" i="29"/>
  <c r="E62" i="29"/>
  <c r="E64" i="29"/>
  <c r="E66" i="29"/>
  <c r="E67" i="29"/>
  <c r="E68" i="29"/>
  <c r="E70" i="29"/>
  <c r="D32" i="28"/>
  <c r="E10" i="28"/>
  <c r="I24" i="30" l="1"/>
  <c r="H39" i="30"/>
  <c r="H37" i="30"/>
  <c r="H41" i="30"/>
  <c r="I26" i="30"/>
  <c r="I41" i="30" s="1"/>
  <c r="I39" i="24" s="1"/>
  <c r="J66" i="29"/>
  <c r="H29" i="29" s="1"/>
  <c r="I29" i="29" s="1"/>
  <c r="J64" i="29"/>
  <c r="H27" i="29" s="1"/>
  <c r="I27" i="29" s="1"/>
  <c r="J62" i="29"/>
  <c r="H25" i="29" s="1"/>
  <c r="I25" i="29" s="1"/>
  <c r="J69" i="29"/>
  <c r="H32" i="29" s="1"/>
  <c r="I32" i="29" s="1"/>
  <c r="G76" i="29"/>
  <c r="J70" i="29"/>
  <c r="H33" i="29" s="1"/>
  <c r="I33" i="29" s="1"/>
  <c r="F72" i="29"/>
  <c r="G72" i="29"/>
  <c r="G74" i="29"/>
  <c r="F76" i="29"/>
  <c r="I74" i="29"/>
  <c r="I72" i="29"/>
  <c r="D76" i="29"/>
  <c r="J71" i="29"/>
  <c r="E76" i="29"/>
  <c r="J67" i="29"/>
  <c r="H30" i="29" s="1"/>
  <c r="I30" i="29" s="1"/>
  <c r="I17" i="29"/>
  <c r="I19" i="29"/>
  <c r="E74" i="29"/>
  <c r="E72" i="29"/>
  <c r="I21" i="29"/>
  <c r="I76" i="29"/>
  <c r="J68" i="29"/>
  <c r="H31" i="29" s="1"/>
  <c r="I31" i="29" s="1"/>
  <c r="D74" i="29"/>
  <c r="D72" i="29"/>
  <c r="C72" i="29"/>
  <c r="C76" i="29"/>
  <c r="J63" i="29"/>
  <c r="H74" i="29"/>
  <c r="H72" i="29"/>
  <c r="H76" i="29"/>
  <c r="J65" i="29"/>
  <c r="H28" i="29" s="1"/>
  <c r="I28" i="29" s="1"/>
  <c r="J61" i="29"/>
  <c r="H69" i="28"/>
  <c r="F43" i="28"/>
  <c r="E43" i="28"/>
  <c r="D43" i="28"/>
  <c r="C43" i="28"/>
  <c r="F41" i="28"/>
  <c r="E41" i="28"/>
  <c r="D41" i="28"/>
  <c r="C41" i="28"/>
  <c r="F39" i="28"/>
  <c r="E39" i="28"/>
  <c r="C39" i="28"/>
  <c r="G36" i="28"/>
  <c r="I36" i="28" s="1"/>
  <c r="G35" i="28"/>
  <c r="G34" i="28"/>
  <c r="G33" i="28"/>
  <c r="G32" i="28"/>
  <c r="D39" i="28"/>
  <c r="G31" i="28"/>
  <c r="G30" i="28"/>
  <c r="G29" i="28"/>
  <c r="G28" i="28"/>
  <c r="G27" i="28"/>
  <c r="G26" i="28"/>
  <c r="G41" i="28" s="1"/>
  <c r="G22" i="28"/>
  <c r="F22" i="28"/>
  <c r="E22" i="28"/>
  <c r="C22" i="28"/>
  <c r="G20" i="28"/>
  <c r="F20" i="28"/>
  <c r="E20" i="28"/>
  <c r="C20" i="28"/>
  <c r="G18" i="28"/>
  <c r="F18" i="28"/>
  <c r="E18" i="28"/>
  <c r="C18" i="28"/>
  <c r="H17" i="28"/>
  <c r="I17" i="28" s="1"/>
  <c r="H16" i="28"/>
  <c r="H73" i="28" s="1"/>
  <c r="I15" i="28"/>
  <c r="H14" i="28"/>
  <c r="E72" i="28" s="1"/>
  <c r="H13" i="28"/>
  <c r="G71" i="28" s="1"/>
  <c r="H12" i="28"/>
  <c r="I70" i="28" s="1"/>
  <c r="H11" i="28"/>
  <c r="I11" i="28" s="1"/>
  <c r="H10" i="28"/>
  <c r="I10" i="28" s="1"/>
  <c r="H9" i="28"/>
  <c r="E68" i="28" s="1"/>
  <c r="H8" i="28"/>
  <c r="G67" i="28" s="1"/>
  <c r="H7" i="28"/>
  <c r="D66" i="28" s="1"/>
  <c r="H6" i="28"/>
  <c r="G65" i="28" s="1"/>
  <c r="H5" i="28"/>
  <c r="D64" i="28" s="1"/>
  <c r="H4" i="28"/>
  <c r="G63" i="28" s="1"/>
  <c r="I37" i="30" l="1"/>
  <c r="I39" i="30"/>
  <c r="I17" i="24" s="1"/>
  <c r="J74" i="29"/>
  <c r="J72" i="29"/>
  <c r="H24" i="29"/>
  <c r="J76" i="29"/>
  <c r="H26" i="29"/>
  <c r="F65" i="28"/>
  <c r="D63" i="28"/>
  <c r="D76" i="28" s="1"/>
  <c r="H72" i="28"/>
  <c r="D71" i="28"/>
  <c r="F67" i="28"/>
  <c r="E65" i="28"/>
  <c r="E63" i="28"/>
  <c r="E76" i="28" s="1"/>
  <c r="I4" i="28"/>
  <c r="I63" i="28"/>
  <c r="I16" i="28"/>
  <c r="I66" i="28"/>
  <c r="I69" i="28"/>
  <c r="E71" i="28"/>
  <c r="I8" i="28"/>
  <c r="F63" i="28"/>
  <c r="E64" i="28"/>
  <c r="H65" i="28"/>
  <c r="D67" i="28"/>
  <c r="I67" i="28"/>
  <c r="H70" i="28"/>
  <c r="H71" i="28"/>
  <c r="E73" i="28"/>
  <c r="I73" i="28"/>
  <c r="H67" i="28"/>
  <c r="D73" i="28"/>
  <c r="I6" i="28"/>
  <c r="H20" i="28"/>
  <c r="H63" i="28"/>
  <c r="D65" i="28"/>
  <c r="I65" i="28"/>
  <c r="E67" i="28"/>
  <c r="H68" i="28"/>
  <c r="I71" i="28"/>
  <c r="F73" i="28"/>
  <c r="G66" i="28"/>
  <c r="C66" i="28"/>
  <c r="F66" i="28"/>
  <c r="I7" i="28"/>
  <c r="G70" i="28"/>
  <c r="C70" i="28"/>
  <c r="F70" i="28"/>
  <c r="I14" i="28"/>
  <c r="G64" i="28"/>
  <c r="G76" i="28" s="1"/>
  <c r="C64" i="28"/>
  <c r="F64" i="28"/>
  <c r="I5" i="28"/>
  <c r="G69" i="28"/>
  <c r="C69" i="28"/>
  <c r="F69" i="28"/>
  <c r="I12" i="28"/>
  <c r="I64" i="28"/>
  <c r="I76" i="28" s="1"/>
  <c r="H66" i="28"/>
  <c r="E69" i="28"/>
  <c r="E70" i="28"/>
  <c r="G68" i="28"/>
  <c r="C68" i="28"/>
  <c r="F68" i="28"/>
  <c r="I9" i="28"/>
  <c r="G72" i="28"/>
  <c r="C72" i="28"/>
  <c r="F72" i="28"/>
  <c r="I72" i="28"/>
  <c r="G43" i="28"/>
  <c r="I68" i="28"/>
  <c r="G39" i="28"/>
  <c r="H64" i="28"/>
  <c r="E66" i="28"/>
  <c r="D68" i="28"/>
  <c r="D69" i="28"/>
  <c r="D70" i="28"/>
  <c r="D72" i="28"/>
  <c r="F71" i="28"/>
  <c r="I13" i="28"/>
  <c r="H18" i="28"/>
  <c r="H22" i="28"/>
  <c r="C63" i="28"/>
  <c r="C65" i="28"/>
  <c r="C67" i="28"/>
  <c r="C71" i="28"/>
  <c r="C73" i="28"/>
  <c r="D32" i="27"/>
  <c r="C22" i="27"/>
  <c r="C20" i="27"/>
  <c r="E10" i="27"/>
  <c r="I24" i="29" l="1"/>
  <c r="H39" i="29"/>
  <c r="H37" i="29"/>
  <c r="H41" i="29"/>
  <c r="I26" i="29"/>
  <c r="I41" i="29" s="1"/>
  <c r="H78" i="28"/>
  <c r="G78" i="28"/>
  <c r="D78" i="28"/>
  <c r="I18" i="28"/>
  <c r="I20" i="28"/>
  <c r="J67" i="28"/>
  <c r="H30" i="28" s="1"/>
  <c r="I30" i="28" s="1"/>
  <c r="H74" i="28"/>
  <c r="J73" i="28"/>
  <c r="I78" i="28"/>
  <c r="I22" i="28"/>
  <c r="J71" i="28"/>
  <c r="H34" i="28" s="1"/>
  <c r="I34" i="28" s="1"/>
  <c r="D74" i="28"/>
  <c r="E74" i="28"/>
  <c r="J68" i="28"/>
  <c r="H31" i="28" s="1"/>
  <c r="I31" i="28" s="1"/>
  <c r="G74" i="28"/>
  <c r="I74" i="28"/>
  <c r="C76" i="28"/>
  <c r="C74" i="28"/>
  <c r="J63" i="28"/>
  <c r="H76" i="28"/>
  <c r="J69" i="28"/>
  <c r="H32" i="28" s="1"/>
  <c r="I32" i="28" s="1"/>
  <c r="J64" i="28"/>
  <c r="H27" i="28" s="1"/>
  <c r="I27" i="28" s="1"/>
  <c r="J70" i="28"/>
  <c r="H33" i="28" s="1"/>
  <c r="I33" i="28" s="1"/>
  <c r="J66" i="28"/>
  <c r="H29" i="28" s="1"/>
  <c r="I29" i="28" s="1"/>
  <c r="E78" i="28"/>
  <c r="J72" i="28"/>
  <c r="H35" i="28" s="1"/>
  <c r="I35" i="28" s="1"/>
  <c r="C78" i="28"/>
  <c r="J65" i="28"/>
  <c r="F76" i="28"/>
  <c r="F74" i="28"/>
  <c r="F78" i="28"/>
  <c r="F48" i="24"/>
  <c r="F43" i="27"/>
  <c r="E43" i="27"/>
  <c r="D43" i="27"/>
  <c r="C43" i="27"/>
  <c r="F41" i="27"/>
  <c r="E41" i="27"/>
  <c r="D41" i="27"/>
  <c r="C41" i="27"/>
  <c r="F39" i="27"/>
  <c r="E39" i="27"/>
  <c r="D39" i="27"/>
  <c r="C39" i="27"/>
  <c r="G36" i="27"/>
  <c r="I36" i="27" s="1"/>
  <c r="G35" i="27"/>
  <c r="G34" i="27"/>
  <c r="G33" i="27"/>
  <c r="G32" i="27"/>
  <c r="G31" i="27"/>
  <c r="G30" i="27"/>
  <c r="G29" i="27"/>
  <c r="G28" i="27"/>
  <c r="G27" i="27"/>
  <c r="G26" i="27"/>
  <c r="G22" i="27"/>
  <c r="F22" i="27"/>
  <c r="E22" i="27"/>
  <c r="G20" i="27"/>
  <c r="F20" i="27"/>
  <c r="E20" i="27"/>
  <c r="G18" i="27"/>
  <c r="F18" i="27"/>
  <c r="C18" i="27"/>
  <c r="H17" i="27"/>
  <c r="I17" i="27" s="1"/>
  <c r="H16" i="27"/>
  <c r="I15" i="27"/>
  <c r="H14" i="27"/>
  <c r="H13" i="27"/>
  <c r="H12" i="27"/>
  <c r="H11" i="27"/>
  <c r="H10" i="27"/>
  <c r="E18" i="27"/>
  <c r="H9" i="27"/>
  <c r="H8" i="27"/>
  <c r="H7" i="27"/>
  <c r="H6" i="27"/>
  <c r="H5" i="27"/>
  <c r="H4" i="27"/>
  <c r="E69" i="27" l="1"/>
  <c r="F69" i="27"/>
  <c r="G69" i="27"/>
  <c r="H69" i="27"/>
  <c r="C69" i="27"/>
  <c r="I69" i="27"/>
  <c r="D69" i="27"/>
  <c r="D68" i="27"/>
  <c r="E68" i="27"/>
  <c r="C68" i="27"/>
  <c r="I68" i="27"/>
  <c r="F68" i="27"/>
  <c r="G68" i="27"/>
  <c r="H68" i="27"/>
  <c r="D64" i="27"/>
  <c r="C64" i="27"/>
  <c r="E64" i="27"/>
  <c r="F64" i="27"/>
  <c r="H64" i="27"/>
  <c r="I64" i="27"/>
  <c r="G64" i="27"/>
  <c r="G70" i="27"/>
  <c r="C70" i="27"/>
  <c r="H70" i="27"/>
  <c r="I70" i="27"/>
  <c r="D70" i="27"/>
  <c r="E70" i="27"/>
  <c r="F70" i="27"/>
  <c r="I12" i="27"/>
  <c r="E73" i="27"/>
  <c r="F73" i="27"/>
  <c r="H73" i="27"/>
  <c r="I73" i="27"/>
  <c r="C73" i="27"/>
  <c r="D73" i="27"/>
  <c r="I63" i="27"/>
  <c r="D63" i="27"/>
  <c r="C63" i="27"/>
  <c r="E63" i="27"/>
  <c r="F63" i="27"/>
  <c r="H63" i="27"/>
  <c r="G63" i="27"/>
  <c r="E65" i="27"/>
  <c r="F65" i="27"/>
  <c r="G65" i="27"/>
  <c r="C65" i="27"/>
  <c r="H65" i="27"/>
  <c r="I65" i="27"/>
  <c r="D65" i="27"/>
  <c r="D78" i="27" s="1"/>
  <c r="G66" i="27"/>
  <c r="H66" i="27"/>
  <c r="I66" i="27"/>
  <c r="F66" i="27"/>
  <c r="C66" i="27"/>
  <c r="E66" i="27"/>
  <c r="D66" i="27"/>
  <c r="I71" i="27"/>
  <c r="F71" i="27"/>
  <c r="H71" i="27"/>
  <c r="D71" i="27"/>
  <c r="E71" i="27"/>
  <c r="C71" i="27"/>
  <c r="G71" i="27"/>
  <c r="I67" i="27"/>
  <c r="D67" i="27"/>
  <c r="G67" i="27"/>
  <c r="E67" i="27"/>
  <c r="C67" i="27"/>
  <c r="F67" i="27"/>
  <c r="H67" i="27"/>
  <c r="D72" i="27"/>
  <c r="E72" i="27"/>
  <c r="C72" i="27"/>
  <c r="F72" i="27"/>
  <c r="H72" i="27"/>
  <c r="I72" i="27"/>
  <c r="G72" i="27"/>
  <c r="I37" i="29"/>
  <c r="I39" i="29"/>
  <c r="J78" i="28"/>
  <c r="H28" i="28"/>
  <c r="H26" i="28"/>
  <c r="J76" i="28"/>
  <c r="J74" i="28"/>
  <c r="G43" i="27"/>
  <c r="G41" i="27"/>
  <c r="I10" i="27"/>
  <c r="I14" i="27"/>
  <c r="G76" i="27"/>
  <c r="H20" i="27"/>
  <c r="I5" i="27"/>
  <c r="I11" i="27"/>
  <c r="I13" i="27"/>
  <c r="H18" i="27"/>
  <c r="H22" i="27"/>
  <c r="G39" i="27"/>
  <c r="I7" i="27"/>
  <c r="I4" i="27"/>
  <c r="I6" i="27"/>
  <c r="I8" i="27"/>
  <c r="I16" i="27"/>
  <c r="I9" i="27"/>
  <c r="E10" i="26"/>
  <c r="C20" i="26"/>
  <c r="C78" i="27" l="1"/>
  <c r="C76" i="27"/>
  <c r="E74" i="27"/>
  <c r="D76" i="27"/>
  <c r="I22" i="27"/>
  <c r="I20" i="27"/>
  <c r="H43" i="28"/>
  <c r="I28" i="28"/>
  <c r="I43" i="28" s="1"/>
  <c r="H39" i="28"/>
  <c r="H41" i="28"/>
  <c r="I26" i="28"/>
  <c r="J73" i="27"/>
  <c r="F74" i="27"/>
  <c r="G74" i="27"/>
  <c r="F78" i="27"/>
  <c r="G78" i="27"/>
  <c r="J68" i="27"/>
  <c r="H31" i="27" s="1"/>
  <c r="I31" i="27" s="1"/>
  <c r="J64" i="27"/>
  <c r="H27" i="27" s="1"/>
  <c r="I27" i="27" s="1"/>
  <c r="J71" i="27"/>
  <c r="H34" i="27" s="1"/>
  <c r="I34" i="27" s="1"/>
  <c r="J72" i="27"/>
  <c r="H35" i="27" s="1"/>
  <c r="I35" i="27" s="1"/>
  <c r="J70" i="27"/>
  <c r="H33" i="27" s="1"/>
  <c r="I33" i="27" s="1"/>
  <c r="D74" i="27"/>
  <c r="J67" i="27"/>
  <c r="H30" i="27" s="1"/>
  <c r="I30" i="27" s="1"/>
  <c r="J63" i="27"/>
  <c r="C74" i="27"/>
  <c r="J66" i="27"/>
  <c r="H29" i="27" s="1"/>
  <c r="I29" i="27" s="1"/>
  <c r="I78" i="27"/>
  <c r="I74" i="27"/>
  <c r="I76" i="27"/>
  <c r="F76" i="27"/>
  <c r="J69" i="27"/>
  <c r="H32" i="27" s="1"/>
  <c r="I32" i="27" s="1"/>
  <c r="J65" i="27"/>
  <c r="E78" i="27"/>
  <c r="E76" i="27"/>
  <c r="I18" i="27"/>
  <c r="H78" i="27"/>
  <c r="H76" i="27"/>
  <c r="H74" i="27"/>
  <c r="H11" i="25"/>
  <c r="H10" i="25"/>
  <c r="F43" i="26"/>
  <c r="E43" i="26"/>
  <c r="D43" i="26"/>
  <c r="C43" i="26"/>
  <c r="F41" i="26"/>
  <c r="E41" i="26"/>
  <c r="D41" i="26"/>
  <c r="C41" i="26"/>
  <c r="F39" i="26"/>
  <c r="E39" i="26"/>
  <c r="C39" i="26"/>
  <c r="G36" i="26"/>
  <c r="I36" i="26" s="1"/>
  <c r="G35" i="26"/>
  <c r="G34" i="26"/>
  <c r="G33" i="26"/>
  <c r="G32" i="26"/>
  <c r="G31" i="26"/>
  <c r="G30" i="26"/>
  <c r="G29" i="26"/>
  <c r="G28" i="26"/>
  <c r="G27" i="26"/>
  <c r="G26" i="26"/>
  <c r="G22" i="26"/>
  <c r="F22" i="26"/>
  <c r="E22" i="26"/>
  <c r="C22" i="26"/>
  <c r="G20" i="26"/>
  <c r="F20" i="26"/>
  <c r="E20" i="26"/>
  <c r="G18" i="26"/>
  <c r="F18" i="26"/>
  <c r="C18" i="26"/>
  <c r="H17" i="26"/>
  <c r="I17" i="26" s="1"/>
  <c r="H16" i="26"/>
  <c r="I15" i="26"/>
  <c r="H14" i="26"/>
  <c r="F72" i="26" s="1"/>
  <c r="H13" i="26"/>
  <c r="F71" i="26" s="1"/>
  <c r="H12" i="26"/>
  <c r="F70" i="26" s="1"/>
  <c r="I11" i="26"/>
  <c r="H11" i="26"/>
  <c r="D70" i="26" s="1"/>
  <c r="H10" i="26"/>
  <c r="F69" i="26" s="1"/>
  <c r="E18" i="26"/>
  <c r="H9" i="26"/>
  <c r="F68" i="26" s="1"/>
  <c r="H8" i="26"/>
  <c r="F67" i="26" s="1"/>
  <c r="H7" i="26"/>
  <c r="F66" i="26" s="1"/>
  <c r="H6" i="26"/>
  <c r="F65" i="26" s="1"/>
  <c r="H5" i="26"/>
  <c r="F64" i="26" s="1"/>
  <c r="H4" i="26"/>
  <c r="F63" i="26" s="1"/>
  <c r="C69" i="26" l="1"/>
  <c r="F73" i="26"/>
  <c r="F74" i="26" s="1"/>
  <c r="C66" i="26"/>
  <c r="I41" i="28"/>
  <c r="I39" i="28"/>
  <c r="J78" i="27"/>
  <c r="H28" i="27"/>
  <c r="J76" i="27"/>
  <c r="J74" i="27"/>
  <c r="H26" i="27"/>
  <c r="C72" i="26"/>
  <c r="C68" i="26"/>
  <c r="C64" i="26"/>
  <c r="G70" i="26"/>
  <c r="I13" i="26"/>
  <c r="G64" i="26"/>
  <c r="G66" i="26"/>
  <c r="G68" i="26"/>
  <c r="C70" i="26"/>
  <c r="G71" i="26"/>
  <c r="G72" i="26"/>
  <c r="H64" i="26"/>
  <c r="H66" i="26"/>
  <c r="H68" i="26"/>
  <c r="H71" i="26"/>
  <c r="C73" i="26"/>
  <c r="D64" i="26"/>
  <c r="D66" i="26"/>
  <c r="D68" i="26"/>
  <c r="G69" i="26"/>
  <c r="C71" i="26"/>
  <c r="D72" i="26"/>
  <c r="F78" i="26"/>
  <c r="F76" i="26"/>
  <c r="G39" i="26"/>
  <c r="D39" i="26"/>
  <c r="G63" i="26"/>
  <c r="C65" i="26"/>
  <c r="G67" i="26"/>
  <c r="I4" i="26"/>
  <c r="I8" i="26"/>
  <c r="I16" i="26"/>
  <c r="G43" i="26"/>
  <c r="H65" i="26"/>
  <c r="H67" i="26"/>
  <c r="D69" i="26"/>
  <c r="H69" i="26"/>
  <c r="H72" i="26"/>
  <c r="I10" i="26"/>
  <c r="I12" i="26"/>
  <c r="I14" i="26"/>
  <c r="H20" i="26"/>
  <c r="G41" i="26"/>
  <c r="E63" i="26"/>
  <c r="I63" i="26"/>
  <c r="E64" i="26"/>
  <c r="I64" i="26"/>
  <c r="E65" i="26"/>
  <c r="I65" i="26"/>
  <c r="E66" i="26"/>
  <c r="I66" i="26"/>
  <c r="E67" i="26"/>
  <c r="I67" i="26"/>
  <c r="E68" i="26"/>
  <c r="I68" i="26"/>
  <c r="E69" i="26"/>
  <c r="I69" i="26"/>
  <c r="E70" i="26"/>
  <c r="I70" i="26"/>
  <c r="E71" i="26"/>
  <c r="I71" i="26"/>
  <c r="E72" i="26"/>
  <c r="I72" i="26"/>
  <c r="E73" i="26"/>
  <c r="H18" i="26"/>
  <c r="H22" i="26"/>
  <c r="C63" i="26"/>
  <c r="G65" i="26"/>
  <c r="C67" i="26"/>
  <c r="I6" i="26"/>
  <c r="D63" i="26"/>
  <c r="H63" i="26"/>
  <c r="D65" i="26"/>
  <c r="D67" i="26"/>
  <c r="H70" i="26"/>
  <c r="D71" i="26"/>
  <c r="D73" i="26"/>
  <c r="I5" i="26"/>
  <c r="I7" i="26"/>
  <c r="I9" i="26"/>
  <c r="J70" i="26" l="1"/>
  <c r="H33" i="26" s="1"/>
  <c r="I33" i="26" s="1"/>
  <c r="H43" i="27"/>
  <c r="I28" i="27"/>
  <c r="I43" i="27" s="1"/>
  <c r="H39" i="27"/>
  <c r="H41" i="27"/>
  <c r="I26" i="27"/>
  <c r="J73" i="26"/>
  <c r="J68" i="26"/>
  <c r="H31" i="26" s="1"/>
  <c r="I31" i="26" s="1"/>
  <c r="J71" i="26"/>
  <c r="H34" i="26" s="1"/>
  <c r="I34" i="26" s="1"/>
  <c r="E78" i="26"/>
  <c r="J69" i="26"/>
  <c r="H32" i="26" s="1"/>
  <c r="I32" i="26" s="1"/>
  <c r="G78" i="26"/>
  <c r="J72" i="26"/>
  <c r="H35" i="26" s="1"/>
  <c r="I35" i="26" s="1"/>
  <c r="J66" i="26"/>
  <c r="H29" i="26" s="1"/>
  <c r="I29" i="26" s="1"/>
  <c r="J64" i="26"/>
  <c r="H27" i="26" s="1"/>
  <c r="I27" i="26" s="1"/>
  <c r="H76" i="26"/>
  <c r="H74" i="26"/>
  <c r="D76" i="26"/>
  <c r="D74" i="26"/>
  <c r="J63" i="26"/>
  <c r="C76" i="26"/>
  <c r="C74" i="26"/>
  <c r="G76" i="26"/>
  <c r="G74" i="26"/>
  <c r="E76" i="26"/>
  <c r="E74" i="26"/>
  <c r="J65" i="26"/>
  <c r="C78" i="26"/>
  <c r="I22" i="26"/>
  <c r="H78" i="26"/>
  <c r="I20" i="26"/>
  <c r="I18" i="26"/>
  <c r="D78" i="26"/>
  <c r="J67" i="26"/>
  <c r="H30" i="26" s="1"/>
  <c r="I30" i="26" s="1"/>
  <c r="I78" i="26"/>
  <c r="I76" i="26"/>
  <c r="I74" i="26"/>
  <c r="I41" i="27" l="1"/>
  <c r="I39" i="27"/>
  <c r="H28" i="26"/>
  <c r="J78" i="26"/>
  <c r="H26" i="26"/>
  <c r="J76" i="26"/>
  <c r="J74" i="26"/>
  <c r="D32" i="25"/>
  <c r="E10" i="25"/>
  <c r="H41" i="26" l="1"/>
  <c r="H39" i="26"/>
  <c r="I26" i="26"/>
  <c r="H43" i="26"/>
  <c r="I28" i="26"/>
  <c r="I43" i="26" s="1"/>
  <c r="I39" i="26" l="1"/>
  <c r="I41" i="26"/>
  <c r="F43" i="25"/>
  <c r="E43" i="25"/>
  <c r="D43" i="25"/>
  <c r="C43" i="25"/>
  <c r="F41" i="25"/>
  <c r="E41" i="25"/>
  <c r="D41" i="25"/>
  <c r="C41" i="25"/>
  <c r="F39" i="25"/>
  <c r="E39" i="25"/>
  <c r="C39" i="25"/>
  <c r="G36" i="25"/>
  <c r="I36" i="25" s="1"/>
  <c r="G35" i="25"/>
  <c r="G34" i="25"/>
  <c r="G33" i="25"/>
  <c r="G32" i="25"/>
  <c r="D39" i="25"/>
  <c r="G31" i="25"/>
  <c r="G30" i="25"/>
  <c r="G29" i="25"/>
  <c r="G28" i="25"/>
  <c r="G27" i="25"/>
  <c r="G26" i="25"/>
  <c r="G22" i="25"/>
  <c r="F22" i="25"/>
  <c r="E22" i="25"/>
  <c r="C22" i="25"/>
  <c r="G20" i="25"/>
  <c r="F20" i="25"/>
  <c r="E20" i="25"/>
  <c r="C20" i="25"/>
  <c r="G18" i="25"/>
  <c r="F18" i="25"/>
  <c r="E18" i="25"/>
  <c r="C18" i="25"/>
  <c r="I17" i="25"/>
  <c r="H17" i="25"/>
  <c r="I16" i="25"/>
  <c r="H16" i="25"/>
  <c r="E73" i="25" s="1"/>
  <c r="I15" i="25"/>
  <c r="H14" i="25"/>
  <c r="C73" i="25" s="1"/>
  <c r="H13" i="25"/>
  <c r="C72" i="25" s="1"/>
  <c r="H12" i="25"/>
  <c r="C71" i="25" s="1"/>
  <c r="C70" i="25"/>
  <c r="G69" i="25"/>
  <c r="H9" i="25"/>
  <c r="G68" i="25" s="1"/>
  <c r="H8" i="25"/>
  <c r="G67" i="25" s="1"/>
  <c r="H7" i="25"/>
  <c r="G66" i="25" s="1"/>
  <c r="H6" i="25"/>
  <c r="G65" i="25" s="1"/>
  <c r="H5" i="25"/>
  <c r="G64" i="25" s="1"/>
  <c r="H4" i="25"/>
  <c r="G63" i="25" s="1"/>
  <c r="F73" i="25" l="1"/>
  <c r="I8" i="25"/>
  <c r="G43" i="25"/>
  <c r="G39" i="25"/>
  <c r="I10" i="25"/>
  <c r="D68" i="25"/>
  <c r="I6" i="25"/>
  <c r="F64" i="25"/>
  <c r="F63" i="25"/>
  <c r="H68" i="25"/>
  <c r="I9" i="25"/>
  <c r="F68" i="25"/>
  <c r="F67" i="25"/>
  <c r="H67" i="25"/>
  <c r="D67" i="25"/>
  <c r="D66" i="25"/>
  <c r="F66" i="25"/>
  <c r="H66" i="25"/>
  <c r="I7" i="25"/>
  <c r="D65" i="25"/>
  <c r="F65" i="25"/>
  <c r="H65" i="25"/>
  <c r="H64" i="25"/>
  <c r="I5" i="25"/>
  <c r="D64" i="25"/>
  <c r="H63" i="25"/>
  <c r="I4" i="25"/>
  <c r="D63" i="25"/>
  <c r="G76" i="25"/>
  <c r="D69" i="25"/>
  <c r="H69" i="25"/>
  <c r="D70" i="25"/>
  <c r="H70" i="25"/>
  <c r="D71" i="25"/>
  <c r="H71" i="25"/>
  <c r="D72" i="25"/>
  <c r="H72" i="25"/>
  <c r="D73" i="25"/>
  <c r="I12" i="25"/>
  <c r="I14" i="25"/>
  <c r="H20" i="25"/>
  <c r="G41" i="25"/>
  <c r="E63" i="25"/>
  <c r="I63" i="25"/>
  <c r="E64" i="25"/>
  <c r="I64" i="25"/>
  <c r="E65" i="25"/>
  <c r="I65" i="25"/>
  <c r="E66" i="25"/>
  <c r="I66" i="25"/>
  <c r="E67" i="25"/>
  <c r="I67" i="25"/>
  <c r="E68" i="25"/>
  <c r="I68" i="25"/>
  <c r="E69" i="25"/>
  <c r="I69" i="25"/>
  <c r="E70" i="25"/>
  <c r="I70" i="25"/>
  <c r="E71" i="25"/>
  <c r="I71" i="25"/>
  <c r="E72" i="25"/>
  <c r="I72" i="25"/>
  <c r="F69" i="25"/>
  <c r="F70" i="25"/>
  <c r="F71" i="25"/>
  <c r="F72" i="25"/>
  <c r="I11" i="25"/>
  <c r="I13" i="25"/>
  <c r="H18" i="25"/>
  <c r="H22" i="25"/>
  <c r="C63" i="25"/>
  <c r="C64" i="25"/>
  <c r="C65" i="25"/>
  <c r="C66" i="25"/>
  <c r="C67" i="25"/>
  <c r="C68" i="25"/>
  <c r="C69" i="25"/>
  <c r="G70" i="25"/>
  <c r="G71" i="25"/>
  <c r="G72" i="25"/>
  <c r="J73" i="25" l="1"/>
  <c r="J70" i="25"/>
  <c r="H33" i="25" s="1"/>
  <c r="I33" i="25" s="1"/>
  <c r="H76" i="25"/>
  <c r="G78" i="25"/>
  <c r="G74" i="25"/>
  <c r="J71" i="25"/>
  <c r="H34" i="25" s="1"/>
  <c r="I34" i="25" s="1"/>
  <c r="J67" i="25"/>
  <c r="H30" i="25" s="1"/>
  <c r="I30" i="25" s="1"/>
  <c r="F76" i="25"/>
  <c r="F74" i="25"/>
  <c r="J72" i="25"/>
  <c r="H35" i="25" s="1"/>
  <c r="I35" i="25" s="1"/>
  <c r="H78" i="25"/>
  <c r="H74" i="25"/>
  <c r="J69" i="25"/>
  <c r="H32" i="25" s="1"/>
  <c r="I32" i="25" s="1"/>
  <c r="F78" i="25"/>
  <c r="D76" i="25"/>
  <c r="I20" i="25"/>
  <c r="D74" i="25"/>
  <c r="I18" i="25"/>
  <c r="I22" i="25"/>
  <c r="J65" i="25"/>
  <c r="C78" i="25"/>
  <c r="J63" i="25"/>
  <c r="C76" i="25"/>
  <c r="C74" i="25"/>
  <c r="J66" i="25"/>
  <c r="H29" i="25" s="1"/>
  <c r="I29" i="25" s="1"/>
  <c r="I78" i="25"/>
  <c r="I76" i="25"/>
  <c r="I74" i="25"/>
  <c r="D78" i="25"/>
  <c r="J68" i="25"/>
  <c r="H31" i="25" s="1"/>
  <c r="I31" i="25" s="1"/>
  <c r="J64" i="25"/>
  <c r="H27" i="25" s="1"/>
  <c r="I27" i="25" s="1"/>
  <c r="E78" i="25"/>
  <c r="E76" i="25"/>
  <c r="E74" i="25"/>
  <c r="J76" i="25" l="1"/>
  <c r="J74" i="25"/>
  <c r="H26" i="25"/>
  <c r="J78" i="25"/>
  <c r="H28" i="25"/>
  <c r="H39" i="25" l="1"/>
  <c r="H41" i="25"/>
  <c r="I26" i="25"/>
  <c r="H43" i="25"/>
  <c r="I28" i="25"/>
  <c r="I43" i="25" s="1"/>
  <c r="I41" i="25" l="1"/>
  <c r="I39" i="25"/>
  <c r="D13" i="24" l="1"/>
  <c r="F13" i="24"/>
  <c r="O18" i="24" l="1"/>
  <c r="O13" i="24"/>
  <c r="O19" i="24" l="1"/>
  <c r="O17" i="24" l="1"/>
  <c r="N18" i="24" l="1"/>
  <c r="N13" i="24"/>
  <c r="N19" i="24" l="1"/>
  <c r="N17" i="24" l="1"/>
  <c r="H41" i="24" l="1"/>
  <c r="H40" i="24"/>
  <c r="H39" i="24"/>
  <c r="H35" i="24"/>
  <c r="H19" i="24"/>
  <c r="H18" i="24"/>
  <c r="H17" i="24"/>
  <c r="H13" i="24"/>
  <c r="G40" i="24" l="1"/>
  <c r="G35" i="24"/>
  <c r="G18" i="24"/>
  <c r="G13" i="24"/>
  <c r="F41" i="24" l="1"/>
  <c r="F40" i="24"/>
  <c r="F39" i="24"/>
  <c r="F35" i="24"/>
  <c r="F19" i="24"/>
  <c r="F18" i="24"/>
  <c r="F17" i="24"/>
  <c r="G41" i="24" l="1"/>
  <c r="G19" i="24"/>
  <c r="G39" i="24" l="1"/>
  <c r="D41" i="24"/>
  <c r="D40" i="24"/>
  <c r="D39" i="24"/>
  <c r="D35" i="24"/>
  <c r="D19" i="24"/>
  <c r="D18" i="24"/>
  <c r="D17" i="24"/>
  <c r="E18" i="24"/>
  <c r="E48" i="24"/>
  <c r="G17" i="24" l="1"/>
  <c r="E35" i="24"/>
  <c r="E13" i="24"/>
  <c r="E40" i="24"/>
  <c r="A2" i="18"/>
  <c r="E41" i="24" l="1"/>
  <c r="E19" i="24"/>
  <c r="C53" i="24" l="1"/>
  <c r="C51" i="24"/>
  <c r="D48" i="24"/>
  <c r="A40" i="24"/>
  <c r="A36" i="24"/>
  <c r="A37" i="24" s="1"/>
  <c r="Q35" i="24"/>
  <c r="C29" i="24"/>
  <c r="C22" i="24"/>
  <c r="C21" i="24"/>
  <c r="A14" i="24"/>
  <c r="Q13" i="24"/>
  <c r="E7" i="24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E26" i="15"/>
  <c r="E27" i="15" s="1"/>
  <c r="D20" i="16"/>
  <c r="D12" i="16"/>
  <c r="E12" i="16"/>
  <c r="E18" i="23"/>
  <c r="E20" i="23" s="1"/>
  <c r="P54" i="20"/>
  <c r="P51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L53" i="20" s="1"/>
  <c r="K43" i="20"/>
  <c r="K53" i="20" s="1"/>
  <c r="K55" i="20" s="1"/>
  <c r="J43" i="20"/>
  <c r="I43" i="20"/>
  <c r="H43" i="20"/>
  <c r="G43" i="20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M50" i="20" s="1"/>
  <c r="M52" i="20" s="1"/>
  <c r="L42" i="20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E50" i="20" s="1"/>
  <c r="D42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I21" i="15"/>
  <c r="H21" i="15"/>
  <c r="G21" i="15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K14" i="15" l="1"/>
  <c r="K15" i="15" s="1"/>
  <c r="D20" i="24"/>
  <c r="D21" i="24" s="1"/>
  <c r="D22" i="24" s="1"/>
  <c r="D23" i="24" s="1"/>
  <c r="D42" i="24"/>
  <c r="D43" i="24" s="1"/>
  <c r="D44" i="24" s="1"/>
  <c r="D45" i="24" s="1"/>
  <c r="E20" i="24"/>
  <c r="E21" i="24" s="1"/>
  <c r="F20" i="24"/>
  <c r="F21" i="24" s="1"/>
  <c r="E42" i="24"/>
  <c r="E43" i="24" s="1"/>
  <c r="J20" i="24"/>
  <c r="J21" i="24" s="1"/>
  <c r="I14" i="15"/>
  <c r="I15" i="15" s="1"/>
  <c r="I42" i="24"/>
  <c r="I43" i="24" s="1"/>
  <c r="M42" i="24"/>
  <c r="M43" i="24" s="1"/>
  <c r="N20" i="24"/>
  <c r="N21" i="24" s="1"/>
  <c r="P47" i="20"/>
  <c r="P39" i="20"/>
  <c r="D48" i="20"/>
  <c r="L48" i="20"/>
  <c r="H53" i="20"/>
  <c r="P44" i="20"/>
  <c r="P46" i="20"/>
  <c r="N9" i="18"/>
  <c r="P45" i="20"/>
  <c r="J9" i="18"/>
  <c r="G53" i="20"/>
  <c r="G55" i="20" s="1"/>
  <c r="O53" i="20"/>
  <c r="O55" i="20" s="1"/>
  <c r="F9" i="18"/>
  <c r="E39" i="24"/>
  <c r="H55" i="20"/>
  <c r="H13" i="18"/>
  <c r="L55" i="20"/>
  <c r="L13" i="18"/>
  <c r="E52" i="20"/>
  <c r="E9" i="18"/>
  <c r="A15" i="24"/>
  <c r="C24" i="24" s="1"/>
  <c r="C15" i="24"/>
  <c r="I52" i="20"/>
  <c r="I9" i="18"/>
  <c r="G32" i="15"/>
  <c r="C23" i="18"/>
  <c r="F34" i="15"/>
  <c r="F53" i="20"/>
  <c r="J48" i="20"/>
  <c r="N53" i="20"/>
  <c r="H20" i="24"/>
  <c r="H21" i="24" s="1"/>
  <c r="H22" i="24" s="1"/>
  <c r="H23" i="24" s="1"/>
  <c r="L20" i="24"/>
  <c r="L21" i="24" s="1"/>
  <c r="L22" i="24" s="1"/>
  <c r="L23" i="24" s="1"/>
  <c r="G42" i="24"/>
  <c r="G43" i="24" s="1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P13" i="20"/>
  <c r="O9" i="18"/>
  <c r="K9" i="18"/>
  <c r="G9" i="18"/>
  <c r="O13" i="18"/>
  <c r="K13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P22" i="20"/>
  <c r="E48" i="20"/>
  <c r="I53" i="20"/>
  <c r="M48" i="20"/>
  <c r="M9" i="18"/>
  <c r="G20" i="24"/>
  <c r="G21" i="24" s="1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2" i="24"/>
  <c r="F43" i="24" s="1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 s="1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H50" i="20"/>
  <c r="C27" i="18"/>
  <c r="A27" i="18"/>
  <c r="E11" i="15"/>
  <c r="E21" i="15"/>
  <c r="G14" i="15"/>
  <c r="G15" i="15" s="1"/>
  <c r="G17" i="15" s="1"/>
  <c r="G23" i="15" s="1"/>
  <c r="G13" i="18" l="1"/>
  <c r="P48" i="20"/>
  <c r="J57" i="20" s="1"/>
  <c r="E44" i="24"/>
  <c r="E45" i="24" s="1"/>
  <c r="M21" i="24"/>
  <c r="M22" i="24" s="1"/>
  <c r="M23" i="24" s="1"/>
  <c r="E17" i="24"/>
  <c r="E22" i="24" s="1"/>
  <c r="E23" i="24" s="1"/>
  <c r="E55" i="20"/>
  <c r="E13" i="18"/>
  <c r="J55" i="20"/>
  <c r="J13" i="18"/>
  <c r="E57" i="20"/>
  <c r="N55" i="20"/>
  <c r="N13" i="18"/>
  <c r="H52" i="20"/>
  <c r="H9" i="18"/>
  <c r="P9" i="18" s="1"/>
  <c r="O10" i="18" s="1"/>
  <c r="L52" i="20"/>
  <c r="L9" i="18"/>
  <c r="F55" i="20"/>
  <c r="F13" i="18"/>
  <c r="G34" i="15"/>
  <c r="E20" i="16"/>
  <c r="O57" i="20"/>
  <c r="M55" i="20"/>
  <c r="M13" i="18"/>
  <c r="F17" i="15"/>
  <c r="F23" i="15" s="1"/>
  <c r="D10" i="16" s="1"/>
  <c r="D14" i="16" s="1"/>
  <c r="D19" i="16" s="1"/>
  <c r="D22" i="16" s="1"/>
  <c r="P19" i="24"/>
  <c r="I55" i="20"/>
  <c r="I13" i="18"/>
  <c r="P41" i="24"/>
  <c r="P43" i="24"/>
  <c r="A42" i="24"/>
  <c r="A43" i="24" s="1"/>
  <c r="G37" i="15"/>
  <c r="G38" i="15" s="1"/>
  <c r="H17" i="15"/>
  <c r="H23" i="15" s="1"/>
  <c r="H37" i="15" s="1"/>
  <c r="H38" i="15" s="1"/>
  <c r="E21" i="16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M10" i="18"/>
  <c r="N10" i="18"/>
  <c r="F10" i="18"/>
  <c r="I10" i="18"/>
  <c r="D10" i="18"/>
  <c r="G10" i="18"/>
  <c r="H10" i="18"/>
  <c r="E15" i="15"/>
  <c r="F37" i="15"/>
  <c r="F38" i="15" s="1"/>
  <c r="E17" i="15"/>
  <c r="J10" i="18" l="1"/>
  <c r="P10" i="18" s="1"/>
  <c r="L10" i="18"/>
  <c r="E10" i="16"/>
  <c r="E14" i="16" s="1"/>
  <c r="P26" i="18" s="1"/>
  <c r="K10" i="18"/>
  <c r="E10" i="18"/>
  <c r="I57" i="20"/>
  <c r="P57" i="20" s="1"/>
  <c r="M57" i="20"/>
  <c r="P21" i="24"/>
  <c r="Q21" i="24"/>
  <c r="Q43" i="24"/>
  <c r="P13" i="18"/>
  <c r="E23" i="15"/>
  <c r="N23" i="18"/>
  <c r="N14" i="24" s="1"/>
  <c r="N15" i="24" s="1"/>
  <c r="N24" i="24" s="1"/>
  <c r="P22" i="18"/>
  <c r="O23" i="18" s="1"/>
  <c r="O14" i="24" s="1"/>
  <c r="O15" i="24" s="1"/>
  <c r="O24" i="24" s="1"/>
  <c r="A44" i="24"/>
  <c r="C46" i="24" s="1"/>
  <c r="C44" i="24"/>
  <c r="G48" i="24"/>
  <c r="C43" i="24"/>
  <c r="H23" i="18"/>
  <c r="H14" i="24" s="1"/>
  <c r="H15" i="24" s="1"/>
  <c r="H24" i="24" s="1"/>
  <c r="I23" i="18"/>
  <c r="I14" i="24" s="1"/>
  <c r="I15" i="24" s="1"/>
  <c r="I24" i="24" s="1"/>
  <c r="M23" i="18"/>
  <c r="M14" i="24" s="1"/>
  <c r="M15" i="24" s="1"/>
  <c r="M24" i="24" s="1"/>
  <c r="L23" i="18"/>
  <c r="L14" i="24" s="1"/>
  <c r="L15" i="24" s="1"/>
  <c r="L24" i="24" s="1"/>
  <c r="J23" i="18"/>
  <c r="J14" i="24" s="1"/>
  <c r="J15" i="24" s="1"/>
  <c r="J24" i="24" s="1"/>
  <c r="E23" i="18"/>
  <c r="D23" i="18"/>
  <c r="D14" i="24" s="1"/>
  <c r="D15" i="24" s="1"/>
  <c r="D24" i="24" s="1"/>
  <c r="D25" i="24" s="1"/>
  <c r="E19" i="16" l="1"/>
  <c r="E22" i="16" s="1"/>
  <c r="G23" i="18"/>
  <c r="G14" i="24" s="1"/>
  <c r="G15" i="24" s="1"/>
  <c r="G24" i="24" s="1"/>
  <c r="E14" i="24"/>
  <c r="E15" i="24" s="1"/>
  <c r="E24" i="24" s="1"/>
  <c r="E25" i="24" s="1"/>
  <c r="E57" i="24" s="1"/>
  <c r="K23" i="18"/>
  <c r="K14" i="24" s="1"/>
  <c r="K15" i="24" s="1"/>
  <c r="K24" i="24" s="1"/>
  <c r="K25" i="24" s="1"/>
  <c r="K57" i="24" s="1"/>
  <c r="O25" i="24"/>
  <c r="O57" i="24" s="1"/>
  <c r="N25" i="24"/>
  <c r="N57" i="24" s="1"/>
  <c r="M25" i="24"/>
  <c r="M57" i="24" s="1"/>
  <c r="L25" i="24"/>
  <c r="L57" i="24" s="1"/>
  <c r="J25" i="24"/>
  <c r="J57" i="24" s="1"/>
  <c r="I25" i="24"/>
  <c r="I57" i="24" s="1"/>
  <c r="H25" i="24"/>
  <c r="H57" i="24" s="1"/>
  <c r="G25" i="24"/>
  <c r="G57" i="24" s="1"/>
  <c r="I14" i="18"/>
  <c r="G14" i="18"/>
  <c r="O14" i="18"/>
  <c r="K14" i="18"/>
  <c r="K27" i="18" s="1"/>
  <c r="K36" i="24" s="1"/>
  <c r="K37" i="24" s="1"/>
  <c r="K46" i="24" s="1"/>
  <c r="L14" i="18"/>
  <c r="E14" i="18"/>
  <c r="H14" i="18"/>
  <c r="J14" i="18"/>
  <c r="J27" i="18" s="1"/>
  <c r="J36" i="24" s="1"/>
  <c r="J37" i="24" s="1"/>
  <c r="J46" i="24" s="1"/>
  <c r="D14" i="18"/>
  <c r="D27" i="18" s="1"/>
  <c r="D36" i="24" s="1"/>
  <c r="D37" i="24" s="1"/>
  <c r="D46" i="24" s="1"/>
  <c r="D47" i="24" s="1"/>
  <c r="F14" i="18"/>
  <c r="F27" i="18" s="1"/>
  <c r="F36" i="24" s="1"/>
  <c r="F37" i="24" s="1"/>
  <c r="F46" i="24" s="1"/>
  <c r="N14" i="18"/>
  <c r="M14" i="18"/>
  <c r="M27" i="18" s="1"/>
  <c r="M36" i="24" s="1"/>
  <c r="M37" i="24" s="1"/>
  <c r="M46" i="24" s="1"/>
  <c r="F23" i="18"/>
  <c r="P23" i="18" s="1"/>
  <c r="P44" i="24"/>
  <c r="Q44" i="24" s="1"/>
  <c r="P39" i="24"/>
  <c r="H48" i="24"/>
  <c r="I27" i="18"/>
  <c r="I36" i="24" s="1"/>
  <c r="I37" i="24" s="1"/>
  <c r="I46" i="24" s="1"/>
  <c r="O27" i="18"/>
  <c r="O36" i="24" s="1"/>
  <c r="O37" i="24" s="1"/>
  <c r="O46" i="24" s="1"/>
  <c r="G27" i="18"/>
  <c r="G36" i="24" s="1"/>
  <c r="G37" i="24" s="1"/>
  <c r="G46" i="24" s="1"/>
  <c r="L27" i="18"/>
  <c r="L36" i="24" s="1"/>
  <c r="L37" i="24" s="1"/>
  <c r="L46" i="24" s="1"/>
  <c r="E27" i="18"/>
  <c r="E36" i="24" s="1"/>
  <c r="E37" i="24" s="1"/>
  <c r="E46" i="24" s="1"/>
  <c r="H27" i="18"/>
  <c r="H36" i="24" s="1"/>
  <c r="H37" i="24" s="1"/>
  <c r="H46" i="24" s="1"/>
  <c r="N27" i="18"/>
  <c r="N36" i="24" s="1"/>
  <c r="N37" i="24" s="1"/>
  <c r="N46" i="24" s="1"/>
  <c r="F24" i="24" l="1"/>
  <c r="F14" i="24"/>
  <c r="F15" i="24" s="1"/>
  <c r="N47" i="24"/>
  <c r="N62" i="24" s="1"/>
  <c r="M47" i="24"/>
  <c r="M62" i="24" s="1"/>
  <c r="L47" i="24"/>
  <c r="L62" i="24" s="1"/>
  <c r="K47" i="24"/>
  <c r="K62" i="24" s="1"/>
  <c r="J47" i="24"/>
  <c r="J62" i="24" s="1"/>
  <c r="I47" i="24"/>
  <c r="I62" i="24" s="1"/>
  <c r="H47" i="24"/>
  <c r="H62" i="24" s="1"/>
  <c r="G47" i="24"/>
  <c r="G62" i="24" s="1"/>
  <c r="F25" i="24"/>
  <c r="F57" i="24" s="1"/>
  <c r="E47" i="24"/>
  <c r="E62" i="24" s="1"/>
  <c r="O47" i="24"/>
  <c r="O62" i="24" s="1"/>
  <c r="P14" i="18"/>
  <c r="F47" i="24"/>
  <c r="F62" i="24" s="1"/>
  <c r="P17" i="24"/>
  <c r="P27" i="18"/>
  <c r="P14" i="24" l="1"/>
  <c r="P15" i="24"/>
  <c r="Q14" i="24"/>
  <c r="Q15" i="24" s="1"/>
  <c r="P47" i="24"/>
  <c r="P22" i="24"/>
  <c r="Q22" i="24" s="1"/>
  <c r="R15" i="24" l="1"/>
  <c r="Q36" i="24"/>
  <c r="Q37" i="24" s="1"/>
  <c r="P36" i="24"/>
  <c r="P25" i="24"/>
  <c r="P24" i="24" l="1"/>
  <c r="D57" i="24"/>
  <c r="P37" i="24"/>
  <c r="R37" i="24" s="1"/>
  <c r="D62" i="24"/>
  <c r="D27" i="24"/>
  <c r="D29" i="24" l="1"/>
  <c r="E27" i="24" s="1"/>
  <c r="D58" i="24"/>
  <c r="D59" i="24"/>
  <c r="P46" i="24"/>
  <c r="D49" i="24"/>
  <c r="D28" i="24"/>
  <c r="D60" i="24" s="1"/>
  <c r="E59" i="24" l="1"/>
  <c r="E29" i="24"/>
  <c r="F27" i="24" s="1"/>
  <c r="F58" i="24" s="1"/>
  <c r="D51" i="24"/>
  <c r="D53" i="24" s="1"/>
  <c r="D63" i="24"/>
  <c r="D64" i="24"/>
  <c r="E58" i="24"/>
  <c r="E28" i="24"/>
  <c r="E60" i="24" s="1"/>
  <c r="D50" i="24"/>
  <c r="D65" i="24" s="1"/>
  <c r="E49" i="24" l="1"/>
  <c r="E63" i="24" s="1"/>
  <c r="F59" i="24"/>
  <c r="F28" i="24"/>
  <c r="F60" i="24" s="1"/>
  <c r="F29" i="24"/>
  <c r="G27" i="24" s="1"/>
  <c r="G28" i="24" s="1"/>
  <c r="G60" i="24" s="1"/>
  <c r="E51" i="24" l="1"/>
  <c r="E53" i="24" s="1"/>
  <c r="E64" i="24"/>
  <c r="E50" i="24"/>
  <c r="E65" i="24" s="1"/>
  <c r="G29" i="24"/>
  <c r="H27" i="24" s="1"/>
  <c r="H59" i="24" s="1"/>
  <c r="G58" i="24"/>
  <c r="G59" i="24"/>
  <c r="F49" i="24" l="1"/>
  <c r="F63" i="24" s="1"/>
  <c r="H28" i="24"/>
  <c r="H60" i="24" s="1"/>
  <c r="H29" i="24"/>
  <c r="I27" i="24" s="1"/>
  <c r="I28" i="24" s="1"/>
  <c r="I60" i="24" s="1"/>
  <c r="H58" i="24"/>
  <c r="F51" i="24" l="1"/>
  <c r="F53" i="24" s="1"/>
  <c r="F50" i="24"/>
  <c r="F65" i="24" s="1"/>
  <c r="F64" i="24"/>
  <c r="I59" i="24"/>
  <c r="I29" i="24"/>
  <c r="J27" i="24" s="1"/>
  <c r="J59" i="24" s="1"/>
  <c r="I58" i="24"/>
  <c r="G49" i="24" l="1"/>
  <c r="G64" i="24" s="1"/>
  <c r="J58" i="24"/>
  <c r="J28" i="24"/>
  <c r="J60" i="24" s="1"/>
  <c r="J29" i="24"/>
  <c r="K27" i="24" s="1"/>
  <c r="K28" i="24" s="1"/>
  <c r="K60" i="24" s="1"/>
  <c r="G50" i="24" l="1"/>
  <c r="G65" i="24" s="1"/>
  <c r="G63" i="24"/>
  <c r="G51" i="24"/>
  <c r="H49" i="24" s="1"/>
  <c r="H50" i="24" s="1"/>
  <c r="H65" i="24" s="1"/>
  <c r="K58" i="24"/>
  <c r="K59" i="24"/>
  <c r="K29" i="24"/>
  <c r="L27" i="24" s="1"/>
  <c r="L59" i="24" s="1"/>
  <c r="G53" i="24" l="1"/>
  <c r="H63" i="24"/>
  <c r="H64" i="24"/>
  <c r="H51" i="24"/>
  <c r="I49" i="24" s="1"/>
  <c r="L29" i="24"/>
  <c r="M27" i="24" s="1"/>
  <c r="M58" i="24" s="1"/>
  <c r="L58" i="24"/>
  <c r="L28" i="24"/>
  <c r="L60" i="24" s="1"/>
  <c r="H53" i="24" l="1"/>
  <c r="M59" i="24"/>
  <c r="M28" i="24"/>
  <c r="M60" i="24" s="1"/>
  <c r="M29" i="24"/>
  <c r="N27" i="24" s="1"/>
  <c r="N28" i="24" s="1"/>
  <c r="N60" i="24" s="1"/>
  <c r="I51" i="24"/>
  <c r="J49" i="24" s="1"/>
  <c r="I64" i="24"/>
  <c r="I63" i="24"/>
  <c r="I50" i="24"/>
  <c r="I65" i="24" s="1"/>
  <c r="N59" i="24" l="1"/>
  <c r="N29" i="24"/>
  <c r="O27" i="24" s="1"/>
  <c r="N58" i="24"/>
  <c r="I53" i="24"/>
  <c r="J51" i="24"/>
  <c r="J53" i="24" s="1"/>
  <c r="J64" i="24"/>
  <c r="J63" i="24"/>
  <c r="J50" i="24"/>
  <c r="J65" i="24" s="1"/>
  <c r="O29" i="24" l="1"/>
  <c r="K49" i="24"/>
  <c r="K63" i="24" s="1"/>
  <c r="O59" i="24"/>
  <c r="O58" i="24"/>
  <c r="O28" i="24"/>
  <c r="O60" i="24" s="1"/>
  <c r="P27" i="24"/>
  <c r="K64" i="24" l="1"/>
  <c r="K50" i="24"/>
  <c r="K65" i="24" s="1"/>
  <c r="K51" i="24"/>
  <c r="K53" i="24" s="1"/>
  <c r="P28" i="24"/>
  <c r="L49" i="24" l="1"/>
  <c r="L64" i="24" s="1"/>
  <c r="L51" i="24" l="1"/>
  <c r="L53" i="24" s="1"/>
  <c r="L63" i="24"/>
  <c r="L50" i="24"/>
  <c r="L65" i="24" s="1"/>
  <c r="M49" i="24" l="1"/>
  <c r="M63" i="24" s="1"/>
  <c r="M50" i="24" l="1"/>
  <c r="M65" i="24" s="1"/>
  <c r="M64" i="24"/>
  <c r="M51" i="24"/>
  <c r="M53" i="24" s="1"/>
  <c r="N49" i="24" l="1"/>
  <c r="N63" i="24" s="1"/>
  <c r="N64" i="24" l="1"/>
  <c r="N50" i="24"/>
  <c r="N65" i="24" s="1"/>
  <c r="N51" i="24"/>
  <c r="O49" i="24" s="1"/>
  <c r="N53" i="24" l="1"/>
  <c r="O64" i="24"/>
  <c r="O63" i="24"/>
  <c r="O51" i="24"/>
  <c r="O53" i="24" s="1"/>
  <c r="O50" i="24"/>
  <c r="O65" i="24" s="1"/>
  <c r="P49" i="24"/>
  <c r="P50" i="24" s="1"/>
</calcChain>
</file>

<file path=xl/sharedStrings.xml><?xml version="1.0" encoding="utf-8"?>
<sst xmlns="http://schemas.openxmlformats.org/spreadsheetml/2006/main" count="1387" uniqueCount="255">
  <si>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</si>
  <si>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</si>
  <si>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</si>
  <si>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</si>
  <si>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</si>
  <si>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</si>
  <si>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</si>
  <si>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</si>
  <si>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</si>
  <si>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</si>
  <si>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</si>
  <si>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</si>
  <si>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</si>
  <si>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</si>
  <si>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</si>
  <si>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</si>
  <si>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</si>
  <si>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</si>
  <si>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</si>
  <si>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</si>
  <si>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</si>
  <si>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</si>
  <si>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</si>
  <si>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</si>
  <si>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</si>
  <si>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</si>
  <si>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</si>
  <si>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</si>
  <si>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</si>
  <si>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</si>
  <si>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</si>
  <si>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</si>
  <si>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</si>
  <si>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</si>
  <si>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</si>
  <si>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</si>
  <si>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</si>
  <si>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</si>
  <si>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</si>
  <si>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</si>
  <si>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</si>
  <si>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</si>
  <si>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</si>
  <si>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</si>
  <si>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</si>
  <si>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</si>
  <si>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</si>
  <si>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</si>
  <si>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</si>
  <si>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</si>
  <si>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</si>
  <si>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</si>
  <si>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</si>
  <si>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</si>
  <si>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</si>
  <si>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</si>
  <si>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</si>
  <si>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</si>
  <si>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</si>
  <si>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</si>
  <si>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</si>
  <si>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</si>
  <si>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</si>
  <si>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</si>
  <si>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</si>
  <si>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</si>
  <si>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</si>
  <si>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</si>
  <si>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</si>
  <si>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</si>
  <si>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</si>
  <si>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</si>
  <si>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</si>
  <si>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</si>
  <si>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</si>
  <si>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</si>
  <si>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</si>
  <si>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</si>
  <si>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</si>
  <si>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</si>
  <si>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</si>
  <si>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</si>
  <si>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</si>
  <si>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</si>
  <si>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</si>
  <si>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</si>
  <si>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</si>
  <si>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</si>
  <si>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</si>
  <si>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</si>
  <si>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</si>
  <si>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</si>
  <si>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</si>
  <si>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</si>
  <si>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</si>
  <si>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</si>
  <si>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</si>
  <si>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</si>
  <si>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</si>
  <si>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</si>
  <si>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</si>
  <si>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</si>
  <si>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</si>
  <si>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</si>
  <si>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</si>
  <si>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</si>
  <si>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</si>
  <si>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</si>
  <si>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</si>
  <si>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</si>
  <si>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</si>
  <si>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</si>
  <si>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</si>
  <si>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</si>
  <si>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</si>
  <si>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</si>
  <si>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</si>
  <si>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</si>
  <si>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</si>
  <si>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</si>
  <si>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</si>
  <si>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</si>
  <si>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</si>
  <si>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</si>
  <si>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</si>
  <si>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</si>
  <si>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</si>
  <si>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</si>
  <si>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</si>
  <si>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</si>
  <si>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</si>
  <si>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</si>
  <si>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</si>
  <si>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</si>
  <si>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</si>
  <si>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</si>
  <si>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</si>
  <si>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</si>
  <si>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</si>
  <si>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</si>
  <si>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</si>
  <si>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</si>
  <si>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</si>
  <si>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</si>
  <si>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</si>
  <si>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</si>
  <si>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</si>
  <si>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</si>
  <si>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</si>
  <si>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</si>
  <si>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</si>
  <si>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</si>
  <si>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</si>
  <si>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</si>
  <si>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</si>
  <si>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</si>
  <si>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</si>
  <si>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</si>
  <si>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</si>
  <si>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</si>
  <si>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</si>
  <si>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</si>
  <si>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</si>
  <si>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</si>
  <si>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</si>
  <si>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</si>
  <si>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</si>
  <si>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</si>
  <si>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</si>
  <si>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</si>
  <si>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</si>
  <si>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</si>
  <si>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</si>
  <si>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</si>
  <si>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</si>
  <si>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</si>
  <si>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</si>
  <si>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</si>
  <si>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</si>
  <si>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</si>
  <si>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</si>
  <si>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</si>
  <si>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</si>
  <si>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</si>
  <si>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</si>
  <si>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</si>
  <si>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</si>
  <si>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</si>
  <si>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</si>
  <si>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</si>
  <si>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</si>
  <si>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</si>
  <si>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</si>
  <si>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</si>
  <si>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</si>
  <si>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</si>
  <si>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</si>
  <si>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</si>
  <si>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</si>
  <si>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</si>
  <si>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</si>
  <si>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</si>
  <si>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</si>
  <si>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</si>
  <si>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</si>
  <si>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</si>
  <si>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</si>
  <si>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</si>
  <si>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</si>
  <si>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</si>
  <si>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</si>
  <si>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</si>
  <si>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</si>
  <si>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</si>
  <si>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</si>
  <si>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</si>
  <si>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</si>
  <si>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</si>
  <si>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</si>
  <si>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</si>
  <si>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</si>
  <si>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</si>
  <si>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</si>
  <si>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</si>
  <si>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</si>
  <si>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</si>
  <si>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</si>
  <si>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</si>
  <si>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</si>
  <si>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</si>
  <si>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</si>
  <si>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</si>
  <si>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</si>
  <si>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</si>
  <si>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</si>
  <si>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</si>
  <si>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456328 Res Decoupling Deferral</t>
  </si>
  <si>
    <t xml:space="preserve">456338 Non-Res Decoupling Deferral </t>
  </si>
  <si>
    <t>Actual Usage (kWhs)</t>
  </si>
  <si>
    <t>Sch 75</t>
  </si>
  <si>
    <t>Development of WA Electric Deferrals (Calendar Year 2017)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</si>
  <si>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</si>
  <si>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</si>
  <si>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</si>
  <si>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</si>
  <si>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</si>
  <si>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November 1 Billing</t>
  </si>
  <si>
    <t>Customer 1</t>
  </si>
  <si>
    <t>Schedule 21 Adjustment</t>
  </si>
  <si>
    <t>Sch 21 Fixed Charge Revenue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</si>
  <si>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$52,878.</t>
    </r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</si>
  <si>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</si>
  <si>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</si>
  <si>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t>December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</si>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</sst>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56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165" fontId="118" fillId="0" borderId="0" xfId="2" applyNumberFormat="1" applyFont="1" applyFill="1" applyAlignment="1">
      <alignment wrapText="1"/>
    </xf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Fill="1"/>
    <xf numFmtId="204" fontId="118" fillId="0" borderId="0" xfId="0" applyNumberFormat="1" applyFont="1" applyFill="1" applyAlignment="1">
      <alignment horizontal="center"/>
    </xf>
    <xf numFmtId="204" fontId="118" fillId="0" borderId="0" xfId="0" applyNumberFormat="1" applyFont="1" applyFill="1" applyAlignment="1">
      <alignment horizontal="center" wrapText="1"/>
    </xf>
    <xf numFmtId="204" fontId="118" fillId="0" borderId="0" xfId="0" applyNumberFormat="1" applyFont="1" applyFill="1"/>
    <xf numFmtId="0" fontId="118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8" fillId="0" borderId="0" xfId="0" applyFont="1" applyFill="1" applyAlignment="1">
      <alignment horizontal="center"/>
    </xf>
    <xf numFmtId="0" fontId="115" fillId="0" borderId="0" xfId="0" applyFont="1" applyFill="1"/>
    <xf numFmtId="0" fontId="115" fillId="0" borderId="35" xfId="0" applyFont="1" applyFill="1" applyBorder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workbookViewId="0">
      <selection activeCell="G14" sqref="G14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177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M79"/>
  <sheetViews>
    <sheetView zoomScaleNormal="100" zoomScaleSheetLayoutView="90" workbookViewId="0">
      <selection activeCell="M25" sqref="M25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4.1093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213359</v>
      </c>
      <c r="D3" s="224"/>
      <c r="E3" s="197">
        <v>157738693</v>
      </c>
      <c r="F3" s="197">
        <v>-92455751</v>
      </c>
      <c r="G3" s="197">
        <v>98182541</v>
      </c>
      <c r="H3" s="218">
        <f>SUM(F3:G3)</f>
        <v>5726790</v>
      </c>
      <c r="I3" s="171">
        <f>E3+H3</f>
        <v>163465483</v>
      </c>
    </row>
    <row r="4" spans="1:9">
      <c r="A4" s="195" t="s">
        <v>203</v>
      </c>
      <c r="B4" s="164"/>
      <c r="C4" s="170">
        <v>439</v>
      </c>
      <c r="D4" s="224"/>
      <c r="E4" s="197">
        <v>344842</v>
      </c>
      <c r="F4" s="197">
        <v>-191760</v>
      </c>
      <c r="G4" s="197">
        <v>210951</v>
      </c>
      <c r="H4" s="218">
        <f t="shared" ref="H4:H16" si="0">SUM(F4:G4)</f>
        <v>19191</v>
      </c>
      <c r="I4" s="171">
        <f t="shared" ref="I4:I16" si="1">E4+H4</f>
        <v>364033</v>
      </c>
    </row>
    <row r="5" spans="1:9">
      <c r="A5" s="195" t="s">
        <v>149</v>
      </c>
      <c r="B5" s="164"/>
      <c r="C5" s="170">
        <v>22623</v>
      </c>
      <c r="D5" s="224"/>
      <c r="E5" s="197">
        <v>42229122</v>
      </c>
      <c r="F5" s="197">
        <v>-24189163</v>
      </c>
      <c r="G5" s="197">
        <v>26218176</v>
      </c>
      <c r="H5" s="218">
        <f t="shared" si="0"/>
        <v>2029013</v>
      </c>
      <c r="I5" s="171">
        <f t="shared" si="1"/>
        <v>44258135</v>
      </c>
    </row>
    <row r="6" spans="1:9">
      <c r="A6" s="195" t="s">
        <v>150</v>
      </c>
      <c r="B6" s="164"/>
      <c r="C6" s="170">
        <v>9267</v>
      </c>
      <c r="D6" s="224"/>
      <c r="E6" s="197">
        <v>4113683</v>
      </c>
      <c r="F6" s="197">
        <v>-2109361</v>
      </c>
      <c r="G6" s="197">
        <v>2561546</v>
      </c>
      <c r="H6" s="218">
        <f t="shared" si="0"/>
        <v>452185</v>
      </c>
      <c r="I6" s="171">
        <f t="shared" si="1"/>
        <v>4565868</v>
      </c>
    </row>
    <row r="7" spans="1:9">
      <c r="A7" s="195" t="s">
        <v>151</v>
      </c>
      <c r="B7" s="164"/>
      <c r="C7" s="170">
        <v>1845</v>
      </c>
      <c r="D7" s="224"/>
      <c r="E7" s="197">
        <v>106599206</v>
      </c>
      <c r="F7" s="197">
        <v>-55528239</v>
      </c>
      <c r="G7" s="197">
        <f>60904520+5092956</f>
        <v>65997476</v>
      </c>
      <c r="H7" s="218">
        <f t="shared" si="0"/>
        <v>10469237</v>
      </c>
      <c r="I7" s="171">
        <f t="shared" si="1"/>
        <v>117068443</v>
      </c>
    </row>
    <row r="8" spans="1:9">
      <c r="A8" s="195" t="s">
        <v>152</v>
      </c>
      <c r="B8" s="164"/>
      <c r="C8" s="170">
        <v>48</v>
      </c>
      <c r="D8" s="224"/>
      <c r="E8" s="197">
        <v>2348818</v>
      </c>
      <c r="F8" s="197">
        <v>-1287532</v>
      </c>
      <c r="G8" s="197">
        <v>1476656</v>
      </c>
      <c r="H8" s="218">
        <f t="shared" si="0"/>
        <v>189124</v>
      </c>
      <c r="I8" s="171">
        <f t="shared" si="1"/>
        <v>2537942</v>
      </c>
    </row>
    <row r="9" spans="1:9">
      <c r="A9" s="195" t="s">
        <v>153</v>
      </c>
      <c r="B9" s="164"/>
      <c r="C9" s="170">
        <v>19</v>
      </c>
      <c r="D9" s="224"/>
      <c r="E9" s="197">
        <f>45417192-E10</f>
        <v>45327977</v>
      </c>
      <c r="F9" s="197">
        <v>0</v>
      </c>
      <c r="G9" s="197">
        <f>48677097-G10</f>
        <v>18677097</v>
      </c>
      <c r="H9" s="218">
        <f t="shared" si="0"/>
        <v>18677097</v>
      </c>
      <c r="I9" s="171">
        <f t="shared" si="1"/>
        <v>64005074</v>
      </c>
    </row>
    <row r="10" spans="1:9">
      <c r="A10" s="195" t="s">
        <v>204</v>
      </c>
      <c r="B10" s="164"/>
      <c r="C10" s="170"/>
      <c r="D10" s="224"/>
      <c r="E10" s="197">
        <v>89215</v>
      </c>
      <c r="F10" s="197">
        <v>0</v>
      </c>
      <c r="G10" s="197">
        <v>30000000</v>
      </c>
      <c r="H10" s="218">
        <f t="shared" si="0"/>
        <v>30000000</v>
      </c>
      <c r="I10" s="171">
        <f t="shared" si="1"/>
        <v>30089215</v>
      </c>
    </row>
    <row r="11" spans="1:9">
      <c r="A11" s="195" t="s">
        <v>205</v>
      </c>
      <c r="B11" s="164"/>
      <c r="C11" s="170">
        <v>49</v>
      </c>
      <c r="D11" s="224"/>
      <c r="E11" s="197">
        <v>3146720</v>
      </c>
      <c r="F11" s="197">
        <v>0</v>
      </c>
      <c r="G11" s="197">
        <v>0</v>
      </c>
      <c r="H11" s="218">
        <f t="shared" si="0"/>
        <v>0</v>
      </c>
      <c r="I11" s="171">
        <f t="shared" si="1"/>
        <v>3146720</v>
      </c>
    </row>
    <row r="12" spans="1:9">
      <c r="A12" s="195" t="s">
        <v>154</v>
      </c>
      <c r="B12" s="164"/>
      <c r="C12" s="170">
        <v>1188</v>
      </c>
      <c r="D12" s="224"/>
      <c r="E12" s="197">
        <v>7961806</v>
      </c>
      <c r="F12" s="197">
        <v>-11039902</v>
      </c>
      <c r="G12" s="197">
        <v>4158745</v>
      </c>
      <c r="H12" s="218">
        <f t="shared" si="0"/>
        <v>-6881157</v>
      </c>
      <c r="I12" s="171">
        <f t="shared" si="1"/>
        <v>1080649</v>
      </c>
    </row>
    <row r="13" spans="1:9">
      <c r="A13" s="195" t="s">
        <v>155</v>
      </c>
      <c r="B13" s="164"/>
      <c r="C13" s="170">
        <v>1192</v>
      </c>
      <c r="D13" s="224"/>
      <c r="E13" s="197">
        <v>580472</v>
      </c>
      <c r="F13" s="197">
        <v>-493097</v>
      </c>
      <c r="G13" s="197">
        <v>241087</v>
      </c>
      <c r="H13" s="218">
        <f t="shared" si="0"/>
        <v>-252010</v>
      </c>
      <c r="I13" s="171">
        <f t="shared" si="1"/>
        <v>328462</v>
      </c>
    </row>
    <row r="14" spans="1:9">
      <c r="A14" s="195" t="s">
        <v>206</v>
      </c>
      <c r="B14" s="164"/>
      <c r="C14" s="170">
        <v>423</v>
      </c>
      <c r="D14" s="224"/>
      <c r="E14" s="197">
        <v>977334</v>
      </c>
      <c r="F14" s="197"/>
      <c r="G14" s="197"/>
      <c r="H14" s="218"/>
      <c r="I14" s="171">
        <f t="shared" si="1"/>
        <v>977334</v>
      </c>
    </row>
    <row r="15" spans="1:9">
      <c r="A15" s="195" t="s">
        <v>207</v>
      </c>
      <c r="B15" s="164"/>
      <c r="C15" s="170"/>
      <c r="D15" s="224"/>
      <c r="E15" s="197">
        <v>410091</v>
      </c>
      <c r="F15" s="197"/>
      <c r="G15" s="197"/>
      <c r="H15" s="218">
        <f t="shared" si="0"/>
        <v>0</v>
      </c>
      <c r="I15" s="171">
        <f t="shared" si="1"/>
        <v>410091</v>
      </c>
    </row>
    <row r="16" spans="1:9">
      <c r="A16" s="195" t="s">
        <v>208</v>
      </c>
      <c r="B16" s="164"/>
      <c r="C16" s="170"/>
      <c r="D16" s="225"/>
      <c r="E16" s="197">
        <v>222537</v>
      </c>
      <c r="F16" s="197"/>
      <c r="G16" s="197"/>
      <c r="H16" s="218">
        <f t="shared" si="0"/>
        <v>0</v>
      </c>
      <c r="I16" s="171">
        <f t="shared" si="1"/>
        <v>222537</v>
      </c>
    </row>
    <row r="17" spans="1:9">
      <c r="A17" s="164"/>
      <c r="B17" s="164"/>
      <c r="C17" s="172">
        <f>SUM(C3:C16)</f>
        <v>250452</v>
      </c>
      <c r="E17" s="172">
        <f t="shared" ref="E17:I17" si="2">SUM(E3:E16)</f>
        <v>372090516</v>
      </c>
      <c r="F17" s="172">
        <f t="shared" si="2"/>
        <v>-187294805</v>
      </c>
      <c r="G17" s="172">
        <f t="shared" si="2"/>
        <v>247724275</v>
      </c>
      <c r="H17" s="172">
        <f t="shared" si="2"/>
        <v>60429470</v>
      </c>
      <c r="I17" s="172">
        <f t="shared" si="2"/>
        <v>432519986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213798</v>
      </c>
      <c r="E19" s="174">
        <f>E3+E4</f>
        <v>158083535</v>
      </c>
      <c r="F19" s="174">
        <f t="shared" ref="F19:H19" si="3">F3+F4</f>
        <v>-92647511</v>
      </c>
      <c r="G19" s="174">
        <f t="shared" si="3"/>
        <v>98393492</v>
      </c>
      <c r="H19" s="174">
        <f t="shared" si="3"/>
        <v>5745981</v>
      </c>
      <c r="I19" s="173">
        <f>I3+I4</f>
        <v>163829516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36212</v>
      </c>
      <c r="E21" s="192">
        <f>SUM(E5:E8,E11:E13)</f>
        <v>166979827</v>
      </c>
      <c r="F21" s="192">
        <f t="shared" ref="F21:H21" si="4">SUM(F5:F8,F11:F13)</f>
        <v>-94647294</v>
      </c>
      <c r="G21" s="192">
        <f t="shared" si="4"/>
        <v>100653686</v>
      </c>
      <c r="H21" s="192">
        <f t="shared" si="4"/>
        <v>6006392</v>
      </c>
      <c r="I21" s="191">
        <f>SUM(I5:I8,I11:I13)</f>
        <v>172986219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1856689</v>
      </c>
      <c r="D24" s="196">
        <v>14028080.560000001</v>
      </c>
      <c r="E24" s="198">
        <v>-8775021</v>
      </c>
      <c r="F24" s="198">
        <v>9105299</v>
      </c>
      <c r="G24" s="188">
        <f>SUM(D24:F24)</f>
        <v>14358358.560000001</v>
      </c>
      <c r="H24" s="188">
        <f>-J62</f>
        <v>-41986.271679999983</v>
      </c>
      <c r="I24" s="188">
        <f>SUM(G24:H24)</f>
        <v>14316372.288320001</v>
      </c>
    </row>
    <row r="25" spans="1:9">
      <c r="A25" s="195" t="s">
        <v>203</v>
      </c>
      <c r="B25" s="164"/>
      <c r="C25" s="196">
        <v>3791</v>
      </c>
      <c r="D25" s="196">
        <v>30400.09</v>
      </c>
      <c r="E25" s="198">
        <v>-12185</v>
      </c>
      <c r="F25" s="198">
        <v>12822</v>
      </c>
      <c r="G25" s="188">
        <f t="shared" ref="G25:G33" si="5">SUM(D25:F25)</f>
        <v>31037.09</v>
      </c>
      <c r="H25" s="188">
        <f t="shared" ref="H25:H33" si="6">-J63</f>
        <v>473.8377900000001</v>
      </c>
      <c r="I25" s="188">
        <f t="shared" ref="I25:I34" si="7">SUM(G25:H25)</f>
        <v>31510.927790000002</v>
      </c>
    </row>
    <row r="26" spans="1:9">
      <c r="A26" s="195" t="s">
        <v>149</v>
      </c>
      <c r="B26" s="164"/>
      <c r="C26" s="196">
        <v>414725.39</v>
      </c>
      <c r="D26" s="196">
        <v>5013948.21</v>
      </c>
      <c r="E26" s="198">
        <v>-2798844</v>
      </c>
      <c r="F26" s="198">
        <v>3051722</v>
      </c>
      <c r="G26" s="188">
        <f t="shared" si="5"/>
        <v>5266826.21</v>
      </c>
      <c r="H26" s="188">
        <f t="shared" si="6"/>
        <v>-11081.211879999999</v>
      </c>
      <c r="I26" s="188">
        <f t="shared" si="7"/>
        <v>5255744.9981199997</v>
      </c>
    </row>
    <row r="27" spans="1:9">
      <c r="A27" s="195" t="s">
        <v>150</v>
      </c>
      <c r="B27" s="164"/>
      <c r="C27" s="196">
        <v>168613.19</v>
      </c>
      <c r="D27" s="196">
        <v>620157.91</v>
      </c>
      <c r="E27" s="198">
        <v>-326471</v>
      </c>
      <c r="F27" s="198">
        <v>377791</v>
      </c>
      <c r="G27" s="188">
        <f t="shared" si="5"/>
        <v>671477.91</v>
      </c>
      <c r="H27" s="188">
        <f t="shared" si="6"/>
        <v>-1877.9831100000006</v>
      </c>
      <c r="I27" s="188">
        <f t="shared" si="7"/>
        <v>669599.92689</v>
      </c>
    </row>
    <row r="28" spans="1:9">
      <c r="A28" s="195" t="s">
        <v>151</v>
      </c>
      <c r="B28" s="164"/>
      <c r="C28" s="196">
        <v>921735.97</v>
      </c>
      <c r="D28" s="196">
        <v>9749653.8399999999</v>
      </c>
      <c r="E28" s="198">
        <v>-4510756</v>
      </c>
      <c r="F28" s="198">
        <f>4909585+392842</f>
        <v>5302427</v>
      </c>
      <c r="G28" s="188">
        <f t="shared" si="5"/>
        <v>10541324.84</v>
      </c>
      <c r="H28" s="188">
        <f t="shared" si="6"/>
        <v>-33127.968499999995</v>
      </c>
      <c r="I28" s="188">
        <f t="shared" si="7"/>
        <v>10508196.8715</v>
      </c>
    </row>
    <row r="29" spans="1:9">
      <c r="A29" s="195" t="s">
        <v>152</v>
      </c>
      <c r="B29" s="164"/>
      <c r="C29" s="196">
        <v>24250</v>
      </c>
      <c r="D29" s="196">
        <v>211826.19</v>
      </c>
      <c r="E29" s="198">
        <v>-107449</v>
      </c>
      <c r="F29" s="198">
        <v>121009</v>
      </c>
      <c r="G29" s="188">
        <f t="shared" si="5"/>
        <v>225386.19</v>
      </c>
      <c r="H29" s="188">
        <f t="shared" si="6"/>
        <v>-524.74907999999994</v>
      </c>
      <c r="I29" s="188">
        <f t="shared" si="7"/>
        <v>224861.44091999999</v>
      </c>
    </row>
    <row r="30" spans="1:9">
      <c r="A30" s="195" t="s">
        <v>153</v>
      </c>
      <c r="B30" s="164"/>
      <c r="C30" s="196">
        <v>386400</v>
      </c>
      <c r="D30" s="196">
        <v>2895876.36</v>
      </c>
      <c r="E30" s="198">
        <v>0</v>
      </c>
      <c r="F30" s="198">
        <v>2635112</v>
      </c>
      <c r="G30" s="188">
        <f t="shared" si="5"/>
        <v>5530988.3599999994</v>
      </c>
      <c r="H30" s="188">
        <f t="shared" si="6"/>
        <v>-98072.116680000006</v>
      </c>
      <c r="I30" s="188">
        <f t="shared" si="7"/>
        <v>5432916.2433199994</v>
      </c>
    </row>
    <row r="31" spans="1:9">
      <c r="A31" s="195" t="s">
        <v>205</v>
      </c>
      <c r="B31" s="164"/>
      <c r="C31" s="196">
        <v>918</v>
      </c>
      <c r="D31" s="196">
        <v>215630.13</v>
      </c>
      <c r="E31" s="198">
        <v>0</v>
      </c>
      <c r="F31" s="198">
        <v>0</v>
      </c>
      <c r="G31" s="188">
        <f t="shared" si="5"/>
        <v>215630.13</v>
      </c>
      <c r="H31" s="188">
        <f t="shared" si="6"/>
        <v>0</v>
      </c>
      <c r="I31" s="188">
        <f t="shared" si="7"/>
        <v>215630.13</v>
      </c>
    </row>
    <row r="32" spans="1:9">
      <c r="A32" s="195" t="s">
        <v>154</v>
      </c>
      <c r="B32" s="164"/>
      <c r="C32" s="196">
        <v>21456</v>
      </c>
      <c r="D32" s="196">
        <v>665228.21</v>
      </c>
      <c r="E32" s="198">
        <v>-877170</v>
      </c>
      <c r="F32" s="198">
        <v>351675</v>
      </c>
      <c r="G32" s="188">
        <f t="shared" si="5"/>
        <v>139733.20999999996</v>
      </c>
      <c r="H32" s="188">
        <f t="shared" si="6"/>
        <v>15260.302670000001</v>
      </c>
      <c r="I32" s="188">
        <f t="shared" si="7"/>
        <v>154993.51266999997</v>
      </c>
    </row>
    <row r="33" spans="1:10">
      <c r="A33" s="195" t="s">
        <v>155</v>
      </c>
      <c r="B33" s="164"/>
      <c r="C33" s="196">
        <v>21690</v>
      </c>
      <c r="D33" s="196">
        <v>71357.8</v>
      </c>
      <c r="E33" s="198">
        <v>-49814</v>
      </c>
      <c r="F33" s="198">
        <v>30523</v>
      </c>
      <c r="G33" s="188">
        <f t="shared" si="5"/>
        <v>52066.8</v>
      </c>
      <c r="H33" s="188">
        <f t="shared" si="6"/>
        <v>424.14140999999984</v>
      </c>
      <c r="I33" s="188">
        <f t="shared" si="7"/>
        <v>52490.941409999999</v>
      </c>
    </row>
    <row r="34" spans="1:10">
      <c r="A34" s="195" t="s">
        <v>217</v>
      </c>
      <c r="B34" s="164"/>
      <c r="C34" s="188"/>
      <c r="D34" s="196">
        <v>549312.88</v>
      </c>
      <c r="E34" s="196"/>
      <c r="F34" s="196"/>
      <c r="G34" s="188">
        <f>SUM(D34:F34)</f>
        <v>549312.88</v>
      </c>
      <c r="H34" s="188"/>
      <c r="I34" s="188">
        <f t="shared" si="7"/>
        <v>549312.88</v>
      </c>
    </row>
    <row r="35" spans="1:10">
      <c r="A35" s="195" t="s">
        <v>218</v>
      </c>
      <c r="B35" s="164"/>
      <c r="C35" s="224"/>
      <c r="D35" s="196">
        <v>1578155.35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1395147.3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3820268.55</v>
      </c>
      <c r="D37" s="178">
        <f t="shared" ref="D37:I37" si="8">SUM(D24:D36)</f>
        <v>37024774.829999998</v>
      </c>
      <c r="E37" s="178">
        <f t="shared" si="8"/>
        <v>-17457710</v>
      </c>
      <c r="F37" s="178">
        <f t="shared" si="8"/>
        <v>20988380</v>
      </c>
      <c r="G37" s="178">
        <f t="shared" si="8"/>
        <v>37582142.18</v>
      </c>
      <c r="H37" s="178">
        <f t="shared" si="8"/>
        <v>-170512.01905999999</v>
      </c>
      <c r="I37" s="178">
        <f t="shared" si="8"/>
        <v>37411630.160940006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1860480</v>
      </c>
      <c r="D39" s="180">
        <f t="shared" ref="D39:I39" si="9">D24+D25</f>
        <v>14058480.65</v>
      </c>
      <c r="E39" s="180">
        <f t="shared" si="9"/>
        <v>-8787206</v>
      </c>
      <c r="F39" s="180">
        <f t="shared" si="9"/>
        <v>9118121</v>
      </c>
      <c r="G39" s="180">
        <f t="shared" si="9"/>
        <v>14389395.65</v>
      </c>
      <c r="H39" s="180">
        <f t="shared" si="9"/>
        <v>-41512.433889999986</v>
      </c>
      <c r="I39" s="181">
        <f t="shared" si="9"/>
        <v>14347883.21611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1573388.55</v>
      </c>
      <c r="D41" s="190">
        <f t="shared" ref="D41:I41" si="10">SUM(D26:D29,D31:D33)</f>
        <v>16547802.290000003</v>
      </c>
      <c r="E41" s="190">
        <f t="shared" si="10"/>
        <v>-8670504</v>
      </c>
      <c r="F41" s="190">
        <f t="shared" si="10"/>
        <v>9235147</v>
      </c>
      <c r="G41" s="190">
        <f t="shared" si="10"/>
        <v>17112445.290000003</v>
      </c>
      <c r="H41" s="190">
        <f t="shared" si="10"/>
        <v>-30927.468489999992</v>
      </c>
      <c r="I41" s="189">
        <f t="shared" si="10"/>
        <v>17081517.821510002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43009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224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3.4399999999999999E-3</v>
      </c>
      <c r="G47" s="184">
        <v>9.7000000000000005E-4</v>
      </c>
      <c r="H47" s="184">
        <v>0</v>
      </c>
      <c r="I47" s="184">
        <v>-5.6999999999999998E-4</v>
      </c>
      <c r="J47" s="184">
        <v>1.0499999999999999E-3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3.4399999999999999E-3</v>
      </c>
      <c r="G48" s="184">
        <v>9.7000000000000005E-4</v>
      </c>
      <c r="H48" s="184">
        <v>0</v>
      </c>
      <c r="I48" s="184">
        <v>-5.6999999999999998E-4</v>
      </c>
      <c r="J48" s="184">
        <v>1.0499999999999999E-3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4.6299999999999996E-3</v>
      </c>
      <c r="G49" s="184">
        <v>1.41E-3</v>
      </c>
      <c r="H49" s="184">
        <v>0</v>
      </c>
      <c r="I49" s="184">
        <v>-5.6999999999999998E-4</v>
      </c>
      <c r="J49" s="184">
        <v>1.5200000000000001E-3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4.6299999999999996E-3</v>
      </c>
      <c r="G50" s="184">
        <v>1.41E-3</v>
      </c>
      <c r="H50" s="184">
        <v>0</v>
      </c>
      <c r="I50" s="184">
        <v>-5.6999999999999998E-4</v>
      </c>
      <c r="J50" s="184">
        <v>1.5200000000000001E-3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3.6600000000000001E-3</v>
      </c>
      <c r="G51" s="184">
        <v>1.0200000000000001E-3</v>
      </c>
      <c r="H51" s="184">
        <v>0</v>
      </c>
      <c r="I51" s="184">
        <v>-5.9000000000000003E-4</v>
      </c>
      <c r="J51" s="184">
        <v>1.1000000000000001E-3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3.6600000000000001E-3</v>
      </c>
      <c r="G52" s="184">
        <v>1.0200000000000001E-3</v>
      </c>
      <c r="H52" s="184">
        <v>0</v>
      </c>
      <c r="I52" s="184">
        <v>-5.9000000000000003E-4</v>
      </c>
      <c r="J52" s="184">
        <v>1.1000000000000001E-3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2.32E-3</v>
      </c>
      <c r="G53" s="184">
        <v>6.4000000000000005E-4</v>
      </c>
      <c r="H53" s="184">
        <v>0</v>
      </c>
      <c r="I53" s="184">
        <v>-5.6999999999999998E-4</v>
      </c>
      <c r="J53" s="184">
        <v>6.8999999999999997E-4</v>
      </c>
    </row>
    <row r="54" spans="1:13">
      <c r="A54" s="195" t="s">
        <v>204</v>
      </c>
      <c r="B54" s="164"/>
      <c r="C54" s="184"/>
      <c r="D54" s="184"/>
      <c r="E54" s="184"/>
      <c r="F54" s="184">
        <v>2.32E-3</v>
      </c>
      <c r="G54" s="184">
        <v>0</v>
      </c>
      <c r="H54" s="184">
        <v>0</v>
      </c>
      <c r="I54" s="184">
        <v>-5.6999999999999998E-4</v>
      </c>
      <c r="J54" s="184">
        <v>0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3.4099999999999998E-3</v>
      </c>
      <c r="G55" s="184">
        <v>8.8999999999999995E-4</v>
      </c>
      <c r="H55" s="184">
        <v>0</v>
      </c>
      <c r="I55" s="184">
        <v>-6.0999999999999997E-4</v>
      </c>
      <c r="J55" s="184">
        <v>9.6000000000000002E-4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3.4099999999999998E-3</v>
      </c>
      <c r="G56" s="184">
        <v>8.8999999999999995E-4</v>
      </c>
      <c r="H56" s="184">
        <v>0</v>
      </c>
      <c r="I56" s="184">
        <v>-6.0999999999999997E-4</v>
      </c>
      <c r="J56" s="184">
        <v>9.6000000000000002E-4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3.4099999999999998E-3</v>
      </c>
      <c r="G57" s="184">
        <v>8.8999999999999995E-4</v>
      </c>
      <c r="H57" s="184">
        <v>0</v>
      </c>
      <c r="I57" s="184">
        <v>-6.0999999999999997E-4</v>
      </c>
      <c r="J57" s="184">
        <v>9.6000000000000002E-4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1.2149999999999999E-2</v>
      </c>
      <c r="G58" s="255" t="s">
        <v>235</v>
      </c>
      <c r="H58" s="184">
        <v>0</v>
      </c>
      <c r="I58" s="202">
        <v>-6.4999999999999997E-4</v>
      </c>
      <c r="J58" s="255" t="s">
        <v>241</v>
      </c>
    </row>
    <row r="59" spans="1:13">
      <c r="A59" s="195" t="s">
        <v>208</v>
      </c>
      <c r="B59" s="164"/>
      <c r="C59" s="202"/>
      <c r="D59" s="184"/>
      <c r="E59" s="184"/>
      <c r="F59" s="202">
        <v>1.2149999999999999E-2</v>
      </c>
      <c r="G59" s="255"/>
      <c r="H59" s="184">
        <v>0</v>
      </c>
      <c r="I59" s="202">
        <v>-6.4999999999999997E-4</v>
      </c>
      <c r="J59" s="255"/>
    </row>
    <row r="60" spans="1:13">
      <c r="E60" s="164"/>
    </row>
    <row r="61" spans="1:13" ht="52.8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7"/>
    </row>
    <row r="62" spans="1:13">
      <c r="A62" s="195" t="s">
        <v>148</v>
      </c>
      <c r="C62" s="180">
        <f t="shared" ref="C62:H67" si="11">$H3*C47</f>
        <v>-2920.6629000000003</v>
      </c>
      <c r="D62" s="180">
        <f t="shared" si="11"/>
        <v>15061.457699999999</v>
      </c>
      <c r="E62" s="180">
        <f t="shared" si="11"/>
        <v>0</v>
      </c>
      <c r="F62" s="180">
        <f>($H3*F47)</f>
        <v>19700.157599999999</v>
      </c>
      <c r="G62" s="180">
        <f>($F3*G47)+(J47*G3)</f>
        <v>13409.589579999985</v>
      </c>
      <c r="H62" s="180">
        <f t="shared" si="11"/>
        <v>0</v>
      </c>
      <c r="I62" s="180">
        <f>(I47*H3)</f>
        <v>-3264.2702999999997</v>
      </c>
      <c r="J62" s="180">
        <f>SUM(C62:I62)</f>
        <v>41986.271679999983</v>
      </c>
      <c r="M62" s="180"/>
    </row>
    <row r="63" spans="1:13">
      <c r="A63" s="195" t="s">
        <v>203</v>
      </c>
      <c r="C63" s="180">
        <f t="shared" si="11"/>
        <v>-9.7874100000000013</v>
      </c>
      <c r="D63" s="180">
        <f t="shared" si="11"/>
        <v>50.472329999999999</v>
      </c>
      <c r="E63" s="180">
        <f t="shared" si="11"/>
        <v>-605.09223000000009</v>
      </c>
      <c r="F63" s="180">
        <f t="shared" ref="F63:F67" si="12">($H4*F48)</f>
        <v>66.017039999999994</v>
      </c>
      <c r="G63" s="180">
        <f t="shared" ref="G63:G67" si="13">($F4*G48)+(J48*G4)</f>
        <v>35.491349999999983</v>
      </c>
      <c r="H63" s="180">
        <f t="shared" si="11"/>
        <v>0</v>
      </c>
      <c r="I63" s="180">
        <f t="shared" ref="I63:I67" si="14">(I48*H4)</f>
        <v>-10.93887</v>
      </c>
      <c r="J63" s="180">
        <f t="shared" ref="J63:J72" si="15">SUM(C63:I63)</f>
        <v>-473.8377900000001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-2901.4885899999999</v>
      </c>
      <c r="E64" s="180">
        <f t="shared" si="11"/>
        <v>0</v>
      </c>
      <c r="F64" s="180">
        <f t="shared" si="12"/>
        <v>9394.3301899999988</v>
      </c>
      <c r="G64" s="180">
        <f t="shared" si="13"/>
        <v>5744.90769</v>
      </c>
      <c r="H64" s="180">
        <f t="shared" si="11"/>
        <v>0</v>
      </c>
      <c r="I64" s="180">
        <f t="shared" si="14"/>
        <v>-1156.5374099999999</v>
      </c>
      <c r="J64" s="180">
        <f t="shared" si="15"/>
        <v>11081.211879999999</v>
      </c>
      <c r="M64" s="180"/>
    </row>
    <row r="65" spans="1:13">
      <c r="A65" s="195" t="s">
        <v>150</v>
      </c>
      <c r="C65" s="180">
        <f t="shared" si="11"/>
        <v>-230.61435000000003</v>
      </c>
      <c r="D65" s="180">
        <f t="shared" si="11"/>
        <v>-646.62455</v>
      </c>
      <c r="E65" s="180">
        <f t="shared" si="11"/>
        <v>0</v>
      </c>
      <c r="F65" s="180">
        <f t="shared" si="12"/>
        <v>2093.6165499999997</v>
      </c>
      <c r="G65" s="180">
        <f t="shared" si="13"/>
        <v>919.35091000000057</v>
      </c>
      <c r="H65" s="180">
        <f t="shared" si="11"/>
        <v>0</v>
      </c>
      <c r="I65" s="180">
        <f t="shared" si="14"/>
        <v>-257.74545000000001</v>
      </c>
      <c r="J65" s="180">
        <f t="shared" si="15"/>
        <v>1877.9831100000006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-14971.00891</v>
      </c>
      <c r="E66" s="180">
        <f t="shared" si="11"/>
        <v>0</v>
      </c>
      <c r="F66" s="180">
        <f t="shared" si="12"/>
        <v>38317.407420000003</v>
      </c>
      <c r="G66" s="180">
        <f t="shared" si="13"/>
        <v>15958.419819999996</v>
      </c>
      <c r="H66" s="180">
        <f t="shared" si="11"/>
        <v>0</v>
      </c>
      <c r="I66" s="180">
        <f t="shared" si="14"/>
        <v>-6176.8498300000001</v>
      </c>
      <c r="J66" s="180">
        <f t="shared" si="15"/>
        <v>33127.968499999995</v>
      </c>
      <c r="M66" s="180"/>
    </row>
    <row r="67" spans="1:13">
      <c r="A67" s="195" t="s">
        <v>152</v>
      </c>
      <c r="C67" s="180">
        <f t="shared" si="11"/>
        <v>-96.453240000000008</v>
      </c>
      <c r="D67" s="180">
        <f t="shared" si="11"/>
        <v>-270.44731999999999</v>
      </c>
      <c r="E67" s="180">
        <f t="shared" si="11"/>
        <v>0</v>
      </c>
      <c r="F67" s="180">
        <f t="shared" si="12"/>
        <v>692.19384000000002</v>
      </c>
      <c r="G67" s="180">
        <f t="shared" si="13"/>
        <v>311.03895999999986</v>
      </c>
      <c r="H67" s="180">
        <f t="shared" si="11"/>
        <v>0</v>
      </c>
      <c r="I67" s="180">
        <f t="shared" si="14"/>
        <v>-111.58316000000001</v>
      </c>
      <c r="J67" s="180">
        <f>SUM(C67:I67)</f>
        <v>524.74907999999994</v>
      </c>
      <c r="M67" s="180"/>
    </row>
    <row r="68" spans="1:13">
      <c r="A68" s="195" t="s">
        <v>153</v>
      </c>
      <c r="C68" s="180">
        <f>$H9*C53+$H10*C54</f>
        <v>0</v>
      </c>
      <c r="D68" s="180">
        <f>$H9*D53+$H10*D54</f>
        <v>0</v>
      </c>
      <c r="E68" s="180">
        <f>$H9*E53+$H10*E54</f>
        <v>0</v>
      </c>
      <c r="F68" s="180">
        <f>$H9*F53+$H10*F54</f>
        <v>112930.86504</v>
      </c>
      <c r="G68" s="180">
        <f>($F9*G53)+($F10*G54)+(J53*G9)+($G10*J54)</f>
        <v>12887.19693</v>
      </c>
      <c r="H68" s="180">
        <f>$H9*H53+$H10*H54</f>
        <v>0</v>
      </c>
      <c r="I68" s="180">
        <f>$H9*I53+$H10*I54</f>
        <v>-27745.94529</v>
      </c>
      <c r="J68" s="180">
        <f t="shared" si="15"/>
        <v>98072.116680000006</v>
      </c>
      <c r="M68" s="180"/>
    </row>
    <row r="69" spans="1:13">
      <c r="A69" s="195" t="s">
        <v>205</v>
      </c>
      <c r="C69" s="180">
        <f t="shared" ref="C69:H71" si="16">$H11*C55</f>
        <v>0</v>
      </c>
      <c r="D69" s="180">
        <f t="shared" si="16"/>
        <v>0</v>
      </c>
      <c r="E69" s="180">
        <f t="shared" si="16"/>
        <v>0</v>
      </c>
      <c r="F69" s="180">
        <f>($H11*F54)</f>
        <v>0</v>
      </c>
      <c r="G69" s="180">
        <f>($F11*G55)+(J55*G11)</f>
        <v>0</v>
      </c>
      <c r="H69" s="180">
        <f t="shared" si="16"/>
        <v>0</v>
      </c>
      <c r="I69" s="180">
        <f>$H11*I55</f>
        <v>0</v>
      </c>
      <c r="J69" s="180">
        <f t="shared" si="15"/>
        <v>0</v>
      </c>
      <c r="M69" s="180"/>
    </row>
    <row r="70" spans="1:13">
      <c r="A70" s="195" t="s">
        <v>154</v>
      </c>
      <c r="C70" s="180">
        <f t="shared" si="16"/>
        <v>0</v>
      </c>
      <c r="D70" s="180">
        <f t="shared" si="16"/>
        <v>9840.0545099999999</v>
      </c>
      <c r="E70" s="180">
        <f t="shared" si="16"/>
        <v>0</v>
      </c>
      <c r="F70" s="180">
        <f>($H12*F55)</f>
        <v>-23464.745370000001</v>
      </c>
      <c r="G70" s="180">
        <f>($F12*G56)+(J56*G12)</f>
        <v>-5833.1175799999992</v>
      </c>
      <c r="H70" s="180">
        <f t="shared" si="16"/>
        <v>0</v>
      </c>
      <c r="I70" s="180">
        <f>$H12*I56</f>
        <v>4197.5057699999998</v>
      </c>
      <c r="J70" s="180">
        <f t="shared" si="15"/>
        <v>-15260.302670000001</v>
      </c>
      <c r="M70" s="180"/>
    </row>
    <row r="71" spans="1:13">
      <c r="A71" s="195" t="s">
        <v>155</v>
      </c>
      <c r="C71" s="180">
        <f t="shared" si="16"/>
        <v>128.52510000000001</v>
      </c>
      <c r="D71" s="180">
        <f t="shared" si="16"/>
        <v>360.37430000000001</v>
      </c>
      <c r="E71" s="180">
        <f t="shared" si="16"/>
        <v>0</v>
      </c>
      <c r="F71" s="180">
        <f>($H13*F56)</f>
        <v>-859.3540999999999</v>
      </c>
      <c r="G71" s="180">
        <f>($F13*G57)+(J57*G13)</f>
        <v>-207.41280999999995</v>
      </c>
      <c r="H71" s="180">
        <f t="shared" si="16"/>
        <v>0</v>
      </c>
      <c r="I71" s="180">
        <f>$H13*I57</f>
        <v>153.7261</v>
      </c>
      <c r="J71" s="180">
        <f t="shared" si="15"/>
        <v>-424.14140999999984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($H14*F57)</f>
        <v>0</v>
      </c>
      <c r="G72" s="180"/>
      <c r="H72" s="180">
        <f>($H14+$H15)*H58</f>
        <v>0</v>
      </c>
      <c r="I72" s="180">
        <f>($H14+$H15)*I58</f>
        <v>0</v>
      </c>
      <c r="J72" s="180">
        <f t="shared" si="15"/>
        <v>0</v>
      </c>
      <c r="M72" s="180"/>
    </row>
    <row r="73" spans="1:13">
      <c r="A73" s="169"/>
      <c r="C73" s="222">
        <f>SUM(C62:C72)</f>
        <v>-3128.9928</v>
      </c>
      <c r="D73" s="222">
        <f>SUM(D62:D72)</f>
        <v>6522.7894699999979</v>
      </c>
      <c r="E73" s="222">
        <f t="shared" ref="E73:J73" si="17">SUM(E62:E72)</f>
        <v>-605.09223000000009</v>
      </c>
      <c r="F73" s="222">
        <f t="shared" si="17"/>
        <v>158870.48821000001</v>
      </c>
      <c r="G73" s="222">
        <f t="shared" si="17"/>
        <v>43225.464849999975</v>
      </c>
      <c r="H73" s="222">
        <f t="shared" si="17"/>
        <v>0</v>
      </c>
      <c r="I73" s="222">
        <f t="shared" si="17"/>
        <v>-34372.638439999995</v>
      </c>
      <c r="J73" s="222">
        <f t="shared" si="17"/>
        <v>170512.01905999999</v>
      </c>
    </row>
    <row r="74" spans="1:13" ht="15.75" customHeight="1"/>
    <row r="75" spans="1:13">
      <c r="A75" s="164" t="s">
        <v>19</v>
      </c>
      <c r="B75" s="164"/>
      <c r="C75" s="180">
        <f>C62+C63</f>
        <v>-2930.4503100000002</v>
      </c>
      <c r="D75" s="180">
        <f>D62+D63</f>
        <v>15111.93003</v>
      </c>
      <c r="E75" s="180">
        <f t="shared" ref="E75:J75" si="18">E62+E63</f>
        <v>-605.09223000000009</v>
      </c>
      <c r="F75" s="180">
        <f t="shared" si="18"/>
        <v>19766.174639999997</v>
      </c>
      <c r="G75" s="180">
        <f t="shared" si="18"/>
        <v>13445.080929999986</v>
      </c>
      <c r="H75" s="180">
        <f t="shared" si="18"/>
        <v>0</v>
      </c>
      <c r="I75" s="180">
        <f t="shared" si="18"/>
        <v>-3275.2091699999996</v>
      </c>
      <c r="J75" s="180">
        <f t="shared" si="18"/>
        <v>41512.433889999986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-198.54249000000004</v>
      </c>
      <c r="D77" s="190">
        <f>SUM(D64:D67,D69:D71)</f>
        <v>-8589.1405600000016</v>
      </c>
      <c r="E77" s="190">
        <f t="shared" ref="E77:J77" si="19">SUM(E64:E67,E69:E71)</f>
        <v>0</v>
      </c>
      <c r="F77" s="190">
        <f t="shared" si="19"/>
        <v>26173.448530000001</v>
      </c>
      <c r="G77" s="190">
        <f t="shared" si="19"/>
        <v>16893.186989999995</v>
      </c>
      <c r="H77" s="190">
        <f t="shared" si="19"/>
        <v>0</v>
      </c>
      <c r="I77" s="190">
        <f t="shared" si="19"/>
        <v>-3351.4839800000009</v>
      </c>
      <c r="J77" s="190">
        <f t="shared" si="19"/>
        <v>30927.468489999992</v>
      </c>
    </row>
    <row r="78" spans="1:13" ht="15.75" customHeight="1"/>
    <row r="79" spans="1:13" ht="15.75" customHeight="1"/>
  </sheetData>
  <mergeCells count="3">
    <mergeCell ref="A1:I1"/>
    <mergeCell ref="G58:G59"/>
    <mergeCell ref="J58:J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M79"/>
  <sheetViews>
    <sheetView zoomScaleNormal="100"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211893</v>
      </c>
      <c r="D3" s="224"/>
      <c r="E3" s="197">
        <v>185293605.43000001</v>
      </c>
      <c r="F3" s="197">
        <v>-116885343</v>
      </c>
      <c r="G3" s="197">
        <v>92455751</v>
      </c>
      <c r="H3" s="218">
        <f>SUM(F3:G3)</f>
        <v>-24429592</v>
      </c>
      <c r="I3" s="171">
        <f>E3+H3</f>
        <v>160864013.43000001</v>
      </c>
    </row>
    <row r="4" spans="1:9">
      <c r="A4" s="195" t="s">
        <v>203</v>
      </c>
      <c r="B4" s="164"/>
      <c r="C4" s="170">
        <v>446</v>
      </c>
      <c r="D4" s="224"/>
      <c r="E4" s="197">
        <v>360452</v>
      </c>
      <c r="F4" s="197">
        <v>-238611</v>
      </c>
      <c r="G4" s="197">
        <v>191760</v>
      </c>
      <c r="H4" s="218">
        <f t="shared" ref="H4:H16" si="0">SUM(F4:G4)</f>
        <v>-46851</v>
      </c>
      <c r="I4" s="171">
        <f t="shared" ref="I4:I16" si="1">E4+H4</f>
        <v>313601</v>
      </c>
    </row>
    <row r="5" spans="1:9">
      <c r="A5" s="195" t="s">
        <v>149</v>
      </c>
      <c r="B5" s="164"/>
      <c r="C5" s="170">
        <v>22528</v>
      </c>
      <c r="D5" s="224"/>
      <c r="E5" s="197">
        <v>48628823</v>
      </c>
      <c r="F5" s="197">
        <v>-29451425</v>
      </c>
      <c r="G5" s="197">
        <v>24189163</v>
      </c>
      <c r="H5" s="218">
        <f t="shared" si="0"/>
        <v>-5262262</v>
      </c>
      <c r="I5" s="171">
        <f t="shared" si="1"/>
        <v>43366561</v>
      </c>
    </row>
    <row r="6" spans="1:9">
      <c r="A6" s="195" t="s">
        <v>150</v>
      </c>
      <c r="B6" s="164"/>
      <c r="C6" s="170">
        <v>9227</v>
      </c>
      <c r="D6" s="224"/>
      <c r="E6" s="197">
        <v>4209027.57</v>
      </c>
      <c r="F6" s="197">
        <v>-2386111</v>
      </c>
      <c r="G6" s="197">
        <v>2109361</v>
      </c>
      <c r="H6" s="218">
        <f t="shared" si="0"/>
        <v>-276750</v>
      </c>
      <c r="I6" s="171">
        <f t="shared" si="1"/>
        <v>3932277.5700000003</v>
      </c>
    </row>
    <row r="7" spans="1:9">
      <c r="A7" s="195" t="s">
        <v>151</v>
      </c>
      <c r="B7" s="164"/>
      <c r="C7" s="170">
        <v>1850</v>
      </c>
      <c r="D7" s="224"/>
      <c r="E7" s="197">
        <v>120756243</v>
      </c>
      <c r="F7" s="197">
        <v>-70560706</v>
      </c>
      <c r="G7" s="197">
        <v>55528239</v>
      </c>
      <c r="H7" s="218">
        <f t="shared" si="0"/>
        <v>-15032467</v>
      </c>
      <c r="I7" s="171">
        <f t="shared" si="1"/>
        <v>105723776</v>
      </c>
    </row>
    <row r="8" spans="1:9">
      <c r="A8" s="195" t="s">
        <v>152</v>
      </c>
      <c r="B8" s="164"/>
      <c r="C8" s="170">
        <v>49</v>
      </c>
      <c r="D8" s="224"/>
      <c r="E8" s="197">
        <v>2559760</v>
      </c>
      <c r="F8" s="197">
        <v>-1533928</v>
      </c>
      <c r="G8" s="197">
        <v>1287532</v>
      </c>
      <c r="H8" s="218">
        <f t="shared" si="0"/>
        <v>-246396</v>
      </c>
      <c r="I8" s="171">
        <f t="shared" si="1"/>
        <v>2313364</v>
      </c>
    </row>
    <row r="9" spans="1:9">
      <c r="A9" s="195" t="s">
        <v>153</v>
      </c>
      <c r="B9" s="164"/>
      <c r="C9" s="170">
        <v>22</v>
      </c>
      <c r="D9" s="224"/>
      <c r="E9" s="197">
        <f>96301848-E10</f>
        <v>61991572</v>
      </c>
      <c r="F9" s="197">
        <v>-3264593</v>
      </c>
      <c r="G9" s="197">
        <v>0</v>
      </c>
      <c r="H9" s="218">
        <f t="shared" si="0"/>
        <v>-3264593</v>
      </c>
      <c r="I9" s="171">
        <f t="shared" si="1"/>
        <v>58726979</v>
      </c>
    </row>
    <row r="10" spans="1:9">
      <c r="A10" s="195" t="s">
        <v>204</v>
      </c>
      <c r="B10" s="164"/>
      <c r="C10" s="170"/>
      <c r="D10" s="224"/>
      <c r="E10" s="197">
        <v>34310276</v>
      </c>
      <c r="F10" s="197">
        <v>0</v>
      </c>
      <c r="G10" s="197">
        <v>0</v>
      </c>
      <c r="H10" s="218">
        <f t="shared" si="0"/>
        <v>0</v>
      </c>
      <c r="I10" s="171">
        <f t="shared" si="1"/>
        <v>34310276</v>
      </c>
    </row>
    <row r="11" spans="1:9">
      <c r="A11" s="195" t="s">
        <v>205</v>
      </c>
      <c r="B11" s="164"/>
      <c r="C11" s="170">
        <v>48</v>
      </c>
      <c r="D11" s="224"/>
      <c r="E11" s="197">
        <v>4962600</v>
      </c>
      <c r="F11" s="197">
        <v>0</v>
      </c>
      <c r="G11" s="197">
        <v>0</v>
      </c>
      <c r="H11" s="218">
        <f t="shared" si="0"/>
        <v>0</v>
      </c>
      <c r="I11" s="171">
        <f t="shared" si="1"/>
        <v>4962600</v>
      </c>
    </row>
    <row r="12" spans="1:9">
      <c r="A12" s="195" t="s">
        <v>154</v>
      </c>
      <c r="B12" s="164"/>
      <c r="C12" s="170">
        <v>1199</v>
      </c>
      <c r="D12" s="224"/>
      <c r="E12" s="197">
        <v>16803571</v>
      </c>
      <c r="F12" s="197">
        <v>-10192101</v>
      </c>
      <c r="G12" s="197">
        <v>11039902</v>
      </c>
      <c r="H12" s="218">
        <f t="shared" si="0"/>
        <v>847801</v>
      </c>
      <c r="I12" s="171">
        <f t="shared" si="1"/>
        <v>17651372</v>
      </c>
    </row>
    <row r="13" spans="1:9">
      <c r="A13" s="195" t="s">
        <v>155</v>
      </c>
      <c r="B13" s="164"/>
      <c r="C13" s="170">
        <v>1203</v>
      </c>
      <c r="D13" s="224"/>
      <c r="E13" s="197">
        <v>1377878</v>
      </c>
      <c r="F13" s="197">
        <v>-784008</v>
      </c>
      <c r="G13" s="197">
        <v>493097</v>
      </c>
      <c r="H13" s="218">
        <f t="shared" si="0"/>
        <v>-290911</v>
      </c>
      <c r="I13" s="171">
        <f t="shared" si="1"/>
        <v>1086967</v>
      </c>
    </row>
    <row r="14" spans="1:9">
      <c r="A14" s="195" t="s">
        <v>206</v>
      </c>
      <c r="B14" s="164"/>
      <c r="C14" s="170">
        <v>424</v>
      </c>
      <c r="D14" s="224"/>
      <c r="E14" s="197">
        <v>962573.76</v>
      </c>
      <c r="F14" s="197"/>
      <c r="G14" s="197"/>
      <c r="H14" s="218"/>
      <c r="I14" s="171">
        <f t="shared" si="1"/>
        <v>962573.76</v>
      </c>
    </row>
    <row r="15" spans="1:9">
      <c r="A15" s="195" t="s">
        <v>207</v>
      </c>
      <c r="B15" s="164"/>
      <c r="C15" s="170"/>
      <c r="D15" s="224"/>
      <c r="E15" s="197">
        <v>420064.28</v>
      </c>
      <c r="F15" s="197"/>
      <c r="G15" s="197"/>
      <c r="H15" s="218">
        <f t="shared" si="0"/>
        <v>0</v>
      </c>
      <c r="I15" s="171">
        <f t="shared" si="1"/>
        <v>420064.28</v>
      </c>
    </row>
    <row r="16" spans="1:9">
      <c r="A16" s="195" t="s">
        <v>208</v>
      </c>
      <c r="B16" s="164"/>
      <c r="C16" s="170"/>
      <c r="D16" s="225"/>
      <c r="E16" s="197">
        <v>226232.35</v>
      </c>
      <c r="F16" s="197"/>
      <c r="G16" s="197"/>
      <c r="H16" s="218">
        <f t="shared" si="0"/>
        <v>0</v>
      </c>
      <c r="I16" s="171">
        <f t="shared" si="1"/>
        <v>226232.35</v>
      </c>
    </row>
    <row r="17" spans="1:9">
      <c r="A17" s="164"/>
      <c r="B17" s="164"/>
      <c r="C17" s="172">
        <f>SUM(C3:C16)</f>
        <v>248889</v>
      </c>
      <c r="E17" s="172">
        <f t="shared" ref="E17:I17" si="2">SUM(E3:E16)</f>
        <v>482862678.38999999</v>
      </c>
      <c r="F17" s="172">
        <f t="shared" si="2"/>
        <v>-235296826</v>
      </c>
      <c r="G17" s="172">
        <f t="shared" si="2"/>
        <v>187294805</v>
      </c>
      <c r="H17" s="172">
        <f t="shared" si="2"/>
        <v>-48002021</v>
      </c>
      <c r="I17" s="172">
        <f t="shared" si="2"/>
        <v>434860657.38999999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212339</v>
      </c>
      <c r="E19" s="174">
        <f>E3+E4</f>
        <v>185654057.43000001</v>
      </c>
      <c r="F19" s="174">
        <f t="shared" ref="F19:H19" si="3">F3+F4</f>
        <v>-117123954</v>
      </c>
      <c r="G19" s="174">
        <f t="shared" si="3"/>
        <v>92647511</v>
      </c>
      <c r="H19" s="174">
        <f t="shared" si="3"/>
        <v>-24476443</v>
      </c>
      <c r="I19" s="173">
        <f>I3+I4</f>
        <v>161177614.43000001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36104</v>
      </c>
      <c r="E21" s="192">
        <f>SUM(E5:E8,E11:E13)</f>
        <v>199297902.56999999</v>
      </c>
      <c r="F21" s="192">
        <f t="shared" ref="F21:H21" si="4">SUM(F5:F8,F11:F13)</f>
        <v>-114908279</v>
      </c>
      <c r="G21" s="192">
        <f t="shared" si="4"/>
        <v>94647294</v>
      </c>
      <c r="H21" s="192">
        <f t="shared" si="4"/>
        <v>-20260985</v>
      </c>
      <c r="I21" s="191">
        <f>SUM(I5:I8,I11:I13)</f>
        <v>179036917.56999999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1852031</v>
      </c>
      <c r="D24" s="196">
        <v>16407393.030000001</v>
      </c>
      <c r="E24" s="198">
        <v>-10938749</v>
      </c>
      <c r="F24" s="198">
        <v>8775021</v>
      </c>
      <c r="G24" s="188">
        <f>SUM(D24:F24)</f>
        <v>14243665.030000001</v>
      </c>
      <c r="H24" s="188">
        <f>-J62</f>
        <v>49754.387060000052</v>
      </c>
      <c r="I24" s="188">
        <f>SUM(G24:H24)</f>
        <v>14293419.417060001</v>
      </c>
    </row>
    <row r="25" spans="1:9">
      <c r="A25" s="195" t="s">
        <v>203</v>
      </c>
      <c r="B25" s="164"/>
      <c r="C25" s="196">
        <v>3850.5</v>
      </c>
      <c r="D25" s="196">
        <v>31791.420000000002</v>
      </c>
      <c r="E25" s="198">
        <v>-14922</v>
      </c>
      <c r="F25" s="198">
        <v>12185</v>
      </c>
      <c r="G25" s="188">
        <f t="shared" ref="G25:G33" si="5">SUM(D25:F25)</f>
        <v>29054.420000000002</v>
      </c>
      <c r="H25" s="188">
        <f t="shared" ref="H25:H33" si="6">-J63</f>
        <v>-1393.6410900000001</v>
      </c>
      <c r="I25" s="188">
        <f t="shared" ref="I25:I34" si="7">SUM(G25:H25)</f>
        <v>27660.778910000001</v>
      </c>
    </row>
    <row r="26" spans="1:9">
      <c r="A26" s="195" t="s">
        <v>149</v>
      </c>
      <c r="B26" s="164"/>
      <c r="C26" s="196">
        <v>414397.68</v>
      </c>
      <c r="D26" s="196">
        <v>5630222.8000000007</v>
      </c>
      <c r="E26" s="198">
        <v>-3354062</v>
      </c>
      <c r="F26" s="198">
        <v>2798844</v>
      </c>
      <c r="G26" s="188">
        <f t="shared" si="5"/>
        <v>5075004.8000000007</v>
      </c>
      <c r="H26" s="188">
        <f t="shared" si="6"/>
        <v>-8486.4007699999893</v>
      </c>
      <c r="I26" s="188">
        <f t="shared" si="7"/>
        <v>5066518.3992300006</v>
      </c>
    </row>
    <row r="27" spans="1:9">
      <c r="A27" s="195" t="s">
        <v>150</v>
      </c>
      <c r="B27" s="164"/>
      <c r="C27" s="196">
        <v>168043.9</v>
      </c>
      <c r="D27" s="196">
        <v>627902.99</v>
      </c>
      <c r="E27" s="198">
        <v>-359417</v>
      </c>
      <c r="F27" s="198">
        <v>326471</v>
      </c>
      <c r="G27" s="188">
        <f t="shared" si="5"/>
        <v>594956.99</v>
      </c>
      <c r="H27" s="188">
        <f t="shared" si="6"/>
        <v>-1433.0446099999979</v>
      </c>
      <c r="I27" s="188">
        <f t="shared" si="7"/>
        <v>593523.94539000001</v>
      </c>
    </row>
    <row r="28" spans="1:9">
      <c r="A28" s="195" t="s">
        <v>151</v>
      </c>
      <c r="B28" s="164"/>
      <c r="C28" s="196">
        <v>926002.67</v>
      </c>
      <c r="D28" s="196">
        <v>10812830.34</v>
      </c>
      <c r="E28" s="198">
        <v>-5634784</v>
      </c>
      <c r="F28" s="198">
        <v>4510756</v>
      </c>
      <c r="G28" s="188">
        <f t="shared" si="5"/>
        <v>9688802.3399999999</v>
      </c>
      <c r="H28" s="188">
        <f t="shared" si="6"/>
        <v>-25635.094360000014</v>
      </c>
      <c r="I28" s="188">
        <f t="shared" si="7"/>
        <v>9663167.2456400003</v>
      </c>
    </row>
    <row r="29" spans="1:9">
      <c r="A29" s="195" t="s">
        <v>152</v>
      </c>
      <c r="B29" s="164"/>
      <c r="C29" s="196">
        <v>24500</v>
      </c>
      <c r="D29" s="196">
        <v>227681.83</v>
      </c>
      <c r="E29" s="198">
        <v>-125763</v>
      </c>
      <c r="F29" s="198">
        <v>107449</v>
      </c>
      <c r="G29" s="188">
        <f t="shared" si="5"/>
        <v>209367.83</v>
      </c>
      <c r="H29" s="188">
        <f t="shared" si="6"/>
        <v>-896.80164000000059</v>
      </c>
      <c r="I29" s="188">
        <f t="shared" si="7"/>
        <v>208471.02836</v>
      </c>
    </row>
    <row r="30" spans="1:9">
      <c r="A30" s="195" t="s">
        <v>153</v>
      </c>
      <c r="B30" s="164"/>
      <c r="C30" s="196">
        <v>462000</v>
      </c>
      <c r="D30" s="196">
        <f>5729429.56-85864.9</f>
        <v>5643564.6599999992</v>
      </c>
      <c r="E30" s="198">
        <v>-212684</v>
      </c>
      <c r="F30" s="198">
        <v>0</v>
      </c>
      <c r="G30" s="188">
        <f t="shared" si="5"/>
        <v>5430880.6599999992</v>
      </c>
      <c r="H30" s="188">
        <f t="shared" si="6"/>
        <v>5843.620899999999</v>
      </c>
      <c r="I30" s="188">
        <f t="shared" si="7"/>
        <v>5436724.2808999997</v>
      </c>
    </row>
    <row r="31" spans="1:9">
      <c r="A31" s="195" t="s">
        <v>205</v>
      </c>
      <c r="B31" s="164"/>
      <c r="C31" s="196">
        <v>864</v>
      </c>
      <c r="D31" s="196">
        <v>339401.13</v>
      </c>
      <c r="E31" s="198">
        <v>0</v>
      </c>
      <c r="F31" s="198">
        <v>0</v>
      </c>
      <c r="G31" s="188">
        <f t="shared" si="5"/>
        <v>339401.13</v>
      </c>
      <c r="H31" s="188">
        <f t="shared" si="6"/>
        <v>0</v>
      </c>
      <c r="I31" s="188">
        <f t="shared" si="7"/>
        <v>339401.13</v>
      </c>
    </row>
    <row r="32" spans="1:9">
      <c r="A32" s="195" t="s">
        <v>154</v>
      </c>
      <c r="B32" s="164"/>
      <c r="C32" s="196">
        <v>21762</v>
      </c>
      <c r="D32" s="196">
        <v>1317079.5299999998</v>
      </c>
      <c r="E32" s="198">
        <v>-806426</v>
      </c>
      <c r="F32" s="198">
        <v>877170</v>
      </c>
      <c r="G32" s="188">
        <f t="shared" si="5"/>
        <v>1387823.5299999998</v>
      </c>
      <c r="H32" s="188">
        <f t="shared" si="6"/>
        <v>974.97115000000008</v>
      </c>
      <c r="I32" s="188">
        <f t="shared" si="7"/>
        <v>1388798.5011499999</v>
      </c>
    </row>
    <row r="33" spans="1:10">
      <c r="A33" s="195" t="s">
        <v>155</v>
      </c>
      <c r="B33" s="164"/>
      <c r="C33" s="196">
        <v>21852</v>
      </c>
      <c r="D33" s="196">
        <v>134432.62</v>
      </c>
      <c r="E33" s="198">
        <v>-72226</v>
      </c>
      <c r="F33" s="198">
        <v>49814</v>
      </c>
      <c r="G33" s="188">
        <f t="shared" si="5"/>
        <v>112020.62</v>
      </c>
      <c r="H33" s="188">
        <f t="shared" si="6"/>
        <v>-11527.594469999996</v>
      </c>
      <c r="I33" s="188">
        <f t="shared" si="7"/>
        <v>100493.02553</v>
      </c>
    </row>
    <row r="34" spans="1:10">
      <c r="A34" s="195" t="s">
        <v>217</v>
      </c>
      <c r="B34" s="164"/>
      <c r="C34" s="188"/>
      <c r="D34" s="196">
        <v>546386.84</v>
      </c>
      <c r="E34" s="196"/>
      <c r="F34" s="196"/>
      <c r="G34" s="188">
        <f>SUM(D34:F34)</f>
        <v>546386.84</v>
      </c>
      <c r="H34" s="188"/>
      <c r="I34" s="188">
        <f t="shared" si="7"/>
        <v>546386.84</v>
      </c>
    </row>
    <row r="35" spans="1:10">
      <c r="A35" s="195" t="s">
        <v>218</v>
      </c>
      <c r="B35" s="164"/>
      <c r="C35" s="224"/>
      <c r="D35" s="196">
        <v>1912950.44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1647222.84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3895303.75</v>
      </c>
      <c r="D37" s="178">
        <f t="shared" ref="D37:I37" si="8">SUM(D24:D36)</f>
        <v>45278860.469999999</v>
      </c>
      <c r="E37" s="178">
        <f t="shared" si="8"/>
        <v>-21519033</v>
      </c>
      <c r="F37" s="178">
        <f t="shared" si="8"/>
        <v>17457710</v>
      </c>
      <c r="G37" s="178">
        <f t="shared" si="8"/>
        <v>37657364.189999998</v>
      </c>
      <c r="H37" s="178">
        <f t="shared" si="8"/>
        <v>7200.4021700000594</v>
      </c>
      <c r="I37" s="178">
        <f t="shared" si="8"/>
        <v>37664564.592170015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1855881.5</v>
      </c>
      <c r="D39" s="180">
        <f t="shared" ref="D39:I39" si="9">D24+D25</f>
        <v>16439184.450000001</v>
      </c>
      <c r="E39" s="180">
        <f t="shared" si="9"/>
        <v>-10953671</v>
      </c>
      <c r="F39" s="180">
        <f t="shared" si="9"/>
        <v>8787206</v>
      </c>
      <c r="G39" s="180">
        <f t="shared" si="9"/>
        <v>14272719.450000001</v>
      </c>
      <c r="H39" s="180">
        <f t="shared" si="9"/>
        <v>48360.745970000055</v>
      </c>
      <c r="I39" s="181">
        <f t="shared" si="9"/>
        <v>14321080.195970001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1577422.25</v>
      </c>
      <c r="D41" s="190">
        <f t="shared" ref="D41:I41" si="10">SUM(D26:D29,D31:D33)</f>
        <v>19089551.240000002</v>
      </c>
      <c r="E41" s="190">
        <f t="shared" si="10"/>
        <v>-10352678</v>
      </c>
      <c r="F41" s="190">
        <f t="shared" si="10"/>
        <v>8670504</v>
      </c>
      <c r="G41" s="190">
        <f t="shared" si="10"/>
        <v>17407377.240000002</v>
      </c>
      <c r="H41" s="190">
        <f t="shared" si="10"/>
        <v>-47003.964699999997</v>
      </c>
      <c r="I41" s="189">
        <f t="shared" si="10"/>
        <v>17360373.2753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42917</v>
      </c>
      <c r="J45" s="220">
        <v>42948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223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-5.6999999999999998E-4</v>
      </c>
      <c r="J47" s="184">
        <v>3.4399999999999999E-3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-5.6999999999999998E-4</v>
      </c>
      <c r="J48" s="184">
        <v>3.4399999999999999E-3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-5.6999999999999998E-4</v>
      </c>
      <c r="J49" s="184">
        <v>4.6299999999999996E-3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-5.6999999999999998E-4</v>
      </c>
      <c r="J50" s="184">
        <v>4.6299999999999996E-3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-5.9000000000000003E-4</v>
      </c>
      <c r="J51" s="184">
        <v>3.6600000000000001E-3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-5.9000000000000003E-4</v>
      </c>
      <c r="J52" s="184">
        <v>3.6600000000000001E-3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-5.6999999999999998E-4</v>
      </c>
      <c r="J53" s="184">
        <v>2.32E-3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-5.6999999999999998E-4</v>
      </c>
      <c r="J54" s="184">
        <v>2.32E-3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-6.0999999999999997E-4</v>
      </c>
      <c r="J55" s="184">
        <v>3.4099999999999998E-3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-6.0999999999999997E-4</v>
      </c>
      <c r="J56" s="184">
        <v>3.4099999999999998E-3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-6.0999999999999997E-4</v>
      </c>
      <c r="J57" s="184">
        <v>3.4099999999999998E-3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202">
        <v>-6.4999999999999997E-4</v>
      </c>
      <c r="J58" s="202">
        <v>1.2149999999999999E-2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202">
        <v>-6.4999999999999997E-4</v>
      </c>
      <c r="J59" s="202">
        <v>1.2149999999999999E-2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6"/>
    </row>
    <row r="62" spans="1:13">
      <c r="A62" s="195" t="s">
        <v>148</v>
      </c>
      <c r="C62" s="180">
        <f t="shared" ref="C62:H67" si="11">$H3*C47</f>
        <v>12459.091920000001</v>
      </c>
      <c r="D62" s="180">
        <f t="shared" si="11"/>
        <v>-64249.826959999999</v>
      </c>
      <c r="E62" s="180">
        <f t="shared" si="11"/>
        <v>0</v>
      </c>
      <c r="F62" s="180">
        <f>($F3*F47)+($G3*J47)</f>
        <v>11808.184779999952</v>
      </c>
      <c r="G62" s="180">
        <f>$H3*G47</f>
        <v>-23696.704240000003</v>
      </c>
      <c r="H62" s="180">
        <f t="shared" si="11"/>
        <v>0</v>
      </c>
      <c r="I62" s="180">
        <f>(I47*H3)</f>
        <v>13924.86744</v>
      </c>
      <c r="J62" s="180">
        <f>SUM(C62:I62)</f>
        <v>-49754.387060000052</v>
      </c>
      <c r="M62" s="180"/>
    </row>
    <row r="63" spans="1:13">
      <c r="A63" s="195" t="s">
        <v>203</v>
      </c>
      <c r="C63" s="180">
        <f t="shared" si="11"/>
        <v>23.894010000000002</v>
      </c>
      <c r="D63" s="180">
        <f t="shared" si="11"/>
        <v>-123.21813</v>
      </c>
      <c r="E63" s="180">
        <f t="shared" si="11"/>
        <v>1477.2120300000001</v>
      </c>
      <c r="F63" s="180">
        <f>($F4*F48)+($G4*J48)</f>
        <v>34.493580000000065</v>
      </c>
      <c r="G63" s="180">
        <f t="shared" si="11"/>
        <v>-45.44547</v>
      </c>
      <c r="H63" s="180">
        <f t="shared" si="11"/>
        <v>0</v>
      </c>
      <c r="I63" s="180">
        <f t="shared" ref="I63:I67" si="12">(I48*H4)</f>
        <v>26.705069999999999</v>
      </c>
      <c r="J63" s="180">
        <f t="shared" ref="J63:J72" si="13">SUM(C63:I63)</f>
        <v>1393.6410900000001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7525.0346600000003</v>
      </c>
      <c r="E64" s="180">
        <f t="shared" si="11"/>
        <v>0</v>
      </c>
      <c r="F64" s="180">
        <f t="shared" ref="F64:F72" si="14">($F5*F49)+($G5*J49)</f>
        <v>5381.666189999989</v>
      </c>
      <c r="G64" s="180">
        <f t="shared" si="11"/>
        <v>-7419.7894200000001</v>
      </c>
      <c r="H64" s="180">
        <f t="shared" si="11"/>
        <v>0</v>
      </c>
      <c r="I64" s="180">
        <f t="shared" si="12"/>
        <v>2999.4893400000001</v>
      </c>
      <c r="J64" s="180">
        <f t="shared" si="13"/>
        <v>8486.4007699999893</v>
      </c>
      <c r="M64" s="180"/>
    </row>
    <row r="65" spans="1:13">
      <c r="A65" s="195" t="s">
        <v>150</v>
      </c>
      <c r="C65" s="180">
        <f t="shared" si="11"/>
        <v>141.14250000000001</v>
      </c>
      <c r="D65" s="180">
        <f t="shared" si="11"/>
        <v>395.7525</v>
      </c>
      <c r="E65" s="180">
        <f t="shared" si="11"/>
        <v>0</v>
      </c>
      <c r="F65" s="180">
        <f t="shared" si="14"/>
        <v>1128.6196099999979</v>
      </c>
      <c r="G65" s="180">
        <f t="shared" si="11"/>
        <v>-390.21750000000003</v>
      </c>
      <c r="H65" s="180">
        <f t="shared" si="11"/>
        <v>0</v>
      </c>
      <c r="I65" s="180">
        <f t="shared" si="12"/>
        <v>157.7475</v>
      </c>
      <c r="J65" s="180">
        <f t="shared" si="13"/>
        <v>1433.0446099999979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21496.427810000001</v>
      </c>
      <c r="E66" s="180">
        <f t="shared" si="11"/>
        <v>0</v>
      </c>
      <c r="F66" s="180">
        <f t="shared" si="14"/>
        <v>10602.627360000013</v>
      </c>
      <c r="G66" s="180">
        <f t="shared" si="11"/>
        <v>-15333.11634</v>
      </c>
      <c r="H66" s="180">
        <f t="shared" si="11"/>
        <v>0</v>
      </c>
      <c r="I66" s="180">
        <f t="shared" si="12"/>
        <v>8869.15553</v>
      </c>
      <c r="J66" s="180">
        <f t="shared" si="13"/>
        <v>25635.094360000014</v>
      </c>
      <c r="M66" s="180"/>
    </row>
    <row r="67" spans="1:13">
      <c r="A67" s="195" t="s">
        <v>152</v>
      </c>
      <c r="C67" s="180">
        <f t="shared" si="11"/>
        <v>125.66196000000001</v>
      </c>
      <c r="D67" s="180">
        <f t="shared" si="11"/>
        <v>352.34628000000004</v>
      </c>
      <c r="E67" s="180">
        <f t="shared" si="11"/>
        <v>0</v>
      </c>
      <c r="F67" s="180">
        <f t="shared" si="14"/>
        <v>524.7436800000005</v>
      </c>
      <c r="G67" s="180">
        <f t="shared" si="11"/>
        <v>-251.32392000000002</v>
      </c>
      <c r="H67" s="180">
        <f t="shared" si="11"/>
        <v>0</v>
      </c>
      <c r="I67" s="180">
        <f t="shared" si="12"/>
        <v>145.37363999999999</v>
      </c>
      <c r="J67" s="180">
        <f>SUM(C67:I67)</f>
        <v>896.80164000000059</v>
      </c>
      <c r="M67" s="180"/>
    </row>
    <row r="68" spans="1:13">
      <c r="A68" s="195" t="s">
        <v>153</v>
      </c>
      <c r="C68" s="180">
        <f t="shared" ref="C68:E68" si="15">($H9+$H10)*C53</f>
        <v>0</v>
      </c>
      <c r="D68" s="180">
        <f t="shared" si="15"/>
        <v>0</v>
      </c>
      <c r="E68" s="180">
        <f t="shared" si="15"/>
        <v>0</v>
      </c>
      <c r="F68" s="180">
        <f t="shared" si="14"/>
        <v>-5615.0999599999996</v>
      </c>
      <c r="G68" s="180">
        <f>($H9)*G53+$H10-G54</f>
        <v>-2089.33952</v>
      </c>
      <c r="H68" s="180">
        <f t="shared" ref="H68" si="16">($H9)*H53+$H10-H54</f>
        <v>0</v>
      </c>
      <c r="I68" s="180">
        <f>($H9)*I53+$H10-I54</f>
        <v>1860.8185799999999</v>
      </c>
      <c r="J68" s="180">
        <f t="shared" si="13"/>
        <v>-5843.620899999999</v>
      </c>
      <c r="M68" s="180"/>
    </row>
    <row r="69" spans="1:13">
      <c r="A69" s="195" t="s">
        <v>205</v>
      </c>
      <c r="C69" s="180">
        <f t="shared" ref="C69:H71" si="17">$H11*C55</f>
        <v>0</v>
      </c>
      <c r="D69" s="180">
        <f t="shared" si="17"/>
        <v>0</v>
      </c>
      <c r="E69" s="180">
        <f t="shared" si="17"/>
        <v>0</v>
      </c>
      <c r="F69" s="180">
        <f t="shared" si="14"/>
        <v>0</v>
      </c>
      <c r="G69" s="180">
        <f t="shared" si="17"/>
        <v>0</v>
      </c>
      <c r="H69" s="180">
        <f t="shared" si="17"/>
        <v>0</v>
      </c>
      <c r="I69" s="180">
        <f>$H11*I55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7"/>
        <v>0</v>
      </c>
      <c r="D70" s="180">
        <f t="shared" si="17"/>
        <v>-1212.3554300000001</v>
      </c>
      <c r="E70" s="180">
        <f t="shared" si="17"/>
        <v>0</v>
      </c>
      <c r="F70" s="180">
        <f t="shared" si="14"/>
        <v>0</v>
      </c>
      <c r="G70" s="180">
        <f>$H12*G56</f>
        <v>754.54288999999994</v>
      </c>
      <c r="H70" s="180">
        <f t="shared" ref="H70" si="18">$H12*H56</f>
        <v>0</v>
      </c>
      <c r="I70" s="180">
        <f>$H12*I56</f>
        <v>-517.15860999999995</v>
      </c>
      <c r="J70" s="180">
        <f t="shared" si="13"/>
        <v>-974.97115000000008</v>
      </c>
      <c r="M70" s="180"/>
    </row>
    <row r="71" spans="1:13">
      <c r="A71" s="195" t="s">
        <v>155</v>
      </c>
      <c r="C71" s="180">
        <f t="shared" si="17"/>
        <v>148.36461</v>
      </c>
      <c r="D71" s="180">
        <f t="shared" si="17"/>
        <v>416.00273000000004</v>
      </c>
      <c r="E71" s="180">
        <f t="shared" si="17"/>
        <v>0</v>
      </c>
      <c r="F71" s="180">
        <f t="shared" si="14"/>
        <v>11044.682209999995</v>
      </c>
      <c r="G71" s="180">
        <f t="shared" si="17"/>
        <v>-258.91078999999996</v>
      </c>
      <c r="H71" s="180">
        <f t="shared" ref="H71" si="19">$H13*H57</f>
        <v>0</v>
      </c>
      <c r="I71" s="180">
        <f>$H13*I57</f>
        <v>177.45570999999998</v>
      </c>
      <c r="J71" s="180">
        <f t="shared" si="13"/>
        <v>11527.594469999996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 t="shared" si="14"/>
        <v>-364.8001099999999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-364.8001099999999</v>
      </c>
      <c r="M72" s="180"/>
    </row>
    <row r="73" spans="1:13">
      <c r="A73" s="169"/>
      <c r="C73" s="222">
        <f>SUM(C62:C72)</f>
        <v>12898.155000000001</v>
      </c>
      <c r="D73" s="222">
        <f>SUM(D62:D72)</f>
        <v>-35399.836540000004</v>
      </c>
      <c r="E73" s="222">
        <f t="shared" ref="E73:J73" si="20">SUM(E62:E72)</f>
        <v>1477.2120300000001</v>
      </c>
      <c r="F73" s="222">
        <f t="shared" si="20"/>
        <v>34545.117339999953</v>
      </c>
      <c r="G73" s="222">
        <f t="shared" si="20"/>
        <v>-48730.304310000014</v>
      </c>
      <c r="H73" s="222">
        <f t="shared" si="20"/>
        <v>0</v>
      </c>
      <c r="I73" s="222">
        <f t="shared" si="20"/>
        <v>27644.4542</v>
      </c>
      <c r="J73" s="222">
        <f t="shared" si="20"/>
        <v>-7565.2022800000595</v>
      </c>
    </row>
    <row r="74" spans="1:13" ht="15.75" customHeight="1"/>
    <row r="75" spans="1:13">
      <c r="A75" s="164" t="s">
        <v>19</v>
      </c>
      <c r="B75" s="164"/>
      <c r="C75" s="180">
        <f>C62+C63</f>
        <v>12482.985930000001</v>
      </c>
      <c r="D75" s="180">
        <f>D62+D63</f>
        <v>-64373.04509</v>
      </c>
      <c r="E75" s="180">
        <f t="shared" ref="E75:J75" si="21">E62+E63</f>
        <v>1477.2120300000001</v>
      </c>
      <c r="F75" s="180">
        <f t="shared" si="21"/>
        <v>11842.678359999953</v>
      </c>
      <c r="G75" s="180">
        <f t="shared" si="21"/>
        <v>-23742.149710000002</v>
      </c>
      <c r="H75" s="180">
        <f t="shared" si="21"/>
        <v>0</v>
      </c>
      <c r="I75" s="180">
        <f t="shared" si="21"/>
        <v>13951.57251</v>
      </c>
      <c r="J75" s="180">
        <f t="shared" si="21"/>
        <v>-48360.745970000055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415.16907000000003</v>
      </c>
      <c r="D77" s="190">
        <f>SUM(D64:D67,D69:D71)</f>
        <v>28973.208550000003</v>
      </c>
      <c r="E77" s="190">
        <f t="shared" ref="E77:J77" si="22">SUM(E64:E67,E69:E71)</f>
        <v>0</v>
      </c>
      <c r="F77" s="190">
        <f t="shared" si="22"/>
        <v>28682.339049999995</v>
      </c>
      <c r="G77" s="190">
        <f t="shared" si="22"/>
        <v>-22898.81508</v>
      </c>
      <c r="H77" s="190">
        <f t="shared" si="22"/>
        <v>0</v>
      </c>
      <c r="I77" s="190">
        <f t="shared" si="22"/>
        <v>11832.063109999999</v>
      </c>
      <c r="J77" s="190">
        <f t="shared" si="22"/>
        <v>47003.964699999997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7" right="0.7" top="0.5" bottom="0.5" header="0.3" footer="0.3"/>
  <pageSetup scale="80" fitToHeight="3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M79"/>
  <sheetViews>
    <sheetView workbookViewId="0">
      <selection activeCell="I9" sqref="I9:I10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211954</v>
      </c>
      <c r="D3" s="224"/>
      <c r="E3" s="197">
        <v>201741815.38</v>
      </c>
      <c r="F3" s="197">
        <v>-112837401</v>
      </c>
      <c r="G3" s="197">
        <v>116885343</v>
      </c>
      <c r="H3" s="218">
        <f>SUM(F3:G3)</f>
        <v>4047942</v>
      </c>
      <c r="I3" s="171">
        <f>E3+H3</f>
        <v>205789757.38</v>
      </c>
    </row>
    <row r="4" spans="1:9">
      <c r="A4" s="195" t="s">
        <v>203</v>
      </c>
      <c r="B4" s="164"/>
      <c r="C4" s="170">
        <v>457</v>
      </c>
      <c r="D4" s="224"/>
      <c r="E4" s="197">
        <v>384481</v>
      </c>
      <c r="F4" s="197">
        <v>-240153</v>
      </c>
      <c r="G4" s="197">
        <v>238611</v>
      </c>
      <c r="H4" s="218">
        <f t="shared" ref="H4:H16" si="0">SUM(F4:G4)</f>
        <v>-1542</v>
      </c>
      <c r="I4" s="171">
        <f t="shared" ref="I4:I16" si="1">E4+H4</f>
        <v>382939</v>
      </c>
    </row>
    <row r="5" spans="1:9">
      <c r="A5" s="195" t="s">
        <v>149</v>
      </c>
      <c r="B5" s="164"/>
      <c r="C5" s="170">
        <v>22604</v>
      </c>
      <c r="D5" s="224"/>
      <c r="E5" s="197">
        <v>50932447</v>
      </c>
      <c r="F5" s="197">
        <v>-29332921</v>
      </c>
      <c r="G5" s="197">
        <v>29451425</v>
      </c>
      <c r="H5" s="218">
        <f t="shared" si="0"/>
        <v>118504</v>
      </c>
      <c r="I5" s="171">
        <f t="shared" si="1"/>
        <v>51050951</v>
      </c>
    </row>
    <row r="6" spans="1:9">
      <c r="A6" s="195" t="s">
        <v>150</v>
      </c>
      <c r="B6" s="164"/>
      <c r="C6" s="170">
        <v>9192</v>
      </c>
      <c r="D6" s="224"/>
      <c r="E6" s="197">
        <v>4117866.62</v>
      </c>
      <c r="F6" s="197">
        <v>-2435833</v>
      </c>
      <c r="G6" s="197">
        <v>2386111</v>
      </c>
      <c r="H6" s="218">
        <f t="shared" si="0"/>
        <v>-49722</v>
      </c>
      <c r="I6" s="171">
        <f t="shared" si="1"/>
        <v>4068144.62</v>
      </c>
    </row>
    <row r="7" spans="1:9">
      <c r="A7" s="195" t="s">
        <v>151</v>
      </c>
      <c r="B7" s="164"/>
      <c r="C7" s="170">
        <v>1855</v>
      </c>
      <c r="D7" s="224"/>
      <c r="E7" s="197">
        <v>122328601</v>
      </c>
      <c r="F7" s="197">
        <v>-74824680</v>
      </c>
      <c r="G7" s="197">
        <v>70560706</v>
      </c>
      <c r="H7" s="218">
        <f t="shared" si="0"/>
        <v>-4263974</v>
      </c>
      <c r="I7" s="171">
        <f t="shared" si="1"/>
        <v>118064627</v>
      </c>
    </row>
    <row r="8" spans="1:9">
      <c r="A8" s="195" t="s">
        <v>152</v>
      </c>
      <c r="B8" s="164"/>
      <c r="C8" s="170">
        <v>49</v>
      </c>
      <c r="D8" s="224"/>
      <c r="E8" s="197">
        <v>2663360</v>
      </c>
      <c r="F8" s="197">
        <v>-1509530</v>
      </c>
      <c r="G8" s="197">
        <v>1533928</v>
      </c>
      <c r="H8" s="218">
        <f t="shared" si="0"/>
        <v>24398</v>
      </c>
      <c r="I8" s="171">
        <f t="shared" si="1"/>
        <v>2687758</v>
      </c>
    </row>
    <row r="9" spans="1:9">
      <c r="A9" s="195" t="s">
        <v>153</v>
      </c>
      <c r="B9" s="164"/>
      <c r="C9" s="170">
        <v>21</v>
      </c>
      <c r="D9" s="224"/>
      <c r="E9" s="197">
        <f>99581907-E10</f>
        <v>62912730</v>
      </c>
      <c r="F9" s="197">
        <v>-2505893</v>
      </c>
      <c r="G9" s="197">
        <v>3264593</v>
      </c>
      <c r="H9" s="218">
        <f t="shared" si="0"/>
        <v>758700</v>
      </c>
      <c r="I9" s="171">
        <f t="shared" si="1"/>
        <v>63671430</v>
      </c>
    </row>
    <row r="10" spans="1:9">
      <c r="A10" s="195" t="s">
        <v>204</v>
      </c>
      <c r="B10" s="164"/>
      <c r="C10" s="170"/>
      <c r="D10" s="224"/>
      <c r="E10" s="197">
        <v>36669177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36669177</v>
      </c>
    </row>
    <row r="11" spans="1:9">
      <c r="A11" s="195" t="s">
        <v>205</v>
      </c>
      <c r="B11" s="164"/>
      <c r="C11" s="170">
        <v>48</v>
      </c>
      <c r="D11" s="224"/>
      <c r="E11" s="197">
        <v>6156300</v>
      </c>
      <c r="F11" s="197">
        <v>0</v>
      </c>
      <c r="G11" s="197">
        <v>0</v>
      </c>
      <c r="H11" s="218">
        <f t="shared" si="0"/>
        <v>0</v>
      </c>
      <c r="I11" s="171">
        <f t="shared" si="1"/>
        <v>6156300</v>
      </c>
    </row>
    <row r="12" spans="1:9">
      <c r="A12" s="195" t="s">
        <v>154</v>
      </c>
      <c r="B12" s="164"/>
      <c r="C12" s="170">
        <v>1225</v>
      </c>
      <c r="D12" s="224"/>
      <c r="E12" s="197">
        <v>22505044.5</v>
      </c>
      <c r="F12" s="197">
        <v>-7170269</v>
      </c>
      <c r="G12" s="197">
        <v>10192101</v>
      </c>
      <c r="H12" s="218">
        <f t="shared" si="0"/>
        <v>3021832</v>
      </c>
      <c r="I12" s="171">
        <f t="shared" si="1"/>
        <v>25526876.5</v>
      </c>
    </row>
    <row r="13" spans="1:9">
      <c r="A13" s="195" t="s">
        <v>155</v>
      </c>
      <c r="B13" s="164"/>
      <c r="C13" s="170">
        <v>1215</v>
      </c>
      <c r="D13" s="224"/>
      <c r="E13" s="197">
        <v>1933060</v>
      </c>
      <c r="F13" s="197">
        <v>-686150</v>
      </c>
      <c r="G13" s="197">
        <v>784008</v>
      </c>
      <c r="H13" s="218">
        <f t="shared" si="0"/>
        <v>97858</v>
      </c>
      <c r="I13" s="171">
        <f t="shared" si="1"/>
        <v>2030918</v>
      </c>
    </row>
    <row r="14" spans="1:9">
      <c r="A14" s="195" t="s">
        <v>206</v>
      </c>
      <c r="B14" s="164"/>
      <c r="C14" s="170">
        <v>423</v>
      </c>
      <c r="D14" s="224"/>
      <c r="E14" s="197">
        <v>966303.69</v>
      </c>
      <c r="F14" s="197"/>
      <c r="G14" s="197"/>
      <c r="H14" s="218"/>
      <c r="I14" s="171">
        <f t="shared" si="1"/>
        <v>966303.69</v>
      </c>
    </row>
    <row r="15" spans="1:9">
      <c r="A15" s="195" t="s">
        <v>207</v>
      </c>
      <c r="B15" s="164"/>
      <c r="C15" s="170"/>
      <c r="D15" s="224"/>
      <c r="E15" s="197">
        <v>420172.51214000001</v>
      </c>
      <c r="F15" s="197"/>
      <c r="G15" s="197"/>
      <c r="H15" s="218">
        <f t="shared" si="0"/>
        <v>0</v>
      </c>
      <c r="I15" s="171">
        <f t="shared" si="1"/>
        <v>420172.51214000001</v>
      </c>
    </row>
    <row r="16" spans="1:9">
      <c r="A16" s="195" t="s">
        <v>208</v>
      </c>
      <c r="B16" s="164"/>
      <c r="C16" s="170"/>
      <c r="D16" s="225"/>
      <c r="E16" s="197">
        <v>221982.59748999999</v>
      </c>
      <c r="F16" s="197"/>
      <c r="G16" s="197"/>
      <c r="H16" s="218">
        <f t="shared" si="0"/>
        <v>0</v>
      </c>
      <c r="I16" s="171">
        <f t="shared" si="1"/>
        <v>221982.59748999999</v>
      </c>
    </row>
    <row r="17" spans="1:9">
      <c r="A17" s="164"/>
      <c r="B17" s="164"/>
      <c r="C17" s="172">
        <f>SUM(C3:C16)</f>
        <v>249043</v>
      </c>
      <c r="E17" s="172">
        <f t="shared" ref="E17:I17" si="2">SUM(E3:E16)</f>
        <v>513953341.29962999</v>
      </c>
      <c r="F17" s="172">
        <f t="shared" si="2"/>
        <v>-231542830</v>
      </c>
      <c r="G17" s="172">
        <f t="shared" si="2"/>
        <v>235296826</v>
      </c>
      <c r="H17" s="172">
        <f t="shared" si="2"/>
        <v>3753996</v>
      </c>
      <c r="I17" s="172">
        <f t="shared" si="2"/>
        <v>517707337.29962999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212411</v>
      </c>
      <c r="E19" s="174">
        <f>E3+E4</f>
        <v>202126296.38</v>
      </c>
      <c r="F19" s="174">
        <f t="shared" ref="F19:H19" si="3">F3+F4</f>
        <v>-113077554</v>
      </c>
      <c r="G19" s="174">
        <f t="shared" si="3"/>
        <v>117123954</v>
      </c>
      <c r="H19" s="174">
        <f t="shared" si="3"/>
        <v>4046400</v>
      </c>
      <c r="I19" s="173">
        <f>I3+I4</f>
        <v>206172696.38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36188</v>
      </c>
      <c r="E21" s="192">
        <f>SUM(E5:E8,E11:E13)</f>
        <v>210636679.12</v>
      </c>
      <c r="F21" s="192">
        <f t="shared" ref="F21:H21" si="4">SUM(F5:F8,F11:F13)</f>
        <v>-115959383</v>
      </c>
      <c r="G21" s="192">
        <f t="shared" si="4"/>
        <v>114908279</v>
      </c>
      <c r="H21" s="192">
        <f t="shared" si="4"/>
        <v>-1051104</v>
      </c>
      <c r="I21" s="191">
        <f>SUM(I5:I8,I11:I13)</f>
        <v>209585575.12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1865070</v>
      </c>
      <c r="D24" s="196">
        <v>17882900.34</v>
      </c>
      <c r="E24" s="198">
        <v>-10570245</v>
      </c>
      <c r="F24" s="198">
        <v>10938749</v>
      </c>
      <c r="G24" s="188">
        <f>SUM(D24:F24)</f>
        <v>18251404.34</v>
      </c>
      <c r="H24" s="188">
        <f>-J62</f>
        <v>4017.8063400000028</v>
      </c>
      <c r="I24" s="188">
        <f>SUM(G24:H24)</f>
        <v>18255422.146340001</v>
      </c>
    </row>
    <row r="25" spans="1:9">
      <c r="A25" s="195" t="s">
        <v>203</v>
      </c>
      <c r="B25" s="164"/>
      <c r="C25" s="196">
        <v>3944</v>
      </c>
      <c r="D25" s="196">
        <v>33884.910000000003</v>
      </c>
      <c r="E25" s="198">
        <v>-15006</v>
      </c>
      <c r="F25" s="198">
        <v>14922</v>
      </c>
      <c r="G25" s="188">
        <f t="shared" ref="G25:G33" si="5">SUM(D25:F25)</f>
        <v>33800.910000000003</v>
      </c>
      <c r="H25" s="188">
        <f t="shared" ref="H25:H33" si="6">-J63</f>
        <v>12.140279999999969</v>
      </c>
      <c r="I25" s="188">
        <f t="shared" ref="I25:I34" si="7">SUM(G25:H25)</f>
        <v>33813.050280000003</v>
      </c>
    </row>
    <row r="26" spans="1:9">
      <c r="A26" s="195" t="s">
        <v>149</v>
      </c>
      <c r="B26" s="164"/>
      <c r="C26" s="196">
        <v>415135.39</v>
      </c>
      <c r="D26" s="196">
        <v>5845634.2699999996</v>
      </c>
      <c r="E26" s="198">
        <v>-3293779</v>
      </c>
      <c r="F26" s="198">
        <v>3354062</v>
      </c>
      <c r="G26" s="188">
        <f t="shared" si="5"/>
        <v>5905917.2699999996</v>
      </c>
      <c r="H26" s="188">
        <f t="shared" si="6"/>
        <v>5800.8462899999977</v>
      </c>
      <c r="I26" s="188">
        <f t="shared" si="7"/>
        <v>5911718.1162899993</v>
      </c>
    </row>
    <row r="27" spans="1:9">
      <c r="A27" s="195" t="s">
        <v>150</v>
      </c>
      <c r="B27" s="164"/>
      <c r="C27" s="196">
        <v>167691.41</v>
      </c>
      <c r="D27" s="196">
        <v>618745.70000000007</v>
      </c>
      <c r="E27" s="198">
        <v>-359086</v>
      </c>
      <c r="F27" s="198">
        <v>359417</v>
      </c>
      <c r="G27" s="188">
        <f t="shared" si="5"/>
        <v>619076.70000000007</v>
      </c>
      <c r="H27" s="188">
        <f t="shared" si="6"/>
        <v>636.82436999999982</v>
      </c>
      <c r="I27" s="188">
        <f t="shared" si="7"/>
        <v>619713.52437000012</v>
      </c>
    </row>
    <row r="28" spans="1:9">
      <c r="A28" s="195" t="s">
        <v>151</v>
      </c>
      <c r="B28" s="164"/>
      <c r="C28" s="196">
        <v>931735.99</v>
      </c>
      <c r="D28" s="196">
        <v>10949654.649999999</v>
      </c>
      <c r="E28" s="198">
        <v>-5864988</v>
      </c>
      <c r="F28" s="198">
        <v>5634784</v>
      </c>
      <c r="G28" s="188">
        <f t="shared" si="5"/>
        <v>10719450.649999999</v>
      </c>
      <c r="H28" s="188">
        <f t="shared" si="6"/>
        <v>24586.351419999995</v>
      </c>
      <c r="I28" s="188">
        <f t="shared" si="7"/>
        <v>10744037.001419999</v>
      </c>
    </row>
    <row r="29" spans="1:9">
      <c r="A29" s="195" t="s">
        <v>152</v>
      </c>
      <c r="B29" s="164"/>
      <c r="C29" s="196">
        <v>24500</v>
      </c>
      <c r="D29" s="196">
        <v>236195.20000000001</v>
      </c>
      <c r="E29" s="198">
        <v>-122268</v>
      </c>
      <c r="F29" s="198">
        <v>125763</v>
      </c>
      <c r="G29" s="188">
        <f t="shared" si="5"/>
        <v>239690.2</v>
      </c>
      <c r="H29" s="188">
        <f t="shared" si="6"/>
        <v>317.42633999999993</v>
      </c>
      <c r="I29" s="188">
        <f t="shared" si="7"/>
        <v>240007.62634000002</v>
      </c>
    </row>
    <row r="30" spans="1:9">
      <c r="A30" s="195" t="s">
        <v>153</v>
      </c>
      <c r="B30" s="164"/>
      <c r="C30" s="196">
        <v>441000</v>
      </c>
      <c r="D30" s="196">
        <f>5838739.96-84921.9</f>
        <v>5753818.0599999996</v>
      </c>
      <c r="E30" s="198">
        <v>-171369</v>
      </c>
      <c r="F30" s="198">
        <v>212684</v>
      </c>
      <c r="G30" s="188">
        <f t="shared" si="5"/>
        <v>5795133.0599999996</v>
      </c>
      <c r="H30" s="188">
        <f t="shared" si="6"/>
        <v>-781.71589000000006</v>
      </c>
      <c r="I30" s="188">
        <f t="shared" si="7"/>
        <v>5794351.3441099999</v>
      </c>
    </row>
    <row r="31" spans="1:9">
      <c r="A31" s="195" t="s">
        <v>205</v>
      </c>
      <c r="B31" s="164"/>
      <c r="C31" s="196">
        <v>882</v>
      </c>
      <c r="D31" s="196">
        <v>420828.27999999997</v>
      </c>
      <c r="E31" s="198">
        <v>0</v>
      </c>
      <c r="F31" s="198">
        <v>0</v>
      </c>
      <c r="G31" s="188">
        <f t="shared" si="5"/>
        <v>420828.27999999997</v>
      </c>
      <c r="H31" s="188">
        <f t="shared" si="6"/>
        <v>0</v>
      </c>
      <c r="I31" s="188">
        <f t="shared" si="7"/>
        <v>420828.27999999997</v>
      </c>
    </row>
    <row r="32" spans="1:9">
      <c r="A32" s="195" t="s">
        <v>154</v>
      </c>
      <c r="B32" s="164"/>
      <c r="C32" s="196">
        <v>22104</v>
      </c>
      <c r="D32" s="196">
        <v>1730458.1800000002</v>
      </c>
      <c r="E32" s="198">
        <v>-584471</v>
      </c>
      <c r="F32" s="198">
        <v>806426</v>
      </c>
      <c r="G32" s="188">
        <f t="shared" si="5"/>
        <v>1952413.1800000002</v>
      </c>
      <c r="H32" s="188">
        <f t="shared" si="6"/>
        <v>-3049.5236099999997</v>
      </c>
      <c r="I32" s="188">
        <f t="shared" si="7"/>
        <v>1949363.6563900001</v>
      </c>
    </row>
    <row r="33" spans="1:10">
      <c r="A33" s="195" t="s">
        <v>155</v>
      </c>
      <c r="B33" s="164"/>
      <c r="C33" s="196">
        <v>22104</v>
      </c>
      <c r="D33" s="196">
        <v>177706.39</v>
      </c>
      <c r="E33" s="198">
        <v>-65245</v>
      </c>
      <c r="F33" s="198">
        <v>72226</v>
      </c>
      <c r="G33" s="188">
        <f t="shared" si="5"/>
        <v>184687.39</v>
      </c>
      <c r="H33" s="188">
        <f t="shared" si="6"/>
        <v>37.403399999999976</v>
      </c>
      <c r="I33" s="188">
        <f t="shared" si="7"/>
        <v>184724.79340000002</v>
      </c>
    </row>
    <row r="34" spans="1:10">
      <c r="A34" s="195" t="s">
        <v>217</v>
      </c>
      <c r="B34" s="164"/>
      <c r="C34" s="188"/>
      <c r="D34" s="196">
        <v>549059.15</v>
      </c>
      <c r="E34" s="196"/>
      <c r="F34" s="196"/>
      <c r="G34" s="188">
        <f>SUM(D34:F34)</f>
        <v>549059.15</v>
      </c>
      <c r="H34" s="188"/>
      <c r="I34" s="188">
        <f t="shared" si="7"/>
        <v>549059.15</v>
      </c>
    </row>
    <row r="35" spans="1:10">
      <c r="A35" s="195" t="s">
        <v>218</v>
      </c>
      <c r="B35" s="164"/>
      <c r="C35" s="224"/>
      <c r="D35" s="196">
        <v>1831506.86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1718419.59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3894166.79</v>
      </c>
      <c r="D37" s="178">
        <f t="shared" ref="D37:I37" si="8">SUM(D24:D36)</f>
        <v>47748811.580000006</v>
      </c>
      <c r="E37" s="178">
        <f t="shared" si="8"/>
        <v>-21046457</v>
      </c>
      <c r="F37" s="178">
        <f t="shared" si="8"/>
        <v>21519033</v>
      </c>
      <c r="G37" s="178">
        <f t="shared" si="8"/>
        <v>44671461.130000003</v>
      </c>
      <c r="H37" s="178">
        <f t="shared" si="8"/>
        <v>31577.558939999995</v>
      </c>
      <c r="I37" s="178">
        <f t="shared" si="8"/>
        <v>44703038.688939989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1869014</v>
      </c>
      <c r="D39" s="180">
        <f t="shared" ref="D39:I39" si="9">D24+D25</f>
        <v>17916785.25</v>
      </c>
      <c r="E39" s="180">
        <f t="shared" si="9"/>
        <v>-10585251</v>
      </c>
      <c r="F39" s="180">
        <f t="shared" si="9"/>
        <v>10953671</v>
      </c>
      <c r="G39" s="180">
        <f t="shared" si="9"/>
        <v>18285205.25</v>
      </c>
      <c r="H39" s="180">
        <f t="shared" si="9"/>
        <v>4029.9466200000029</v>
      </c>
      <c r="I39" s="181">
        <f t="shared" si="9"/>
        <v>18289235.196620002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1584152.79</v>
      </c>
      <c r="D41" s="190">
        <f t="shared" ref="D41:I41" si="10">SUM(D26:D29,D31:D33)</f>
        <v>19979222.669999998</v>
      </c>
      <c r="E41" s="190">
        <f t="shared" si="10"/>
        <v>-10289837</v>
      </c>
      <c r="F41" s="190">
        <f t="shared" si="10"/>
        <v>10352678</v>
      </c>
      <c r="G41" s="190">
        <f t="shared" si="10"/>
        <v>20042063.669999998</v>
      </c>
      <c r="H41" s="190">
        <f t="shared" si="10"/>
        <v>28329.328209999992</v>
      </c>
      <c r="I41" s="189">
        <f t="shared" si="10"/>
        <v>20070392.998210002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23"/>
    </row>
    <row r="62" spans="1:13">
      <c r="A62" s="195" t="s">
        <v>148</v>
      </c>
      <c r="C62" s="180">
        <f t="shared" ref="C62:H67" si="11">$H3*C47</f>
        <v>-2064.4504200000001</v>
      </c>
      <c r="D62" s="180">
        <f t="shared" si="11"/>
        <v>10646.087460000001</v>
      </c>
      <c r="E62" s="180">
        <f t="shared" si="11"/>
        <v>0</v>
      </c>
      <c r="F62" s="180">
        <f t="shared" si="11"/>
        <v>10605.608039999999</v>
      </c>
      <c r="G62" s="180">
        <f t="shared" si="11"/>
        <v>3926.5037400000001</v>
      </c>
      <c r="H62" s="180">
        <f t="shared" si="11"/>
        <v>0</v>
      </c>
      <c r="I62" s="180">
        <f t="shared" ref="I62:I67" si="12">(I47*F3)+(J47*G3)</f>
        <v>-27131.555160000004</v>
      </c>
      <c r="J62" s="180">
        <f>SUM(C62:I62)</f>
        <v>-4017.8063400000028</v>
      </c>
      <c r="M62" s="180"/>
    </row>
    <row r="63" spans="1:13">
      <c r="A63" s="195" t="s">
        <v>203</v>
      </c>
      <c r="C63" s="180">
        <f t="shared" si="11"/>
        <v>0.78642000000000001</v>
      </c>
      <c r="D63" s="180">
        <f t="shared" si="11"/>
        <v>-4.0554600000000001</v>
      </c>
      <c r="E63" s="180">
        <f t="shared" si="11"/>
        <v>48.619260000000004</v>
      </c>
      <c r="F63" s="180">
        <f t="shared" si="11"/>
        <v>-4.0400400000000003</v>
      </c>
      <c r="G63" s="180">
        <f t="shared" si="11"/>
        <v>-1.4957400000000001</v>
      </c>
      <c r="H63" s="180">
        <f t="shared" si="11"/>
        <v>0</v>
      </c>
      <c r="I63" s="180">
        <f t="shared" si="12"/>
        <v>-51.95471999999998</v>
      </c>
      <c r="J63" s="180">
        <f t="shared" ref="J63:J72" si="13">SUM(C63:I63)</f>
        <v>-12.140279999999969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-169.46072000000001</v>
      </c>
      <c r="E64" s="180">
        <f t="shared" si="11"/>
        <v>0</v>
      </c>
      <c r="F64" s="180">
        <f t="shared" si="11"/>
        <v>428.98448000000002</v>
      </c>
      <c r="G64" s="180">
        <f t="shared" si="11"/>
        <v>167.09064000000001</v>
      </c>
      <c r="H64" s="180">
        <f t="shared" si="11"/>
        <v>0</v>
      </c>
      <c r="I64" s="180">
        <f t="shared" si="12"/>
        <v>-6227.4606899999981</v>
      </c>
      <c r="J64" s="180">
        <f t="shared" si="13"/>
        <v>-5800.8462899999977</v>
      </c>
      <c r="M64" s="180"/>
    </row>
    <row r="65" spans="1:13">
      <c r="A65" s="195" t="s">
        <v>150</v>
      </c>
      <c r="C65" s="180">
        <f t="shared" si="11"/>
        <v>25.358220000000003</v>
      </c>
      <c r="D65" s="180">
        <f t="shared" si="11"/>
        <v>71.102460000000008</v>
      </c>
      <c r="E65" s="180">
        <f t="shared" si="11"/>
        <v>0</v>
      </c>
      <c r="F65" s="180">
        <f t="shared" si="11"/>
        <v>-179.99364</v>
      </c>
      <c r="G65" s="180">
        <f t="shared" si="11"/>
        <v>-70.108019999999996</v>
      </c>
      <c r="H65" s="180">
        <f t="shared" si="11"/>
        <v>0</v>
      </c>
      <c r="I65" s="180">
        <f t="shared" si="12"/>
        <v>-483.1833899999998</v>
      </c>
      <c r="J65" s="180">
        <f t="shared" si="13"/>
        <v>-636.82436999999982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6097.4828200000002</v>
      </c>
      <c r="E66" s="180">
        <f t="shared" si="11"/>
        <v>0</v>
      </c>
      <c r="F66" s="180">
        <f t="shared" si="11"/>
        <v>-11640.649019999999</v>
      </c>
      <c r="G66" s="180">
        <f t="shared" si="11"/>
        <v>-4349.2534800000003</v>
      </c>
      <c r="H66" s="180">
        <f t="shared" si="11"/>
        <v>0</v>
      </c>
      <c r="I66" s="180">
        <f t="shared" si="12"/>
        <v>-14693.931739999996</v>
      </c>
      <c r="J66" s="180">
        <f t="shared" si="13"/>
        <v>-24586.351419999995</v>
      </c>
      <c r="M66" s="180"/>
    </row>
    <row r="67" spans="1:13">
      <c r="A67" s="195" t="s">
        <v>152</v>
      </c>
      <c r="C67" s="180">
        <f t="shared" si="11"/>
        <v>-12.44298</v>
      </c>
      <c r="D67" s="180">
        <f t="shared" si="11"/>
        <v>-34.889140000000005</v>
      </c>
      <c r="E67" s="180">
        <f t="shared" si="11"/>
        <v>0</v>
      </c>
      <c r="F67" s="180">
        <f t="shared" si="11"/>
        <v>66.606539999999995</v>
      </c>
      <c r="G67" s="180">
        <f t="shared" si="11"/>
        <v>24.885960000000001</v>
      </c>
      <c r="H67" s="180">
        <f t="shared" si="11"/>
        <v>0</v>
      </c>
      <c r="I67" s="180">
        <f t="shared" si="12"/>
        <v>-361.5867199999999</v>
      </c>
      <c r="J67" s="180">
        <f t="shared" si="13"/>
        <v>-317.42633999999993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1304.96228</v>
      </c>
      <c r="G68" s="180">
        <f>($H9)*G53+$H10-G54</f>
        <v>485.56800000000004</v>
      </c>
      <c r="H68" s="180">
        <f t="shared" si="14"/>
        <v>0</v>
      </c>
      <c r="I68" s="180">
        <f>(I53*F9)+(J53*G9)+I54*F10+J54*G10</f>
        <v>-1008.8143899999999</v>
      </c>
      <c r="J68" s="180">
        <f t="shared" si="13"/>
        <v>781.71589000000006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-4321.21976</v>
      </c>
      <c r="E70" s="180">
        <f t="shared" si="15"/>
        <v>0</v>
      </c>
      <c r="F70" s="180">
        <f t="shared" si="15"/>
        <v>7886.9815199999994</v>
      </c>
      <c r="G70" s="180">
        <f t="shared" si="15"/>
        <v>2689.43048</v>
      </c>
      <c r="H70" s="180">
        <f t="shared" si="15"/>
        <v>0</v>
      </c>
      <c r="I70" s="180">
        <f>(I56*F12)+(J56*G12)</f>
        <v>-3205.6686299999997</v>
      </c>
      <c r="J70" s="180">
        <f t="shared" si="13"/>
        <v>3049.5236099999997</v>
      </c>
      <c r="M70" s="180"/>
    </row>
    <row r="71" spans="1:13">
      <c r="A71" s="195" t="s">
        <v>155</v>
      </c>
      <c r="C71" s="180">
        <f t="shared" si="15"/>
        <v>-49.907580000000003</v>
      </c>
      <c r="D71" s="180">
        <f t="shared" si="15"/>
        <v>-139.93693999999999</v>
      </c>
      <c r="E71" s="180">
        <f t="shared" si="15"/>
        <v>0</v>
      </c>
      <c r="F71" s="180">
        <f t="shared" si="15"/>
        <v>255.40938</v>
      </c>
      <c r="G71" s="180">
        <f t="shared" si="15"/>
        <v>87.093620000000001</v>
      </c>
      <c r="H71" s="180">
        <f t="shared" si="15"/>
        <v>0</v>
      </c>
      <c r="I71" s="180">
        <f>(I57*F13)+(J57*G13)</f>
        <v>-190.06187999999997</v>
      </c>
      <c r="J71" s="180">
        <f t="shared" si="13"/>
        <v>-37.403399999999976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-2100.65634</v>
      </c>
      <c r="D73" s="222">
        <f>SUM(D62:D72)</f>
        <v>12145.110720000004</v>
      </c>
      <c r="E73" s="222">
        <f t="shared" ref="E73:J73" si="16">SUM(E62:E72)</f>
        <v>48.619260000000004</v>
      </c>
      <c r="F73" s="222">
        <f t="shared" si="16"/>
        <v>8723.8695399999979</v>
      </c>
      <c r="G73" s="222">
        <f t="shared" si="16"/>
        <v>2959.7152000000001</v>
      </c>
      <c r="H73" s="222">
        <f t="shared" si="16"/>
        <v>0</v>
      </c>
      <c r="I73" s="222">
        <f t="shared" si="16"/>
        <v>-53354.217319999996</v>
      </c>
      <c r="J73" s="222">
        <f t="shared" si="16"/>
        <v>-31577.558939999995</v>
      </c>
    </row>
    <row r="74" spans="1:13" ht="15.75" customHeight="1"/>
    <row r="75" spans="1:13">
      <c r="A75" s="164" t="s">
        <v>19</v>
      </c>
      <c r="B75" s="164"/>
      <c r="C75" s="180">
        <f>C62+C63</f>
        <v>-2063.6640000000002</v>
      </c>
      <c r="D75" s="180">
        <f>D62+D63</f>
        <v>10642.032000000001</v>
      </c>
      <c r="E75" s="180">
        <f t="shared" ref="E75:J75" si="17">E62+E63</f>
        <v>48.619260000000004</v>
      </c>
      <c r="F75" s="180">
        <f t="shared" si="17"/>
        <v>10601.567999999999</v>
      </c>
      <c r="G75" s="180">
        <f t="shared" si="17"/>
        <v>3925.0080000000003</v>
      </c>
      <c r="H75" s="180">
        <f t="shared" si="17"/>
        <v>0</v>
      </c>
      <c r="I75" s="180">
        <f t="shared" si="17"/>
        <v>-27183.509880000005</v>
      </c>
      <c r="J75" s="180">
        <f t="shared" si="17"/>
        <v>-4029.9466200000029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-36.992339999999999</v>
      </c>
      <c r="D77" s="190">
        <f>SUM(D64:D67,D69:D71)</f>
        <v>1503.07872</v>
      </c>
      <c r="E77" s="190">
        <f t="shared" ref="E77:J77" si="18">SUM(E64:E67,E69:E71)</f>
        <v>0</v>
      </c>
      <c r="F77" s="190">
        <f t="shared" si="18"/>
        <v>-3182.6607399999984</v>
      </c>
      <c r="G77" s="190">
        <f t="shared" si="18"/>
        <v>-1450.8608000000008</v>
      </c>
      <c r="H77" s="190">
        <f t="shared" si="18"/>
        <v>0</v>
      </c>
      <c r="I77" s="190">
        <f t="shared" si="18"/>
        <v>-25161.893049999995</v>
      </c>
      <c r="J77" s="190">
        <f t="shared" si="18"/>
        <v>-28329.328209999992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M79"/>
  <sheetViews>
    <sheetView zoomScaleNormal="100" workbookViewId="0">
      <selection sqref="A1:XFD1048576"/>
    </sheetView>
  </sheetViews>
  <sheetFormatPr defaultColWidth="9.109375" defaultRowHeight="13.8"/>
  <cols>
    <col min="1" max="1" width="14.6640625" style="1" customWidth="1"/>
    <col min="2" max="2" width="9.109375" style="1"/>
    <col min="3" max="3" width="16.6640625" style="1" customWidth="1"/>
    <col min="4" max="4" width="20.44140625" style="1" customWidth="1"/>
    <col min="5" max="5" width="15.33203125" style="1" customWidth="1"/>
    <col min="6" max="6" width="14.88671875" style="1" customWidth="1"/>
    <col min="7" max="7" width="15.44140625" style="1" customWidth="1"/>
    <col min="8" max="8" width="14.44140625" style="1" customWidth="1"/>
    <col min="9" max="9" width="14.88671875" style="1" customWidth="1"/>
    <col min="10" max="10" width="16.5546875" style="1" customWidth="1"/>
    <col min="11" max="11" width="9.109375" style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210972</v>
      </c>
      <c r="D3" s="224"/>
      <c r="E3" s="197">
        <v>174131932</v>
      </c>
      <c r="F3" s="197">
        <v>-91625501</v>
      </c>
      <c r="G3" s="197">
        <v>112837401</v>
      </c>
      <c r="H3" s="218">
        <f>SUM(F3:G3)</f>
        <v>21211900</v>
      </c>
      <c r="I3" s="171">
        <f>E3+H3</f>
        <v>195343832</v>
      </c>
    </row>
    <row r="4" spans="1:9">
      <c r="A4" s="195" t="s">
        <v>203</v>
      </c>
      <c r="B4" s="164"/>
      <c r="C4" s="170">
        <v>467</v>
      </c>
      <c r="D4" s="224"/>
      <c r="E4" s="197">
        <v>362113</v>
      </c>
      <c r="F4" s="197">
        <v>-199806</v>
      </c>
      <c r="G4" s="197">
        <v>240153</v>
      </c>
      <c r="H4" s="218">
        <f t="shared" ref="H4:H16" si="0">SUM(F4:G4)</f>
        <v>40347</v>
      </c>
      <c r="I4" s="171">
        <f t="shared" ref="I4:I16" si="1">E4+H4</f>
        <v>402460</v>
      </c>
    </row>
    <row r="5" spans="1:9">
      <c r="A5" s="195" t="s">
        <v>149</v>
      </c>
      <c r="B5" s="164"/>
      <c r="C5" s="170">
        <v>22403</v>
      </c>
      <c r="D5" s="224"/>
      <c r="E5" s="197">
        <v>45371093</v>
      </c>
      <c r="F5" s="197">
        <v>-25518130</v>
      </c>
      <c r="G5" s="197">
        <v>29332921</v>
      </c>
      <c r="H5" s="218">
        <f t="shared" si="0"/>
        <v>3814791</v>
      </c>
      <c r="I5" s="171">
        <f t="shared" si="1"/>
        <v>49185884</v>
      </c>
    </row>
    <row r="6" spans="1:9">
      <c r="A6" s="195" t="s">
        <v>150</v>
      </c>
      <c r="B6" s="164"/>
      <c r="C6" s="170">
        <v>9169</v>
      </c>
      <c r="D6" s="224"/>
      <c r="E6" s="197">
        <v>3754725</v>
      </c>
      <c r="F6" s="197">
        <v>-2226414</v>
      </c>
      <c r="G6" s="197">
        <v>2435833</v>
      </c>
      <c r="H6" s="218">
        <f t="shared" si="0"/>
        <v>209419</v>
      </c>
      <c r="I6" s="171">
        <f t="shared" si="1"/>
        <v>3964144</v>
      </c>
    </row>
    <row r="7" spans="1:9">
      <c r="A7" s="195" t="s">
        <v>151</v>
      </c>
      <c r="B7" s="164"/>
      <c r="C7" s="170">
        <v>1844</v>
      </c>
      <c r="D7" s="224"/>
      <c r="E7" s="197">
        <v>116100650</v>
      </c>
      <c r="F7" s="197">
        <v>-66906597</v>
      </c>
      <c r="G7" s="197">
        <v>74824680</v>
      </c>
      <c r="H7" s="218">
        <f t="shared" si="0"/>
        <v>7918083</v>
      </c>
      <c r="I7" s="171">
        <f t="shared" si="1"/>
        <v>124018733</v>
      </c>
    </row>
    <row r="8" spans="1:9">
      <c r="A8" s="195" t="s">
        <v>152</v>
      </c>
      <c r="B8" s="164"/>
      <c r="C8" s="170">
        <v>49</v>
      </c>
      <c r="D8" s="224"/>
      <c r="E8" s="197">
        <v>2316740</v>
      </c>
      <c r="F8" s="197">
        <v>-1313013</v>
      </c>
      <c r="G8" s="197">
        <v>1509530</v>
      </c>
      <c r="H8" s="218">
        <f t="shared" si="0"/>
        <v>196517</v>
      </c>
      <c r="I8" s="171">
        <f t="shared" si="1"/>
        <v>2513257</v>
      </c>
    </row>
    <row r="9" spans="1:9">
      <c r="A9" s="195" t="s">
        <v>153</v>
      </c>
      <c r="B9" s="164"/>
      <c r="C9" s="170">
        <v>21</v>
      </c>
      <c r="D9" s="224"/>
      <c r="E9" s="197">
        <f>97339724-E10</f>
        <v>60894697</v>
      </c>
      <c r="F9" s="197">
        <v>0</v>
      </c>
      <c r="G9" s="197">
        <v>2505893</v>
      </c>
      <c r="H9" s="218">
        <f t="shared" si="0"/>
        <v>2505893</v>
      </c>
      <c r="I9" s="171">
        <f t="shared" si="1"/>
        <v>63400590</v>
      </c>
    </row>
    <row r="10" spans="1:9">
      <c r="A10" s="195" t="s">
        <v>204</v>
      </c>
      <c r="B10" s="164"/>
      <c r="C10" s="170"/>
      <c r="D10" s="224"/>
      <c r="E10" s="197">
        <v>36445027</v>
      </c>
      <c r="F10" s="197">
        <v>0</v>
      </c>
      <c r="G10" s="197">
        <v>0</v>
      </c>
      <c r="H10" s="218">
        <f t="shared" si="0"/>
        <v>0</v>
      </c>
      <c r="I10" s="171">
        <f t="shared" si="1"/>
        <v>36445027</v>
      </c>
    </row>
    <row r="11" spans="1:9">
      <c r="A11" s="195" t="s">
        <v>205</v>
      </c>
      <c r="B11" s="164"/>
      <c r="C11" s="170">
        <v>47</v>
      </c>
      <c r="D11" s="224"/>
      <c r="E11" s="197">
        <v>6298940</v>
      </c>
      <c r="F11" s="197">
        <v>0</v>
      </c>
      <c r="G11" s="197">
        <v>0</v>
      </c>
      <c r="H11" s="218">
        <f t="shared" si="0"/>
        <v>0</v>
      </c>
      <c r="I11" s="171">
        <f t="shared" si="1"/>
        <v>6298940</v>
      </c>
    </row>
    <row r="12" spans="1:9">
      <c r="A12" s="195" t="s">
        <v>154</v>
      </c>
      <c r="B12" s="164"/>
      <c r="C12" s="170">
        <v>1196</v>
      </c>
      <c r="D12" s="224"/>
      <c r="E12" s="197">
        <v>16083109</v>
      </c>
      <c r="F12" s="197">
        <v>-4167390</v>
      </c>
      <c r="G12" s="197">
        <v>7170269</v>
      </c>
      <c r="H12" s="218">
        <f t="shared" si="0"/>
        <v>3002879</v>
      </c>
      <c r="I12" s="171">
        <f t="shared" si="1"/>
        <v>19085988</v>
      </c>
    </row>
    <row r="13" spans="1:9">
      <c r="A13" s="195" t="s">
        <v>155</v>
      </c>
      <c r="B13" s="164"/>
      <c r="C13" s="170">
        <v>1178</v>
      </c>
      <c r="D13" s="224"/>
      <c r="E13" s="197">
        <v>1472093</v>
      </c>
      <c r="F13" s="197">
        <v>-256894</v>
      </c>
      <c r="G13" s="197">
        <v>686150</v>
      </c>
      <c r="H13" s="218">
        <f t="shared" si="0"/>
        <v>429256</v>
      </c>
      <c r="I13" s="171">
        <f t="shared" si="1"/>
        <v>1901349</v>
      </c>
    </row>
    <row r="14" spans="1:9">
      <c r="A14" s="195" t="s">
        <v>206</v>
      </c>
      <c r="B14" s="164"/>
      <c r="C14" s="170">
        <v>426</v>
      </c>
      <c r="D14" s="224"/>
      <c r="E14" s="197">
        <v>1041112</v>
      </c>
      <c r="F14" s="197"/>
      <c r="G14" s="197"/>
      <c r="H14" s="218"/>
      <c r="I14" s="171">
        <f t="shared" si="1"/>
        <v>1041112</v>
      </c>
    </row>
    <row r="15" spans="1:9">
      <c r="A15" s="195" t="s">
        <v>207</v>
      </c>
      <c r="B15" s="164"/>
      <c r="C15" s="170"/>
      <c r="D15" s="224"/>
      <c r="E15" s="197">
        <v>208134</v>
      </c>
      <c r="F15" s="197"/>
      <c r="G15" s="197"/>
      <c r="H15" s="218">
        <f t="shared" si="0"/>
        <v>0</v>
      </c>
      <c r="I15" s="171">
        <f t="shared" si="1"/>
        <v>208134</v>
      </c>
    </row>
    <row r="16" spans="1:9">
      <c r="A16" s="195" t="s">
        <v>208</v>
      </c>
      <c r="B16" s="164"/>
      <c r="C16" s="170"/>
      <c r="D16" s="225"/>
      <c r="E16" s="197">
        <v>233750</v>
      </c>
      <c r="F16" s="197"/>
      <c r="G16" s="197"/>
      <c r="H16" s="218">
        <f t="shared" si="0"/>
        <v>0</v>
      </c>
      <c r="I16" s="171">
        <f t="shared" si="1"/>
        <v>233750</v>
      </c>
    </row>
    <row r="17" spans="1:9">
      <c r="A17" s="164"/>
      <c r="B17" s="164"/>
      <c r="C17" s="172">
        <f>SUM(C3:C16)</f>
        <v>247772</v>
      </c>
      <c r="E17" s="172">
        <f t="shared" ref="E17:I17" si="2">SUM(E3:E16)</f>
        <v>464714115</v>
      </c>
      <c r="F17" s="172">
        <f t="shared" si="2"/>
        <v>-192213745</v>
      </c>
      <c r="G17" s="172">
        <f t="shared" si="2"/>
        <v>231542830</v>
      </c>
      <c r="H17" s="172">
        <f t="shared" si="2"/>
        <v>39329085</v>
      </c>
      <c r="I17" s="172">
        <f t="shared" si="2"/>
        <v>504043200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211439</v>
      </c>
      <c r="E19" s="174">
        <f>E3+E4</f>
        <v>174494045</v>
      </c>
      <c r="F19" s="174">
        <f t="shared" ref="F19:H19" si="3">F3+F4</f>
        <v>-91825307</v>
      </c>
      <c r="G19" s="174">
        <f t="shared" si="3"/>
        <v>113077554</v>
      </c>
      <c r="H19" s="174">
        <f t="shared" si="3"/>
        <v>21252247</v>
      </c>
      <c r="I19" s="173">
        <f>I3+I4</f>
        <v>195746292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35886</v>
      </c>
      <c r="E21" s="192">
        <f>SUM(E5:E8,E11:E13)</f>
        <v>191397350</v>
      </c>
      <c r="F21" s="192">
        <f t="shared" ref="F21:H21" si="4">SUM(F5:F8,F11:F13)</f>
        <v>-100388438</v>
      </c>
      <c r="G21" s="192">
        <f t="shared" si="4"/>
        <v>115959383</v>
      </c>
      <c r="H21" s="192">
        <f t="shared" si="4"/>
        <v>15570945</v>
      </c>
      <c r="I21" s="191">
        <f>SUM(I5:I8,I11:I13)</f>
        <v>206968295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1851721.5</v>
      </c>
      <c r="D24" s="196">
        <v>15473643.060000001</v>
      </c>
      <c r="E24" s="198">
        <v>-8559357</v>
      </c>
      <c r="F24" s="198">
        <v>10570245</v>
      </c>
      <c r="G24" s="188">
        <f>SUM(D24:F24)</f>
        <v>17484531.060000002</v>
      </c>
      <c r="H24" s="188">
        <f>-J62</f>
        <v>-88871.555779999995</v>
      </c>
      <c r="I24" s="188">
        <f>SUM(G24:H24)</f>
        <v>17395659.504220001</v>
      </c>
    </row>
    <row r="25" spans="1:9">
      <c r="A25" s="195" t="s">
        <v>203</v>
      </c>
      <c r="B25" s="164"/>
      <c r="C25" s="196">
        <v>4012</v>
      </c>
      <c r="D25" s="196">
        <v>32025.98</v>
      </c>
      <c r="E25" s="198">
        <v>-12401</v>
      </c>
      <c r="F25" s="198">
        <v>15006</v>
      </c>
      <c r="G25" s="188">
        <f t="shared" ref="G25:G33" si="5">SUM(D25:F25)</f>
        <v>34630.979999999996</v>
      </c>
      <c r="H25" s="188">
        <f t="shared" ref="H25:H33" si="6">-J63</f>
        <v>1108.7146499999999</v>
      </c>
      <c r="I25" s="188">
        <f t="shared" ref="I25:I34" si="7">SUM(G25:H25)</f>
        <v>35739.694649999998</v>
      </c>
    </row>
    <row r="26" spans="1:9">
      <c r="A26" s="195" t="s">
        <v>149</v>
      </c>
      <c r="B26" s="164"/>
      <c r="C26" s="196">
        <v>409600</v>
      </c>
      <c r="D26" s="196">
        <v>5295248.66</v>
      </c>
      <c r="E26" s="198">
        <v>-2930369</v>
      </c>
      <c r="F26" s="198">
        <v>3293779</v>
      </c>
      <c r="G26" s="188">
        <f t="shared" si="5"/>
        <v>5658658.6600000001</v>
      </c>
      <c r="H26" s="188">
        <f t="shared" si="6"/>
        <v>-6200.0094300000001</v>
      </c>
      <c r="I26" s="188">
        <f t="shared" si="7"/>
        <v>5652458.6505700005</v>
      </c>
    </row>
    <row r="27" spans="1:9">
      <c r="A27" s="195" t="s">
        <v>150</v>
      </c>
      <c r="B27" s="164"/>
      <c r="C27" s="196">
        <v>166920.91</v>
      </c>
      <c r="D27" s="196">
        <v>580390.37</v>
      </c>
      <c r="E27" s="198">
        <v>-338566</v>
      </c>
      <c r="F27" s="198">
        <v>359086</v>
      </c>
      <c r="G27" s="188">
        <f t="shared" si="5"/>
        <v>600910.37</v>
      </c>
      <c r="H27" s="188">
        <f t="shared" si="6"/>
        <v>-60.188940000000002</v>
      </c>
      <c r="I27" s="188">
        <f t="shared" si="7"/>
        <v>600850.18105999997</v>
      </c>
    </row>
    <row r="28" spans="1:9">
      <c r="A28" s="195" t="s">
        <v>151</v>
      </c>
      <c r="B28" s="164"/>
      <c r="C28" s="196">
        <v>922436</v>
      </c>
      <c r="D28" s="196">
        <v>10540761.439999999</v>
      </c>
      <c r="E28" s="198">
        <v>-5306438</v>
      </c>
      <c r="F28" s="198">
        <v>5864988</v>
      </c>
      <c r="G28" s="188">
        <f t="shared" si="5"/>
        <v>11099311.439999999</v>
      </c>
      <c r="H28" s="188">
        <f t="shared" si="6"/>
        <v>1690.2337200000038</v>
      </c>
      <c r="I28" s="188">
        <f t="shared" si="7"/>
        <v>11101001.67372</v>
      </c>
    </row>
    <row r="29" spans="1:9">
      <c r="A29" s="195" t="s">
        <v>152</v>
      </c>
      <c r="B29" s="164"/>
      <c r="C29" s="196">
        <v>24500</v>
      </c>
      <c r="D29" s="196">
        <v>210584.41</v>
      </c>
      <c r="E29" s="198">
        <v>-108088</v>
      </c>
      <c r="F29" s="198">
        <v>122268</v>
      </c>
      <c r="G29" s="188">
        <f t="shared" si="5"/>
        <v>224764.41</v>
      </c>
      <c r="H29" s="188">
        <f t="shared" si="6"/>
        <v>62.24225000000007</v>
      </c>
      <c r="I29" s="188">
        <f t="shared" si="7"/>
        <v>224826.65225000001</v>
      </c>
    </row>
    <row r="30" spans="1:9">
      <c r="A30" s="195" t="s">
        <v>153</v>
      </c>
      <c r="B30" s="164"/>
      <c r="C30" s="196">
        <v>441000</v>
      </c>
      <c r="D30" s="196">
        <f>5713042.85-83709.2</f>
        <v>5629333.6499999994</v>
      </c>
      <c r="E30" s="198">
        <v>0</v>
      </c>
      <c r="F30" s="198">
        <v>171369</v>
      </c>
      <c r="G30" s="188">
        <f t="shared" si="5"/>
        <v>5800702.6499999994</v>
      </c>
      <c r="H30" s="188">
        <f t="shared" si="6"/>
        <v>-4485.5467499999995</v>
      </c>
      <c r="I30" s="188">
        <f t="shared" si="7"/>
        <v>5796217.1032499997</v>
      </c>
    </row>
    <row r="31" spans="1:9">
      <c r="A31" s="195" t="s">
        <v>205</v>
      </c>
      <c r="B31" s="164"/>
      <c r="C31" s="196">
        <v>846</v>
      </c>
      <c r="D31" s="196">
        <v>430510.86</v>
      </c>
      <c r="E31" s="198">
        <v>0</v>
      </c>
      <c r="F31" s="198">
        <v>0</v>
      </c>
      <c r="G31" s="188">
        <f t="shared" si="5"/>
        <v>430510.86</v>
      </c>
      <c r="H31" s="188">
        <f t="shared" si="6"/>
        <v>0</v>
      </c>
      <c r="I31" s="188">
        <f t="shared" si="7"/>
        <v>430510.86</v>
      </c>
    </row>
    <row r="32" spans="1:9">
      <c r="A32" s="195" t="s">
        <v>154</v>
      </c>
      <c r="B32" s="164"/>
      <c r="C32" s="196">
        <v>20515.2</v>
      </c>
      <c r="D32" s="196">
        <v>1273233.69</v>
      </c>
      <c r="E32" s="198">
        <v>-350150</v>
      </c>
      <c r="F32" s="198">
        <v>584471</v>
      </c>
      <c r="G32" s="188">
        <f t="shared" si="5"/>
        <v>1507554.69</v>
      </c>
      <c r="H32" s="188">
        <f t="shared" si="6"/>
        <v>-3592.3992400000002</v>
      </c>
      <c r="I32" s="188">
        <f t="shared" si="7"/>
        <v>1503962.29076</v>
      </c>
    </row>
    <row r="33" spans="1:10">
      <c r="A33" s="195" t="s">
        <v>155</v>
      </c>
      <c r="B33" s="164"/>
      <c r="C33" s="196">
        <v>21492</v>
      </c>
      <c r="D33" s="196">
        <v>141957.01999999999</v>
      </c>
      <c r="E33" s="198">
        <v>-31521</v>
      </c>
      <c r="F33" s="198">
        <v>65245</v>
      </c>
      <c r="G33" s="188">
        <f t="shared" si="5"/>
        <v>175681.02</v>
      </c>
      <c r="H33" s="188">
        <f t="shared" si="6"/>
        <v>-358.98333999999994</v>
      </c>
      <c r="I33" s="188">
        <f t="shared" si="7"/>
        <v>175322.03665999998</v>
      </c>
    </row>
    <row r="34" spans="1:10">
      <c r="A34" s="195" t="s">
        <v>217</v>
      </c>
      <c r="B34" s="164"/>
      <c r="C34" s="188"/>
      <c r="D34" s="196">
        <v>516132.11</v>
      </c>
      <c r="E34" s="196"/>
      <c r="F34" s="196"/>
      <c r="G34" s="188">
        <f>SUM(D34:F34)</f>
        <v>516132.11</v>
      </c>
      <c r="H34" s="188"/>
      <c r="I34" s="188">
        <f t="shared" si="7"/>
        <v>516132.11</v>
      </c>
    </row>
    <row r="35" spans="1:10">
      <c r="A35" s="195" t="s">
        <v>218</v>
      </c>
      <c r="B35" s="164"/>
      <c r="C35" s="224"/>
      <c r="D35" s="196">
        <v>1485101.78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224"/>
      <c r="D36" s="196">
        <v>1529287.56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3863043.6100000003</v>
      </c>
      <c r="D37" s="178">
        <f t="shared" ref="D37:I37" si="8">SUM(D24:D36)</f>
        <v>43138210.590000011</v>
      </c>
      <c r="E37" s="178">
        <f t="shared" si="8"/>
        <v>-17636890</v>
      </c>
      <c r="F37" s="178">
        <f t="shared" si="8"/>
        <v>21046457</v>
      </c>
      <c r="G37" s="178">
        <f t="shared" si="8"/>
        <v>43533388.25</v>
      </c>
      <c r="H37" s="178">
        <f t="shared" si="8"/>
        <v>-100707.49286000001</v>
      </c>
      <c r="I37" s="178">
        <f t="shared" si="8"/>
        <v>43432680.757140003</v>
      </c>
    </row>
    <row r="38" spans="1:10" ht="14.4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1855733.5</v>
      </c>
      <c r="D39" s="180">
        <f t="shared" ref="D39:I39" si="9">D24+D25</f>
        <v>15505669.040000001</v>
      </c>
      <c r="E39" s="180">
        <f t="shared" si="9"/>
        <v>-8571758</v>
      </c>
      <c r="F39" s="180">
        <f t="shared" si="9"/>
        <v>10585251</v>
      </c>
      <c r="G39" s="180">
        <f t="shared" si="9"/>
        <v>17519162.040000003</v>
      </c>
      <c r="H39" s="180">
        <f t="shared" si="9"/>
        <v>-87762.841130000001</v>
      </c>
      <c r="I39" s="181">
        <f t="shared" si="9"/>
        <v>17431399.198870003</v>
      </c>
    </row>
    <row r="40" spans="1:10" ht="6" customHeight="1">
      <c r="A40" s="164"/>
      <c r="B40" s="164"/>
      <c r="C40" s="187"/>
      <c r="D40" s="180"/>
      <c r="E40" s="164"/>
      <c r="F40" s="164"/>
      <c r="I40" s="219"/>
    </row>
    <row r="41" spans="1:10" ht="14.4" thickBot="1">
      <c r="A41" s="164" t="s">
        <v>209</v>
      </c>
      <c r="B41" s="164"/>
      <c r="C41" s="189">
        <f>SUM(C26:C29,C31:C33)</f>
        <v>1566310.11</v>
      </c>
      <c r="D41" s="190">
        <f t="shared" ref="D41:I41" si="10">SUM(D26:D29,D31:D33)</f>
        <v>18472686.449999999</v>
      </c>
      <c r="E41" s="190">
        <f t="shared" si="10"/>
        <v>-9065132</v>
      </c>
      <c r="F41" s="190">
        <f t="shared" si="10"/>
        <v>10289837</v>
      </c>
      <c r="G41" s="190">
        <f t="shared" si="10"/>
        <v>19697391.449999999</v>
      </c>
      <c r="H41" s="190">
        <f t="shared" si="10"/>
        <v>-8459.1049799999964</v>
      </c>
      <c r="I41" s="189">
        <f t="shared" si="10"/>
        <v>19688932.34502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C45" s="220">
        <v>42675</v>
      </c>
      <c r="D45" s="221">
        <v>42675</v>
      </c>
      <c r="E45" s="221">
        <v>42278</v>
      </c>
      <c r="F45" s="220">
        <v>42583</v>
      </c>
      <c r="G45" s="220">
        <v>42644</v>
      </c>
      <c r="H45" s="220">
        <v>42380</v>
      </c>
      <c r="I45" s="220">
        <v>42552</v>
      </c>
      <c r="J45" s="220">
        <v>42917</v>
      </c>
    </row>
    <row r="46" spans="1:10" ht="42" customHeight="1">
      <c r="A46" s="193" t="s">
        <v>220</v>
      </c>
      <c r="B46" s="166"/>
      <c r="C46" s="177" t="s">
        <v>221</v>
      </c>
      <c r="D46" s="177" t="s">
        <v>239</v>
      </c>
      <c r="E46" s="177" t="s">
        <v>222</v>
      </c>
      <c r="F46" s="177" t="s">
        <v>223</v>
      </c>
      <c r="G46" s="177" t="s">
        <v>224</v>
      </c>
      <c r="H46" s="177" t="s">
        <v>225</v>
      </c>
      <c r="I46" s="177" t="s">
        <v>226</v>
      </c>
      <c r="J46" s="177" t="s">
        <v>226</v>
      </c>
    </row>
    <row r="47" spans="1:10">
      <c r="A47" s="195" t="s">
        <v>148</v>
      </c>
      <c r="B47" s="164"/>
      <c r="C47" s="184">
        <v>-5.1000000000000004E-4</v>
      </c>
      <c r="D47" s="184">
        <v>2.63E-3</v>
      </c>
      <c r="E47" s="184"/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>
        <v>-5.6999999999999998E-4</v>
      </c>
    </row>
    <row r="48" spans="1:10">
      <c r="A48" s="195" t="s">
        <v>203</v>
      </c>
      <c r="B48" s="164"/>
      <c r="C48" s="184">
        <v>-5.1000000000000004E-4</v>
      </c>
      <c r="D48" s="184">
        <v>2.63E-3</v>
      </c>
      <c r="E48" s="184">
        <v>-3.1530000000000002E-2</v>
      </c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>
        <v>-5.6999999999999998E-4</v>
      </c>
    </row>
    <row r="49" spans="1:13">
      <c r="A49" s="195" t="s">
        <v>149</v>
      </c>
      <c r="B49" s="164"/>
      <c r="C49" s="184"/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>
        <v>-5.6999999999999998E-4</v>
      </c>
    </row>
    <row r="50" spans="1:13">
      <c r="A50" s="195" t="s">
        <v>150</v>
      </c>
      <c r="B50" s="164"/>
      <c r="C50" s="184">
        <v>-5.1000000000000004E-4</v>
      </c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>
        <v>-5.6999999999999998E-4</v>
      </c>
    </row>
    <row r="51" spans="1:13">
      <c r="A51" s="195" t="s">
        <v>151</v>
      </c>
      <c r="B51" s="164"/>
      <c r="C51" s="184"/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>
        <v>-5.9000000000000003E-4</v>
      </c>
    </row>
    <row r="52" spans="1:13">
      <c r="A52" s="195" t="s">
        <v>152</v>
      </c>
      <c r="B52" s="164"/>
      <c r="C52" s="184">
        <v>-5.1000000000000004E-4</v>
      </c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>
        <v>-5.9000000000000003E-4</v>
      </c>
    </row>
    <row r="53" spans="1:13">
      <c r="A53" s="195" t="s">
        <v>153</v>
      </c>
      <c r="B53" s="164"/>
      <c r="C53" s="184"/>
      <c r="D53" s="184"/>
      <c r="E53" s="184"/>
      <c r="F53" s="184">
        <v>1.72E-3</v>
      </c>
      <c r="G53" s="184">
        <v>6.4000000000000005E-4</v>
      </c>
      <c r="H53" s="184">
        <v>0</v>
      </c>
      <c r="I53" s="184">
        <v>-3.4000000000000002E-4</v>
      </c>
      <c r="J53" s="184">
        <v>-5.6999999999999998E-4</v>
      </c>
    </row>
    <row r="54" spans="1:13">
      <c r="A54" s="195" t="s">
        <v>204</v>
      </c>
      <c r="B54" s="164"/>
      <c r="C54" s="184"/>
      <c r="D54" s="184"/>
      <c r="E54" s="184"/>
      <c r="F54" s="184">
        <v>1.72E-3</v>
      </c>
      <c r="G54" s="184">
        <v>0</v>
      </c>
      <c r="H54" s="184">
        <v>0</v>
      </c>
      <c r="I54" s="184">
        <v>-3.4000000000000002E-4</v>
      </c>
      <c r="J54" s="184">
        <v>-5.6999999999999998E-4</v>
      </c>
    </row>
    <row r="55" spans="1:13">
      <c r="A55" s="195" t="s">
        <v>205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>
        <v>-6.0999999999999997E-4</v>
      </c>
    </row>
    <row r="56" spans="1:13">
      <c r="A56" s="195" t="s">
        <v>154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>
        <v>-6.0999999999999997E-4</v>
      </c>
    </row>
    <row r="57" spans="1:13">
      <c r="A57" s="195" t="s">
        <v>155</v>
      </c>
      <c r="B57" s="164"/>
      <c r="C57" s="184">
        <v>-5.1000000000000004E-4</v>
      </c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>
        <v>-6.0999999999999997E-4</v>
      </c>
    </row>
    <row r="58" spans="1:13" ht="14.4" customHeight="1">
      <c r="A58" s="195" t="s">
        <v>217</v>
      </c>
      <c r="B58" s="164"/>
      <c r="C58" s="202"/>
      <c r="D58" s="184"/>
      <c r="E58" s="184"/>
      <c r="F58" s="202">
        <v>8.6199999999999992E-3</v>
      </c>
      <c r="G58" s="255" t="s">
        <v>235</v>
      </c>
      <c r="H58" s="184">
        <v>0</v>
      </c>
      <c r="I58" s="199">
        <v>-3.6999999999999999E-4</v>
      </c>
      <c r="J58" s="202">
        <v>-6.4999999999999997E-4</v>
      </c>
    </row>
    <row r="59" spans="1:13">
      <c r="A59" s="195" t="s">
        <v>208</v>
      </c>
      <c r="B59" s="164"/>
      <c r="C59" s="202"/>
      <c r="D59" s="184"/>
      <c r="E59" s="184"/>
      <c r="F59" s="202">
        <v>8.6199999999999992E-3</v>
      </c>
      <c r="G59" s="255"/>
      <c r="H59" s="184">
        <v>0</v>
      </c>
      <c r="I59" s="199">
        <v>-3.6999999999999999E-4</v>
      </c>
      <c r="J59" s="202">
        <v>-6.4999999999999997E-4</v>
      </c>
    </row>
    <row r="60" spans="1:13">
      <c r="E60" s="164"/>
    </row>
    <row r="61" spans="1:13" ht="39.6">
      <c r="A61" s="193" t="s">
        <v>227</v>
      </c>
      <c r="B61" s="166"/>
      <c r="C61" s="186" t="s">
        <v>234</v>
      </c>
      <c r="D61" s="186" t="s">
        <v>239</v>
      </c>
      <c r="E61" s="186" t="s">
        <v>228</v>
      </c>
      <c r="F61" s="186" t="s">
        <v>229</v>
      </c>
      <c r="G61" s="186" t="s">
        <v>230</v>
      </c>
      <c r="H61" s="186" t="s">
        <v>231</v>
      </c>
      <c r="I61" s="186" t="s">
        <v>232</v>
      </c>
      <c r="J61" s="186" t="s">
        <v>233</v>
      </c>
      <c r="M61" s="217"/>
    </row>
    <row r="62" spans="1:13">
      <c r="A62" s="195" t="s">
        <v>148</v>
      </c>
      <c r="C62" s="180">
        <f t="shared" ref="C62:H67" si="11">$H3*C47</f>
        <v>-10818.069000000001</v>
      </c>
      <c r="D62" s="180">
        <f t="shared" si="11"/>
        <v>55787.296999999999</v>
      </c>
      <c r="E62" s="180">
        <f t="shared" si="11"/>
        <v>0</v>
      </c>
      <c r="F62" s="180">
        <f t="shared" si="11"/>
        <v>55575.178</v>
      </c>
      <c r="G62" s="180">
        <f t="shared" si="11"/>
        <v>20575.543000000001</v>
      </c>
      <c r="H62" s="180">
        <f t="shared" si="11"/>
        <v>0</v>
      </c>
      <c r="I62" s="180">
        <f t="shared" ref="I62:I67" si="12">(I47*F3)+(J47*G3)</f>
        <v>-32248.393219999994</v>
      </c>
      <c r="J62" s="180">
        <f>SUM(C62:I62)</f>
        <v>88871.555779999995</v>
      </c>
      <c r="M62" s="180"/>
    </row>
    <row r="63" spans="1:13">
      <c r="A63" s="195" t="s">
        <v>203</v>
      </c>
      <c r="C63" s="180">
        <f t="shared" si="11"/>
        <v>-20.576970000000003</v>
      </c>
      <c r="D63" s="180">
        <f t="shared" si="11"/>
        <v>106.11261</v>
      </c>
      <c r="E63" s="180">
        <f t="shared" si="11"/>
        <v>-1272.1409100000001</v>
      </c>
      <c r="F63" s="180">
        <f t="shared" si="11"/>
        <v>105.70913999999999</v>
      </c>
      <c r="G63" s="180">
        <f t="shared" si="11"/>
        <v>39.136590000000005</v>
      </c>
      <c r="H63" s="180">
        <f t="shared" si="11"/>
        <v>0</v>
      </c>
      <c r="I63" s="180">
        <f t="shared" si="12"/>
        <v>-66.955109999999976</v>
      </c>
      <c r="J63" s="180">
        <f t="shared" ref="J63:J72" si="13">SUM(C63:I63)</f>
        <v>-1108.7146499999999</v>
      </c>
      <c r="M63" s="180"/>
    </row>
    <row r="64" spans="1:13">
      <c r="A64" s="195" t="s">
        <v>149</v>
      </c>
      <c r="C64" s="180">
        <f t="shared" si="11"/>
        <v>0</v>
      </c>
      <c r="D64" s="180">
        <f t="shared" si="11"/>
        <v>-5455.1511300000002</v>
      </c>
      <c r="E64" s="180">
        <f t="shared" si="11"/>
        <v>0</v>
      </c>
      <c r="F64" s="180">
        <f t="shared" si="11"/>
        <v>13809.54342</v>
      </c>
      <c r="G64" s="180">
        <f t="shared" si="11"/>
        <v>5378.8553099999999</v>
      </c>
      <c r="H64" s="180">
        <f t="shared" si="11"/>
        <v>0</v>
      </c>
      <c r="I64" s="180">
        <f t="shared" si="12"/>
        <v>-7533.2381699999987</v>
      </c>
      <c r="J64" s="180">
        <f t="shared" si="13"/>
        <v>6200.0094300000001</v>
      </c>
      <c r="M64" s="180"/>
    </row>
    <row r="65" spans="1:13">
      <c r="A65" s="195" t="s">
        <v>150</v>
      </c>
      <c r="C65" s="180">
        <f t="shared" si="11"/>
        <v>-106.80369</v>
      </c>
      <c r="D65" s="180">
        <f t="shared" si="11"/>
        <v>-299.46917000000002</v>
      </c>
      <c r="E65" s="180">
        <f t="shared" si="11"/>
        <v>0</v>
      </c>
      <c r="F65" s="180">
        <f t="shared" si="11"/>
        <v>758.09677999999997</v>
      </c>
      <c r="G65" s="180">
        <f t="shared" si="11"/>
        <v>295.28079000000002</v>
      </c>
      <c r="H65" s="180">
        <f t="shared" si="11"/>
        <v>0</v>
      </c>
      <c r="I65" s="180">
        <f t="shared" si="12"/>
        <v>-586.91576999999995</v>
      </c>
      <c r="J65" s="180">
        <f t="shared" si="13"/>
        <v>60.188940000000002</v>
      </c>
      <c r="M65" s="180"/>
    </row>
    <row r="66" spans="1:13">
      <c r="A66" s="195" t="s">
        <v>151</v>
      </c>
      <c r="C66" s="180">
        <f t="shared" si="11"/>
        <v>0</v>
      </c>
      <c r="D66" s="180">
        <f t="shared" si="11"/>
        <v>-11322.858690000001</v>
      </c>
      <c r="E66" s="180">
        <f t="shared" si="11"/>
        <v>0</v>
      </c>
      <c r="F66" s="180">
        <f t="shared" si="11"/>
        <v>21616.366589999998</v>
      </c>
      <c r="G66" s="180">
        <f t="shared" si="11"/>
        <v>8076.444660000001</v>
      </c>
      <c r="H66" s="180">
        <f t="shared" si="11"/>
        <v>0</v>
      </c>
      <c r="I66" s="180">
        <f t="shared" si="12"/>
        <v>-20060.186280000002</v>
      </c>
      <c r="J66" s="180">
        <f t="shared" si="13"/>
        <v>-1690.2337200000038</v>
      </c>
      <c r="M66" s="180"/>
    </row>
    <row r="67" spans="1:13">
      <c r="A67" s="195" t="s">
        <v>152</v>
      </c>
      <c r="C67" s="180">
        <f t="shared" si="11"/>
        <v>-100.22367000000001</v>
      </c>
      <c r="D67" s="180">
        <f t="shared" si="11"/>
        <v>-281.01931000000002</v>
      </c>
      <c r="E67" s="180">
        <f t="shared" si="11"/>
        <v>0</v>
      </c>
      <c r="F67" s="180">
        <f t="shared" si="11"/>
        <v>536.49140999999997</v>
      </c>
      <c r="G67" s="180">
        <f t="shared" si="11"/>
        <v>200.44734000000003</v>
      </c>
      <c r="H67" s="180">
        <f t="shared" si="11"/>
        <v>0</v>
      </c>
      <c r="I67" s="180">
        <f t="shared" si="12"/>
        <v>-417.93801999999999</v>
      </c>
      <c r="J67" s="180">
        <f t="shared" si="13"/>
        <v>-62.24225000000007</v>
      </c>
      <c r="M67" s="180"/>
    </row>
    <row r="68" spans="1:13">
      <c r="A68" s="195" t="s">
        <v>153</v>
      </c>
      <c r="C68" s="180">
        <f t="shared" ref="C68:H68" si="14">($H9+$H10)*C53</f>
        <v>0</v>
      </c>
      <c r="D68" s="180">
        <f t="shared" si="14"/>
        <v>0</v>
      </c>
      <c r="E68" s="180">
        <f t="shared" si="14"/>
        <v>0</v>
      </c>
      <c r="F68" s="180">
        <f>($H9)*F53+$H10-F54</f>
        <v>4310.1342399999994</v>
      </c>
      <c r="G68" s="180">
        <f>($H9)*G53+$H10-G54</f>
        <v>1603.7715200000002</v>
      </c>
      <c r="H68" s="180">
        <f t="shared" si="14"/>
        <v>0</v>
      </c>
      <c r="I68" s="180">
        <f>(I53*F9)+(J53*G9)+I54*F10+J54*G10</f>
        <v>-1428.3590099999999</v>
      </c>
      <c r="J68" s="180">
        <f t="shared" si="13"/>
        <v>4485.5467499999995</v>
      </c>
      <c r="M68" s="180"/>
    </row>
    <row r="69" spans="1:13">
      <c r="A69" s="195" t="s">
        <v>205</v>
      </c>
      <c r="C69" s="180">
        <f t="shared" ref="C69:H71" si="15">$H11*C55</f>
        <v>0</v>
      </c>
      <c r="D69" s="180">
        <f t="shared" si="15"/>
        <v>0</v>
      </c>
      <c r="E69" s="180">
        <f t="shared" si="15"/>
        <v>0</v>
      </c>
      <c r="F69" s="180">
        <f t="shared" si="15"/>
        <v>0</v>
      </c>
      <c r="G69" s="180">
        <f t="shared" si="15"/>
        <v>0</v>
      </c>
      <c r="H69" s="180">
        <f t="shared" si="15"/>
        <v>0</v>
      </c>
      <c r="I69" s="180">
        <f>(I55*F11)+(J55*G11)</f>
        <v>0</v>
      </c>
      <c r="J69" s="180">
        <f t="shared" si="13"/>
        <v>0</v>
      </c>
      <c r="M69" s="180"/>
    </row>
    <row r="70" spans="1:13">
      <c r="A70" s="195" t="s">
        <v>154</v>
      </c>
      <c r="C70" s="180">
        <f t="shared" si="15"/>
        <v>0</v>
      </c>
      <c r="D70" s="180">
        <f t="shared" si="15"/>
        <v>-4294.11697</v>
      </c>
      <c r="E70" s="180">
        <f t="shared" si="15"/>
        <v>0</v>
      </c>
      <c r="F70" s="180">
        <f t="shared" si="15"/>
        <v>7837.5141899999999</v>
      </c>
      <c r="G70" s="180">
        <f t="shared" si="15"/>
        <v>2672.5623099999998</v>
      </c>
      <c r="H70" s="180">
        <f t="shared" si="15"/>
        <v>0</v>
      </c>
      <c r="I70" s="180">
        <f>(I56*F12)+(J56*G12)</f>
        <v>-2623.5602899999999</v>
      </c>
      <c r="J70" s="180">
        <f t="shared" si="13"/>
        <v>3592.3992400000002</v>
      </c>
      <c r="M70" s="180"/>
    </row>
    <row r="71" spans="1:13">
      <c r="A71" s="195" t="s">
        <v>155</v>
      </c>
      <c r="C71" s="180">
        <f t="shared" si="15"/>
        <v>-218.92056000000002</v>
      </c>
      <c r="D71" s="180">
        <f t="shared" si="15"/>
        <v>-613.83608000000004</v>
      </c>
      <c r="E71" s="180">
        <f t="shared" si="15"/>
        <v>0</v>
      </c>
      <c r="F71" s="180">
        <f t="shared" si="15"/>
        <v>1120.35816</v>
      </c>
      <c r="G71" s="180">
        <f t="shared" si="15"/>
        <v>382.03783999999996</v>
      </c>
      <c r="H71" s="180">
        <f t="shared" si="15"/>
        <v>0</v>
      </c>
      <c r="I71" s="180">
        <f>(I57*F13)+(J57*G13)</f>
        <v>-310.65601999999996</v>
      </c>
      <c r="J71" s="180">
        <f t="shared" si="13"/>
        <v>358.98333999999994</v>
      </c>
      <c r="M71" s="180"/>
    </row>
    <row r="72" spans="1:13">
      <c r="A72" s="195" t="s">
        <v>217</v>
      </c>
      <c r="C72" s="180">
        <f>($H14+$H15)*C58</f>
        <v>0</v>
      </c>
      <c r="D72" s="180">
        <f>($H14+$H15)*D58</f>
        <v>0</v>
      </c>
      <c r="E72" s="180">
        <f>($H14+$H15)*E58</f>
        <v>0</v>
      </c>
      <c r="F72" s="180">
        <f>($H14+$H15)*F58</f>
        <v>0</v>
      </c>
      <c r="G72" s="180"/>
      <c r="H72" s="180">
        <f>($H14+$H15)*H58</f>
        <v>0</v>
      </c>
      <c r="I72" s="180">
        <f>(I58*F14)+(J58*G14)</f>
        <v>0</v>
      </c>
      <c r="J72" s="180">
        <f t="shared" si="13"/>
        <v>0</v>
      </c>
      <c r="M72" s="180"/>
    </row>
    <row r="73" spans="1:13">
      <c r="A73" s="169"/>
      <c r="C73" s="222">
        <f>SUM(C62:C72)</f>
        <v>-11264.593890000002</v>
      </c>
      <c r="D73" s="222">
        <f>SUM(D62:D72)</f>
        <v>33626.958259999992</v>
      </c>
      <c r="E73" s="222">
        <f t="shared" ref="E73:J73" si="16">SUM(E62:E72)</f>
        <v>-1272.1409100000001</v>
      </c>
      <c r="F73" s="222">
        <f t="shared" si="16"/>
        <v>105669.39193</v>
      </c>
      <c r="G73" s="222">
        <f t="shared" si="16"/>
        <v>39224.079359999996</v>
      </c>
      <c r="H73" s="222">
        <f t="shared" si="16"/>
        <v>0</v>
      </c>
      <c r="I73" s="222">
        <f t="shared" si="16"/>
        <v>-65276.201889999997</v>
      </c>
      <c r="J73" s="222">
        <f t="shared" si="16"/>
        <v>100707.49286000001</v>
      </c>
    </row>
    <row r="74" spans="1:13" ht="15.75" customHeight="1"/>
    <row r="75" spans="1:13">
      <c r="A75" s="164" t="s">
        <v>19</v>
      </c>
      <c r="B75" s="164"/>
      <c r="C75" s="180">
        <f>C62+C63</f>
        <v>-10838.645970000001</v>
      </c>
      <c r="D75" s="180">
        <f>D62+D63</f>
        <v>55893.409609999995</v>
      </c>
      <c r="E75" s="180">
        <f t="shared" ref="E75:J75" si="17">E62+E63</f>
        <v>-1272.1409100000001</v>
      </c>
      <c r="F75" s="180">
        <f t="shared" si="17"/>
        <v>55680.887139999999</v>
      </c>
      <c r="G75" s="180">
        <f t="shared" si="17"/>
        <v>20614.67959</v>
      </c>
      <c r="H75" s="180">
        <f t="shared" si="17"/>
        <v>0</v>
      </c>
      <c r="I75" s="180">
        <f t="shared" si="17"/>
        <v>-32315.348329999993</v>
      </c>
      <c r="J75" s="180">
        <f t="shared" si="17"/>
        <v>87762.841130000001</v>
      </c>
    </row>
    <row r="76" spans="1:13">
      <c r="A76" s="164"/>
      <c r="B76" s="164"/>
      <c r="C76" s="180"/>
      <c r="D76" s="180"/>
      <c r="E76" s="180"/>
      <c r="F76" s="180"/>
      <c r="G76" s="180"/>
      <c r="H76" s="180"/>
      <c r="I76" s="180"/>
      <c r="J76" s="180"/>
    </row>
    <row r="77" spans="1:13">
      <c r="A77" s="164" t="s">
        <v>209</v>
      </c>
      <c r="B77" s="164"/>
      <c r="C77" s="190">
        <f>SUM(C64:C67,C69:C71)</f>
        <v>-425.94792000000007</v>
      </c>
      <c r="D77" s="190">
        <f>SUM(D64:D67,D69:D71)</f>
        <v>-22266.451350000003</v>
      </c>
      <c r="E77" s="190">
        <f t="shared" ref="E77:J77" si="18">SUM(E64:E67,E69:E71)</f>
        <v>0</v>
      </c>
      <c r="F77" s="190">
        <f t="shared" si="18"/>
        <v>45678.370550000007</v>
      </c>
      <c r="G77" s="190">
        <f t="shared" si="18"/>
        <v>17005.628250000002</v>
      </c>
      <c r="H77" s="190">
        <f t="shared" si="18"/>
        <v>0</v>
      </c>
      <c r="I77" s="190">
        <f t="shared" si="18"/>
        <v>-31532.494549999999</v>
      </c>
      <c r="J77" s="190">
        <f t="shared" si="18"/>
        <v>8459.1049799999964</v>
      </c>
    </row>
    <row r="78" spans="1:13" ht="15.75" customHeight="1"/>
    <row r="79" spans="1:13" ht="15.75" customHeight="1"/>
  </sheetData>
  <mergeCells count="2">
    <mergeCell ref="A1:I1"/>
    <mergeCell ref="G58:G59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M78"/>
  <sheetViews>
    <sheetView zoomScaleNormal="100" workbookViewId="0">
      <selection sqref="A1:XFD1048576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211361</v>
      </c>
      <c r="D3" s="183"/>
      <c r="E3" s="197">
        <v>154644565.86000001</v>
      </c>
      <c r="F3" s="197">
        <v>-97415886</v>
      </c>
      <c r="G3" s="197">
        <v>91625501</v>
      </c>
      <c r="H3" s="163">
        <f>SUM(F3:G3)</f>
        <v>-5790385</v>
      </c>
      <c r="I3" s="171">
        <f>E3+H3</f>
        <v>148854180.86000001</v>
      </c>
    </row>
    <row r="4" spans="1:9">
      <c r="A4" s="195" t="s">
        <v>203</v>
      </c>
      <c r="B4" s="164"/>
      <c r="C4" s="170">
        <v>469</v>
      </c>
      <c r="D4" s="183"/>
      <c r="E4" s="197">
        <v>351119</v>
      </c>
      <c r="F4" s="197">
        <v>-259853</v>
      </c>
      <c r="G4" s="197">
        <v>199806</v>
      </c>
      <c r="H4" s="163">
        <f t="shared" ref="H4:H16" si="0">SUM(F4:G4)</f>
        <v>-60047</v>
      </c>
      <c r="I4" s="171">
        <f t="shared" ref="I4:I16" si="1">E4+H4</f>
        <v>291072</v>
      </c>
    </row>
    <row r="5" spans="1:9">
      <c r="A5" s="195" t="s">
        <v>149</v>
      </c>
      <c r="B5" s="164"/>
      <c r="C5" s="170">
        <v>22557</v>
      </c>
      <c r="D5" s="183"/>
      <c r="E5" s="197">
        <v>43188083.5</v>
      </c>
      <c r="F5" s="197">
        <v>-24599388</v>
      </c>
      <c r="G5" s="197">
        <v>25518130</v>
      </c>
      <c r="H5" s="163">
        <f t="shared" si="0"/>
        <v>918742</v>
      </c>
      <c r="I5" s="171">
        <f t="shared" si="1"/>
        <v>44106825.5</v>
      </c>
    </row>
    <row r="6" spans="1:9">
      <c r="A6" s="195" t="s">
        <v>150</v>
      </c>
      <c r="B6" s="164"/>
      <c r="C6" s="170">
        <v>9199</v>
      </c>
      <c r="D6" s="183"/>
      <c r="E6" s="197">
        <v>3782633.0300000003</v>
      </c>
      <c r="F6" s="197">
        <v>-2367547</v>
      </c>
      <c r="G6" s="197">
        <v>2226414</v>
      </c>
      <c r="H6" s="163">
        <f t="shared" si="0"/>
        <v>-141133</v>
      </c>
      <c r="I6" s="171">
        <f t="shared" si="1"/>
        <v>3641500.0300000003</v>
      </c>
    </row>
    <row r="7" spans="1:9">
      <c r="A7" s="195" t="s">
        <v>151</v>
      </c>
      <c r="B7" s="164"/>
      <c r="C7" s="170">
        <v>1855</v>
      </c>
      <c r="D7" s="183"/>
      <c r="E7" s="197">
        <v>113545824</v>
      </c>
      <c r="F7" s="197">
        <v>-62624498</v>
      </c>
      <c r="G7" s="197">
        <v>66906597</v>
      </c>
      <c r="H7" s="163">
        <f t="shared" si="0"/>
        <v>4282099</v>
      </c>
      <c r="I7" s="171">
        <f t="shared" si="1"/>
        <v>117827923</v>
      </c>
    </row>
    <row r="8" spans="1:9">
      <c r="A8" s="195" t="s">
        <v>152</v>
      </c>
      <c r="B8" s="164"/>
      <c r="C8" s="170">
        <v>49</v>
      </c>
      <c r="D8" s="183"/>
      <c r="E8" s="197">
        <v>2221720</v>
      </c>
      <c r="F8" s="197">
        <v>-1559116</v>
      </c>
      <c r="G8" s="197">
        <v>1313013</v>
      </c>
      <c r="H8" s="163">
        <f t="shared" si="0"/>
        <v>-246103</v>
      </c>
      <c r="I8" s="171">
        <f t="shared" si="1"/>
        <v>1975617</v>
      </c>
    </row>
    <row r="9" spans="1:9">
      <c r="A9" s="195" t="s">
        <v>153</v>
      </c>
      <c r="B9" s="164"/>
      <c r="C9" s="170">
        <v>20</v>
      </c>
      <c r="D9" s="183"/>
      <c r="E9" s="197">
        <f>89551436-E10</f>
        <v>55140748</v>
      </c>
      <c r="F9" s="197">
        <v>0</v>
      </c>
      <c r="G9" s="197">
        <v>0</v>
      </c>
      <c r="H9" s="163">
        <f t="shared" si="0"/>
        <v>0</v>
      </c>
      <c r="I9" s="171">
        <f t="shared" si="1"/>
        <v>55140748</v>
      </c>
    </row>
    <row r="10" spans="1:9">
      <c r="A10" s="195" t="s">
        <v>204</v>
      </c>
      <c r="B10" s="164"/>
      <c r="C10" s="170"/>
      <c r="D10" s="183"/>
      <c r="E10" s="197">
        <v>34410688</v>
      </c>
      <c r="F10" s="197">
        <v>0</v>
      </c>
      <c r="G10" s="197">
        <v>0</v>
      </c>
      <c r="H10" s="163">
        <f t="shared" si="0"/>
        <v>0</v>
      </c>
      <c r="I10" s="171">
        <f t="shared" si="1"/>
        <v>34410688</v>
      </c>
    </row>
    <row r="11" spans="1:9">
      <c r="A11" s="195" t="s">
        <v>205</v>
      </c>
      <c r="B11" s="164"/>
      <c r="C11" s="170">
        <v>48</v>
      </c>
      <c r="D11" s="183"/>
      <c r="E11" s="197">
        <v>4100420</v>
      </c>
      <c r="F11" s="197">
        <v>0</v>
      </c>
      <c r="G11" s="197">
        <v>0</v>
      </c>
      <c r="H11" s="163">
        <f t="shared" si="0"/>
        <v>0</v>
      </c>
      <c r="I11" s="171">
        <f t="shared" si="1"/>
        <v>4100420</v>
      </c>
    </row>
    <row r="12" spans="1:9">
      <c r="A12" s="195" t="s">
        <v>154</v>
      </c>
      <c r="B12" s="164"/>
      <c r="C12" s="170">
        <v>1201</v>
      </c>
      <c r="D12" s="183"/>
      <c r="E12" s="197">
        <v>9971835</v>
      </c>
      <c r="F12" s="197">
        <v>-2194312</v>
      </c>
      <c r="G12" s="197">
        <v>4167390</v>
      </c>
      <c r="H12" s="163">
        <f t="shared" si="0"/>
        <v>1973078</v>
      </c>
      <c r="I12" s="171">
        <f t="shared" si="1"/>
        <v>11944913</v>
      </c>
    </row>
    <row r="13" spans="1:9">
      <c r="A13" s="195" t="s">
        <v>155</v>
      </c>
      <c r="B13" s="164"/>
      <c r="C13" s="170">
        <v>1195</v>
      </c>
      <c r="D13" s="183"/>
      <c r="E13" s="197">
        <v>838407</v>
      </c>
      <c r="F13" s="197">
        <v>-173235</v>
      </c>
      <c r="G13" s="197">
        <v>256894</v>
      </c>
      <c r="H13" s="163">
        <f t="shared" si="0"/>
        <v>83659</v>
      </c>
      <c r="I13" s="171">
        <f t="shared" si="1"/>
        <v>922066</v>
      </c>
    </row>
    <row r="14" spans="1:9">
      <c r="A14" s="195" t="s">
        <v>206</v>
      </c>
      <c r="B14" s="164"/>
      <c r="C14" s="170">
        <v>411</v>
      </c>
      <c r="D14" s="183"/>
      <c r="E14" s="197">
        <v>842712</v>
      </c>
      <c r="F14" s="197"/>
      <c r="G14" s="197"/>
      <c r="H14" s="163"/>
      <c r="I14" s="171">
        <f t="shared" si="1"/>
        <v>842712</v>
      </c>
    </row>
    <row r="15" spans="1:9">
      <c r="A15" s="195" t="s">
        <v>207</v>
      </c>
      <c r="B15" s="164"/>
      <c r="C15" s="170"/>
      <c r="D15" s="183"/>
      <c r="E15" s="197">
        <v>414329</v>
      </c>
      <c r="F15" s="197"/>
      <c r="G15" s="197"/>
      <c r="H15" s="163">
        <f t="shared" si="0"/>
        <v>0</v>
      </c>
      <c r="I15" s="171">
        <f t="shared" si="1"/>
        <v>414329</v>
      </c>
    </row>
    <row r="16" spans="1:9">
      <c r="A16" s="195" t="s">
        <v>208</v>
      </c>
      <c r="B16" s="164"/>
      <c r="C16" s="170"/>
      <c r="D16" s="204"/>
      <c r="E16" s="197">
        <v>233979</v>
      </c>
      <c r="F16" s="197"/>
      <c r="G16" s="197"/>
      <c r="H16" s="163">
        <f t="shared" si="0"/>
        <v>0</v>
      </c>
      <c r="I16" s="171">
        <f t="shared" si="1"/>
        <v>233979</v>
      </c>
    </row>
    <row r="17" spans="1:9">
      <c r="A17" s="164"/>
      <c r="B17" s="164"/>
      <c r="C17" s="172">
        <f>SUM(C3:C16)</f>
        <v>248365</v>
      </c>
      <c r="E17" s="172">
        <f t="shared" ref="E17:I17" si="2">SUM(E3:E16)</f>
        <v>423687063.38999999</v>
      </c>
      <c r="F17" s="172">
        <f t="shared" si="2"/>
        <v>-191193835</v>
      </c>
      <c r="G17" s="172">
        <f t="shared" si="2"/>
        <v>192213745</v>
      </c>
      <c r="H17" s="172">
        <f t="shared" si="2"/>
        <v>1019910</v>
      </c>
      <c r="I17" s="172">
        <f t="shared" si="2"/>
        <v>424706973.38999999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211830</v>
      </c>
      <c r="E19" s="174">
        <f>E3+E4</f>
        <v>154995684.86000001</v>
      </c>
      <c r="F19" s="174">
        <f t="shared" ref="F19:H19" si="3">F3+F4</f>
        <v>-97675739</v>
      </c>
      <c r="G19" s="174">
        <f t="shared" si="3"/>
        <v>91825307</v>
      </c>
      <c r="H19" s="174">
        <f t="shared" si="3"/>
        <v>-5850432</v>
      </c>
      <c r="I19" s="173">
        <f>I3+I4</f>
        <v>149145252.86000001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36104</v>
      </c>
      <c r="E21" s="192">
        <f>SUM(E5:E8,E11:E13)</f>
        <v>177648922.53</v>
      </c>
      <c r="F21" s="192">
        <f t="shared" ref="F21:H21" si="4">SUM(F5:F8,F11:F13)</f>
        <v>-93518096</v>
      </c>
      <c r="G21" s="192">
        <f t="shared" si="4"/>
        <v>100388438</v>
      </c>
      <c r="H21" s="192">
        <f t="shared" si="4"/>
        <v>6870342</v>
      </c>
      <c r="I21" s="191">
        <f>SUM(I5:I8,I11:I13)</f>
        <v>184519264.53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1862069.5</v>
      </c>
      <c r="D24" s="196">
        <v>13792662.370000001</v>
      </c>
      <c r="E24" s="198">
        <v>-9034048</v>
      </c>
      <c r="F24" s="198">
        <v>8559357</v>
      </c>
      <c r="G24" s="188">
        <f>SUM(D24:F24)</f>
        <v>13317971.370000001</v>
      </c>
      <c r="H24" s="188">
        <f>-J61</f>
        <v>31036.463599999999</v>
      </c>
      <c r="I24" s="188">
        <f>SUM(G24:H24)</f>
        <v>13349007.833600001</v>
      </c>
    </row>
    <row r="25" spans="1:9">
      <c r="A25" s="195" t="s">
        <v>203</v>
      </c>
      <c r="B25" s="164"/>
      <c r="C25" s="196">
        <v>4037.5</v>
      </c>
      <c r="D25" s="196">
        <v>30965.13</v>
      </c>
      <c r="E25" s="198">
        <v>-15495</v>
      </c>
      <c r="F25" s="198">
        <v>12401</v>
      </c>
      <c r="G25" s="188">
        <f t="shared" ref="G25:G33" si="5">SUM(D25:F25)</f>
        <v>27871.13</v>
      </c>
      <c r="H25" s="188">
        <f t="shared" ref="H25:H33" si="6">-J62</f>
        <v>-1571.4299900000003</v>
      </c>
      <c r="I25" s="188">
        <f t="shared" ref="I25:I34" si="7">SUM(G25:H25)</f>
        <v>26299.70001</v>
      </c>
    </row>
    <row r="26" spans="1:9">
      <c r="A26" s="195" t="s">
        <v>149</v>
      </c>
      <c r="B26" s="164"/>
      <c r="C26" s="196">
        <v>415267.41</v>
      </c>
      <c r="D26" s="196">
        <v>5094436.5599999996</v>
      </c>
      <c r="E26" s="198">
        <v>-2857631</v>
      </c>
      <c r="F26" s="198">
        <v>2930369</v>
      </c>
      <c r="G26" s="188">
        <f t="shared" si="5"/>
        <v>5167174.5599999996</v>
      </c>
      <c r="H26" s="188">
        <f t="shared" si="6"/>
        <v>-2976.72408</v>
      </c>
      <c r="I26" s="188">
        <f t="shared" si="7"/>
        <v>5164197.8359199995</v>
      </c>
    </row>
    <row r="27" spans="1:9">
      <c r="A27" s="195" t="s">
        <v>150</v>
      </c>
      <c r="B27" s="164"/>
      <c r="C27" s="196">
        <v>167078.47</v>
      </c>
      <c r="D27" s="196">
        <v>585080.91999999993</v>
      </c>
      <c r="E27" s="198">
        <v>-354470</v>
      </c>
      <c r="F27" s="198">
        <v>338566</v>
      </c>
      <c r="G27" s="188">
        <f t="shared" si="5"/>
        <v>569176.91999999993</v>
      </c>
      <c r="H27" s="188">
        <f t="shared" si="6"/>
        <v>385.29308999999995</v>
      </c>
      <c r="I27" s="188">
        <f t="shared" si="7"/>
        <v>569562.21308999998</v>
      </c>
    </row>
    <row r="28" spans="1:9">
      <c r="A28" s="195" t="s">
        <v>151</v>
      </c>
      <c r="B28" s="164"/>
      <c r="C28" s="196">
        <v>930486</v>
      </c>
      <c r="D28" s="196">
        <v>10294717.699999999</v>
      </c>
      <c r="E28" s="198">
        <v>-5004741</v>
      </c>
      <c r="F28" s="198">
        <v>5306438</v>
      </c>
      <c r="G28" s="188">
        <f t="shared" si="5"/>
        <v>10596414.699999999</v>
      </c>
      <c r="H28" s="188">
        <f t="shared" si="6"/>
        <v>-8392.9140399999997</v>
      </c>
      <c r="I28" s="188">
        <f t="shared" si="7"/>
        <v>10588021.78596</v>
      </c>
    </row>
    <row r="29" spans="1:9">
      <c r="A29" s="195" t="s">
        <v>152</v>
      </c>
      <c r="B29" s="164"/>
      <c r="C29" s="196">
        <v>24500</v>
      </c>
      <c r="D29" s="196">
        <v>200645.92</v>
      </c>
      <c r="E29" s="198">
        <v>-126537</v>
      </c>
      <c r="F29" s="198">
        <v>108088</v>
      </c>
      <c r="G29" s="188">
        <f t="shared" si="5"/>
        <v>182196.92</v>
      </c>
      <c r="H29" s="188">
        <f t="shared" si="6"/>
        <v>356.84934999999996</v>
      </c>
      <c r="I29" s="188">
        <f t="shared" si="7"/>
        <v>182553.76935000002</v>
      </c>
    </row>
    <row r="30" spans="1:9">
      <c r="A30" s="195" t="s">
        <v>153</v>
      </c>
      <c r="B30" s="164"/>
      <c r="C30" s="196">
        <v>420000</v>
      </c>
      <c r="D30" s="196">
        <f>5287381.48-83298.8</f>
        <v>5204082.6800000006</v>
      </c>
      <c r="E30" s="198">
        <v>0</v>
      </c>
      <c r="F30" s="198">
        <v>0</v>
      </c>
      <c r="G30" s="188">
        <f t="shared" si="5"/>
        <v>5204082.6800000006</v>
      </c>
      <c r="H30" s="188">
        <f t="shared" si="6"/>
        <v>0</v>
      </c>
      <c r="I30" s="188">
        <f t="shared" si="7"/>
        <v>5204082.6800000006</v>
      </c>
    </row>
    <row r="31" spans="1:9">
      <c r="A31" s="195" t="s">
        <v>205</v>
      </c>
      <c r="B31" s="164"/>
      <c r="C31" s="196">
        <v>864</v>
      </c>
      <c r="D31" s="196">
        <v>280576.66000000003</v>
      </c>
      <c r="E31" s="198">
        <v>0</v>
      </c>
      <c r="F31" s="198">
        <v>0</v>
      </c>
      <c r="G31" s="188">
        <f t="shared" si="5"/>
        <v>280576.66000000003</v>
      </c>
      <c r="H31" s="188">
        <f t="shared" si="6"/>
        <v>0</v>
      </c>
      <c r="I31" s="188">
        <f t="shared" si="7"/>
        <v>280576.66000000003</v>
      </c>
    </row>
    <row r="32" spans="1:9">
      <c r="A32" s="195" t="s">
        <v>154</v>
      </c>
      <c r="B32" s="164"/>
      <c r="C32" s="196">
        <v>21726</v>
      </c>
      <c r="D32" s="196">
        <v>827995.34000000008</v>
      </c>
      <c r="E32" s="198">
        <v>-188718</v>
      </c>
      <c r="F32" s="198">
        <v>350150</v>
      </c>
      <c r="G32" s="188">
        <f t="shared" si="5"/>
        <v>989427.34000000008</v>
      </c>
      <c r="H32" s="188">
        <f t="shared" si="6"/>
        <v>-3255.5787</v>
      </c>
      <c r="I32" s="188">
        <f t="shared" si="7"/>
        <v>986171.76130000013</v>
      </c>
    </row>
    <row r="33" spans="1:10">
      <c r="A33" s="195" t="s">
        <v>155</v>
      </c>
      <c r="B33" s="164"/>
      <c r="C33" s="196">
        <v>21690</v>
      </c>
      <c r="D33" s="196">
        <v>90762.69</v>
      </c>
      <c r="E33" s="198">
        <v>-24942</v>
      </c>
      <c r="F33" s="198">
        <v>31521</v>
      </c>
      <c r="G33" s="188">
        <f t="shared" si="5"/>
        <v>97341.69</v>
      </c>
      <c r="H33" s="188">
        <f t="shared" si="6"/>
        <v>-95.371259999999992</v>
      </c>
      <c r="I33" s="188">
        <f t="shared" si="7"/>
        <v>97246.318740000002</v>
      </c>
    </row>
    <row r="34" spans="1:10">
      <c r="A34" s="195" t="s">
        <v>217</v>
      </c>
      <c r="B34" s="164"/>
      <c r="C34" s="188"/>
      <c r="D34" s="196">
        <v>524597.38</v>
      </c>
      <c r="E34" s="196"/>
      <c r="F34" s="196"/>
      <c r="G34" s="188">
        <f>SUM(D34:F34)</f>
        <v>524597.38</v>
      </c>
      <c r="H34" s="188"/>
      <c r="I34" s="188">
        <f t="shared" si="7"/>
        <v>524597.38</v>
      </c>
    </row>
    <row r="35" spans="1:10">
      <c r="A35" s="195" t="s">
        <v>218</v>
      </c>
      <c r="B35" s="164"/>
      <c r="C35" s="183"/>
      <c r="D35" s="196">
        <v>1398022.97</v>
      </c>
      <c r="E35" s="196"/>
      <c r="F35" s="196"/>
      <c r="G35" s="188"/>
      <c r="H35" s="188"/>
      <c r="I35" s="188"/>
    </row>
    <row r="36" spans="1:10">
      <c r="A36" s="195" t="s">
        <v>219</v>
      </c>
      <c r="B36" s="164"/>
      <c r="C36" s="183"/>
      <c r="D36" s="196">
        <v>1424680.71</v>
      </c>
      <c r="E36" s="196"/>
      <c r="F36" s="196"/>
      <c r="G36" s="188"/>
      <c r="H36" s="188"/>
      <c r="I36" s="188"/>
    </row>
    <row r="37" spans="1:10">
      <c r="A37" s="164"/>
      <c r="B37" s="164"/>
      <c r="C37" s="178">
        <f>SUM(C24:C36)</f>
        <v>3867718.8800000004</v>
      </c>
      <c r="D37" s="178">
        <f t="shared" ref="D37:I37" si="8">SUM(D24:D36)</f>
        <v>39749227.030000009</v>
      </c>
      <c r="E37" s="178">
        <f t="shared" si="8"/>
        <v>-17606582</v>
      </c>
      <c r="F37" s="178">
        <f t="shared" si="8"/>
        <v>17636890</v>
      </c>
      <c r="G37" s="178">
        <f t="shared" si="8"/>
        <v>36956831.350000009</v>
      </c>
      <c r="H37" s="178">
        <f t="shared" si="8"/>
        <v>15486.587969999999</v>
      </c>
      <c r="I37" s="178">
        <f t="shared" si="8"/>
        <v>36972317.937969998</v>
      </c>
    </row>
    <row r="38" spans="1:10" ht="15" thickBot="1">
      <c r="A38" s="164"/>
      <c r="B38" s="164"/>
      <c r="D38" s="179"/>
      <c r="E38" s="164"/>
      <c r="F38" s="164"/>
    </row>
    <row r="39" spans="1:10">
      <c r="A39" s="164" t="s">
        <v>19</v>
      </c>
      <c r="B39" s="164"/>
      <c r="C39" s="181">
        <f>C24+C25</f>
        <v>1866107</v>
      </c>
      <c r="D39" s="180">
        <f t="shared" ref="D39:I39" si="9">D24+D25</f>
        <v>13823627.500000002</v>
      </c>
      <c r="E39" s="180">
        <f t="shared" si="9"/>
        <v>-9049543</v>
      </c>
      <c r="F39" s="180">
        <f t="shared" si="9"/>
        <v>8571758</v>
      </c>
      <c r="G39" s="180">
        <f t="shared" si="9"/>
        <v>13345842.500000002</v>
      </c>
      <c r="H39" s="180">
        <f t="shared" si="9"/>
        <v>29465.033609999999</v>
      </c>
      <c r="I39" s="181">
        <f t="shared" si="9"/>
        <v>13375307.533610001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1581611.88</v>
      </c>
      <c r="D41" s="190">
        <f t="shared" ref="D41:I41" si="10">SUM(D26:D29,D31:D33)</f>
        <v>17374215.790000003</v>
      </c>
      <c r="E41" s="190">
        <f t="shared" si="10"/>
        <v>-8557039</v>
      </c>
      <c r="F41" s="190">
        <f t="shared" si="10"/>
        <v>9065132</v>
      </c>
      <c r="G41" s="190">
        <f t="shared" si="10"/>
        <v>17882308.789999999</v>
      </c>
      <c r="H41" s="190">
        <f t="shared" si="10"/>
        <v>-13978.44564</v>
      </c>
      <c r="I41" s="189">
        <f t="shared" si="10"/>
        <v>17868330.344359998</v>
      </c>
    </row>
    <row r="42" spans="1:10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6"/>
    </row>
    <row r="61" spans="1:13">
      <c r="A61" s="195" t="s">
        <v>148</v>
      </c>
      <c r="C61" s="180">
        <f t="shared" ref="C61:I66" si="11">$H3*C46</f>
        <v>2953.0963500000003</v>
      </c>
      <c r="D61" s="180">
        <f t="shared" si="11"/>
        <v>-15228.71255</v>
      </c>
      <c r="E61" s="180">
        <f t="shared" si="11"/>
        <v>0</v>
      </c>
      <c r="F61" s="180">
        <f t="shared" si="11"/>
        <v>-15170.8087</v>
      </c>
      <c r="G61" s="180">
        <f t="shared" si="11"/>
        <v>-5616.6734500000002</v>
      </c>
      <c r="H61" s="180">
        <f t="shared" si="11"/>
        <v>0</v>
      </c>
      <c r="I61" s="180">
        <f t="shared" si="11"/>
        <v>2026.6347499999999</v>
      </c>
      <c r="J61" s="180">
        <f>SUM(C61:I61)</f>
        <v>-31036.463599999999</v>
      </c>
      <c r="M61" s="180"/>
    </row>
    <row r="62" spans="1:13">
      <c r="A62" s="195" t="s">
        <v>203</v>
      </c>
      <c r="C62" s="180">
        <f t="shared" si="11"/>
        <v>30.623970000000003</v>
      </c>
      <c r="D62" s="180">
        <f t="shared" si="11"/>
        <v>-157.92361</v>
      </c>
      <c r="E62" s="180">
        <f t="shared" si="11"/>
        <v>1893.2819100000002</v>
      </c>
      <c r="F62" s="180">
        <f t="shared" si="11"/>
        <v>-157.32314</v>
      </c>
      <c r="G62" s="180">
        <f t="shared" si="11"/>
        <v>-58.24559</v>
      </c>
      <c r="H62" s="180">
        <f t="shared" si="11"/>
        <v>0</v>
      </c>
      <c r="I62" s="180">
        <f t="shared" si="11"/>
        <v>21.016449999999999</v>
      </c>
      <c r="J62" s="180">
        <f t="shared" ref="J62:J71" si="12">SUM(C62:I62)</f>
        <v>1571.4299900000003</v>
      </c>
      <c r="M62" s="180"/>
    </row>
    <row r="63" spans="1:13">
      <c r="A63" s="195" t="s">
        <v>149</v>
      </c>
      <c r="C63" s="180">
        <f t="shared" si="11"/>
        <v>0</v>
      </c>
      <c r="D63" s="180">
        <f t="shared" si="11"/>
        <v>-1313.80106</v>
      </c>
      <c r="E63" s="180">
        <f t="shared" si="11"/>
        <v>0</v>
      </c>
      <c r="F63" s="180">
        <f t="shared" si="11"/>
        <v>3325.8460399999999</v>
      </c>
      <c r="G63" s="180">
        <f t="shared" si="11"/>
        <v>1295.4262200000001</v>
      </c>
      <c r="H63" s="180">
        <f t="shared" si="11"/>
        <v>0</v>
      </c>
      <c r="I63" s="180">
        <f t="shared" si="11"/>
        <v>-330.74712</v>
      </c>
      <c r="J63" s="180">
        <f t="shared" si="12"/>
        <v>2976.72408</v>
      </c>
      <c r="M63" s="180"/>
    </row>
    <row r="64" spans="1:13">
      <c r="A64" s="195" t="s">
        <v>150</v>
      </c>
      <c r="C64" s="180">
        <f t="shared" si="11"/>
        <v>71.977830000000012</v>
      </c>
      <c r="D64" s="180">
        <f t="shared" si="11"/>
        <v>201.82019</v>
      </c>
      <c r="E64" s="180">
        <f t="shared" si="11"/>
        <v>0</v>
      </c>
      <c r="F64" s="180">
        <f t="shared" si="11"/>
        <v>-510.90145999999999</v>
      </c>
      <c r="G64" s="180">
        <f t="shared" si="11"/>
        <v>-198.99753000000001</v>
      </c>
      <c r="H64" s="180">
        <f t="shared" si="11"/>
        <v>0</v>
      </c>
      <c r="I64" s="180">
        <f t="shared" si="11"/>
        <v>50.807880000000004</v>
      </c>
      <c r="J64" s="180">
        <f t="shared" si="12"/>
        <v>-385.29308999999995</v>
      </c>
      <c r="M64" s="180"/>
    </row>
    <row r="65" spans="1:13">
      <c r="A65" s="195" t="s">
        <v>151</v>
      </c>
      <c r="C65" s="180">
        <f t="shared" si="11"/>
        <v>0</v>
      </c>
      <c r="D65" s="180">
        <f t="shared" si="11"/>
        <v>-6123.40157</v>
      </c>
      <c r="E65" s="180">
        <f t="shared" si="11"/>
        <v>0</v>
      </c>
      <c r="F65" s="180">
        <f t="shared" si="11"/>
        <v>11690.13027</v>
      </c>
      <c r="G65" s="180">
        <f t="shared" si="11"/>
        <v>4367.7409800000005</v>
      </c>
      <c r="H65" s="180">
        <f t="shared" si="11"/>
        <v>0</v>
      </c>
      <c r="I65" s="180">
        <f t="shared" si="11"/>
        <v>-1541.55564</v>
      </c>
      <c r="J65" s="180">
        <f t="shared" si="12"/>
        <v>8392.9140399999997</v>
      </c>
      <c r="M65" s="180"/>
    </row>
    <row r="66" spans="1:13">
      <c r="A66" s="195" t="s">
        <v>152</v>
      </c>
      <c r="C66" s="180">
        <f t="shared" si="11"/>
        <v>125.51253000000001</v>
      </c>
      <c r="D66" s="180">
        <f t="shared" si="11"/>
        <v>351.92729000000003</v>
      </c>
      <c r="E66" s="180">
        <f t="shared" si="11"/>
        <v>0</v>
      </c>
      <c r="F66" s="180">
        <f t="shared" si="11"/>
        <v>-671.86118999999997</v>
      </c>
      <c r="G66" s="180">
        <f t="shared" si="11"/>
        <v>-251.02506000000002</v>
      </c>
      <c r="H66" s="180">
        <f t="shared" si="11"/>
        <v>0</v>
      </c>
      <c r="I66" s="180">
        <f t="shared" si="11"/>
        <v>88.597080000000005</v>
      </c>
      <c r="J66" s="180">
        <f t="shared" si="12"/>
        <v>-356.84934999999996</v>
      </c>
      <c r="M66" s="180"/>
    </row>
    <row r="67" spans="1:13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>
      <c r="A69" s="195" t="s">
        <v>154</v>
      </c>
      <c r="C69" s="180">
        <f t="shared" si="14"/>
        <v>0</v>
      </c>
      <c r="D69" s="180">
        <f t="shared" si="14"/>
        <v>-2821.5015400000002</v>
      </c>
      <c r="E69" s="180">
        <f t="shared" si="14"/>
        <v>0</v>
      </c>
      <c r="F69" s="180">
        <f t="shared" si="14"/>
        <v>5149.7335800000001</v>
      </c>
      <c r="G69" s="180">
        <f t="shared" si="14"/>
        <v>1756.0394199999998</v>
      </c>
      <c r="H69" s="180">
        <f t="shared" si="14"/>
        <v>0</v>
      </c>
      <c r="I69" s="180">
        <f t="shared" si="14"/>
        <v>-828.69276000000002</v>
      </c>
      <c r="J69" s="180">
        <f t="shared" si="12"/>
        <v>3255.5787</v>
      </c>
      <c r="M69" s="180"/>
    </row>
    <row r="70" spans="1:13">
      <c r="A70" s="195" t="s">
        <v>155</v>
      </c>
      <c r="C70" s="180">
        <f t="shared" si="14"/>
        <v>-42.666090000000004</v>
      </c>
      <c r="D70" s="180">
        <f t="shared" si="14"/>
        <v>-119.63237000000001</v>
      </c>
      <c r="E70" s="180">
        <f t="shared" si="14"/>
        <v>0</v>
      </c>
      <c r="F70" s="180">
        <f t="shared" si="14"/>
        <v>218.34998999999999</v>
      </c>
      <c r="G70" s="180">
        <f t="shared" si="14"/>
        <v>74.456509999999994</v>
      </c>
      <c r="H70" s="180">
        <f t="shared" si="14"/>
        <v>0</v>
      </c>
      <c r="I70" s="180">
        <f t="shared" si="14"/>
        <v>-35.136780000000002</v>
      </c>
      <c r="J70" s="180">
        <f t="shared" si="12"/>
        <v>95.371259999999992</v>
      </c>
      <c r="M70" s="180"/>
    </row>
    <row r="71" spans="1:13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>
      <c r="A72" s="169"/>
      <c r="C72" s="194">
        <f>SUM(C61:C71)</f>
        <v>3138.54459</v>
      </c>
      <c r="D72" s="194">
        <f>SUM(D61:D71)</f>
        <v>-25211.225220000004</v>
      </c>
      <c r="E72" s="194">
        <f t="shared" ref="E72:J72" si="15">SUM(E61:E71)</f>
        <v>1893.2819100000002</v>
      </c>
      <c r="F72" s="194">
        <f t="shared" si="15"/>
        <v>3873.165390000001</v>
      </c>
      <c r="G72" s="194">
        <f t="shared" si="15"/>
        <v>1368.7215000000001</v>
      </c>
      <c r="H72" s="194">
        <f t="shared" si="15"/>
        <v>0</v>
      </c>
      <c r="I72" s="194">
        <f t="shared" si="15"/>
        <v>-549.07614000000001</v>
      </c>
      <c r="J72" s="194">
        <f t="shared" si="15"/>
        <v>-15486.587969999999</v>
      </c>
    </row>
    <row r="73" spans="1:13" ht="15.75" customHeight="1"/>
    <row r="74" spans="1:13">
      <c r="A74" s="164" t="s">
        <v>19</v>
      </c>
      <c r="B74" s="164"/>
      <c r="C74" s="180">
        <f>C61+C62</f>
        <v>2983.7203200000004</v>
      </c>
      <c r="D74" s="180">
        <f>D61+D62</f>
        <v>-15386.63616</v>
      </c>
      <c r="E74" s="180">
        <f t="shared" ref="E74:J74" si="16">E61+E62</f>
        <v>1893.2819100000002</v>
      </c>
      <c r="F74" s="180">
        <f t="shared" si="16"/>
        <v>-15328.13184</v>
      </c>
      <c r="G74" s="180">
        <f t="shared" si="16"/>
        <v>-5674.9190400000007</v>
      </c>
      <c r="H74" s="180">
        <f t="shared" si="16"/>
        <v>0</v>
      </c>
      <c r="I74" s="180">
        <f t="shared" si="16"/>
        <v>2047.6512</v>
      </c>
      <c r="J74" s="180">
        <f t="shared" si="16"/>
        <v>-29465.033609999999</v>
      </c>
    </row>
    <row r="75" spans="1:13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>
      <c r="A76" s="164" t="s">
        <v>209</v>
      </c>
      <c r="B76" s="164"/>
      <c r="C76" s="190">
        <f>SUM(C63:C66,C68:C70)</f>
        <v>154.82427000000001</v>
      </c>
      <c r="D76" s="190">
        <f>SUM(D63:D66,D68:D70)</f>
        <v>-9824.5890600000002</v>
      </c>
      <c r="E76" s="190">
        <f t="shared" ref="E76:J76" si="17">SUM(E63:E66,E68:E70)</f>
        <v>0</v>
      </c>
      <c r="F76" s="190">
        <f t="shared" si="17"/>
        <v>19201.29723</v>
      </c>
      <c r="G76" s="190">
        <f t="shared" si="17"/>
        <v>7043.6405400000003</v>
      </c>
      <c r="H76" s="190">
        <f t="shared" si="17"/>
        <v>0</v>
      </c>
      <c r="I76" s="190">
        <f t="shared" si="17"/>
        <v>-2596.7273399999999</v>
      </c>
      <c r="J76" s="190">
        <f t="shared" si="17"/>
        <v>13978.44564</v>
      </c>
    </row>
    <row r="77" spans="1:13" ht="15.75" customHeight="1"/>
    <row r="78" spans="1:13" ht="15.75" customHeight="1"/>
  </sheetData>
  <mergeCells count="2">
    <mergeCell ref="A1:I1"/>
    <mergeCell ref="G57:G58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  <pageSetUpPr fitToPage="1"/>
  </sheetPr>
  <dimension ref="A1:M76"/>
  <sheetViews>
    <sheetView workbookViewId="0">
      <selection activeCell="E7" sqref="E7"/>
    </sheetView>
  </sheetViews>
  <sheetFormatPr defaultColWidth="9.109375" defaultRowHeight="15.75" customHeight="1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 ht="14.4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 ht="14.4">
      <c r="A3" s="195" t="s">
        <v>148</v>
      </c>
      <c r="B3" s="164"/>
      <c r="C3" s="170">
        <v>210785</v>
      </c>
      <c r="D3" s="183"/>
      <c r="E3" s="197">
        <v>163896463.11000001</v>
      </c>
      <c r="F3" s="197">
        <v>-100059247</v>
      </c>
      <c r="G3" s="197">
        <v>97415886</v>
      </c>
      <c r="H3" s="163">
        <f>SUM(F3:G3)</f>
        <v>-2643361</v>
      </c>
      <c r="I3" s="171">
        <f>E3+H3</f>
        <v>161253102.11000001</v>
      </c>
    </row>
    <row r="4" spans="1:9" ht="14.4">
      <c r="A4" s="195" t="s">
        <v>203</v>
      </c>
      <c r="B4" s="164"/>
      <c r="C4" s="170">
        <v>473</v>
      </c>
      <c r="D4" s="183"/>
      <c r="E4" s="197">
        <v>440286</v>
      </c>
      <c r="F4" s="197">
        <v>-279417</v>
      </c>
      <c r="G4" s="197">
        <v>259853</v>
      </c>
      <c r="H4" s="163">
        <f t="shared" ref="H4:H16" si="0">SUM(F4:G4)</f>
        <v>-19564</v>
      </c>
      <c r="I4" s="171">
        <f t="shared" ref="I4:I16" si="1">E4+H4</f>
        <v>420722</v>
      </c>
    </row>
    <row r="5" spans="1:9" ht="14.4">
      <c r="A5" s="195" t="s">
        <v>149</v>
      </c>
      <c r="B5" s="164"/>
      <c r="C5" s="170">
        <v>22275</v>
      </c>
      <c r="D5" s="183"/>
      <c r="E5" s="197">
        <v>41547460.5</v>
      </c>
      <c r="F5" s="197">
        <v>-23415149</v>
      </c>
      <c r="G5" s="197">
        <v>24599388</v>
      </c>
      <c r="H5" s="163">
        <f t="shared" si="0"/>
        <v>1184239</v>
      </c>
      <c r="I5" s="171">
        <f t="shared" si="1"/>
        <v>42731699.5</v>
      </c>
    </row>
    <row r="6" spans="1:9" ht="14.4">
      <c r="A6" s="195" t="s">
        <v>150</v>
      </c>
      <c r="B6" s="164"/>
      <c r="C6" s="170">
        <v>9117</v>
      </c>
      <c r="D6" s="183"/>
      <c r="E6" s="197">
        <v>4004139</v>
      </c>
      <c r="F6" s="197">
        <v>-2682404</v>
      </c>
      <c r="G6" s="197">
        <v>2367547</v>
      </c>
      <c r="H6" s="163">
        <f t="shared" si="0"/>
        <v>-314857</v>
      </c>
      <c r="I6" s="171">
        <f t="shared" si="1"/>
        <v>3689282</v>
      </c>
    </row>
    <row r="7" spans="1:9" ht="14.4">
      <c r="A7" s="195" t="s">
        <v>151</v>
      </c>
      <c r="B7" s="164"/>
      <c r="C7" s="170">
        <v>1838</v>
      </c>
      <c r="D7" s="183"/>
      <c r="E7" s="197">
        <v>106015937</v>
      </c>
      <c r="F7" s="197">
        <v>-56190770</v>
      </c>
      <c r="G7" s="197">
        <v>62624498</v>
      </c>
      <c r="H7" s="163">
        <f t="shared" si="0"/>
        <v>6433728</v>
      </c>
      <c r="I7" s="171">
        <f t="shared" si="1"/>
        <v>112449665</v>
      </c>
    </row>
    <row r="8" spans="1:9" ht="14.4">
      <c r="A8" s="195" t="s">
        <v>152</v>
      </c>
      <c r="B8" s="164"/>
      <c r="C8" s="170">
        <v>51</v>
      </c>
      <c r="D8" s="183"/>
      <c r="E8" s="197">
        <v>2633400</v>
      </c>
      <c r="F8" s="197">
        <v>-1369144</v>
      </c>
      <c r="G8" s="197">
        <v>1559116</v>
      </c>
      <c r="H8" s="163">
        <f t="shared" si="0"/>
        <v>189972</v>
      </c>
      <c r="I8" s="171">
        <f t="shared" si="1"/>
        <v>2823372</v>
      </c>
    </row>
    <row r="9" spans="1:9" ht="14.4">
      <c r="A9" s="195" t="s">
        <v>153</v>
      </c>
      <c r="B9" s="164"/>
      <c r="C9" s="170">
        <v>21</v>
      </c>
      <c r="D9" s="183"/>
      <c r="E9" s="197">
        <f>91586792-E10</f>
        <v>56035288</v>
      </c>
      <c r="F9" s="197">
        <v>0</v>
      </c>
      <c r="G9" s="197">
        <v>0</v>
      </c>
      <c r="H9" s="163">
        <f t="shared" si="0"/>
        <v>0</v>
      </c>
      <c r="I9" s="171">
        <f t="shared" si="1"/>
        <v>56035288</v>
      </c>
    </row>
    <row r="10" spans="1:9" ht="14.4">
      <c r="A10" s="195" t="s">
        <v>204</v>
      </c>
      <c r="B10" s="164"/>
      <c r="C10" s="170"/>
      <c r="D10" s="183"/>
      <c r="E10" s="197">
        <v>35551504</v>
      </c>
      <c r="F10" s="197">
        <v>0</v>
      </c>
      <c r="G10" s="197">
        <v>0</v>
      </c>
      <c r="H10" s="163">
        <f t="shared" si="0"/>
        <v>0</v>
      </c>
      <c r="I10" s="171">
        <f t="shared" si="1"/>
        <v>35551504</v>
      </c>
    </row>
    <row r="11" spans="1:9" ht="14.4">
      <c r="A11" s="195" t="s">
        <v>205</v>
      </c>
      <c r="B11" s="164"/>
      <c r="C11" s="170">
        <v>47</v>
      </c>
      <c r="D11" s="183"/>
      <c r="E11" s="197">
        <v>1899240</v>
      </c>
      <c r="F11" s="197">
        <v>0</v>
      </c>
      <c r="G11" s="197">
        <v>0</v>
      </c>
      <c r="H11" s="163">
        <f t="shared" si="0"/>
        <v>0</v>
      </c>
      <c r="I11" s="171">
        <f t="shared" si="1"/>
        <v>1899240</v>
      </c>
    </row>
    <row r="12" spans="1:9" ht="14.4">
      <c r="A12" s="195" t="s">
        <v>154</v>
      </c>
      <c r="B12" s="164"/>
      <c r="C12" s="170">
        <v>1175</v>
      </c>
      <c r="D12" s="183"/>
      <c r="E12" s="197">
        <v>4951519</v>
      </c>
      <c r="F12" s="197">
        <v>-1955919</v>
      </c>
      <c r="G12" s="197">
        <v>2194312</v>
      </c>
      <c r="H12" s="163">
        <f t="shared" si="0"/>
        <v>238393</v>
      </c>
      <c r="I12" s="171">
        <f t="shared" si="1"/>
        <v>5189912</v>
      </c>
    </row>
    <row r="13" spans="1:9" ht="14.4">
      <c r="A13" s="195" t="s">
        <v>155</v>
      </c>
      <c r="B13" s="164"/>
      <c r="C13" s="170">
        <v>1201</v>
      </c>
      <c r="D13" s="183"/>
      <c r="E13" s="197">
        <v>463349</v>
      </c>
      <c r="F13" s="197">
        <v>-111767</v>
      </c>
      <c r="G13" s="197">
        <v>173235</v>
      </c>
      <c r="H13" s="163">
        <f t="shared" si="0"/>
        <v>61468</v>
      </c>
      <c r="I13" s="171">
        <f t="shared" si="1"/>
        <v>524817</v>
      </c>
    </row>
    <row r="14" spans="1:9" ht="14.4">
      <c r="A14" s="195" t="s">
        <v>206</v>
      </c>
      <c r="B14" s="164"/>
      <c r="C14" s="170">
        <v>413</v>
      </c>
      <c r="D14" s="183"/>
      <c r="E14" s="197">
        <v>1002886</v>
      </c>
      <c r="F14" s="197"/>
      <c r="G14" s="197"/>
      <c r="H14" s="163"/>
      <c r="I14" s="171">
        <f t="shared" si="1"/>
        <v>1002886</v>
      </c>
    </row>
    <row r="15" spans="1:9" ht="14.4">
      <c r="A15" s="195" t="s">
        <v>207</v>
      </c>
      <c r="B15" s="164"/>
      <c r="C15" s="170"/>
      <c r="D15" s="183"/>
      <c r="E15" s="197">
        <v>425861</v>
      </c>
      <c r="F15" s="197"/>
      <c r="G15" s="197"/>
      <c r="H15" s="163">
        <f t="shared" si="0"/>
        <v>0</v>
      </c>
      <c r="I15" s="171">
        <f t="shared" si="1"/>
        <v>425861</v>
      </c>
    </row>
    <row r="16" spans="1:9" ht="14.4">
      <c r="A16" s="195" t="s">
        <v>208</v>
      </c>
      <c r="B16" s="164"/>
      <c r="C16" s="170"/>
      <c r="D16" s="204"/>
      <c r="E16" s="197">
        <v>229778</v>
      </c>
      <c r="F16" s="197"/>
      <c r="G16" s="197"/>
      <c r="H16" s="163">
        <f t="shared" si="0"/>
        <v>0</v>
      </c>
      <c r="I16" s="171">
        <f t="shared" si="1"/>
        <v>229778</v>
      </c>
    </row>
    <row r="17" spans="1:9" ht="14.4">
      <c r="A17" s="164"/>
      <c r="B17" s="164"/>
      <c r="C17" s="172">
        <f>SUM(C3:C16)</f>
        <v>247396</v>
      </c>
      <c r="E17" s="172">
        <f t="shared" ref="E17:I17" si="2">SUM(E3:E16)</f>
        <v>419097110.61000001</v>
      </c>
      <c r="F17" s="172">
        <f t="shared" si="2"/>
        <v>-186063817</v>
      </c>
      <c r="G17" s="172">
        <f t="shared" si="2"/>
        <v>191193835</v>
      </c>
      <c r="H17" s="172">
        <f t="shared" si="2"/>
        <v>5130018</v>
      </c>
      <c r="I17" s="172">
        <f t="shared" si="2"/>
        <v>424227128.61000001</v>
      </c>
    </row>
    <row r="18" spans="1:9" ht="15" thickBot="1">
      <c r="A18" s="164"/>
      <c r="B18" s="164"/>
      <c r="C18" s="164"/>
      <c r="E18" s="164"/>
      <c r="F18" s="164"/>
      <c r="G18" s="164"/>
      <c r="I18" s="164"/>
    </row>
    <row r="19" spans="1:9" ht="14.4">
      <c r="A19" s="164" t="s">
        <v>19</v>
      </c>
      <c r="B19" s="164"/>
      <c r="C19" s="173">
        <f>C3+C4</f>
        <v>211258</v>
      </c>
      <c r="E19" s="174">
        <f>E3+E4</f>
        <v>164336749.11000001</v>
      </c>
      <c r="F19" s="174">
        <f t="shared" ref="F19:H19" si="3">F3+F4</f>
        <v>-100338664</v>
      </c>
      <c r="G19" s="174">
        <f t="shared" si="3"/>
        <v>97675739</v>
      </c>
      <c r="H19" s="174">
        <f t="shared" si="3"/>
        <v>-2662925</v>
      </c>
      <c r="I19" s="173">
        <f>I3+I4</f>
        <v>161673824.11000001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5" thickBot="1">
      <c r="A21" s="164" t="s">
        <v>209</v>
      </c>
      <c r="B21" s="164"/>
      <c r="C21" s="191">
        <f>SUM(C5:C8,C11:C13)</f>
        <v>35704</v>
      </c>
      <c r="E21" s="192">
        <f>SUM(E5:E8,E11:E13)</f>
        <v>161515044.5</v>
      </c>
      <c r="F21" s="192">
        <f t="shared" ref="F21:H21" si="4">SUM(F5:F8,F11:F13)</f>
        <v>-85725153</v>
      </c>
      <c r="G21" s="192">
        <f t="shared" si="4"/>
        <v>93518096</v>
      </c>
      <c r="H21" s="192">
        <f t="shared" si="4"/>
        <v>7792943</v>
      </c>
      <c r="I21" s="191">
        <f>SUM(I5:I8,I11:I13)</f>
        <v>169307987.5</v>
      </c>
    </row>
    <row r="22" spans="1:9" ht="14.4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 ht="14.4">
      <c r="A24" s="195" t="s">
        <v>148</v>
      </c>
      <c r="B24" s="164"/>
      <c r="C24" s="196">
        <v>1846361.5</v>
      </c>
      <c r="D24" s="196">
        <v>14565825.780000001</v>
      </c>
      <c r="E24" s="198">
        <v>-9315428</v>
      </c>
      <c r="F24" s="198">
        <v>9034048</v>
      </c>
      <c r="G24" s="188">
        <f>SUM(D24:F24)</f>
        <v>14284445.780000001</v>
      </c>
      <c r="H24" s="188">
        <f>-J61</f>
        <v>14168.41496</v>
      </c>
      <c r="I24" s="188">
        <f>SUM(G24:H24)</f>
        <v>14298614.194960002</v>
      </c>
    </row>
    <row r="25" spans="1:9" ht="14.4">
      <c r="A25" s="195" t="s">
        <v>203</v>
      </c>
      <c r="B25" s="164"/>
      <c r="C25" s="196">
        <v>4071.5</v>
      </c>
      <c r="D25" s="196">
        <v>38567.850000000006</v>
      </c>
      <c r="E25" s="198">
        <v>-16683</v>
      </c>
      <c r="F25" s="198">
        <v>15495</v>
      </c>
      <c r="G25" s="188">
        <f t="shared" ref="G25:G33" si="5">SUM(D25:F25)</f>
        <v>37379.850000000006</v>
      </c>
      <c r="H25" s="188">
        <f t="shared" ref="H25:H33" si="6">-J62</f>
        <v>-511.98987999999997</v>
      </c>
      <c r="I25" s="188">
        <f t="shared" ref="I25:I34" si="7">SUM(G25:H25)</f>
        <v>36867.860120000005</v>
      </c>
    </row>
    <row r="26" spans="1:9" ht="14.4">
      <c r="A26" s="195" t="s">
        <v>149</v>
      </c>
      <c r="B26" s="164"/>
      <c r="C26" s="196">
        <v>408784.03</v>
      </c>
      <c r="D26" s="196">
        <v>4925407.38</v>
      </c>
      <c r="E26" s="198">
        <v>-2730754</v>
      </c>
      <c r="F26" s="198">
        <v>2857631</v>
      </c>
      <c r="G26" s="188">
        <f t="shared" si="5"/>
        <v>5052284.38</v>
      </c>
      <c r="H26" s="188">
        <f t="shared" si="6"/>
        <v>-3836.9343600000002</v>
      </c>
      <c r="I26" s="188">
        <f t="shared" si="7"/>
        <v>5048447.4456399996</v>
      </c>
    </row>
    <row r="27" spans="1:9" ht="14.4">
      <c r="A27" s="195" t="s">
        <v>150</v>
      </c>
      <c r="B27" s="164"/>
      <c r="C27" s="196">
        <v>165912.57999999999</v>
      </c>
      <c r="D27" s="196">
        <v>613494.53</v>
      </c>
      <c r="E27" s="198">
        <v>-386578</v>
      </c>
      <c r="F27" s="198">
        <v>354470</v>
      </c>
      <c r="G27" s="188">
        <f t="shared" si="5"/>
        <v>581386.53</v>
      </c>
      <c r="H27" s="188">
        <f t="shared" si="6"/>
        <v>859.55961000000002</v>
      </c>
      <c r="I27" s="188">
        <f t="shared" si="7"/>
        <v>582246.08961000002</v>
      </c>
    </row>
    <row r="28" spans="1:9" ht="14.4">
      <c r="A28" s="195" t="s">
        <v>151</v>
      </c>
      <c r="B28" s="164"/>
      <c r="C28" s="196">
        <v>920435.99</v>
      </c>
      <c r="D28" s="196">
        <v>9639894.6400000006</v>
      </c>
      <c r="E28" s="198">
        <v>-4532379</v>
      </c>
      <c r="F28" s="198">
        <v>5004741</v>
      </c>
      <c r="G28" s="188">
        <f t="shared" si="5"/>
        <v>10112256.640000001</v>
      </c>
      <c r="H28" s="188">
        <f t="shared" si="6"/>
        <v>-12610.106879999998</v>
      </c>
      <c r="I28" s="188">
        <f t="shared" si="7"/>
        <v>10099646.533120001</v>
      </c>
    </row>
    <row r="29" spans="1:9" ht="14.4">
      <c r="A29" s="195" t="s">
        <v>152</v>
      </c>
      <c r="B29" s="164"/>
      <c r="C29" s="196">
        <v>25816.66</v>
      </c>
      <c r="D29" s="196">
        <v>234025.64</v>
      </c>
      <c r="E29" s="198">
        <v>-111466</v>
      </c>
      <c r="F29" s="198">
        <v>126537</v>
      </c>
      <c r="G29" s="188">
        <f t="shared" si="5"/>
        <v>249096.64</v>
      </c>
      <c r="H29" s="188">
        <f t="shared" si="6"/>
        <v>-275.45940000000002</v>
      </c>
      <c r="I29" s="188">
        <f t="shared" si="7"/>
        <v>248821.18060000002</v>
      </c>
    </row>
    <row r="30" spans="1:9" ht="14.4">
      <c r="A30" s="195" t="s">
        <v>153</v>
      </c>
      <c r="B30" s="164"/>
      <c r="C30" s="196">
        <v>441000</v>
      </c>
      <c r="D30" s="196">
        <f>5411309.62-83290.3</f>
        <v>5328019.32</v>
      </c>
      <c r="E30" s="198">
        <v>0</v>
      </c>
      <c r="F30" s="198">
        <v>0</v>
      </c>
      <c r="G30" s="188">
        <f t="shared" si="5"/>
        <v>5328019.32</v>
      </c>
      <c r="H30" s="188">
        <f t="shared" si="6"/>
        <v>0</v>
      </c>
      <c r="I30" s="188">
        <f t="shared" si="7"/>
        <v>5328019.32</v>
      </c>
    </row>
    <row r="31" spans="1:9" ht="14.4">
      <c r="A31" s="195" t="s">
        <v>205</v>
      </c>
      <c r="B31" s="164"/>
      <c r="C31" s="196">
        <v>882</v>
      </c>
      <c r="D31" s="196">
        <v>130482.22</v>
      </c>
      <c r="E31" s="198">
        <v>0</v>
      </c>
      <c r="F31" s="198">
        <v>0</v>
      </c>
      <c r="G31" s="188">
        <f t="shared" si="5"/>
        <v>130482.22</v>
      </c>
      <c r="H31" s="188">
        <f t="shared" si="6"/>
        <v>0</v>
      </c>
      <c r="I31" s="188">
        <f t="shared" si="7"/>
        <v>130482.22</v>
      </c>
    </row>
    <row r="32" spans="1:9" ht="14.4">
      <c r="A32" s="195" t="s">
        <v>154</v>
      </c>
      <c r="B32" s="164"/>
      <c r="C32" s="196">
        <v>21258</v>
      </c>
      <c r="D32" s="196">
        <v>434303.99</v>
      </c>
      <c r="E32" s="198">
        <v>-173068</v>
      </c>
      <c r="F32" s="198">
        <v>188718</v>
      </c>
      <c r="G32" s="188">
        <f t="shared" si="5"/>
        <v>449953.99</v>
      </c>
      <c r="H32" s="188">
        <f t="shared" si="6"/>
        <v>-393.34845000000001</v>
      </c>
      <c r="I32" s="188">
        <f t="shared" si="7"/>
        <v>449560.64155</v>
      </c>
    </row>
    <row r="33" spans="1:10" ht="14.4">
      <c r="A33" s="195" t="s">
        <v>155</v>
      </c>
      <c r="B33" s="164"/>
      <c r="C33" s="196">
        <v>21762</v>
      </c>
      <c r="D33" s="196">
        <v>60784.740000000005</v>
      </c>
      <c r="E33" s="198">
        <v>-19747</v>
      </c>
      <c r="F33" s="198">
        <v>24942</v>
      </c>
      <c r="G33" s="188">
        <f t="shared" si="5"/>
        <v>65979.740000000005</v>
      </c>
      <c r="H33" s="188">
        <f t="shared" si="6"/>
        <v>-70.073519999999974</v>
      </c>
      <c r="I33" s="188">
        <f t="shared" si="7"/>
        <v>65909.66648</v>
      </c>
    </row>
    <row r="34" spans="1:10" ht="14.4">
      <c r="A34" s="195" t="s">
        <v>217</v>
      </c>
      <c r="B34" s="164"/>
      <c r="C34" s="188"/>
      <c r="D34" s="196">
        <v>550717.54</v>
      </c>
      <c r="E34" s="196"/>
      <c r="F34" s="196"/>
      <c r="G34" s="188">
        <f>SUM(D34:F34)</f>
        <v>550717.54</v>
      </c>
      <c r="H34" s="188"/>
      <c r="I34" s="188">
        <f t="shared" si="7"/>
        <v>550717.54</v>
      </c>
    </row>
    <row r="35" spans="1:10" ht="14.4">
      <c r="A35" s="195" t="s">
        <v>218</v>
      </c>
      <c r="B35" s="164"/>
      <c r="C35" s="183"/>
      <c r="D35" s="196">
        <v>1418396.09</v>
      </c>
      <c r="E35" s="196"/>
      <c r="F35" s="196"/>
      <c r="G35" s="188"/>
      <c r="H35" s="188"/>
      <c r="I35" s="188"/>
    </row>
    <row r="36" spans="1:10" ht="14.4">
      <c r="A36" s="195" t="s">
        <v>219</v>
      </c>
      <c r="B36" s="164"/>
      <c r="C36" s="183"/>
      <c r="D36" s="196">
        <v>1421845.03</v>
      </c>
      <c r="E36" s="196"/>
      <c r="F36" s="196"/>
      <c r="G36" s="188"/>
      <c r="H36" s="188"/>
      <c r="I36" s="188"/>
    </row>
    <row r="37" spans="1:10" ht="14.4">
      <c r="A37" s="164"/>
      <c r="B37" s="164"/>
      <c r="C37" s="178">
        <f>SUM(C24:C36)</f>
        <v>3856284.2600000007</v>
      </c>
      <c r="D37" s="178">
        <f t="shared" ref="D37:I37" si="8">SUM(D24:D36)</f>
        <v>39361764.750000007</v>
      </c>
      <c r="E37" s="178">
        <f t="shared" si="8"/>
        <v>-17286103</v>
      </c>
      <c r="F37" s="178">
        <f t="shared" si="8"/>
        <v>17606582</v>
      </c>
      <c r="G37" s="178">
        <f t="shared" si="8"/>
        <v>36842002.630000003</v>
      </c>
      <c r="H37" s="178">
        <f t="shared" si="8"/>
        <v>-2669.9379199999958</v>
      </c>
      <c r="I37" s="178">
        <f t="shared" si="8"/>
        <v>36839332.692079999</v>
      </c>
    </row>
    <row r="38" spans="1:10" ht="15" thickBot="1">
      <c r="A38" s="164"/>
      <c r="B38" s="164"/>
      <c r="D38" s="179"/>
      <c r="E38" s="164"/>
      <c r="F38" s="164"/>
    </row>
    <row r="39" spans="1:10" ht="14.4">
      <c r="A39" s="164" t="s">
        <v>19</v>
      </c>
      <c r="B39" s="164"/>
      <c r="C39" s="181">
        <f>C24+C25</f>
        <v>1850433</v>
      </c>
      <c r="D39" s="180">
        <f t="shared" ref="D39:I39" si="9">D24+D25</f>
        <v>14604393.630000001</v>
      </c>
      <c r="E39" s="180">
        <f t="shared" si="9"/>
        <v>-9332111</v>
      </c>
      <c r="F39" s="180">
        <f t="shared" si="9"/>
        <v>9049543</v>
      </c>
      <c r="G39" s="180">
        <f t="shared" si="9"/>
        <v>14321825.630000001</v>
      </c>
      <c r="H39" s="180">
        <f t="shared" si="9"/>
        <v>13656.425080000001</v>
      </c>
      <c r="I39" s="181">
        <f t="shared" si="9"/>
        <v>14335482.055080002</v>
      </c>
    </row>
    <row r="40" spans="1:10" ht="6" customHeight="1">
      <c r="A40" s="164"/>
      <c r="B40" s="164"/>
      <c r="C40" s="187"/>
      <c r="D40" s="180"/>
      <c r="E40" s="164"/>
      <c r="F40" s="164"/>
      <c r="I40" s="182"/>
    </row>
    <row r="41" spans="1:10" ht="15" thickBot="1">
      <c r="A41" s="164" t="s">
        <v>209</v>
      </c>
      <c r="B41" s="164"/>
      <c r="C41" s="189">
        <f>SUM(C26:C29,C31:C33)</f>
        <v>1564851.26</v>
      </c>
      <c r="D41" s="190">
        <f t="shared" ref="D41:I41" si="10">SUM(D26:D29,D31:D33)</f>
        <v>16038393.140000002</v>
      </c>
      <c r="E41" s="190">
        <f t="shared" si="10"/>
        <v>-7953992</v>
      </c>
      <c r="F41" s="190">
        <f t="shared" si="10"/>
        <v>8557039</v>
      </c>
      <c r="G41" s="190">
        <f t="shared" si="10"/>
        <v>16641440.140000002</v>
      </c>
      <c r="H41" s="190">
        <f t="shared" si="10"/>
        <v>-16326.362999999998</v>
      </c>
      <c r="I41" s="189">
        <f t="shared" si="10"/>
        <v>16625113.777000001</v>
      </c>
    </row>
    <row r="42" spans="1:10" ht="14.4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0" ht="14.4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0" ht="14.4">
      <c r="C44" s="161">
        <v>42675</v>
      </c>
      <c r="D44" s="185">
        <v>42675</v>
      </c>
      <c r="E44" s="185">
        <v>42278</v>
      </c>
      <c r="F44" s="161">
        <v>42583</v>
      </c>
      <c r="G44" s="161">
        <v>42644</v>
      </c>
      <c r="H44" s="161">
        <v>42380</v>
      </c>
      <c r="I44" s="161">
        <v>42552</v>
      </c>
      <c r="J44" s="161"/>
    </row>
    <row r="45" spans="1:10" ht="30" customHeight="1">
      <c r="A45" s="193" t="s">
        <v>220</v>
      </c>
      <c r="B45" s="166"/>
      <c r="C45" s="177" t="s">
        <v>221</v>
      </c>
      <c r="D45" s="177" t="s">
        <v>239</v>
      </c>
      <c r="E45" s="177" t="s">
        <v>222</v>
      </c>
      <c r="F45" s="177" t="s">
        <v>223</v>
      </c>
      <c r="G45" s="177" t="s">
        <v>224</v>
      </c>
      <c r="H45" s="177" t="s">
        <v>225</v>
      </c>
      <c r="I45" s="177" t="s">
        <v>226</v>
      </c>
      <c r="J45" s="177"/>
    </row>
    <row r="46" spans="1:10" ht="14.4">
      <c r="A46" s="195" t="s">
        <v>148</v>
      </c>
      <c r="B46" s="164"/>
      <c r="C46" s="184">
        <v>-5.1000000000000004E-4</v>
      </c>
      <c r="D46" s="184">
        <v>2.63E-3</v>
      </c>
      <c r="E46" s="184"/>
      <c r="F46" s="184">
        <v>2.6199999999999999E-3</v>
      </c>
      <c r="G46" s="184">
        <v>9.7000000000000005E-4</v>
      </c>
      <c r="H46" s="184">
        <v>0</v>
      </c>
      <c r="I46" s="184">
        <v>-3.5E-4</v>
      </c>
      <c r="J46" s="184"/>
    </row>
    <row r="47" spans="1:10" ht="14.4">
      <c r="A47" s="195" t="s">
        <v>203</v>
      </c>
      <c r="B47" s="164"/>
      <c r="C47" s="184">
        <v>-5.1000000000000004E-4</v>
      </c>
      <c r="D47" s="184">
        <v>2.63E-3</v>
      </c>
      <c r="E47" s="184">
        <v>-3.1530000000000002E-2</v>
      </c>
      <c r="F47" s="184">
        <v>2.6199999999999999E-3</v>
      </c>
      <c r="G47" s="184">
        <v>9.7000000000000005E-4</v>
      </c>
      <c r="H47" s="184">
        <v>0</v>
      </c>
      <c r="I47" s="184">
        <v>-3.5E-4</v>
      </c>
      <c r="J47" s="184"/>
    </row>
    <row r="48" spans="1:10" ht="14.4">
      <c r="A48" s="195" t="s">
        <v>149</v>
      </c>
      <c r="B48" s="164"/>
      <c r="C48" s="184"/>
      <c r="D48" s="184">
        <v>-1.4300000000000001E-3</v>
      </c>
      <c r="E48" s="184"/>
      <c r="F48" s="184">
        <v>3.62E-3</v>
      </c>
      <c r="G48" s="184">
        <v>1.41E-3</v>
      </c>
      <c r="H48" s="184">
        <v>0</v>
      </c>
      <c r="I48" s="184">
        <v>-3.6000000000000002E-4</v>
      </c>
      <c r="J48" s="184"/>
    </row>
    <row r="49" spans="1:13" ht="14.4">
      <c r="A49" s="195" t="s">
        <v>150</v>
      </c>
      <c r="B49" s="164"/>
      <c r="C49" s="184">
        <v>-5.1000000000000004E-4</v>
      </c>
      <c r="D49" s="184">
        <v>-1.4300000000000001E-3</v>
      </c>
      <c r="E49" s="184"/>
      <c r="F49" s="184">
        <v>3.62E-3</v>
      </c>
      <c r="G49" s="184">
        <v>1.41E-3</v>
      </c>
      <c r="H49" s="184">
        <v>0</v>
      </c>
      <c r="I49" s="184">
        <v>-3.6000000000000002E-4</v>
      </c>
      <c r="J49" s="184"/>
    </row>
    <row r="50" spans="1:13" ht="14.4">
      <c r="A50" s="195" t="s">
        <v>151</v>
      </c>
      <c r="B50" s="164"/>
      <c r="C50" s="184"/>
      <c r="D50" s="184">
        <v>-1.4300000000000001E-3</v>
      </c>
      <c r="E50" s="184"/>
      <c r="F50" s="184">
        <v>2.7299999999999998E-3</v>
      </c>
      <c r="G50" s="184">
        <v>1.0200000000000001E-3</v>
      </c>
      <c r="H50" s="184">
        <v>0</v>
      </c>
      <c r="I50" s="184">
        <v>-3.6000000000000002E-4</v>
      </c>
      <c r="J50" s="184"/>
    </row>
    <row r="51" spans="1:13" ht="14.4">
      <c r="A51" s="195" t="s">
        <v>152</v>
      </c>
      <c r="B51" s="164"/>
      <c r="C51" s="184">
        <v>-5.1000000000000004E-4</v>
      </c>
      <c r="D51" s="184">
        <v>-1.4300000000000001E-3</v>
      </c>
      <c r="E51" s="184"/>
      <c r="F51" s="184">
        <v>2.7299999999999998E-3</v>
      </c>
      <c r="G51" s="184">
        <v>1.0200000000000001E-3</v>
      </c>
      <c r="H51" s="184">
        <v>0</v>
      </c>
      <c r="I51" s="184">
        <v>-3.6000000000000002E-4</v>
      </c>
      <c r="J51" s="184"/>
    </row>
    <row r="52" spans="1:13" ht="14.4">
      <c r="A52" s="195" t="s">
        <v>153</v>
      </c>
      <c r="B52" s="164"/>
      <c r="C52" s="184"/>
      <c r="D52" s="184"/>
      <c r="E52" s="184"/>
      <c r="F52" s="184">
        <v>1.72E-3</v>
      </c>
      <c r="G52" s="184">
        <v>6.4000000000000005E-4</v>
      </c>
      <c r="H52" s="184">
        <v>0</v>
      </c>
      <c r="I52" s="184">
        <v>-3.4000000000000002E-4</v>
      </c>
      <c r="J52" s="184"/>
    </row>
    <row r="53" spans="1:13" ht="14.4">
      <c r="A53" s="195" t="s">
        <v>204</v>
      </c>
      <c r="B53" s="164"/>
      <c r="C53" s="184"/>
      <c r="D53" s="184"/>
      <c r="E53" s="184"/>
      <c r="F53" s="184">
        <v>1.72E-3</v>
      </c>
      <c r="G53" s="184">
        <v>0</v>
      </c>
      <c r="H53" s="184">
        <v>0</v>
      </c>
      <c r="I53" s="184">
        <v>-3.4000000000000002E-4</v>
      </c>
      <c r="J53" s="184"/>
    </row>
    <row r="54" spans="1:13" ht="14.4">
      <c r="A54" s="195" t="s">
        <v>205</v>
      </c>
      <c r="B54" s="164"/>
      <c r="C54" s="184"/>
      <c r="D54" s="184">
        <v>-1.4300000000000001E-3</v>
      </c>
      <c r="E54" s="184"/>
      <c r="F54" s="184">
        <v>2.6099999999999999E-3</v>
      </c>
      <c r="G54" s="184">
        <v>8.8999999999999995E-4</v>
      </c>
      <c r="H54" s="184">
        <v>0</v>
      </c>
      <c r="I54" s="184">
        <v>-4.2000000000000002E-4</v>
      </c>
      <c r="J54" s="184"/>
    </row>
    <row r="55" spans="1:13" ht="14.4">
      <c r="A55" s="195" t="s">
        <v>154</v>
      </c>
      <c r="B55" s="164"/>
      <c r="C55" s="184"/>
      <c r="D55" s="184">
        <v>-1.4300000000000001E-3</v>
      </c>
      <c r="E55" s="184"/>
      <c r="F55" s="184">
        <v>2.6099999999999999E-3</v>
      </c>
      <c r="G55" s="184">
        <v>8.8999999999999995E-4</v>
      </c>
      <c r="H55" s="184">
        <v>0</v>
      </c>
      <c r="I55" s="184">
        <v>-4.2000000000000002E-4</v>
      </c>
      <c r="J55" s="184"/>
    </row>
    <row r="56" spans="1:13" ht="14.4">
      <c r="A56" s="195" t="s">
        <v>155</v>
      </c>
      <c r="B56" s="164"/>
      <c r="C56" s="184">
        <v>-5.1000000000000004E-4</v>
      </c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 ht="14.4" customHeight="1">
      <c r="A57" s="195" t="s">
        <v>217</v>
      </c>
      <c r="B57" s="164"/>
      <c r="C57" s="202"/>
      <c r="D57" s="184"/>
      <c r="E57" s="184"/>
      <c r="F57" s="202">
        <v>8.6199999999999992E-3</v>
      </c>
      <c r="G57" s="255" t="s">
        <v>235</v>
      </c>
      <c r="H57" s="184">
        <v>0</v>
      </c>
      <c r="I57" s="199">
        <v>-3.6999999999999999E-4</v>
      </c>
      <c r="J57" s="202"/>
    </row>
    <row r="58" spans="1:13" ht="14.4">
      <c r="A58" s="195" t="s">
        <v>208</v>
      </c>
      <c r="B58" s="164"/>
      <c r="C58" s="202"/>
      <c r="D58" s="184"/>
      <c r="E58" s="184"/>
      <c r="F58" s="202">
        <v>8.6199999999999992E-3</v>
      </c>
      <c r="G58" s="255"/>
      <c r="H58" s="184">
        <v>0</v>
      </c>
      <c r="I58" s="199">
        <v>-3.6999999999999999E-4</v>
      </c>
      <c r="J58" s="202"/>
    </row>
    <row r="59" spans="1:13" ht="14.4">
      <c r="E59" s="164"/>
    </row>
    <row r="60" spans="1:13" ht="40.200000000000003">
      <c r="A60" s="193" t="s">
        <v>227</v>
      </c>
      <c r="B60" s="166"/>
      <c r="C60" s="186" t="s">
        <v>234</v>
      </c>
      <c r="D60" s="186" t="s">
        <v>239</v>
      </c>
      <c r="E60" s="186" t="s">
        <v>228</v>
      </c>
      <c r="F60" s="186" t="s">
        <v>229</v>
      </c>
      <c r="G60" s="186" t="s">
        <v>230</v>
      </c>
      <c r="H60" s="186" t="s">
        <v>231</v>
      </c>
      <c r="I60" s="186" t="s">
        <v>232</v>
      </c>
      <c r="J60" s="186" t="s">
        <v>233</v>
      </c>
      <c r="M60" s="215"/>
    </row>
    <row r="61" spans="1:13" ht="14.4">
      <c r="A61" s="195" t="s">
        <v>148</v>
      </c>
      <c r="C61" s="180">
        <f t="shared" ref="C61:I66" si="11">$H3*C46</f>
        <v>1348.1141100000002</v>
      </c>
      <c r="D61" s="180">
        <f t="shared" si="11"/>
        <v>-6952.0394299999998</v>
      </c>
      <c r="E61" s="180">
        <f t="shared" si="11"/>
        <v>0</v>
      </c>
      <c r="F61" s="180">
        <f t="shared" si="11"/>
        <v>-6925.6058199999998</v>
      </c>
      <c r="G61" s="180">
        <f t="shared" si="11"/>
        <v>-2564.0601700000002</v>
      </c>
      <c r="H61" s="180">
        <f t="shared" si="11"/>
        <v>0</v>
      </c>
      <c r="I61" s="180">
        <f t="shared" si="11"/>
        <v>925.17634999999996</v>
      </c>
      <c r="J61" s="180">
        <f>SUM(C61:I61)</f>
        <v>-14168.41496</v>
      </c>
      <c r="M61" s="180"/>
    </row>
    <row r="62" spans="1:13" ht="14.4">
      <c r="A62" s="195" t="s">
        <v>203</v>
      </c>
      <c r="C62" s="180">
        <f t="shared" si="11"/>
        <v>9.977640000000001</v>
      </c>
      <c r="D62" s="180">
        <f t="shared" si="11"/>
        <v>-51.453319999999998</v>
      </c>
      <c r="E62" s="180">
        <f t="shared" si="11"/>
        <v>616.85292000000004</v>
      </c>
      <c r="F62" s="180">
        <f t="shared" si="11"/>
        <v>-51.257680000000001</v>
      </c>
      <c r="G62" s="180">
        <f t="shared" si="11"/>
        <v>-18.977080000000001</v>
      </c>
      <c r="H62" s="180">
        <f t="shared" si="11"/>
        <v>0</v>
      </c>
      <c r="I62" s="180">
        <f t="shared" si="11"/>
        <v>6.8473999999999995</v>
      </c>
      <c r="J62" s="180">
        <f t="shared" ref="J62:J71" si="12">SUM(C62:I62)</f>
        <v>511.98987999999997</v>
      </c>
      <c r="M62" s="180"/>
    </row>
    <row r="63" spans="1:13" ht="14.4">
      <c r="A63" s="195" t="s">
        <v>149</v>
      </c>
      <c r="C63" s="180">
        <f t="shared" si="11"/>
        <v>0</v>
      </c>
      <c r="D63" s="180">
        <f t="shared" si="11"/>
        <v>-1693.4617700000001</v>
      </c>
      <c r="E63" s="180">
        <f t="shared" si="11"/>
        <v>0</v>
      </c>
      <c r="F63" s="180">
        <f t="shared" si="11"/>
        <v>4286.9451799999997</v>
      </c>
      <c r="G63" s="180">
        <f t="shared" si="11"/>
        <v>1669.7769900000001</v>
      </c>
      <c r="H63" s="180">
        <f t="shared" si="11"/>
        <v>0</v>
      </c>
      <c r="I63" s="180">
        <f t="shared" si="11"/>
        <v>-426.32604000000003</v>
      </c>
      <c r="J63" s="180">
        <f t="shared" si="12"/>
        <v>3836.9343600000002</v>
      </c>
      <c r="M63" s="180"/>
    </row>
    <row r="64" spans="1:13" ht="14.4">
      <c r="A64" s="195" t="s">
        <v>150</v>
      </c>
      <c r="C64" s="180">
        <f t="shared" si="11"/>
        <v>160.57707000000002</v>
      </c>
      <c r="D64" s="180">
        <f t="shared" si="11"/>
        <v>450.24551000000002</v>
      </c>
      <c r="E64" s="180">
        <f t="shared" si="11"/>
        <v>0</v>
      </c>
      <c r="F64" s="180">
        <f t="shared" si="11"/>
        <v>-1139.78234</v>
      </c>
      <c r="G64" s="180">
        <f t="shared" si="11"/>
        <v>-443.94837000000001</v>
      </c>
      <c r="H64" s="180">
        <f t="shared" si="11"/>
        <v>0</v>
      </c>
      <c r="I64" s="180">
        <f t="shared" si="11"/>
        <v>113.34852000000001</v>
      </c>
      <c r="J64" s="180">
        <f t="shared" si="12"/>
        <v>-859.55961000000002</v>
      </c>
      <c r="M64" s="180"/>
    </row>
    <row r="65" spans="1:13" ht="14.4">
      <c r="A65" s="195" t="s">
        <v>151</v>
      </c>
      <c r="C65" s="180">
        <f t="shared" si="11"/>
        <v>0</v>
      </c>
      <c r="D65" s="180">
        <f t="shared" si="11"/>
        <v>-9200.2310400000006</v>
      </c>
      <c r="E65" s="180">
        <f t="shared" si="11"/>
        <v>0</v>
      </c>
      <c r="F65" s="180">
        <f t="shared" si="11"/>
        <v>17564.077439999997</v>
      </c>
      <c r="G65" s="180">
        <f t="shared" si="11"/>
        <v>6562.4025600000004</v>
      </c>
      <c r="H65" s="180">
        <f t="shared" si="11"/>
        <v>0</v>
      </c>
      <c r="I65" s="180">
        <f t="shared" si="11"/>
        <v>-2316.1420800000001</v>
      </c>
      <c r="J65" s="180">
        <f t="shared" si="12"/>
        <v>12610.106879999998</v>
      </c>
      <c r="M65" s="180"/>
    </row>
    <row r="66" spans="1:13" ht="14.4">
      <c r="A66" s="195" t="s">
        <v>152</v>
      </c>
      <c r="C66" s="180">
        <f t="shared" si="11"/>
        <v>-96.885720000000006</v>
      </c>
      <c r="D66" s="180">
        <f t="shared" si="11"/>
        <v>-271.65996000000001</v>
      </c>
      <c r="E66" s="180">
        <f t="shared" si="11"/>
        <v>0</v>
      </c>
      <c r="F66" s="180">
        <f t="shared" si="11"/>
        <v>518.62356</v>
      </c>
      <c r="G66" s="180">
        <f t="shared" si="11"/>
        <v>193.77144000000001</v>
      </c>
      <c r="H66" s="180">
        <f t="shared" si="11"/>
        <v>0</v>
      </c>
      <c r="I66" s="180">
        <f t="shared" si="11"/>
        <v>-68.389920000000004</v>
      </c>
      <c r="J66" s="180">
        <f t="shared" si="12"/>
        <v>275.45940000000002</v>
      </c>
      <c r="M66" s="180"/>
    </row>
    <row r="67" spans="1:13" ht="14.4">
      <c r="A67" s="195" t="s">
        <v>153</v>
      </c>
      <c r="C67" s="180">
        <f t="shared" ref="C67:I67" si="13">($H9+$H10)*C52</f>
        <v>0</v>
      </c>
      <c r="D67" s="180">
        <f t="shared" si="13"/>
        <v>0</v>
      </c>
      <c r="E67" s="180">
        <f t="shared" si="13"/>
        <v>0</v>
      </c>
      <c r="F67" s="180">
        <f t="shared" si="13"/>
        <v>0</v>
      </c>
      <c r="G67" s="180">
        <f t="shared" si="13"/>
        <v>0</v>
      </c>
      <c r="H67" s="180">
        <f t="shared" si="13"/>
        <v>0</v>
      </c>
      <c r="I67" s="180">
        <f t="shared" si="13"/>
        <v>0</v>
      </c>
      <c r="J67" s="180">
        <f t="shared" si="12"/>
        <v>0</v>
      </c>
      <c r="M67" s="180"/>
    </row>
    <row r="68" spans="1:13" ht="14.4">
      <c r="A68" s="195" t="s">
        <v>205</v>
      </c>
      <c r="C68" s="180">
        <f t="shared" ref="C68:I70" si="14">$H11*C54</f>
        <v>0</v>
      </c>
      <c r="D68" s="180">
        <f t="shared" si="14"/>
        <v>0</v>
      </c>
      <c r="E68" s="180">
        <f t="shared" si="14"/>
        <v>0</v>
      </c>
      <c r="F68" s="180">
        <f t="shared" si="14"/>
        <v>0</v>
      </c>
      <c r="G68" s="180">
        <f t="shared" si="14"/>
        <v>0</v>
      </c>
      <c r="H68" s="180">
        <f t="shared" si="14"/>
        <v>0</v>
      </c>
      <c r="I68" s="180">
        <f t="shared" si="14"/>
        <v>0</v>
      </c>
      <c r="J68" s="180">
        <f t="shared" si="12"/>
        <v>0</v>
      </c>
      <c r="M68" s="180"/>
    </row>
    <row r="69" spans="1:13" ht="14.4">
      <c r="A69" s="195" t="s">
        <v>154</v>
      </c>
      <c r="C69" s="180">
        <f t="shared" si="14"/>
        <v>0</v>
      </c>
      <c r="D69" s="180">
        <f t="shared" si="14"/>
        <v>-340.90199000000001</v>
      </c>
      <c r="E69" s="180">
        <f t="shared" si="14"/>
        <v>0</v>
      </c>
      <c r="F69" s="180">
        <f t="shared" si="14"/>
        <v>622.20573000000002</v>
      </c>
      <c r="G69" s="180">
        <f t="shared" si="14"/>
        <v>212.16977</v>
      </c>
      <c r="H69" s="180">
        <f t="shared" si="14"/>
        <v>0</v>
      </c>
      <c r="I69" s="180">
        <f t="shared" si="14"/>
        <v>-100.12506</v>
      </c>
      <c r="J69" s="180">
        <f t="shared" si="12"/>
        <v>393.34845000000001</v>
      </c>
      <c r="M69" s="180"/>
    </row>
    <row r="70" spans="1:13" ht="14.4">
      <c r="A70" s="195" t="s">
        <v>155</v>
      </c>
      <c r="C70" s="180">
        <f t="shared" si="14"/>
        <v>-31.348680000000002</v>
      </c>
      <c r="D70" s="180">
        <f t="shared" si="14"/>
        <v>-87.899240000000006</v>
      </c>
      <c r="E70" s="180">
        <f t="shared" si="14"/>
        <v>0</v>
      </c>
      <c r="F70" s="180">
        <f t="shared" si="14"/>
        <v>160.43147999999999</v>
      </c>
      <c r="G70" s="180">
        <f t="shared" si="14"/>
        <v>54.706519999999998</v>
      </c>
      <c r="H70" s="180">
        <f t="shared" si="14"/>
        <v>0</v>
      </c>
      <c r="I70" s="180">
        <f t="shared" si="14"/>
        <v>-25.816560000000003</v>
      </c>
      <c r="J70" s="180">
        <f t="shared" si="12"/>
        <v>70.073519999999974</v>
      </c>
      <c r="M70" s="180"/>
    </row>
    <row r="71" spans="1:13" ht="14.4">
      <c r="A71" s="195" t="s">
        <v>217</v>
      </c>
      <c r="C71" s="180">
        <f>($H14+$H15)*C57</f>
        <v>0</v>
      </c>
      <c r="D71" s="180">
        <f>($H14+$H15)*D57</f>
        <v>0</v>
      </c>
      <c r="E71" s="180">
        <f>($H14+$H15)*E57</f>
        <v>0</v>
      </c>
      <c r="F71" s="180">
        <f>($H14+$H15)*F57</f>
        <v>0</v>
      </c>
      <c r="G71" s="180"/>
      <c r="H71" s="180">
        <f>($H14+$H15)*H57</f>
        <v>0</v>
      </c>
      <c r="I71" s="180">
        <f>($H14+$H15)*I57</f>
        <v>0</v>
      </c>
      <c r="J71" s="180">
        <f t="shared" si="12"/>
        <v>0</v>
      </c>
      <c r="M71" s="180"/>
    </row>
    <row r="72" spans="1:13" ht="14.4">
      <c r="A72" s="169"/>
      <c r="C72" s="194">
        <f>SUM(C61:C71)</f>
        <v>1390.4344200000003</v>
      </c>
      <c r="D72" s="194">
        <f>SUM(D61:D71)</f>
        <v>-18147.401239999996</v>
      </c>
      <c r="E72" s="194">
        <f t="shared" ref="E72:J72" si="15">SUM(E61:E71)</f>
        <v>616.85292000000004</v>
      </c>
      <c r="F72" s="194">
        <f t="shared" si="15"/>
        <v>15035.637549999998</v>
      </c>
      <c r="G72" s="194">
        <f t="shared" si="15"/>
        <v>5665.841660000001</v>
      </c>
      <c r="H72" s="194">
        <f t="shared" si="15"/>
        <v>0</v>
      </c>
      <c r="I72" s="194">
        <f t="shared" si="15"/>
        <v>-1891.4273900000003</v>
      </c>
      <c r="J72" s="194">
        <f t="shared" si="15"/>
        <v>2669.9379199999958</v>
      </c>
    </row>
    <row r="74" spans="1:13" ht="14.4">
      <c r="A74" s="164" t="s">
        <v>19</v>
      </c>
      <c r="B74" s="164"/>
      <c r="C74" s="180">
        <f>C61+C62</f>
        <v>1358.0917500000003</v>
      </c>
      <c r="D74" s="180">
        <f>D61+D62</f>
        <v>-7003.4927499999994</v>
      </c>
      <c r="E74" s="180">
        <f t="shared" ref="E74:J74" si="16">E61+E62</f>
        <v>616.85292000000004</v>
      </c>
      <c r="F74" s="180">
        <f t="shared" si="16"/>
        <v>-6976.8634999999995</v>
      </c>
      <c r="G74" s="180">
        <f t="shared" si="16"/>
        <v>-2583.0372500000003</v>
      </c>
      <c r="H74" s="180">
        <f t="shared" si="16"/>
        <v>0</v>
      </c>
      <c r="I74" s="180">
        <f t="shared" si="16"/>
        <v>932.02374999999995</v>
      </c>
      <c r="J74" s="180">
        <f t="shared" si="16"/>
        <v>-13656.425080000001</v>
      </c>
    </row>
    <row r="75" spans="1:13" ht="14.4">
      <c r="A75" s="164"/>
      <c r="B75" s="164"/>
      <c r="C75" s="180"/>
      <c r="D75" s="180"/>
      <c r="E75" s="180"/>
      <c r="F75" s="180"/>
      <c r="G75" s="180"/>
      <c r="H75" s="180"/>
      <c r="I75" s="180"/>
      <c r="J75" s="180"/>
    </row>
    <row r="76" spans="1:13" ht="14.4">
      <c r="A76" s="164" t="s">
        <v>209</v>
      </c>
      <c r="B76" s="164"/>
      <c r="C76" s="190">
        <f>SUM(C63:C66,C68:C70)</f>
        <v>32.342670000000012</v>
      </c>
      <c r="D76" s="190">
        <f>SUM(D63:D66,D68:D70)</f>
        <v>-11143.908490000002</v>
      </c>
      <c r="E76" s="190">
        <f t="shared" ref="E76:J76" si="17">SUM(E63:E66,E68:E70)</f>
        <v>0</v>
      </c>
      <c r="F76" s="190">
        <f t="shared" si="17"/>
        <v>22012.501049999999</v>
      </c>
      <c r="G76" s="190">
        <f t="shared" si="17"/>
        <v>8248.8789100000013</v>
      </c>
      <c r="H76" s="190">
        <f t="shared" si="17"/>
        <v>0</v>
      </c>
      <c r="I76" s="190">
        <f t="shared" si="17"/>
        <v>-2823.4511400000001</v>
      </c>
      <c r="J76" s="190">
        <f t="shared" si="17"/>
        <v>16326.362999999998</v>
      </c>
    </row>
  </sheetData>
  <mergeCells count="2">
    <mergeCell ref="A1:I1"/>
    <mergeCell ref="G57:G58"/>
  </mergeCells>
  <printOptions horizontalCentered="1"/>
  <pageMargins left="0.45" right="0.45" top="0.5" bottom="0.5" header="0.3" footer="0.3"/>
  <pageSetup scale="84" fitToHeight="2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M78"/>
  <sheetViews>
    <sheetView workbookViewId="0">
      <selection activeCell="E18" sqref="E18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6.5546875" style="162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211543</v>
      </c>
      <c r="D4" s="183"/>
      <c r="E4" s="197">
        <v>191031934.66999999</v>
      </c>
      <c r="F4" s="197">
        <v>-117448141</v>
      </c>
      <c r="G4" s="197">
        <v>100059247</v>
      </c>
      <c r="H4" s="163">
        <f>SUM(F4:G4)</f>
        <v>-17388894</v>
      </c>
      <c r="I4" s="171">
        <f>E4+H4</f>
        <v>173643040.66999999</v>
      </c>
    </row>
    <row r="5" spans="1:9">
      <c r="A5" s="195" t="s">
        <v>203</v>
      </c>
      <c r="B5" s="164"/>
      <c r="C5" s="170">
        <v>475</v>
      </c>
      <c r="D5" s="183"/>
      <c r="E5" s="197">
        <v>547840</v>
      </c>
      <c r="F5" s="197">
        <v>-343324</v>
      </c>
      <c r="G5" s="197">
        <v>279417</v>
      </c>
      <c r="H5" s="163">
        <f t="shared" ref="H5:H17" si="0">SUM(F5:G5)</f>
        <v>-63907</v>
      </c>
      <c r="I5" s="171">
        <f t="shared" ref="I5:I17" si="1">E5+H5</f>
        <v>483933</v>
      </c>
    </row>
    <row r="6" spans="1:9">
      <c r="A6" s="195" t="s">
        <v>149</v>
      </c>
      <c r="B6" s="164"/>
      <c r="C6" s="170">
        <v>22384</v>
      </c>
      <c r="D6" s="183"/>
      <c r="E6" s="197">
        <v>44837963</v>
      </c>
      <c r="F6" s="197">
        <v>-25437214</v>
      </c>
      <c r="G6" s="197">
        <v>23415149</v>
      </c>
      <c r="H6" s="163">
        <f t="shared" si="0"/>
        <v>-2022065</v>
      </c>
      <c r="I6" s="171">
        <f t="shared" si="1"/>
        <v>42815898</v>
      </c>
    </row>
    <row r="7" spans="1:9">
      <c r="A7" s="195" t="s">
        <v>150</v>
      </c>
      <c r="B7" s="164"/>
      <c r="C7" s="170">
        <v>9154</v>
      </c>
      <c r="D7" s="183"/>
      <c r="E7" s="197">
        <v>5093096.33</v>
      </c>
      <c r="F7" s="197">
        <v>-3089919</v>
      </c>
      <c r="G7" s="197">
        <v>2682404</v>
      </c>
      <c r="H7" s="163">
        <f t="shared" si="0"/>
        <v>-407515</v>
      </c>
      <c r="I7" s="171">
        <f t="shared" si="1"/>
        <v>4685581.33</v>
      </c>
    </row>
    <row r="8" spans="1:9">
      <c r="A8" s="195" t="s">
        <v>151</v>
      </c>
      <c r="B8" s="164"/>
      <c r="C8" s="170">
        <v>1850</v>
      </c>
      <c r="D8" s="183"/>
      <c r="E8" s="197">
        <v>107814958</v>
      </c>
      <c r="F8" s="197">
        <v>-56835786</v>
      </c>
      <c r="G8" s="197">
        <v>56190770</v>
      </c>
      <c r="H8" s="163">
        <f t="shared" si="0"/>
        <v>-645016</v>
      </c>
      <c r="I8" s="171">
        <f t="shared" si="1"/>
        <v>107169942</v>
      </c>
    </row>
    <row r="9" spans="1:9">
      <c r="A9" s="195" t="s">
        <v>152</v>
      </c>
      <c r="B9" s="164"/>
      <c r="C9" s="170">
        <v>47</v>
      </c>
      <c r="D9" s="183"/>
      <c r="E9" s="197">
        <v>2592560</v>
      </c>
      <c r="F9" s="197">
        <v>-1591777</v>
      </c>
      <c r="G9" s="197">
        <v>1369144</v>
      </c>
      <c r="H9" s="163">
        <f t="shared" si="0"/>
        <v>-222633</v>
      </c>
      <c r="I9" s="171">
        <f t="shared" si="1"/>
        <v>2369927</v>
      </c>
    </row>
    <row r="10" spans="1:9">
      <c r="A10" s="195" t="s">
        <v>153</v>
      </c>
      <c r="B10" s="164"/>
      <c r="C10" s="170">
        <v>21</v>
      </c>
      <c r="D10" s="183"/>
      <c r="E10" s="197">
        <f>90146900-E11</f>
        <v>55393800</v>
      </c>
      <c r="F10" s="197">
        <v>0</v>
      </c>
      <c r="G10" s="197">
        <v>0</v>
      </c>
      <c r="H10" s="163">
        <f t="shared" si="0"/>
        <v>0</v>
      </c>
      <c r="I10" s="171">
        <f t="shared" si="1"/>
        <v>55393800</v>
      </c>
    </row>
    <row r="11" spans="1:9">
      <c r="A11" s="195" t="s">
        <v>204</v>
      </c>
      <c r="B11" s="164"/>
      <c r="C11" s="170"/>
      <c r="D11" s="183"/>
      <c r="E11" s="197">
        <v>34753100</v>
      </c>
      <c r="F11" s="197">
        <v>0</v>
      </c>
      <c r="G11" s="197">
        <v>0</v>
      </c>
      <c r="H11" s="163">
        <f t="shared" si="0"/>
        <v>0</v>
      </c>
      <c r="I11" s="171">
        <f t="shared" si="1"/>
        <v>34753100</v>
      </c>
    </row>
    <row r="12" spans="1:9">
      <c r="A12" s="195" t="s">
        <v>205</v>
      </c>
      <c r="B12" s="164"/>
      <c r="C12" s="170">
        <v>44</v>
      </c>
      <c r="D12" s="183"/>
      <c r="E12" s="197">
        <v>69980</v>
      </c>
      <c r="F12" s="197">
        <v>0</v>
      </c>
      <c r="G12" s="197">
        <v>0</v>
      </c>
      <c r="H12" s="163">
        <f t="shared" si="0"/>
        <v>0</v>
      </c>
      <c r="I12" s="171">
        <f t="shared" si="1"/>
        <v>69980</v>
      </c>
    </row>
    <row r="13" spans="1:9">
      <c r="A13" s="195" t="s">
        <v>154</v>
      </c>
      <c r="B13" s="164"/>
      <c r="C13" s="170">
        <v>1195</v>
      </c>
      <c r="D13" s="183"/>
      <c r="E13" s="197">
        <v>4123845</v>
      </c>
      <c r="F13" s="197">
        <v>-2028735</v>
      </c>
      <c r="G13" s="197">
        <v>1955919</v>
      </c>
      <c r="H13" s="163">
        <f t="shared" si="0"/>
        <v>-72816</v>
      </c>
      <c r="I13" s="171">
        <f t="shared" si="1"/>
        <v>4051029</v>
      </c>
    </row>
    <row r="14" spans="1:9">
      <c r="A14" s="195" t="s">
        <v>155</v>
      </c>
      <c r="B14" s="164"/>
      <c r="C14" s="170">
        <v>1183</v>
      </c>
      <c r="D14" s="183"/>
      <c r="E14" s="197">
        <v>257339</v>
      </c>
      <c r="F14" s="197">
        <v>-156057</v>
      </c>
      <c r="G14" s="197">
        <v>111767</v>
      </c>
      <c r="H14" s="163">
        <f t="shared" si="0"/>
        <v>-44290</v>
      </c>
      <c r="I14" s="171">
        <f t="shared" si="1"/>
        <v>213049</v>
      </c>
    </row>
    <row r="15" spans="1:9">
      <c r="A15" s="195" t="s">
        <v>206</v>
      </c>
      <c r="B15" s="164"/>
      <c r="C15" s="170">
        <v>412</v>
      </c>
      <c r="D15" s="183"/>
      <c r="E15" s="197">
        <v>1047836</v>
      </c>
      <c r="F15" s="197"/>
      <c r="G15" s="197"/>
      <c r="H15" s="163"/>
      <c r="I15" s="171">
        <f t="shared" si="1"/>
        <v>1047836</v>
      </c>
    </row>
    <row r="16" spans="1:9">
      <c r="A16" s="195" t="s">
        <v>207</v>
      </c>
      <c r="B16" s="164"/>
      <c r="C16" s="170"/>
      <c r="D16" s="183"/>
      <c r="E16" s="197">
        <v>422257</v>
      </c>
      <c r="F16" s="197"/>
      <c r="G16" s="197"/>
      <c r="H16" s="163">
        <f t="shared" si="0"/>
        <v>0</v>
      </c>
      <c r="I16" s="171">
        <f t="shared" si="1"/>
        <v>422257</v>
      </c>
    </row>
    <row r="17" spans="1:9">
      <c r="A17" s="195" t="s">
        <v>208</v>
      </c>
      <c r="B17" s="164"/>
      <c r="C17" s="170"/>
      <c r="D17" s="204"/>
      <c r="E17" s="197">
        <v>231946</v>
      </c>
      <c r="F17" s="197"/>
      <c r="G17" s="197"/>
      <c r="H17" s="163">
        <f t="shared" si="0"/>
        <v>0</v>
      </c>
      <c r="I17" s="171">
        <f t="shared" si="1"/>
        <v>231946</v>
      </c>
    </row>
    <row r="18" spans="1:9">
      <c r="A18" s="164"/>
      <c r="B18" s="164"/>
      <c r="C18" s="172">
        <f>SUM(C4:C17)</f>
        <v>248308</v>
      </c>
      <c r="E18" s="172">
        <f t="shared" ref="E18:I18" si="2">SUM(E4:E17)</f>
        <v>448218455</v>
      </c>
      <c r="F18" s="172">
        <f t="shared" si="2"/>
        <v>-206930953</v>
      </c>
      <c r="G18" s="172">
        <f t="shared" si="2"/>
        <v>186063817</v>
      </c>
      <c r="H18" s="172">
        <f t="shared" si="2"/>
        <v>-20867136</v>
      </c>
      <c r="I18" s="172">
        <f t="shared" si="2"/>
        <v>427351319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212018</v>
      </c>
      <c r="E20" s="174">
        <f>E4+E5</f>
        <v>191579774.66999999</v>
      </c>
      <c r="F20" s="174">
        <f t="shared" ref="F20:H20" si="3">F4+F5</f>
        <v>-117791465</v>
      </c>
      <c r="G20" s="174">
        <f t="shared" si="3"/>
        <v>100338664</v>
      </c>
      <c r="H20" s="174">
        <f t="shared" si="3"/>
        <v>-17452801</v>
      </c>
      <c r="I20" s="173">
        <f>I4+I5</f>
        <v>174126973.66999999</v>
      </c>
    </row>
    <row r="21" spans="1:9" ht="7.2" customHeight="1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35857</v>
      </c>
      <c r="E22" s="192">
        <f>SUM(E6:E9,E12:E14)</f>
        <v>164789741.32999998</v>
      </c>
      <c r="F22" s="192">
        <f t="shared" ref="F22:H22" si="4">SUM(F6:F9,F12:F14)</f>
        <v>-89139488</v>
      </c>
      <c r="G22" s="192">
        <f t="shared" si="4"/>
        <v>85725153</v>
      </c>
      <c r="H22" s="192">
        <f t="shared" si="4"/>
        <v>-3414335</v>
      </c>
      <c r="I22" s="191">
        <f>SUM(I6:I9,I12:I14)</f>
        <v>161375406.32999998</v>
      </c>
    </row>
    <row r="23" spans="1:9">
      <c r="A23" s="164"/>
      <c r="B23" s="164"/>
      <c r="C23" s="164"/>
      <c r="D23" s="164"/>
      <c r="E23" s="164"/>
    </row>
    <row r="24" spans="1:9" ht="43.2" customHeight="1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1836578</v>
      </c>
      <c r="D26" s="196">
        <v>16928700.34</v>
      </c>
      <c r="E26" s="198">
        <v>-10894887</v>
      </c>
      <c r="F26" s="198">
        <v>9315428</v>
      </c>
      <c r="G26" s="188">
        <f>SUM(D26:F26)</f>
        <v>15349241.34</v>
      </c>
      <c r="H26" s="188">
        <f>-J63</f>
        <v>93204.471840000013</v>
      </c>
      <c r="I26" s="188">
        <f>SUM(G26:H26)</f>
        <v>15442445.81184</v>
      </c>
    </row>
    <row r="27" spans="1:9">
      <c r="A27" s="195" t="s">
        <v>203</v>
      </c>
      <c r="B27" s="164"/>
      <c r="C27" s="196">
        <v>4080</v>
      </c>
      <c r="D27" s="196">
        <v>48277.369999999995</v>
      </c>
      <c r="E27" s="198">
        <v>-20431</v>
      </c>
      <c r="F27" s="198">
        <v>16683</v>
      </c>
      <c r="G27" s="188">
        <f t="shared" ref="G27:G35" si="5">SUM(D27:F27)</f>
        <v>44529.369999999995</v>
      </c>
      <c r="H27" s="188">
        <f t="shared" ref="H27:H35" si="6">-J64</f>
        <v>-1672.4461900000001</v>
      </c>
      <c r="I27" s="188">
        <f t="shared" ref="I27:I36" si="7">SUM(G27:H27)</f>
        <v>42856.923809999993</v>
      </c>
    </row>
    <row r="28" spans="1:9">
      <c r="A28" s="195" t="s">
        <v>149</v>
      </c>
      <c r="B28" s="164"/>
      <c r="C28" s="196">
        <v>410508.85</v>
      </c>
      <c r="D28" s="196">
        <v>5252085.47</v>
      </c>
      <c r="E28" s="198">
        <v>-2922971</v>
      </c>
      <c r="F28" s="198">
        <v>2730754</v>
      </c>
      <c r="G28" s="188">
        <f t="shared" si="5"/>
        <v>5059868.47</v>
      </c>
      <c r="H28" s="188">
        <f t="shared" si="6"/>
        <v>6551.4905999999992</v>
      </c>
      <c r="I28" s="188">
        <f t="shared" si="7"/>
        <v>5066419.9605999999</v>
      </c>
    </row>
    <row r="29" spans="1:9">
      <c r="A29" s="195" t="s">
        <v>150</v>
      </c>
      <c r="B29" s="164"/>
      <c r="C29" s="196">
        <v>166354.35</v>
      </c>
      <c r="D29" s="196">
        <v>724731.8</v>
      </c>
      <c r="E29" s="198">
        <v>-431020</v>
      </c>
      <c r="F29" s="198">
        <v>386578</v>
      </c>
      <c r="G29" s="188">
        <f t="shared" si="5"/>
        <v>680289.8</v>
      </c>
      <c r="H29" s="188">
        <f t="shared" si="6"/>
        <v>1112.5159499999997</v>
      </c>
      <c r="I29" s="188">
        <f t="shared" si="7"/>
        <v>681402.31595000008</v>
      </c>
    </row>
    <row r="30" spans="1:9">
      <c r="A30" s="195" t="s">
        <v>151</v>
      </c>
      <c r="B30" s="164"/>
      <c r="C30" s="196">
        <v>924804</v>
      </c>
      <c r="D30" s="196">
        <v>9727788.5999999996</v>
      </c>
      <c r="E30" s="198">
        <v>-4572312</v>
      </c>
      <c r="F30" s="198">
        <v>4532379</v>
      </c>
      <c r="G30" s="188">
        <f t="shared" si="5"/>
        <v>9687855.5999999996</v>
      </c>
      <c r="H30" s="188">
        <f t="shared" si="6"/>
        <v>1264.23136</v>
      </c>
      <c r="I30" s="188">
        <f t="shared" si="7"/>
        <v>9689119.8313599993</v>
      </c>
    </row>
    <row r="31" spans="1:9">
      <c r="A31" s="195" t="s">
        <v>152</v>
      </c>
      <c r="B31" s="164"/>
      <c r="C31" s="196">
        <v>24000</v>
      </c>
      <c r="D31" s="196">
        <v>229950.58000000002</v>
      </c>
      <c r="E31" s="198">
        <v>-127535</v>
      </c>
      <c r="F31" s="198">
        <v>111466</v>
      </c>
      <c r="G31" s="188">
        <f t="shared" si="5"/>
        <v>213881.58000000002</v>
      </c>
      <c r="H31" s="188">
        <f t="shared" si="6"/>
        <v>322.81784999999985</v>
      </c>
      <c r="I31" s="188">
        <f t="shared" si="7"/>
        <v>214204.39785000001</v>
      </c>
    </row>
    <row r="32" spans="1:9">
      <c r="A32" s="195" t="s">
        <v>153</v>
      </c>
      <c r="B32" s="164"/>
      <c r="C32" s="196">
        <v>441000</v>
      </c>
      <c r="D32" s="196">
        <f>5300453.53-84062.8</f>
        <v>5216390.7300000004</v>
      </c>
      <c r="E32" s="198">
        <v>0</v>
      </c>
      <c r="F32" s="198">
        <v>0</v>
      </c>
      <c r="G32" s="188">
        <f t="shared" si="5"/>
        <v>5216390.7300000004</v>
      </c>
      <c r="H32" s="188">
        <f t="shared" si="6"/>
        <v>0</v>
      </c>
      <c r="I32" s="188">
        <f t="shared" si="7"/>
        <v>5216390.7300000004</v>
      </c>
    </row>
    <row r="33" spans="1:10">
      <c r="A33" s="195" t="s">
        <v>205</v>
      </c>
      <c r="B33" s="164"/>
      <c r="C33" s="196">
        <v>846</v>
      </c>
      <c r="D33" s="196">
        <v>5603.55</v>
      </c>
      <c r="E33" s="198">
        <v>0</v>
      </c>
      <c r="F33" s="198">
        <v>0</v>
      </c>
      <c r="G33" s="188">
        <f t="shared" si="5"/>
        <v>5603.55</v>
      </c>
      <c r="H33" s="188">
        <f t="shared" si="6"/>
        <v>0</v>
      </c>
      <c r="I33" s="188">
        <f t="shared" si="7"/>
        <v>5603.55</v>
      </c>
    </row>
    <row r="34" spans="1:10">
      <c r="A34" s="195" t="s">
        <v>154</v>
      </c>
      <c r="B34" s="164"/>
      <c r="C34" s="196">
        <v>21762</v>
      </c>
      <c r="D34" s="196">
        <v>359663.88</v>
      </c>
      <c r="E34" s="198">
        <v>-177427</v>
      </c>
      <c r="F34" s="198">
        <v>173068</v>
      </c>
      <c r="G34" s="188">
        <f t="shared" si="5"/>
        <v>355304.88</v>
      </c>
      <c r="H34" s="188">
        <f t="shared" si="6"/>
        <v>120.1464</v>
      </c>
      <c r="I34" s="188">
        <f t="shared" si="7"/>
        <v>355425.02640000003</v>
      </c>
    </row>
    <row r="35" spans="1:10">
      <c r="A35" s="195" t="s">
        <v>155</v>
      </c>
      <c r="B35" s="164"/>
      <c r="C35" s="196">
        <v>21546</v>
      </c>
      <c r="D35" s="196">
        <v>43895.200000000012</v>
      </c>
      <c r="E35" s="198">
        <v>-23399</v>
      </c>
      <c r="F35" s="198">
        <v>19747</v>
      </c>
      <c r="G35" s="188">
        <f t="shared" si="5"/>
        <v>40243.200000000012</v>
      </c>
      <c r="H35" s="188">
        <f t="shared" si="6"/>
        <v>50.490599999999986</v>
      </c>
      <c r="I35" s="188">
        <f t="shared" si="7"/>
        <v>40293.690600000009</v>
      </c>
    </row>
    <row r="36" spans="1:10">
      <c r="A36" s="195" t="s">
        <v>217</v>
      </c>
      <c r="B36" s="164"/>
      <c r="C36" s="188"/>
      <c r="D36" s="196">
        <v>547369.36</v>
      </c>
      <c r="E36" s="196"/>
      <c r="F36" s="196"/>
      <c r="G36" s="188">
        <f>SUM(D36:F36)</f>
        <v>547369.36</v>
      </c>
      <c r="H36" s="188"/>
      <c r="I36" s="188">
        <f t="shared" si="7"/>
        <v>547369.36</v>
      </c>
    </row>
    <row r="37" spans="1:10">
      <c r="A37" s="195" t="s">
        <v>218</v>
      </c>
      <c r="B37" s="164"/>
      <c r="C37" s="183"/>
      <c r="D37" s="196">
        <v>1571170.1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1506317.73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3851479.2</v>
      </c>
      <c r="D39" s="178">
        <f t="shared" ref="D39:I39" si="8">SUM(D26:D38)</f>
        <v>42161944.710000001</v>
      </c>
      <c r="E39" s="178">
        <f t="shared" si="8"/>
        <v>-19169982</v>
      </c>
      <c r="F39" s="178">
        <f t="shared" si="8"/>
        <v>17286103</v>
      </c>
      <c r="G39" s="178">
        <f t="shared" si="8"/>
        <v>37200577.880000003</v>
      </c>
      <c r="H39" s="178">
        <f t="shared" si="8"/>
        <v>100953.71841000003</v>
      </c>
      <c r="I39" s="178">
        <f t="shared" si="8"/>
        <v>37301531.598409988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1840658</v>
      </c>
      <c r="D41" s="180">
        <f t="shared" ref="D41:I41" si="9">D26+D27</f>
        <v>16976977.710000001</v>
      </c>
      <c r="E41" s="180">
        <f t="shared" si="9"/>
        <v>-10915318</v>
      </c>
      <c r="F41" s="180">
        <f t="shared" si="9"/>
        <v>9332111</v>
      </c>
      <c r="G41" s="180">
        <f t="shared" si="9"/>
        <v>15393770.709999999</v>
      </c>
      <c r="H41" s="180">
        <f t="shared" si="9"/>
        <v>91532.025650000011</v>
      </c>
      <c r="I41" s="181">
        <f t="shared" si="9"/>
        <v>15485302.735649999</v>
      </c>
    </row>
    <row r="42" spans="1:10" ht="6" customHeight="1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1569821.2</v>
      </c>
      <c r="D43" s="190">
        <f t="shared" ref="D43:I43" si="10">SUM(D28:D31,D33:D35)</f>
        <v>16343719.08</v>
      </c>
      <c r="E43" s="190">
        <f t="shared" si="10"/>
        <v>-8254664</v>
      </c>
      <c r="F43" s="190">
        <f t="shared" si="10"/>
        <v>7953992</v>
      </c>
      <c r="G43" s="190">
        <f t="shared" si="10"/>
        <v>16043047.08</v>
      </c>
      <c r="H43" s="190">
        <f t="shared" si="10"/>
        <v>9421.6927599999981</v>
      </c>
      <c r="I43" s="189">
        <f t="shared" si="10"/>
        <v>16052468.77276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4"/>
    </row>
    <row r="63" spans="1:13">
      <c r="A63" s="195" t="s">
        <v>148</v>
      </c>
      <c r="C63" s="180">
        <f>$H4*C48</f>
        <v>8868.3359400000008</v>
      </c>
      <c r="D63" s="180">
        <f t="shared" ref="D63:I63" si="11">$H4*D48</f>
        <v>-45732.791219999999</v>
      </c>
      <c r="E63" s="180">
        <f t="shared" si="11"/>
        <v>0</v>
      </c>
      <c r="F63" s="180">
        <f t="shared" si="11"/>
        <v>-45558.902280000002</v>
      </c>
      <c r="G63" s="180">
        <f t="shared" si="11"/>
        <v>-16867.227180000002</v>
      </c>
      <c r="H63" s="180">
        <f t="shared" si="11"/>
        <v>0</v>
      </c>
      <c r="I63" s="180">
        <f t="shared" si="11"/>
        <v>6086.1129000000001</v>
      </c>
      <c r="J63" s="180">
        <f>SUM(C63:I63)</f>
        <v>-93204.471840000013</v>
      </c>
      <c r="M63" s="180"/>
    </row>
    <row r="64" spans="1:13">
      <c r="A64" s="195" t="s">
        <v>203</v>
      </c>
      <c r="C64" s="180">
        <f t="shared" ref="C64:I68" si="12">$H5*C49</f>
        <v>32.592570000000002</v>
      </c>
      <c r="D64" s="180">
        <f t="shared" si="12"/>
        <v>-168.07541000000001</v>
      </c>
      <c r="E64" s="180">
        <f t="shared" si="12"/>
        <v>2014.9877100000001</v>
      </c>
      <c r="F64" s="180">
        <f t="shared" si="12"/>
        <v>-167.43634</v>
      </c>
      <c r="G64" s="180">
        <f t="shared" si="12"/>
        <v>-61.989790000000006</v>
      </c>
      <c r="H64" s="180">
        <f t="shared" si="12"/>
        <v>0</v>
      </c>
      <c r="I64" s="180">
        <f t="shared" si="12"/>
        <v>22.367449999999998</v>
      </c>
      <c r="J64" s="180">
        <f t="shared" ref="J64:J73" si="13">SUM(C64:I64)</f>
        <v>1672.4461900000001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2891.5529500000002</v>
      </c>
      <c r="E65" s="180">
        <f t="shared" si="12"/>
        <v>0</v>
      </c>
      <c r="F65" s="180">
        <f t="shared" si="12"/>
        <v>-7319.8752999999997</v>
      </c>
      <c r="G65" s="180">
        <f t="shared" si="12"/>
        <v>-2851.1116499999998</v>
      </c>
      <c r="H65" s="180">
        <f t="shared" si="12"/>
        <v>0</v>
      </c>
      <c r="I65" s="180">
        <f t="shared" si="12"/>
        <v>727.9434</v>
      </c>
      <c r="J65" s="180">
        <f t="shared" si="13"/>
        <v>-6551.4905999999992</v>
      </c>
      <c r="M65" s="180"/>
    </row>
    <row r="66" spans="1:13">
      <c r="A66" s="195" t="s">
        <v>150</v>
      </c>
      <c r="C66" s="180">
        <f t="shared" si="12"/>
        <v>207.83265</v>
      </c>
      <c r="D66" s="180">
        <f t="shared" si="12"/>
        <v>582.74644999999998</v>
      </c>
      <c r="E66" s="180">
        <f t="shared" si="12"/>
        <v>0</v>
      </c>
      <c r="F66" s="180">
        <f t="shared" si="12"/>
        <v>-1475.2042999999999</v>
      </c>
      <c r="G66" s="180">
        <f t="shared" si="12"/>
        <v>-574.59614999999997</v>
      </c>
      <c r="H66" s="180">
        <f t="shared" si="12"/>
        <v>0</v>
      </c>
      <c r="I66" s="180">
        <f t="shared" si="12"/>
        <v>146.7054</v>
      </c>
      <c r="J66" s="180">
        <f t="shared" si="13"/>
        <v>-1112.5159499999997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922.37288000000001</v>
      </c>
      <c r="E67" s="180">
        <f t="shared" si="12"/>
        <v>0</v>
      </c>
      <c r="F67" s="180">
        <f t="shared" si="12"/>
        <v>-1760.8936799999999</v>
      </c>
      <c r="G67" s="180">
        <f t="shared" si="12"/>
        <v>-657.91632000000004</v>
      </c>
      <c r="H67" s="180">
        <f t="shared" si="12"/>
        <v>0</v>
      </c>
      <c r="I67" s="180">
        <f t="shared" si="12"/>
        <v>232.20576000000003</v>
      </c>
      <c r="J67" s="180">
        <f t="shared" si="13"/>
        <v>-1264.23136</v>
      </c>
      <c r="M67" s="180"/>
    </row>
    <row r="68" spans="1:13">
      <c r="A68" s="195" t="s">
        <v>152</v>
      </c>
      <c r="C68" s="180">
        <f t="shared" si="12"/>
        <v>113.54283000000001</v>
      </c>
      <c r="D68" s="180">
        <f t="shared" si="12"/>
        <v>318.36519000000004</v>
      </c>
      <c r="E68" s="180">
        <f t="shared" si="12"/>
        <v>0</v>
      </c>
      <c r="F68" s="180">
        <f t="shared" si="12"/>
        <v>-607.7880899999999</v>
      </c>
      <c r="G68" s="180">
        <f t="shared" si="12"/>
        <v>-227.08566000000002</v>
      </c>
      <c r="H68" s="180">
        <f t="shared" si="12"/>
        <v>0</v>
      </c>
      <c r="I68" s="180">
        <f t="shared" si="12"/>
        <v>80.147880000000001</v>
      </c>
      <c r="J68" s="180">
        <f t="shared" si="13"/>
        <v>-322.81784999999985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104.12688</v>
      </c>
      <c r="E71" s="180">
        <f t="shared" si="16"/>
        <v>0</v>
      </c>
      <c r="F71" s="180">
        <f t="shared" si="16"/>
        <v>-190.04975999999999</v>
      </c>
      <c r="G71" s="180">
        <f t="shared" si="16"/>
        <v>-64.806240000000003</v>
      </c>
      <c r="H71" s="180">
        <f t="shared" si="16"/>
        <v>0</v>
      </c>
      <c r="I71" s="180">
        <f t="shared" si="16"/>
        <v>30.582720000000002</v>
      </c>
      <c r="J71" s="180">
        <f t="shared" si="13"/>
        <v>-120.1464</v>
      </c>
      <c r="M71" s="180"/>
    </row>
    <row r="72" spans="1:13">
      <c r="A72" s="195" t="s">
        <v>155</v>
      </c>
      <c r="C72" s="180">
        <f t="shared" si="16"/>
        <v>22.587900000000001</v>
      </c>
      <c r="D72" s="180">
        <f t="shared" si="16"/>
        <v>63.334700000000005</v>
      </c>
      <c r="E72" s="180">
        <f t="shared" si="16"/>
        <v>0</v>
      </c>
      <c r="F72" s="180">
        <f t="shared" si="16"/>
        <v>-115.59689999999999</v>
      </c>
      <c r="G72" s="180">
        <f t="shared" si="16"/>
        <v>-39.418099999999995</v>
      </c>
      <c r="H72" s="180">
        <f t="shared" si="16"/>
        <v>0</v>
      </c>
      <c r="I72" s="180">
        <f t="shared" si="16"/>
        <v>18.601800000000001</v>
      </c>
      <c r="J72" s="180">
        <f t="shared" si="13"/>
        <v>-50.490599999999986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9244.8918900000026</v>
      </c>
      <c r="D74" s="194">
        <f>SUM(D63:D73)</f>
        <v>-41018.367579999998</v>
      </c>
      <c r="E74" s="194">
        <f t="shared" ref="E74:J74" si="18">SUM(E63:E73)</f>
        <v>2014.9877100000001</v>
      </c>
      <c r="F74" s="194">
        <f t="shared" si="18"/>
        <v>-57195.746650000001</v>
      </c>
      <c r="G74" s="194">
        <f t="shared" si="18"/>
        <v>-21344.151090000003</v>
      </c>
      <c r="H74" s="194">
        <f t="shared" si="18"/>
        <v>0</v>
      </c>
      <c r="I74" s="194">
        <f t="shared" si="18"/>
        <v>7344.6673100000007</v>
      </c>
      <c r="J74" s="194">
        <f t="shared" si="18"/>
        <v>-100953.71841000003</v>
      </c>
    </row>
    <row r="76" spans="1:13">
      <c r="A76" s="164" t="s">
        <v>19</v>
      </c>
      <c r="B76" s="164"/>
      <c r="C76" s="180">
        <f>C63+C64</f>
        <v>8900.9285100000016</v>
      </c>
      <c r="D76" s="180">
        <f>D63+D64</f>
        <v>-45900.866629999997</v>
      </c>
      <c r="E76" s="180">
        <f t="shared" ref="E76:J76" si="19">E63+E64</f>
        <v>2014.9877100000001</v>
      </c>
      <c r="F76" s="180">
        <f t="shared" si="19"/>
        <v>-45726.338620000002</v>
      </c>
      <c r="G76" s="180">
        <f t="shared" si="19"/>
        <v>-16929.216970000001</v>
      </c>
      <c r="H76" s="180">
        <f t="shared" si="19"/>
        <v>0</v>
      </c>
      <c r="I76" s="180">
        <f t="shared" si="19"/>
        <v>6108.4803499999998</v>
      </c>
      <c r="J76" s="180">
        <f t="shared" si="19"/>
        <v>-91532.025650000011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343.96338000000003</v>
      </c>
      <c r="D78" s="190">
        <f>SUM(D65:D68,D70:D72)</f>
        <v>4882.4990500000013</v>
      </c>
      <c r="E78" s="190">
        <f t="shared" ref="E78:J78" si="20">SUM(E65:E68,E70:E72)</f>
        <v>0</v>
      </c>
      <c r="F78" s="190">
        <f t="shared" si="20"/>
        <v>-11469.408029999999</v>
      </c>
      <c r="G78" s="190">
        <f t="shared" si="20"/>
        <v>-4414.934119999999</v>
      </c>
      <c r="H78" s="190">
        <f t="shared" si="20"/>
        <v>0</v>
      </c>
      <c r="I78" s="190">
        <f t="shared" si="20"/>
        <v>1236.18696</v>
      </c>
      <c r="J78" s="190">
        <f t="shared" si="20"/>
        <v>-9421.6927599999981</v>
      </c>
    </row>
  </sheetData>
  <mergeCells count="2">
    <mergeCell ref="A1:I1"/>
    <mergeCell ref="G59:G60"/>
  </mergeCells>
  <printOptions horizontalCentered="1"/>
  <pageMargins left="0.45" right="0.45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M78"/>
  <sheetViews>
    <sheetView workbookViewId="0">
      <selection activeCell="D70" sqref="D70"/>
    </sheetView>
  </sheetViews>
  <sheetFormatPr defaultColWidth="9.109375" defaultRowHeight="14.4"/>
  <cols>
    <col min="1" max="1" width="14.6640625" style="162" customWidth="1"/>
    <col min="2" max="2" width="9.109375" style="162"/>
    <col min="3" max="3" width="16.6640625" style="162" customWidth="1"/>
    <col min="4" max="4" width="20.44140625" style="162" customWidth="1"/>
    <col min="5" max="5" width="15.33203125" style="162" customWidth="1"/>
    <col min="6" max="6" width="14.88671875" style="162" customWidth="1"/>
    <col min="7" max="7" width="15.44140625" style="162" customWidth="1"/>
    <col min="8" max="8" width="14.44140625" style="162" customWidth="1"/>
    <col min="9" max="9" width="14.8867187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212133</v>
      </c>
      <c r="D4" s="183"/>
      <c r="E4" s="197">
        <v>227165088</v>
      </c>
      <c r="F4" s="197">
        <v>-128468208</v>
      </c>
      <c r="G4" s="197">
        <v>117448141</v>
      </c>
      <c r="H4" s="163">
        <f>SUM(F4:G4)</f>
        <v>-11020067</v>
      </c>
      <c r="I4" s="171">
        <f>E4+H4</f>
        <v>216145021</v>
      </c>
    </row>
    <row r="5" spans="1:9">
      <c r="A5" s="195" t="s">
        <v>203</v>
      </c>
      <c r="B5" s="164"/>
      <c r="C5" s="170">
        <v>485</v>
      </c>
      <c r="D5" s="183"/>
      <c r="E5" s="197">
        <v>677037</v>
      </c>
      <c r="F5" s="197">
        <v>-386952</v>
      </c>
      <c r="G5" s="197">
        <v>343324</v>
      </c>
      <c r="H5" s="163">
        <f t="shared" ref="H5:H17" si="0">SUM(F5:G5)</f>
        <v>-43628</v>
      </c>
      <c r="I5" s="171">
        <f t="shared" ref="I5:I17" si="1">E5+H5</f>
        <v>633409</v>
      </c>
    </row>
    <row r="6" spans="1:9">
      <c r="A6" s="195" t="s">
        <v>149</v>
      </c>
      <c r="B6" s="164"/>
      <c r="C6" s="170">
        <v>22507</v>
      </c>
      <c r="D6" s="183"/>
      <c r="E6" s="197">
        <v>49412581</v>
      </c>
      <c r="F6" s="197">
        <v>-25861321</v>
      </c>
      <c r="G6" s="197">
        <v>25437214</v>
      </c>
      <c r="H6" s="163">
        <f t="shared" si="0"/>
        <v>-424107</v>
      </c>
      <c r="I6" s="171">
        <f t="shared" si="1"/>
        <v>48988474</v>
      </c>
    </row>
    <row r="7" spans="1:9">
      <c r="A7" s="195" t="s">
        <v>150</v>
      </c>
      <c r="B7" s="164"/>
      <c r="C7" s="170">
        <v>9152</v>
      </c>
      <c r="D7" s="183"/>
      <c r="E7" s="197">
        <v>6007892</v>
      </c>
      <c r="F7" s="197">
        <v>-3418080</v>
      </c>
      <c r="G7" s="197">
        <v>3089919</v>
      </c>
      <c r="H7" s="163">
        <f t="shared" si="0"/>
        <v>-328161</v>
      </c>
      <c r="I7" s="171">
        <f t="shared" si="1"/>
        <v>5679731</v>
      </c>
    </row>
    <row r="8" spans="1:9">
      <c r="A8" s="195" t="s">
        <v>151</v>
      </c>
      <c r="B8" s="164"/>
      <c r="C8" s="170">
        <v>1845</v>
      </c>
      <c r="D8" s="183"/>
      <c r="E8" s="197">
        <v>110636773</v>
      </c>
      <c r="F8" s="197">
        <v>-55076230</v>
      </c>
      <c r="G8" s="197">
        <v>56835786</v>
      </c>
      <c r="H8" s="163">
        <f t="shared" si="0"/>
        <v>1759556</v>
      </c>
      <c r="I8" s="171">
        <f t="shared" si="1"/>
        <v>112396329</v>
      </c>
    </row>
    <row r="9" spans="1:9">
      <c r="A9" s="195" t="s">
        <v>152</v>
      </c>
      <c r="B9" s="164"/>
      <c r="C9" s="170">
        <v>48</v>
      </c>
      <c r="D9" s="183"/>
      <c r="E9" s="197">
        <v>3074340</v>
      </c>
      <c r="F9" s="197">
        <v>-1709040</v>
      </c>
      <c r="G9" s="197">
        <v>1591777</v>
      </c>
      <c r="H9" s="163">
        <f t="shared" si="0"/>
        <v>-117263</v>
      </c>
      <c r="I9" s="171">
        <f t="shared" si="1"/>
        <v>2957077</v>
      </c>
    </row>
    <row r="10" spans="1:9">
      <c r="A10" s="195" t="s">
        <v>153</v>
      </c>
      <c r="B10" s="164"/>
      <c r="C10" s="170">
        <v>21</v>
      </c>
      <c r="D10" s="183"/>
      <c r="E10" s="197">
        <f>94521732-E11</f>
        <v>57771074</v>
      </c>
      <c r="F10" s="197">
        <v>0</v>
      </c>
      <c r="G10" s="197">
        <v>0</v>
      </c>
      <c r="H10" s="163">
        <f t="shared" si="0"/>
        <v>0</v>
      </c>
      <c r="I10" s="171">
        <f t="shared" si="1"/>
        <v>57771074</v>
      </c>
    </row>
    <row r="11" spans="1:9">
      <c r="A11" s="195" t="s">
        <v>204</v>
      </c>
      <c r="B11" s="164"/>
      <c r="C11" s="170"/>
      <c r="D11" s="183"/>
      <c r="E11" s="197">
        <v>36750658</v>
      </c>
      <c r="F11" s="197">
        <v>0</v>
      </c>
      <c r="G11" s="197">
        <v>0</v>
      </c>
      <c r="H11" s="163">
        <f t="shared" si="0"/>
        <v>0</v>
      </c>
      <c r="I11" s="171">
        <f t="shared" si="1"/>
        <v>36750658</v>
      </c>
    </row>
    <row r="12" spans="1:9">
      <c r="A12" s="195" t="s">
        <v>205</v>
      </c>
      <c r="B12" s="164"/>
      <c r="C12" s="170">
        <v>50</v>
      </c>
      <c r="D12" s="183"/>
      <c r="E12" s="197">
        <v>7200</v>
      </c>
      <c r="F12" s="197">
        <v>0</v>
      </c>
      <c r="G12" s="197">
        <v>0</v>
      </c>
      <c r="H12" s="163">
        <f t="shared" si="0"/>
        <v>0</v>
      </c>
      <c r="I12" s="171">
        <f t="shared" si="1"/>
        <v>7200</v>
      </c>
    </row>
    <row r="13" spans="1:9">
      <c r="A13" s="195" t="s">
        <v>154</v>
      </c>
      <c r="B13" s="164"/>
      <c r="C13" s="170">
        <v>1206</v>
      </c>
      <c r="D13" s="183"/>
      <c r="E13" s="197">
        <v>4276514</v>
      </c>
      <c r="F13" s="197">
        <v>-1741286</v>
      </c>
      <c r="G13" s="197">
        <v>2028735</v>
      </c>
      <c r="H13" s="163">
        <f t="shared" si="0"/>
        <v>287449</v>
      </c>
      <c r="I13" s="171">
        <f t="shared" si="1"/>
        <v>4563963</v>
      </c>
    </row>
    <row r="14" spans="1:9">
      <c r="A14" s="195" t="s">
        <v>155</v>
      </c>
      <c r="B14" s="164"/>
      <c r="C14" s="170">
        <v>1219</v>
      </c>
      <c r="D14" s="183"/>
      <c r="E14" s="197">
        <v>292802</v>
      </c>
      <c r="F14" s="197">
        <v>-161230</v>
      </c>
      <c r="G14" s="197">
        <v>156057</v>
      </c>
      <c r="H14" s="163">
        <f t="shared" si="0"/>
        <v>-5173</v>
      </c>
      <c r="I14" s="171">
        <f t="shared" si="1"/>
        <v>287629</v>
      </c>
    </row>
    <row r="15" spans="1:9">
      <c r="A15" s="195" t="s">
        <v>206</v>
      </c>
      <c r="B15" s="164"/>
      <c r="C15" s="170">
        <v>414</v>
      </c>
      <c r="D15" s="183"/>
      <c r="E15" s="197">
        <v>1015974</v>
      </c>
      <c r="F15" s="197"/>
      <c r="G15" s="197"/>
      <c r="H15" s="163"/>
      <c r="I15" s="171">
        <f t="shared" si="1"/>
        <v>1015974</v>
      </c>
    </row>
    <row r="16" spans="1:9">
      <c r="A16" s="195" t="s">
        <v>207</v>
      </c>
      <c r="B16" s="164"/>
      <c r="C16" s="170"/>
      <c r="D16" s="183"/>
      <c r="E16" s="197">
        <v>414778</v>
      </c>
      <c r="F16" s="197"/>
      <c r="G16" s="197"/>
      <c r="H16" s="163">
        <f t="shared" si="0"/>
        <v>0</v>
      </c>
      <c r="I16" s="171">
        <f t="shared" si="1"/>
        <v>414778</v>
      </c>
    </row>
    <row r="17" spans="1:9">
      <c r="A17" s="195" t="s">
        <v>208</v>
      </c>
      <c r="B17" s="164"/>
      <c r="C17" s="170"/>
      <c r="D17" s="204"/>
      <c r="E17" s="197">
        <v>227940</v>
      </c>
      <c r="F17" s="197"/>
      <c r="G17" s="197"/>
      <c r="H17" s="163">
        <f t="shared" si="0"/>
        <v>0</v>
      </c>
      <c r="I17" s="171">
        <f t="shared" si="1"/>
        <v>227940</v>
      </c>
    </row>
    <row r="18" spans="1:9">
      <c r="A18" s="164"/>
      <c r="B18" s="164"/>
      <c r="C18" s="172">
        <f>SUM(C4:C17)</f>
        <v>249080</v>
      </c>
      <c r="E18" s="172">
        <f t="shared" ref="E18:I18" si="2">SUM(E4:E17)</f>
        <v>497730651</v>
      </c>
      <c r="F18" s="172">
        <f t="shared" si="2"/>
        <v>-216822347</v>
      </c>
      <c r="G18" s="172">
        <f t="shared" si="2"/>
        <v>206930953</v>
      </c>
      <c r="H18" s="172">
        <f t="shared" si="2"/>
        <v>-9891394</v>
      </c>
      <c r="I18" s="172">
        <f t="shared" si="2"/>
        <v>487839257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212618</v>
      </c>
      <c r="E20" s="174">
        <f>E4+E5</f>
        <v>227842125</v>
      </c>
      <c r="F20" s="174">
        <f t="shared" ref="F20:H20" si="3">F4+F5</f>
        <v>-128855160</v>
      </c>
      <c r="G20" s="174">
        <f t="shared" si="3"/>
        <v>117791465</v>
      </c>
      <c r="H20" s="174">
        <f t="shared" si="3"/>
        <v>-11063695</v>
      </c>
      <c r="I20" s="173">
        <f>I4+I5</f>
        <v>216778430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36027</v>
      </c>
      <c r="E22" s="192">
        <f>SUM(E6:E9,E12:E14)</f>
        <v>173708102</v>
      </c>
      <c r="F22" s="192">
        <f t="shared" ref="F22:H22" si="4">SUM(F6:F9,F12:F14)</f>
        <v>-87967187</v>
      </c>
      <c r="G22" s="192">
        <f t="shared" si="4"/>
        <v>89139488</v>
      </c>
      <c r="H22" s="192">
        <f t="shared" si="4"/>
        <v>1172301</v>
      </c>
      <c r="I22" s="191">
        <f>SUM(I6:I9,I12:I14)</f>
        <v>174880403</v>
      </c>
    </row>
    <row r="23" spans="1:9">
      <c r="A23" s="164"/>
      <c r="B23" s="164"/>
      <c r="C23" s="164"/>
      <c r="D23" s="164"/>
      <c r="E23" s="164"/>
    </row>
    <row r="24" spans="1:9" ht="53.4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1839655</v>
      </c>
      <c r="D26" s="196">
        <v>20224708.690000001</v>
      </c>
      <c r="E26" s="198">
        <v>-12016833</v>
      </c>
      <c r="F26" s="198">
        <v>10894887</v>
      </c>
      <c r="G26" s="188">
        <f>SUM(D26:F26)</f>
        <v>19102762.690000001</v>
      </c>
      <c r="H26" s="188">
        <f>-J63</f>
        <v>59067.559119999998</v>
      </c>
      <c r="I26" s="188">
        <f>SUM(G26:H26)</f>
        <v>19161830.249120001</v>
      </c>
    </row>
    <row r="27" spans="1:9">
      <c r="A27" s="195" t="s">
        <v>203</v>
      </c>
      <c r="B27" s="164"/>
      <c r="C27" s="196">
        <v>4207.5</v>
      </c>
      <c r="D27" s="196">
        <v>60224.92</v>
      </c>
      <c r="E27" s="198">
        <v>-23365</v>
      </c>
      <c r="F27" s="198">
        <v>20431</v>
      </c>
      <c r="G27" s="188">
        <f t="shared" ref="G27:G35" si="5">SUM(D27:F27)</f>
        <v>57290.92</v>
      </c>
      <c r="H27" s="188">
        <f t="shared" ref="H27:H35" si="6">-J64</f>
        <v>-1141.74476</v>
      </c>
      <c r="I27" s="188">
        <f t="shared" ref="I27:I36" si="7">SUM(G27:H27)</f>
        <v>56149.175239999997</v>
      </c>
    </row>
    <row r="28" spans="1:9">
      <c r="A28" s="195" t="s">
        <v>149</v>
      </c>
      <c r="B28" s="164"/>
      <c r="C28" s="196">
        <v>413721.28</v>
      </c>
      <c r="D28" s="196">
        <v>5716019.9299999997</v>
      </c>
      <c r="E28" s="198">
        <v>-2954977</v>
      </c>
      <c r="F28" s="198">
        <v>2922971</v>
      </c>
      <c r="G28" s="188">
        <f t="shared" si="5"/>
        <v>5684013.9299999997</v>
      </c>
      <c r="H28" s="188">
        <f t="shared" si="6"/>
        <v>1374.1066799999999</v>
      </c>
      <c r="I28" s="188">
        <f t="shared" si="7"/>
        <v>5685388.0366799999</v>
      </c>
    </row>
    <row r="29" spans="1:9">
      <c r="A29" s="195" t="s">
        <v>150</v>
      </c>
      <c r="B29" s="164"/>
      <c r="C29" s="196">
        <v>166572.07999999999</v>
      </c>
      <c r="D29" s="196">
        <v>827105.88</v>
      </c>
      <c r="E29" s="198">
        <v>-466189</v>
      </c>
      <c r="F29" s="198">
        <v>431020</v>
      </c>
      <c r="G29" s="188">
        <f t="shared" si="5"/>
        <v>791936.88</v>
      </c>
      <c r="H29" s="188">
        <f t="shared" si="6"/>
        <v>895.87952999999993</v>
      </c>
      <c r="I29" s="188">
        <f t="shared" si="7"/>
        <v>792832.75953000004</v>
      </c>
    </row>
    <row r="30" spans="1:9">
      <c r="A30" s="195" t="s">
        <v>151</v>
      </c>
      <c r="B30" s="164"/>
      <c r="C30" s="196">
        <v>925066.66</v>
      </c>
      <c r="D30" s="196">
        <v>9943069.8599999994</v>
      </c>
      <c r="E30" s="198">
        <v>-4442738</v>
      </c>
      <c r="F30" s="198">
        <v>4572312</v>
      </c>
      <c r="G30" s="188">
        <f t="shared" si="5"/>
        <v>10072643.859999999</v>
      </c>
      <c r="H30" s="188">
        <f t="shared" si="6"/>
        <v>-3448.7297600000002</v>
      </c>
      <c r="I30" s="188">
        <f t="shared" si="7"/>
        <v>10069195.130239999</v>
      </c>
    </row>
    <row r="31" spans="1:9">
      <c r="A31" s="195" t="s">
        <v>152</v>
      </c>
      <c r="B31" s="164"/>
      <c r="C31" s="196">
        <v>24000</v>
      </c>
      <c r="D31" s="196">
        <v>270458.06</v>
      </c>
      <c r="E31" s="198">
        <v>-135941</v>
      </c>
      <c r="F31" s="198">
        <v>127535</v>
      </c>
      <c r="G31" s="188">
        <f t="shared" si="5"/>
        <v>262052.06</v>
      </c>
      <c r="H31" s="188">
        <f t="shared" si="6"/>
        <v>170.03134999999997</v>
      </c>
      <c r="I31" s="188">
        <f t="shared" si="7"/>
        <v>262222.09135</v>
      </c>
    </row>
    <row r="32" spans="1:9">
      <c r="A32" s="195" t="s">
        <v>153</v>
      </c>
      <c r="B32" s="164"/>
      <c r="C32" s="196">
        <v>441000</v>
      </c>
      <c r="D32" s="196">
        <f>5530712.45-87772.2</f>
        <v>5442940.25</v>
      </c>
      <c r="E32" s="198">
        <v>0</v>
      </c>
      <c r="F32" s="198">
        <v>0</v>
      </c>
      <c r="G32" s="188">
        <f t="shared" si="5"/>
        <v>5442940.25</v>
      </c>
      <c r="H32" s="188">
        <f t="shared" si="6"/>
        <v>0</v>
      </c>
      <c r="I32" s="188">
        <f t="shared" si="7"/>
        <v>5442940.25</v>
      </c>
    </row>
    <row r="33" spans="1:10">
      <c r="A33" s="195" t="s">
        <v>205</v>
      </c>
      <c r="B33" s="164"/>
      <c r="C33" s="196">
        <v>900</v>
      </c>
      <c r="D33" s="196">
        <v>1390.88</v>
      </c>
      <c r="E33" s="198">
        <v>0</v>
      </c>
      <c r="F33" s="198">
        <v>0</v>
      </c>
      <c r="G33" s="188">
        <f t="shared" si="5"/>
        <v>1390.88</v>
      </c>
      <c r="H33" s="188">
        <f t="shared" si="6"/>
        <v>0</v>
      </c>
      <c r="I33" s="188">
        <f t="shared" si="7"/>
        <v>1390.88</v>
      </c>
    </row>
    <row r="34" spans="1:10">
      <c r="A34" s="195" t="s">
        <v>154</v>
      </c>
      <c r="B34" s="164"/>
      <c r="C34" s="196">
        <v>21888</v>
      </c>
      <c r="D34" s="196">
        <v>370321.99</v>
      </c>
      <c r="E34" s="198">
        <v>-152942</v>
      </c>
      <c r="F34" s="198">
        <v>177427</v>
      </c>
      <c r="G34" s="188">
        <f t="shared" si="5"/>
        <v>394806.99</v>
      </c>
      <c r="H34" s="188">
        <f t="shared" si="6"/>
        <v>-474.29084999999992</v>
      </c>
      <c r="I34" s="188">
        <f t="shared" si="7"/>
        <v>394332.69915</v>
      </c>
    </row>
    <row r="35" spans="1:10">
      <c r="A35" s="195" t="s">
        <v>155</v>
      </c>
      <c r="B35" s="164"/>
      <c r="C35" s="196">
        <v>22104</v>
      </c>
      <c r="D35" s="196">
        <v>46989.08</v>
      </c>
      <c r="E35" s="198">
        <v>-23443</v>
      </c>
      <c r="F35" s="198">
        <v>23399</v>
      </c>
      <c r="G35" s="188">
        <f t="shared" si="5"/>
        <v>46945.08</v>
      </c>
      <c r="H35" s="188">
        <f t="shared" si="6"/>
        <v>5.8972199999999972</v>
      </c>
      <c r="I35" s="188">
        <f t="shared" si="7"/>
        <v>46950.977220000001</v>
      </c>
    </row>
    <row r="36" spans="1:10">
      <c r="A36" s="195" t="s">
        <v>217</v>
      </c>
      <c r="B36" s="164"/>
      <c r="C36" s="188"/>
      <c r="D36" s="196">
        <v>556517.66</v>
      </c>
      <c r="E36" s="196"/>
      <c r="F36" s="196"/>
      <c r="G36" s="188">
        <f>SUM(D36:F36)</f>
        <v>556517.66</v>
      </c>
      <c r="H36" s="188"/>
      <c r="I36" s="188">
        <f t="shared" si="7"/>
        <v>556517.66</v>
      </c>
    </row>
    <row r="37" spans="1:10">
      <c r="A37" s="195" t="s">
        <v>218</v>
      </c>
      <c r="B37" s="164"/>
      <c r="C37" s="183"/>
      <c r="D37" s="196">
        <v>1793207.43</v>
      </c>
      <c r="E37" s="196"/>
      <c r="F37" s="196"/>
      <c r="G37" s="188"/>
      <c r="H37" s="188"/>
      <c r="I37" s="188"/>
    </row>
    <row r="38" spans="1:10">
      <c r="A38" s="195" t="s">
        <v>219</v>
      </c>
      <c r="B38" s="164"/>
      <c r="C38" s="183"/>
      <c r="D38" s="196">
        <v>1659521.04</v>
      </c>
      <c r="E38" s="196"/>
      <c r="F38" s="196"/>
      <c r="G38" s="188"/>
      <c r="H38" s="188"/>
      <c r="I38" s="188"/>
    </row>
    <row r="39" spans="1:10">
      <c r="A39" s="164"/>
      <c r="B39" s="164"/>
      <c r="C39" s="178">
        <f>SUM(C26:C38)</f>
        <v>3859114.5200000005</v>
      </c>
      <c r="D39" s="178">
        <f t="shared" ref="D39:I39" si="8">SUM(D26:D38)</f>
        <v>46912475.670000002</v>
      </c>
      <c r="E39" s="178">
        <f t="shared" si="8"/>
        <v>-20216428</v>
      </c>
      <c r="F39" s="178">
        <f t="shared" si="8"/>
        <v>19169982</v>
      </c>
      <c r="G39" s="178">
        <f t="shared" si="8"/>
        <v>42413301.200000003</v>
      </c>
      <c r="H39" s="178">
        <f t="shared" si="8"/>
        <v>56448.708529999989</v>
      </c>
      <c r="I39" s="178">
        <f t="shared" si="8"/>
        <v>42469749.908529997</v>
      </c>
    </row>
    <row r="40" spans="1:10" ht="15" thickBot="1">
      <c r="A40" s="164"/>
      <c r="B40" s="164"/>
      <c r="D40" s="179"/>
      <c r="E40" s="164"/>
      <c r="F40" s="164"/>
    </row>
    <row r="41" spans="1:10">
      <c r="A41" s="164" t="s">
        <v>19</v>
      </c>
      <c r="B41" s="164"/>
      <c r="C41" s="181">
        <f>C26+C27</f>
        <v>1843862.5</v>
      </c>
      <c r="D41" s="180">
        <f t="shared" ref="D41:I41" si="9">D26+D27</f>
        <v>20284933.610000003</v>
      </c>
      <c r="E41" s="180">
        <f t="shared" si="9"/>
        <v>-12040198</v>
      </c>
      <c r="F41" s="180">
        <f t="shared" si="9"/>
        <v>10915318</v>
      </c>
      <c r="G41" s="180">
        <f t="shared" si="9"/>
        <v>19160053.610000003</v>
      </c>
      <c r="H41" s="180">
        <f t="shared" si="9"/>
        <v>57925.814359999997</v>
      </c>
      <c r="I41" s="181">
        <f t="shared" si="9"/>
        <v>19217979.42436</v>
      </c>
    </row>
    <row r="42" spans="1:10">
      <c r="A42" s="164"/>
      <c r="B42" s="164"/>
      <c r="C42" s="187"/>
      <c r="D42" s="180"/>
      <c r="E42" s="164"/>
      <c r="F42" s="164"/>
      <c r="I42" s="182"/>
    </row>
    <row r="43" spans="1:10" ht="15" thickBot="1">
      <c r="A43" s="164" t="s">
        <v>209</v>
      </c>
      <c r="B43" s="164"/>
      <c r="C43" s="189">
        <f>SUM(C28:C31,C33:C35)</f>
        <v>1574252.02</v>
      </c>
      <c r="D43" s="190">
        <f t="shared" ref="D43:I43" si="10">SUM(D28:D31,D33:D35)</f>
        <v>17175355.679999996</v>
      </c>
      <c r="E43" s="190">
        <f t="shared" si="10"/>
        <v>-8176230</v>
      </c>
      <c r="F43" s="190">
        <f t="shared" si="10"/>
        <v>8254664</v>
      </c>
      <c r="G43" s="190">
        <f t="shared" si="10"/>
        <v>17253789.679999992</v>
      </c>
      <c r="H43" s="190">
        <f t="shared" si="10"/>
        <v>-1477.10583</v>
      </c>
      <c r="I43" s="189">
        <f t="shared" si="10"/>
        <v>17252312.574169997</v>
      </c>
    </row>
    <row r="44" spans="1:10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0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0">
      <c r="C46" s="161">
        <v>42675</v>
      </c>
      <c r="D46" s="185">
        <v>42675</v>
      </c>
      <c r="E46" s="185">
        <v>42278</v>
      </c>
      <c r="F46" s="161">
        <v>42583</v>
      </c>
      <c r="G46" s="161">
        <v>42644</v>
      </c>
      <c r="H46" s="161">
        <v>42380</v>
      </c>
      <c r="I46" s="161">
        <v>42552</v>
      </c>
      <c r="J46" s="161"/>
    </row>
    <row r="47" spans="1:10" ht="30" customHeight="1">
      <c r="A47" s="193" t="s">
        <v>220</v>
      </c>
      <c r="B47" s="166"/>
      <c r="C47" s="177" t="s">
        <v>221</v>
      </c>
      <c r="D47" s="177" t="s">
        <v>239</v>
      </c>
      <c r="E47" s="177" t="s">
        <v>222</v>
      </c>
      <c r="F47" s="177" t="s">
        <v>223</v>
      </c>
      <c r="G47" s="177" t="s">
        <v>224</v>
      </c>
      <c r="H47" s="177" t="s">
        <v>225</v>
      </c>
      <c r="I47" s="177" t="s">
        <v>226</v>
      </c>
      <c r="J47" s="177"/>
    </row>
    <row r="48" spans="1:10">
      <c r="A48" s="195" t="s">
        <v>148</v>
      </c>
      <c r="B48" s="164"/>
      <c r="C48" s="184">
        <v>-5.1000000000000004E-4</v>
      </c>
      <c r="D48" s="184">
        <v>2.63E-3</v>
      </c>
      <c r="E48" s="184"/>
      <c r="F48" s="184">
        <v>2.6199999999999999E-3</v>
      </c>
      <c r="G48" s="184">
        <v>9.7000000000000005E-4</v>
      </c>
      <c r="H48" s="184">
        <v>0</v>
      </c>
      <c r="I48" s="184">
        <v>-3.5E-4</v>
      </c>
      <c r="J48" s="184"/>
    </row>
    <row r="49" spans="1:13">
      <c r="A49" s="195" t="s">
        <v>203</v>
      </c>
      <c r="B49" s="164"/>
      <c r="C49" s="184">
        <v>-5.1000000000000004E-4</v>
      </c>
      <c r="D49" s="184">
        <v>2.63E-3</v>
      </c>
      <c r="E49" s="184">
        <v>-3.1530000000000002E-2</v>
      </c>
      <c r="F49" s="184">
        <v>2.6199999999999999E-3</v>
      </c>
      <c r="G49" s="184">
        <v>9.7000000000000005E-4</v>
      </c>
      <c r="H49" s="184">
        <v>0</v>
      </c>
      <c r="I49" s="184">
        <v>-3.5E-4</v>
      </c>
      <c r="J49" s="184"/>
    </row>
    <row r="50" spans="1:13">
      <c r="A50" s="195" t="s">
        <v>149</v>
      </c>
      <c r="B50" s="164"/>
      <c r="C50" s="184"/>
      <c r="D50" s="184">
        <v>-1.4300000000000001E-3</v>
      </c>
      <c r="E50" s="184"/>
      <c r="F50" s="184">
        <v>3.62E-3</v>
      </c>
      <c r="G50" s="184">
        <v>1.41E-3</v>
      </c>
      <c r="H50" s="184">
        <v>0</v>
      </c>
      <c r="I50" s="184">
        <v>-3.6000000000000002E-4</v>
      </c>
      <c r="J50" s="184"/>
    </row>
    <row r="51" spans="1:13">
      <c r="A51" s="195" t="s">
        <v>150</v>
      </c>
      <c r="B51" s="164"/>
      <c r="C51" s="184">
        <v>-5.1000000000000004E-4</v>
      </c>
      <c r="D51" s="184">
        <v>-1.4300000000000001E-3</v>
      </c>
      <c r="E51" s="184"/>
      <c r="F51" s="184">
        <v>3.62E-3</v>
      </c>
      <c r="G51" s="184">
        <v>1.41E-3</v>
      </c>
      <c r="H51" s="184">
        <v>0</v>
      </c>
      <c r="I51" s="184">
        <v>-3.6000000000000002E-4</v>
      </c>
      <c r="J51" s="184"/>
    </row>
    <row r="52" spans="1:13">
      <c r="A52" s="195" t="s">
        <v>151</v>
      </c>
      <c r="B52" s="164"/>
      <c r="C52" s="184"/>
      <c r="D52" s="184">
        <v>-1.4300000000000001E-3</v>
      </c>
      <c r="E52" s="184"/>
      <c r="F52" s="184">
        <v>2.7299999999999998E-3</v>
      </c>
      <c r="G52" s="184">
        <v>1.0200000000000001E-3</v>
      </c>
      <c r="H52" s="184">
        <v>0</v>
      </c>
      <c r="I52" s="184">
        <v>-3.6000000000000002E-4</v>
      </c>
      <c r="J52" s="184"/>
    </row>
    <row r="53" spans="1:13">
      <c r="A53" s="195" t="s">
        <v>152</v>
      </c>
      <c r="B53" s="164"/>
      <c r="C53" s="184">
        <v>-5.1000000000000004E-4</v>
      </c>
      <c r="D53" s="184">
        <v>-1.4300000000000001E-3</v>
      </c>
      <c r="E53" s="184"/>
      <c r="F53" s="184">
        <v>2.7299999999999998E-3</v>
      </c>
      <c r="G53" s="184">
        <v>1.0200000000000001E-3</v>
      </c>
      <c r="H53" s="184">
        <v>0</v>
      </c>
      <c r="I53" s="184">
        <v>-3.6000000000000002E-4</v>
      </c>
      <c r="J53" s="184"/>
    </row>
    <row r="54" spans="1:13">
      <c r="A54" s="195" t="s">
        <v>153</v>
      </c>
      <c r="B54" s="164"/>
      <c r="C54" s="184"/>
      <c r="D54" s="184"/>
      <c r="E54" s="184"/>
      <c r="F54" s="184">
        <v>1.72E-3</v>
      </c>
      <c r="G54" s="184">
        <v>6.4000000000000005E-4</v>
      </c>
      <c r="H54" s="184">
        <v>0</v>
      </c>
      <c r="I54" s="184">
        <v>-3.4000000000000002E-4</v>
      </c>
      <c r="J54" s="184"/>
    </row>
    <row r="55" spans="1:13">
      <c r="A55" s="195" t="s">
        <v>204</v>
      </c>
      <c r="B55" s="164"/>
      <c r="C55" s="184"/>
      <c r="D55" s="184"/>
      <c r="E55" s="184"/>
      <c r="F55" s="184">
        <v>1.72E-3</v>
      </c>
      <c r="G55" s="184">
        <v>0</v>
      </c>
      <c r="H55" s="184">
        <v>0</v>
      </c>
      <c r="I55" s="184">
        <v>-3.4000000000000002E-4</v>
      </c>
      <c r="J55" s="184"/>
    </row>
    <row r="56" spans="1:13">
      <c r="A56" s="195" t="s">
        <v>205</v>
      </c>
      <c r="B56" s="164"/>
      <c r="C56" s="184"/>
      <c r="D56" s="184">
        <v>-1.4300000000000001E-3</v>
      </c>
      <c r="E56" s="184"/>
      <c r="F56" s="184">
        <v>2.6099999999999999E-3</v>
      </c>
      <c r="G56" s="184">
        <v>8.8999999999999995E-4</v>
      </c>
      <c r="H56" s="184">
        <v>0</v>
      </c>
      <c r="I56" s="184">
        <v>-4.2000000000000002E-4</v>
      </c>
      <c r="J56" s="184"/>
    </row>
    <row r="57" spans="1:13">
      <c r="A57" s="195" t="s">
        <v>154</v>
      </c>
      <c r="B57" s="164"/>
      <c r="C57" s="184"/>
      <c r="D57" s="184">
        <v>-1.4300000000000001E-3</v>
      </c>
      <c r="E57" s="184"/>
      <c r="F57" s="184">
        <v>2.6099999999999999E-3</v>
      </c>
      <c r="G57" s="184">
        <v>8.8999999999999995E-4</v>
      </c>
      <c r="H57" s="184">
        <v>0</v>
      </c>
      <c r="I57" s="184">
        <v>-4.2000000000000002E-4</v>
      </c>
      <c r="J57" s="184"/>
    </row>
    <row r="58" spans="1:13">
      <c r="A58" s="195" t="s">
        <v>155</v>
      </c>
      <c r="B58" s="164"/>
      <c r="C58" s="184">
        <v>-5.1000000000000004E-4</v>
      </c>
      <c r="D58" s="184">
        <v>-1.4300000000000001E-3</v>
      </c>
      <c r="E58" s="184"/>
      <c r="F58" s="184">
        <v>2.6099999999999999E-3</v>
      </c>
      <c r="G58" s="184">
        <v>8.8999999999999995E-4</v>
      </c>
      <c r="H58" s="184">
        <v>0</v>
      </c>
      <c r="I58" s="184">
        <v>-4.2000000000000002E-4</v>
      </c>
      <c r="J58" s="184"/>
    </row>
    <row r="59" spans="1:13" ht="14.4" customHeight="1">
      <c r="A59" s="195" t="s">
        <v>217</v>
      </c>
      <c r="B59" s="164"/>
      <c r="C59" s="202"/>
      <c r="D59" s="184"/>
      <c r="E59" s="184"/>
      <c r="F59" s="202">
        <v>8.6199999999999992E-3</v>
      </c>
      <c r="G59" s="255" t="s">
        <v>235</v>
      </c>
      <c r="H59" s="184">
        <v>0</v>
      </c>
      <c r="I59" s="199">
        <v>-3.6999999999999999E-4</v>
      </c>
      <c r="J59" s="202"/>
    </row>
    <row r="60" spans="1:13">
      <c r="A60" s="195" t="s">
        <v>208</v>
      </c>
      <c r="B60" s="164"/>
      <c r="C60" s="202"/>
      <c r="D60" s="184"/>
      <c r="E60" s="184"/>
      <c r="F60" s="202">
        <v>8.6199999999999992E-3</v>
      </c>
      <c r="G60" s="255"/>
      <c r="H60" s="184">
        <v>0</v>
      </c>
      <c r="I60" s="199">
        <v>-3.6999999999999999E-4</v>
      </c>
      <c r="J60" s="202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3"/>
    </row>
    <row r="63" spans="1:13">
      <c r="A63" s="195" t="s">
        <v>148</v>
      </c>
      <c r="C63" s="180">
        <f>$H4*C48</f>
        <v>5620.2341700000006</v>
      </c>
      <c r="D63" s="180">
        <f t="shared" ref="D63:I63" si="11">$H4*D48</f>
        <v>-28982.77621</v>
      </c>
      <c r="E63" s="180">
        <f t="shared" si="11"/>
        <v>0</v>
      </c>
      <c r="F63" s="180">
        <f t="shared" si="11"/>
        <v>-28872.575539999998</v>
      </c>
      <c r="G63" s="180">
        <f t="shared" si="11"/>
        <v>-10689.46499</v>
      </c>
      <c r="H63" s="180">
        <f t="shared" si="11"/>
        <v>0</v>
      </c>
      <c r="I63" s="180">
        <f t="shared" si="11"/>
        <v>3857.0234500000001</v>
      </c>
      <c r="J63" s="180">
        <f>SUM(C63:I63)</f>
        <v>-59067.559119999998</v>
      </c>
      <c r="M63" s="180"/>
    </row>
    <row r="64" spans="1:13">
      <c r="A64" s="195" t="s">
        <v>203</v>
      </c>
      <c r="C64" s="180">
        <f t="shared" ref="C64:I68" si="12">$H5*C49</f>
        <v>22.25028</v>
      </c>
      <c r="D64" s="180">
        <f t="shared" si="12"/>
        <v>-114.74164</v>
      </c>
      <c r="E64" s="180">
        <f t="shared" si="12"/>
        <v>1375.5908400000001</v>
      </c>
      <c r="F64" s="180">
        <f t="shared" si="12"/>
        <v>-114.30535999999999</v>
      </c>
      <c r="G64" s="180">
        <f t="shared" si="12"/>
        <v>-42.319160000000004</v>
      </c>
      <c r="H64" s="180">
        <f t="shared" si="12"/>
        <v>0</v>
      </c>
      <c r="I64" s="180">
        <f t="shared" si="12"/>
        <v>15.2698</v>
      </c>
      <c r="J64" s="180">
        <f t="shared" ref="J64:J73" si="13">SUM(C64:I64)</f>
        <v>1141.74476</v>
      </c>
      <c r="M64" s="180"/>
    </row>
    <row r="65" spans="1:13">
      <c r="A65" s="195" t="s">
        <v>149</v>
      </c>
      <c r="C65" s="180">
        <f t="shared" si="12"/>
        <v>0</v>
      </c>
      <c r="D65" s="180">
        <f t="shared" si="12"/>
        <v>606.47301000000004</v>
      </c>
      <c r="E65" s="180">
        <f t="shared" si="12"/>
        <v>0</v>
      </c>
      <c r="F65" s="180">
        <f t="shared" si="12"/>
        <v>-1535.2673399999999</v>
      </c>
      <c r="G65" s="180">
        <f t="shared" si="12"/>
        <v>-597.99086999999997</v>
      </c>
      <c r="H65" s="180">
        <f t="shared" si="12"/>
        <v>0</v>
      </c>
      <c r="I65" s="180">
        <f t="shared" si="12"/>
        <v>152.67852000000002</v>
      </c>
      <c r="J65" s="180">
        <f t="shared" si="13"/>
        <v>-1374.1066799999999</v>
      </c>
      <c r="M65" s="180"/>
    </row>
    <row r="66" spans="1:13">
      <c r="A66" s="195" t="s">
        <v>150</v>
      </c>
      <c r="C66" s="180">
        <f t="shared" si="12"/>
        <v>167.36211</v>
      </c>
      <c r="D66" s="180">
        <f t="shared" si="12"/>
        <v>469.27023000000003</v>
      </c>
      <c r="E66" s="180">
        <f t="shared" si="12"/>
        <v>0</v>
      </c>
      <c r="F66" s="180">
        <f t="shared" si="12"/>
        <v>-1187.94282</v>
      </c>
      <c r="G66" s="180">
        <f t="shared" si="12"/>
        <v>-462.70701000000003</v>
      </c>
      <c r="H66" s="180">
        <f t="shared" si="12"/>
        <v>0</v>
      </c>
      <c r="I66" s="180">
        <f t="shared" si="12"/>
        <v>118.13796000000001</v>
      </c>
      <c r="J66" s="180">
        <f t="shared" si="13"/>
        <v>-895.87952999999993</v>
      </c>
      <c r="M66" s="180"/>
    </row>
    <row r="67" spans="1:13">
      <c r="A67" s="195" t="s">
        <v>151</v>
      </c>
      <c r="C67" s="180">
        <f t="shared" si="12"/>
        <v>0</v>
      </c>
      <c r="D67" s="180">
        <f t="shared" si="12"/>
        <v>-2516.1650800000002</v>
      </c>
      <c r="E67" s="180">
        <f t="shared" si="12"/>
        <v>0</v>
      </c>
      <c r="F67" s="180">
        <f t="shared" si="12"/>
        <v>4803.58788</v>
      </c>
      <c r="G67" s="180">
        <f t="shared" si="12"/>
        <v>1794.7471200000002</v>
      </c>
      <c r="H67" s="180">
        <f t="shared" si="12"/>
        <v>0</v>
      </c>
      <c r="I67" s="180">
        <f t="shared" si="12"/>
        <v>-633.44015999999999</v>
      </c>
      <c r="J67" s="180">
        <f t="shared" si="13"/>
        <v>3448.7297600000002</v>
      </c>
      <c r="M67" s="180"/>
    </row>
    <row r="68" spans="1:13">
      <c r="A68" s="195" t="s">
        <v>152</v>
      </c>
      <c r="C68" s="180">
        <f t="shared" si="12"/>
        <v>59.804130000000008</v>
      </c>
      <c r="D68" s="180">
        <f t="shared" si="12"/>
        <v>167.68609000000001</v>
      </c>
      <c r="E68" s="180">
        <f t="shared" si="12"/>
        <v>0</v>
      </c>
      <c r="F68" s="180">
        <f t="shared" si="12"/>
        <v>-320.12798999999995</v>
      </c>
      <c r="G68" s="180">
        <f t="shared" si="12"/>
        <v>-119.60826000000002</v>
      </c>
      <c r="H68" s="180">
        <f t="shared" si="12"/>
        <v>0</v>
      </c>
      <c r="I68" s="180">
        <f t="shared" si="12"/>
        <v>42.214680000000001</v>
      </c>
      <c r="J68" s="180">
        <f t="shared" si="13"/>
        <v>-170.03134999999997</v>
      </c>
      <c r="M68" s="180"/>
    </row>
    <row r="69" spans="1:13">
      <c r="A69" s="195" t="s">
        <v>153</v>
      </c>
      <c r="C69" s="180">
        <f>($H10+$H11)*C54</f>
        <v>0</v>
      </c>
      <c r="D69" s="180">
        <f t="shared" ref="D69:I69" si="14">($H10+$H11)*D54</f>
        <v>0</v>
      </c>
      <c r="E69" s="180">
        <f t="shared" si="14"/>
        <v>0</v>
      </c>
      <c r="F69" s="180">
        <f t="shared" si="14"/>
        <v>0</v>
      </c>
      <c r="G69" s="180">
        <f t="shared" si="14"/>
        <v>0</v>
      </c>
      <c r="H69" s="180">
        <f t="shared" si="14"/>
        <v>0</v>
      </c>
      <c r="I69" s="180">
        <f t="shared" si="14"/>
        <v>0</v>
      </c>
      <c r="J69" s="180">
        <f t="shared" si="13"/>
        <v>0</v>
      </c>
      <c r="M69" s="180"/>
    </row>
    <row r="70" spans="1:13">
      <c r="A70" s="195" t="s">
        <v>205</v>
      </c>
      <c r="C70" s="180">
        <f>$H12*C56</f>
        <v>0</v>
      </c>
      <c r="D70" s="180">
        <f t="shared" ref="D70:I70" si="15">$H12*D56</f>
        <v>0</v>
      </c>
      <c r="E70" s="180">
        <f t="shared" si="15"/>
        <v>0</v>
      </c>
      <c r="F70" s="180">
        <f t="shared" si="15"/>
        <v>0</v>
      </c>
      <c r="G70" s="180">
        <f t="shared" si="15"/>
        <v>0</v>
      </c>
      <c r="H70" s="180">
        <f t="shared" si="15"/>
        <v>0</v>
      </c>
      <c r="I70" s="180">
        <f t="shared" si="15"/>
        <v>0</v>
      </c>
      <c r="J70" s="180">
        <f t="shared" si="13"/>
        <v>0</v>
      </c>
      <c r="M70" s="180"/>
    </row>
    <row r="71" spans="1:13">
      <c r="A71" s="195" t="s">
        <v>154</v>
      </c>
      <c r="C71" s="180">
        <f t="shared" ref="C71:I72" si="16">$H13*C57</f>
        <v>0</v>
      </c>
      <c r="D71" s="180">
        <f t="shared" si="16"/>
        <v>-411.05207000000001</v>
      </c>
      <c r="E71" s="180">
        <f t="shared" si="16"/>
        <v>0</v>
      </c>
      <c r="F71" s="180">
        <f t="shared" si="16"/>
        <v>750.24189000000001</v>
      </c>
      <c r="G71" s="180">
        <f t="shared" si="16"/>
        <v>255.82960999999997</v>
      </c>
      <c r="H71" s="180">
        <f t="shared" si="16"/>
        <v>0</v>
      </c>
      <c r="I71" s="180">
        <f t="shared" si="16"/>
        <v>-120.72858000000001</v>
      </c>
      <c r="J71" s="180">
        <f t="shared" si="13"/>
        <v>474.29084999999992</v>
      </c>
      <c r="M71" s="180"/>
    </row>
    <row r="72" spans="1:13">
      <c r="A72" s="195" t="s">
        <v>155</v>
      </c>
      <c r="C72" s="180">
        <f t="shared" si="16"/>
        <v>2.6382300000000001</v>
      </c>
      <c r="D72" s="180">
        <f t="shared" si="16"/>
        <v>7.3973900000000006</v>
      </c>
      <c r="E72" s="180">
        <f t="shared" si="16"/>
        <v>0</v>
      </c>
      <c r="F72" s="180">
        <f t="shared" si="16"/>
        <v>-13.501529999999999</v>
      </c>
      <c r="G72" s="180">
        <f t="shared" si="16"/>
        <v>-4.6039699999999995</v>
      </c>
      <c r="H72" s="180">
        <f t="shared" si="16"/>
        <v>0</v>
      </c>
      <c r="I72" s="180">
        <f t="shared" si="16"/>
        <v>2.17266</v>
      </c>
      <c r="J72" s="180">
        <f t="shared" si="13"/>
        <v>-5.8972199999999972</v>
      </c>
      <c r="M72" s="180"/>
    </row>
    <row r="73" spans="1:13">
      <c r="A73" s="195" t="s">
        <v>217</v>
      </c>
      <c r="C73" s="180">
        <f>($H15+$H16)*C59</f>
        <v>0</v>
      </c>
      <c r="D73" s="180">
        <f t="shared" ref="D73:I73" si="17">($H15+$H16)*D59</f>
        <v>0</v>
      </c>
      <c r="E73" s="180">
        <f t="shared" si="17"/>
        <v>0</v>
      </c>
      <c r="F73" s="180">
        <f t="shared" si="17"/>
        <v>0</v>
      </c>
      <c r="G73" s="180"/>
      <c r="H73" s="180">
        <f t="shared" si="17"/>
        <v>0</v>
      </c>
      <c r="I73" s="180">
        <f t="shared" si="17"/>
        <v>0</v>
      </c>
      <c r="J73" s="180">
        <f t="shared" si="13"/>
        <v>0</v>
      </c>
      <c r="M73" s="180"/>
    </row>
    <row r="74" spans="1:13">
      <c r="A74" s="169"/>
      <c r="C74" s="194">
        <f>SUM(C63:C73)</f>
        <v>5872.2889200000009</v>
      </c>
      <c r="D74" s="194">
        <f>SUM(D63:D73)</f>
        <v>-30773.908280000003</v>
      </c>
      <c r="E74" s="194">
        <f>SUM(E63:E73)</f>
        <v>1375.5908400000001</v>
      </c>
      <c r="F74" s="194">
        <f t="shared" ref="F74:J74" si="18">SUM(F63:F73)</f>
        <v>-26489.890809999997</v>
      </c>
      <c r="G74" s="194">
        <f t="shared" si="18"/>
        <v>-9866.1175299999995</v>
      </c>
      <c r="H74" s="194">
        <f t="shared" si="18"/>
        <v>0</v>
      </c>
      <c r="I74" s="194">
        <f t="shared" si="18"/>
        <v>3433.3283300000003</v>
      </c>
      <c r="J74" s="194">
        <f t="shared" si="18"/>
        <v>-56448.708529999989</v>
      </c>
    </row>
    <row r="76" spans="1:13">
      <c r="A76" s="164" t="s">
        <v>19</v>
      </c>
      <c r="B76" s="164"/>
      <c r="C76" s="180">
        <f>C63+C64</f>
        <v>5642.4844500000008</v>
      </c>
      <c r="D76" s="180">
        <f>D63+D64</f>
        <v>-29097.51785</v>
      </c>
      <c r="E76" s="180">
        <f t="shared" ref="E76:J76" si="19">E63+E64</f>
        <v>1375.5908400000001</v>
      </c>
      <c r="F76" s="180">
        <f t="shared" si="19"/>
        <v>-28986.880899999996</v>
      </c>
      <c r="G76" s="180">
        <f t="shared" si="19"/>
        <v>-10731.784149999999</v>
      </c>
      <c r="H76" s="180">
        <f t="shared" si="19"/>
        <v>0</v>
      </c>
      <c r="I76" s="180">
        <f t="shared" si="19"/>
        <v>3872.2932500000002</v>
      </c>
      <c r="J76" s="180">
        <f t="shared" si="19"/>
        <v>-57925.814359999997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229.80447000000001</v>
      </c>
      <c r="D78" s="190">
        <f>SUM(D65:D68,D70:D72)</f>
        <v>-1676.3904300000002</v>
      </c>
      <c r="E78" s="190">
        <f t="shared" ref="E78:J78" si="20">SUM(E65:E68,E70:E72)</f>
        <v>0</v>
      </c>
      <c r="F78" s="190">
        <f t="shared" si="20"/>
        <v>2496.9900900000007</v>
      </c>
      <c r="G78" s="190">
        <f t="shared" si="20"/>
        <v>865.66662000000031</v>
      </c>
      <c r="H78" s="190">
        <f t="shared" si="20"/>
        <v>0</v>
      </c>
      <c r="I78" s="190">
        <f t="shared" si="20"/>
        <v>-438.96492000000001</v>
      </c>
      <c r="J78" s="190">
        <f t="shared" si="20"/>
        <v>1477.10583</v>
      </c>
    </row>
  </sheetData>
  <mergeCells count="2">
    <mergeCell ref="A1:I1"/>
    <mergeCell ref="G59:G60"/>
  </mergeCells>
  <pageMargins left="0.57999999999999996" right="0.6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  <pageSetUpPr fitToPage="1"/>
  </sheetPr>
  <dimension ref="A1:M78"/>
  <sheetViews>
    <sheetView workbookViewId="0">
      <selection sqref="A1:XFD1048576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211566</v>
      </c>
      <c r="D4" s="183"/>
      <c r="E4" s="197">
        <v>274442037</v>
      </c>
      <c r="F4" s="197">
        <v>-160764583</v>
      </c>
      <c r="G4" s="197">
        <v>128468208</v>
      </c>
      <c r="H4" s="163">
        <f>SUM(F4:G4)</f>
        <v>-32296375</v>
      </c>
      <c r="I4" s="171">
        <f>E4+H4</f>
        <v>242145662</v>
      </c>
    </row>
    <row r="5" spans="1:9">
      <c r="A5" s="195" t="s">
        <v>203</v>
      </c>
      <c r="B5" s="164"/>
      <c r="C5" s="170">
        <v>493</v>
      </c>
      <c r="D5" s="183"/>
      <c r="E5" s="197">
        <v>822947</v>
      </c>
      <c r="F5" s="197">
        <v>-509741</v>
      </c>
      <c r="G5" s="197">
        <v>386952</v>
      </c>
      <c r="H5" s="163">
        <f t="shared" ref="H5:H17" si="0">SUM(F5:G5)</f>
        <v>-122789</v>
      </c>
      <c r="I5" s="171">
        <f t="shared" ref="I5:I17" si="1">E5+H5</f>
        <v>700158</v>
      </c>
    </row>
    <row r="6" spans="1:9">
      <c r="A6" s="195" t="s">
        <v>149</v>
      </c>
      <c r="B6" s="164"/>
      <c r="C6" s="170">
        <v>22357</v>
      </c>
      <c r="D6" s="183"/>
      <c r="E6" s="197">
        <v>55386925</v>
      </c>
      <c r="F6" s="197">
        <v>-30113951</v>
      </c>
      <c r="G6" s="197">
        <v>25861321</v>
      </c>
      <c r="H6" s="163">
        <f t="shared" si="0"/>
        <v>-4252630</v>
      </c>
      <c r="I6" s="171">
        <f t="shared" si="1"/>
        <v>51134295</v>
      </c>
    </row>
    <row r="7" spans="1:9">
      <c r="A7" s="195" t="s">
        <v>150</v>
      </c>
      <c r="B7" s="164"/>
      <c r="C7" s="170">
        <v>9133</v>
      </c>
      <c r="D7" s="183"/>
      <c r="E7" s="197">
        <v>7328263</v>
      </c>
      <c r="F7" s="197">
        <v>-3960298</v>
      </c>
      <c r="G7" s="197">
        <v>3418080</v>
      </c>
      <c r="H7" s="163">
        <f t="shared" si="0"/>
        <v>-542218</v>
      </c>
      <c r="I7" s="171">
        <f t="shared" si="1"/>
        <v>6786045</v>
      </c>
    </row>
    <row r="8" spans="1:9">
      <c r="A8" s="195" t="s">
        <v>151</v>
      </c>
      <c r="B8" s="164"/>
      <c r="C8" s="170">
        <v>1850</v>
      </c>
      <c r="D8" s="183"/>
      <c r="E8" s="197">
        <v>118288562</v>
      </c>
      <c r="F8" s="197">
        <v>-62384500</v>
      </c>
      <c r="G8" s="197">
        <v>55076230</v>
      </c>
      <c r="H8" s="163">
        <f t="shared" si="0"/>
        <v>-7308270</v>
      </c>
      <c r="I8" s="171">
        <f t="shared" si="1"/>
        <v>110980292</v>
      </c>
    </row>
    <row r="9" spans="1:9">
      <c r="A9" s="195" t="s">
        <v>152</v>
      </c>
      <c r="B9" s="164"/>
      <c r="C9" s="170">
        <v>48</v>
      </c>
      <c r="D9" s="183"/>
      <c r="E9" s="197">
        <v>3615480</v>
      </c>
      <c r="F9" s="197">
        <v>-2156598</v>
      </c>
      <c r="G9" s="197">
        <v>1709040</v>
      </c>
      <c r="H9" s="163">
        <f t="shared" si="0"/>
        <v>-447558</v>
      </c>
      <c r="I9" s="171">
        <f t="shared" si="1"/>
        <v>3167922</v>
      </c>
    </row>
    <row r="10" spans="1:9">
      <c r="A10" s="195" t="s">
        <v>153</v>
      </c>
      <c r="B10" s="164"/>
      <c r="C10" s="170">
        <v>21</v>
      </c>
      <c r="D10" s="183"/>
      <c r="E10" s="197">
        <f>86125720-E11</f>
        <v>54508202</v>
      </c>
      <c r="F10" s="197">
        <v>0</v>
      </c>
      <c r="G10" s="197">
        <v>0</v>
      </c>
      <c r="H10" s="163">
        <f t="shared" si="0"/>
        <v>0</v>
      </c>
      <c r="I10" s="171">
        <f t="shared" si="1"/>
        <v>54508202</v>
      </c>
    </row>
    <row r="11" spans="1:9">
      <c r="A11" s="195" t="s">
        <v>204</v>
      </c>
      <c r="B11" s="164"/>
      <c r="C11" s="170"/>
      <c r="D11" s="183"/>
      <c r="E11" s="197">
        <v>31617518</v>
      </c>
      <c r="F11" s="197">
        <v>0</v>
      </c>
      <c r="G11" s="197">
        <v>0</v>
      </c>
      <c r="H11" s="163">
        <f t="shared" si="0"/>
        <v>0</v>
      </c>
      <c r="I11" s="171">
        <f t="shared" si="1"/>
        <v>31617518</v>
      </c>
    </row>
    <row r="12" spans="1:9">
      <c r="A12" s="195" t="s">
        <v>205</v>
      </c>
      <c r="B12" s="164"/>
      <c r="C12" s="170">
        <v>79</v>
      </c>
      <c r="D12" s="183"/>
      <c r="E12" s="197">
        <v>8040</v>
      </c>
      <c r="F12" s="197">
        <v>0</v>
      </c>
      <c r="G12" s="197">
        <v>0</v>
      </c>
      <c r="H12" s="163">
        <f t="shared" si="0"/>
        <v>0</v>
      </c>
      <c r="I12" s="171">
        <f t="shared" si="1"/>
        <v>8040</v>
      </c>
    </row>
    <row r="13" spans="1:9">
      <c r="A13" s="195" t="s">
        <v>154</v>
      </c>
      <c r="B13" s="164"/>
      <c r="C13" s="170">
        <v>1143</v>
      </c>
      <c r="D13" s="183"/>
      <c r="E13" s="197">
        <v>4099265</v>
      </c>
      <c r="F13" s="197">
        <v>-1646857</v>
      </c>
      <c r="G13" s="197">
        <v>1741286</v>
      </c>
      <c r="H13" s="163">
        <f t="shared" si="0"/>
        <v>94429</v>
      </c>
      <c r="I13" s="171">
        <f t="shared" si="1"/>
        <v>4193694</v>
      </c>
    </row>
    <row r="14" spans="1:9">
      <c r="A14" s="195" t="s">
        <v>155</v>
      </c>
      <c r="B14" s="164"/>
      <c r="C14" s="170">
        <v>1179</v>
      </c>
      <c r="D14" s="183"/>
      <c r="E14" s="197">
        <v>326575</v>
      </c>
      <c r="F14" s="197">
        <v>-156844</v>
      </c>
      <c r="G14" s="197">
        <v>161230</v>
      </c>
      <c r="H14" s="163">
        <f t="shared" si="0"/>
        <v>4386</v>
      </c>
      <c r="I14" s="171">
        <f t="shared" si="1"/>
        <v>330961</v>
      </c>
    </row>
    <row r="15" spans="1:9">
      <c r="A15" s="195" t="s">
        <v>206</v>
      </c>
      <c r="B15" s="164"/>
      <c r="C15" s="170">
        <v>413</v>
      </c>
      <c r="D15" s="183"/>
      <c r="E15" s="197">
        <v>1036174</v>
      </c>
      <c r="F15" s="197"/>
      <c r="G15" s="197"/>
      <c r="H15" s="163"/>
      <c r="I15" s="171">
        <f t="shared" si="1"/>
        <v>1036174</v>
      </c>
    </row>
    <row r="16" spans="1:9">
      <c r="A16" s="195" t="s">
        <v>207</v>
      </c>
      <c r="B16" s="164"/>
      <c r="C16" s="170"/>
      <c r="D16" s="183"/>
      <c r="E16" s="197">
        <v>428557.71062000003</v>
      </c>
      <c r="F16" s="197"/>
      <c r="G16" s="197"/>
      <c r="H16" s="163">
        <f t="shared" si="0"/>
        <v>0</v>
      </c>
      <c r="I16" s="171">
        <f t="shared" si="1"/>
        <v>428557.71062000003</v>
      </c>
    </row>
    <row r="17" spans="1:9">
      <c r="A17" s="195" t="s">
        <v>208</v>
      </c>
      <c r="B17" s="164"/>
      <c r="C17" s="170"/>
      <c r="D17" s="204"/>
      <c r="E17" s="197">
        <v>229226.95167000001</v>
      </c>
      <c r="F17" s="197"/>
      <c r="G17" s="197"/>
      <c r="H17" s="163">
        <f t="shared" si="0"/>
        <v>0</v>
      </c>
      <c r="I17" s="171">
        <f t="shared" si="1"/>
        <v>229226.95167000001</v>
      </c>
    </row>
    <row r="18" spans="1:9">
      <c r="A18" s="164"/>
      <c r="B18" s="164"/>
      <c r="C18" s="172">
        <f>SUM(C4:C17)</f>
        <v>248282</v>
      </c>
      <c r="E18" s="172">
        <f t="shared" ref="E18:I18" si="2">SUM(E4:E17)</f>
        <v>552137772.6622901</v>
      </c>
      <c r="F18" s="172">
        <f t="shared" si="2"/>
        <v>-261693372</v>
      </c>
      <c r="G18" s="172">
        <f t="shared" si="2"/>
        <v>216822347</v>
      </c>
      <c r="H18" s="172">
        <f t="shared" si="2"/>
        <v>-44871025</v>
      </c>
      <c r="I18" s="172">
        <f t="shared" si="2"/>
        <v>507266747.66228998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212059</v>
      </c>
      <c r="E20" s="174">
        <f>E4+E5</f>
        <v>275264984</v>
      </c>
      <c r="F20" s="174">
        <f t="shared" ref="F20:I20" si="3">F4+F5</f>
        <v>-161274324</v>
      </c>
      <c r="G20" s="174">
        <f t="shared" si="3"/>
        <v>128855160</v>
      </c>
      <c r="H20" s="174">
        <f t="shared" si="3"/>
        <v>-32419164</v>
      </c>
      <c r="I20" s="173">
        <f t="shared" si="3"/>
        <v>242845820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35789</v>
      </c>
      <c r="E22" s="192">
        <f>SUM(E6:E9,E12:E14)</f>
        <v>189053110</v>
      </c>
      <c r="F22" s="192">
        <f t="shared" ref="F22:H22" si="4">SUM(F6:F9,F12:F14)</f>
        <v>-100419048</v>
      </c>
      <c r="G22" s="192">
        <f t="shared" si="4"/>
        <v>87967187</v>
      </c>
      <c r="H22" s="192">
        <f t="shared" si="4"/>
        <v>-12451861</v>
      </c>
      <c r="I22" s="191">
        <f>SUM(I6:I9,I12:I14)</f>
        <v>176601249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1830160.5</v>
      </c>
      <c r="D26" s="196">
        <v>24590760.27</v>
      </c>
      <c r="E26" s="198">
        <v>-15142628</v>
      </c>
      <c r="F26" s="198">
        <v>12016833</v>
      </c>
      <c r="G26" s="188">
        <f>SUM(D26:F26)</f>
        <v>21464965.27</v>
      </c>
      <c r="H26" s="188">
        <f>-J63</f>
        <v>173108.57</v>
      </c>
      <c r="I26" s="188">
        <f>SUM(G26:H26)</f>
        <v>21638073.84</v>
      </c>
    </row>
    <row r="27" spans="1:9">
      <c r="A27" s="195" t="s">
        <v>203</v>
      </c>
      <c r="B27" s="164"/>
      <c r="C27" s="196">
        <v>4216</v>
      </c>
      <c r="D27" s="196">
        <v>74010.76999999999</v>
      </c>
      <c r="E27" s="198">
        <v>-31200</v>
      </c>
      <c r="F27" s="198">
        <v>23365</v>
      </c>
      <c r="G27" s="188">
        <f t="shared" ref="G27:G35" si="5">SUM(D27:F27)</f>
        <v>66175.76999999999</v>
      </c>
      <c r="H27" s="188">
        <f t="shared" ref="H27:H35" si="6">-J64</f>
        <v>-3213.3881300000007</v>
      </c>
      <c r="I27" s="188">
        <f t="shared" ref="I27:I36" si="7">SUM(G27:H27)</f>
        <v>62962.38186999999</v>
      </c>
    </row>
    <row r="28" spans="1:9">
      <c r="A28" s="195" t="s">
        <v>149</v>
      </c>
      <c r="B28" s="164"/>
      <c r="C28" s="196">
        <v>410030.59</v>
      </c>
      <c r="D28" s="196">
        <v>6280915.9900000002</v>
      </c>
      <c r="E28" s="198">
        <v>-3375090</v>
      </c>
      <c r="F28" s="198">
        <v>2954977</v>
      </c>
      <c r="G28" s="188">
        <f t="shared" si="5"/>
        <v>5860802.9900000002</v>
      </c>
      <c r="H28" s="188">
        <f t="shared" si="6"/>
        <v>13778.521199999999</v>
      </c>
      <c r="I28" s="188">
        <f t="shared" si="7"/>
        <v>5874581.5112000005</v>
      </c>
    </row>
    <row r="29" spans="1:9">
      <c r="A29" s="195" t="s">
        <v>150</v>
      </c>
      <c r="B29" s="164"/>
      <c r="C29" s="196">
        <v>165802.66</v>
      </c>
      <c r="D29" s="196">
        <v>964155.21000000008</v>
      </c>
      <c r="E29" s="198">
        <v>-522935</v>
      </c>
      <c r="F29" s="198">
        <v>466189</v>
      </c>
      <c r="G29" s="188">
        <f t="shared" si="5"/>
        <v>907409.21000000008</v>
      </c>
      <c r="H29" s="188">
        <f t="shared" si="6"/>
        <v>1480.25514</v>
      </c>
      <c r="I29" s="188">
        <f t="shared" si="7"/>
        <v>908889.4651400001</v>
      </c>
    </row>
    <row r="30" spans="1:9">
      <c r="A30" s="195" t="s">
        <v>151</v>
      </c>
      <c r="B30" s="164"/>
      <c r="C30" s="196">
        <v>924849.99</v>
      </c>
      <c r="D30" s="196">
        <v>10513959.75</v>
      </c>
      <c r="E30" s="198">
        <v>-4954750</v>
      </c>
      <c r="F30" s="198">
        <v>4442738</v>
      </c>
      <c r="G30" s="188">
        <f t="shared" si="5"/>
        <v>10001947.75</v>
      </c>
      <c r="H30" s="188">
        <f t="shared" si="6"/>
        <v>14324.209199999998</v>
      </c>
      <c r="I30" s="188">
        <f t="shared" si="7"/>
        <v>10016271.9592</v>
      </c>
    </row>
    <row r="31" spans="1:9">
      <c r="A31" s="195" t="s">
        <v>152</v>
      </c>
      <c r="B31" s="164"/>
      <c r="C31" s="196">
        <v>24000</v>
      </c>
      <c r="D31" s="196">
        <v>312906.99000000005</v>
      </c>
      <c r="E31" s="198">
        <v>-168815</v>
      </c>
      <c r="F31" s="198">
        <v>135941</v>
      </c>
      <c r="G31" s="188">
        <f t="shared" si="5"/>
        <v>280032.99000000005</v>
      </c>
      <c r="H31" s="188">
        <f t="shared" si="6"/>
        <v>648.95909999999981</v>
      </c>
      <c r="I31" s="188">
        <f t="shared" si="7"/>
        <v>280681.94910000003</v>
      </c>
    </row>
    <row r="32" spans="1:9">
      <c r="A32" s="195" t="s">
        <v>153</v>
      </c>
      <c r="B32" s="164"/>
      <c r="C32" s="196">
        <v>441000</v>
      </c>
      <c r="D32" s="196">
        <v>5078831.4000000004</v>
      </c>
      <c r="E32" s="198">
        <v>0</v>
      </c>
      <c r="F32" s="198">
        <v>0</v>
      </c>
      <c r="G32" s="188">
        <f t="shared" si="5"/>
        <v>5078831.4000000004</v>
      </c>
      <c r="H32" s="188">
        <f t="shared" si="6"/>
        <v>0</v>
      </c>
      <c r="I32" s="188">
        <f t="shared" si="7"/>
        <v>5078831.4000000004</v>
      </c>
    </row>
    <row r="33" spans="1:9">
      <c r="A33" s="195" t="s">
        <v>205</v>
      </c>
      <c r="B33" s="164"/>
      <c r="C33" s="196">
        <v>1422</v>
      </c>
      <c r="D33" s="196">
        <v>1970.18</v>
      </c>
      <c r="E33" s="198">
        <v>0</v>
      </c>
      <c r="F33" s="198">
        <v>0</v>
      </c>
      <c r="G33" s="188">
        <f t="shared" si="5"/>
        <v>1970.18</v>
      </c>
      <c r="H33" s="188">
        <f t="shared" si="6"/>
        <v>0</v>
      </c>
      <c r="I33" s="188">
        <f t="shared" si="7"/>
        <v>1970.18</v>
      </c>
    </row>
    <row r="34" spans="1:9">
      <c r="A34" s="195" t="s">
        <v>154</v>
      </c>
      <c r="B34" s="164"/>
      <c r="C34" s="196">
        <v>20754</v>
      </c>
      <c r="D34" s="196">
        <v>359590.57</v>
      </c>
      <c r="E34" s="198">
        <v>-143700</v>
      </c>
      <c r="F34" s="198">
        <v>152942</v>
      </c>
      <c r="G34" s="188">
        <f t="shared" si="5"/>
        <v>368832.57</v>
      </c>
      <c r="H34" s="188">
        <f t="shared" si="6"/>
        <v>-290.84131999999994</v>
      </c>
      <c r="I34" s="188">
        <f t="shared" si="7"/>
        <v>368541.72868</v>
      </c>
    </row>
    <row r="35" spans="1:9">
      <c r="A35" s="195" t="s">
        <v>155</v>
      </c>
      <c r="B35" s="164"/>
      <c r="C35" s="196">
        <v>21420</v>
      </c>
      <c r="D35" s="196">
        <v>48767.56</v>
      </c>
      <c r="E35" s="198">
        <v>-22990</v>
      </c>
      <c r="F35" s="198">
        <v>23443</v>
      </c>
      <c r="G35" s="188">
        <f t="shared" si="5"/>
        <v>49220.56</v>
      </c>
      <c r="H35" s="188">
        <f t="shared" si="6"/>
        <v>121.52458999999999</v>
      </c>
      <c r="I35" s="188">
        <f t="shared" si="7"/>
        <v>49342.084589999999</v>
      </c>
    </row>
    <row r="36" spans="1:9">
      <c r="A36" s="195" t="s">
        <v>217</v>
      </c>
      <c r="B36" s="164"/>
      <c r="C36" s="188"/>
      <c r="D36" s="196">
        <v>560259.71</v>
      </c>
      <c r="E36" s="196"/>
      <c r="F36" s="196"/>
      <c r="G36" s="188">
        <f>SUM(D36:F36)</f>
        <v>560259.71</v>
      </c>
      <c r="H36" s="188"/>
      <c r="I36" s="188">
        <f t="shared" si="7"/>
        <v>560259.71</v>
      </c>
    </row>
    <row r="37" spans="1:9">
      <c r="A37" s="195" t="s">
        <v>218</v>
      </c>
      <c r="B37" s="164"/>
      <c r="C37" s="183"/>
      <c r="D37" s="196">
        <v>2067941.45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1862597.74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3843655.74</v>
      </c>
      <c r="D39" s="178">
        <f t="shared" ref="D39:I39" si="8">SUM(D26:D38)</f>
        <v>52716667.590000011</v>
      </c>
      <c r="E39" s="178">
        <f t="shared" si="8"/>
        <v>-24362108</v>
      </c>
      <c r="F39" s="178">
        <f t="shared" si="8"/>
        <v>20216428</v>
      </c>
      <c r="G39" s="178">
        <f t="shared" si="8"/>
        <v>44640448.400000006</v>
      </c>
      <c r="H39" s="178">
        <f t="shared" si="8"/>
        <v>199957.80977999998</v>
      </c>
      <c r="I39" s="178">
        <f t="shared" si="8"/>
        <v>44840406.209780008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1834376.5</v>
      </c>
      <c r="D41" s="180">
        <f t="shared" ref="D41:I41" si="9">D26+D27</f>
        <v>24664771.039999999</v>
      </c>
      <c r="E41" s="180">
        <f t="shared" si="9"/>
        <v>-15173828</v>
      </c>
      <c r="F41" s="180">
        <f t="shared" si="9"/>
        <v>12040198</v>
      </c>
      <c r="G41" s="180">
        <f t="shared" si="9"/>
        <v>21531141.039999999</v>
      </c>
      <c r="H41" s="180">
        <f t="shared" si="9"/>
        <v>169895.18187</v>
      </c>
      <c r="I41" s="181">
        <f t="shared" si="9"/>
        <v>21701036.221870001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1568279.24</v>
      </c>
      <c r="D43" s="190">
        <f t="shared" ref="D43:I43" si="10">SUM(D28:D31,D33:D35)</f>
        <v>18482266.249999996</v>
      </c>
      <c r="E43" s="190">
        <f t="shared" si="10"/>
        <v>-9188280</v>
      </c>
      <c r="F43" s="190">
        <f t="shared" si="10"/>
        <v>8176230</v>
      </c>
      <c r="G43" s="190">
        <f t="shared" si="10"/>
        <v>17470216.249999996</v>
      </c>
      <c r="H43" s="190">
        <f t="shared" si="10"/>
        <v>30062.627909999996</v>
      </c>
      <c r="I43" s="189">
        <f t="shared" si="10"/>
        <v>17500278.877909999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12"/>
    </row>
    <row r="63" spans="1:13">
      <c r="A63" s="195" t="s">
        <v>148</v>
      </c>
      <c r="C63" s="180">
        <f>I48*H4</f>
        <v>16471.151250000003</v>
      </c>
      <c r="D63" s="180">
        <f t="shared" ref="D63:I68" si="11">$H4*C48</f>
        <v>-84939.466249999998</v>
      </c>
      <c r="E63" s="180">
        <f t="shared" si="11"/>
        <v>0</v>
      </c>
      <c r="F63" s="180">
        <f t="shared" si="11"/>
        <v>-84616.502500000002</v>
      </c>
      <c r="G63" s="180">
        <f t="shared" si="11"/>
        <v>-31327.483750000003</v>
      </c>
      <c r="H63" s="180">
        <f t="shared" si="11"/>
        <v>0</v>
      </c>
      <c r="I63" s="180">
        <f t="shared" si="11"/>
        <v>11303.731250000001</v>
      </c>
      <c r="J63" s="180">
        <f>SUM(C63:I63)</f>
        <v>-173108.57</v>
      </c>
      <c r="M63" s="180"/>
    </row>
    <row r="64" spans="1:13">
      <c r="A64" s="195" t="s">
        <v>203</v>
      </c>
      <c r="C64" s="180">
        <f>(I49*H5)</f>
        <v>62.622390000000003</v>
      </c>
      <c r="D64" s="180">
        <f t="shared" si="11"/>
        <v>-322.93507</v>
      </c>
      <c r="E64" s="180">
        <f t="shared" si="11"/>
        <v>3871.5371700000005</v>
      </c>
      <c r="F64" s="180">
        <f t="shared" si="11"/>
        <v>-321.70717999999999</v>
      </c>
      <c r="G64" s="180">
        <f t="shared" si="11"/>
        <v>-119.10533000000001</v>
      </c>
      <c r="H64" s="180">
        <f t="shared" si="11"/>
        <v>0</v>
      </c>
      <c r="I64" s="180">
        <f t="shared" si="11"/>
        <v>42.976149999999997</v>
      </c>
      <c r="J64" s="180">
        <f t="shared" ref="J64:J73" si="12">SUM(C64:I64)</f>
        <v>3213.3881300000007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6081.2609000000002</v>
      </c>
      <c r="E65" s="180">
        <f t="shared" si="11"/>
        <v>0</v>
      </c>
      <c r="F65" s="180">
        <f t="shared" si="11"/>
        <v>-15394.5206</v>
      </c>
      <c r="G65" s="180">
        <f t="shared" si="11"/>
        <v>-5996.2083000000002</v>
      </c>
      <c r="H65" s="180">
        <f t="shared" si="11"/>
        <v>0</v>
      </c>
      <c r="I65" s="180">
        <f t="shared" si="11"/>
        <v>1530.9468000000002</v>
      </c>
      <c r="J65" s="180">
        <f t="shared" si="12"/>
        <v>-13778.521199999999</v>
      </c>
      <c r="M65" s="180"/>
    </row>
    <row r="66" spans="1:13">
      <c r="A66" s="195" t="s">
        <v>150</v>
      </c>
      <c r="C66" s="180">
        <f>(I51*H7)</f>
        <v>276.53118000000001</v>
      </c>
      <c r="D66" s="180">
        <f t="shared" si="11"/>
        <v>775.37174000000005</v>
      </c>
      <c r="E66" s="180">
        <f t="shared" si="11"/>
        <v>0</v>
      </c>
      <c r="F66" s="180">
        <f t="shared" si="11"/>
        <v>-1962.82916</v>
      </c>
      <c r="G66" s="180">
        <f t="shared" si="11"/>
        <v>-764.52737999999999</v>
      </c>
      <c r="H66" s="180">
        <f t="shared" si="11"/>
        <v>0</v>
      </c>
      <c r="I66" s="180">
        <f t="shared" si="11"/>
        <v>195.19848000000002</v>
      </c>
      <c r="J66" s="180">
        <f t="shared" si="12"/>
        <v>-1480.25514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10450.8261</v>
      </c>
      <c r="E67" s="180">
        <f t="shared" si="11"/>
        <v>0</v>
      </c>
      <c r="F67" s="180">
        <f t="shared" si="11"/>
        <v>-19951.577099999999</v>
      </c>
      <c r="G67" s="180">
        <f t="shared" si="11"/>
        <v>-7454.4354000000003</v>
      </c>
      <c r="H67" s="180">
        <f t="shared" si="11"/>
        <v>0</v>
      </c>
      <c r="I67" s="180">
        <f t="shared" si="11"/>
        <v>2630.9772000000003</v>
      </c>
      <c r="J67" s="180">
        <f t="shared" si="12"/>
        <v>-14324.209199999998</v>
      </c>
      <c r="M67" s="180"/>
    </row>
    <row r="68" spans="1:13">
      <c r="A68" s="195" t="s">
        <v>152</v>
      </c>
      <c r="C68" s="180">
        <f>(I53*H9)</f>
        <v>228.25458</v>
      </c>
      <c r="D68" s="180">
        <f t="shared" si="11"/>
        <v>640.00794000000008</v>
      </c>
      <c r="E68" s="180">
        <f t="shared" si="11"/>
        <v>0</v>
      </c>
      <c r="F68" s="180">
        <f t="shared" si="11"/>
        <v>-1221.8333399999999</v>
      </c>
      <c r="G68" s="180">
        <f t="shared" si="11"/>
        <v>-456.50916000000001</v>
      </c>
      <c r="H68" s="180">
        <f t="shared" si="11"/>
        <v>0</v>
      </c>
      <c r="I68" s="180">
        <f t="shared" si="11"/>
        <v>161.12088</v>
      </c>
      <c r="J68" s="180">
        <f t="shared" si="12"/>
        <v>-648.95909999999981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0</v>
      </c>
      <c r="G69" s="180">
        <f>$H10*F54+$H11*F55</f>
        <v>0</v>
      </c>
      <c r="H69" s="180">
        <f>$H10*G54+$H11*G55</f>
        <v>0</v>
      </c>
      <c r="I69" s="180">
        <f>$H10*H54+$H11*H55</f>
        <v>0</v>
      </c>
      <c r="J69" s="180">
        <f t="shared" si="12"/>
        <v>0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246.45968999999999</v>
      </c>
      <c r="G71" s="180">
        <f t="shared" si="13"/>
        <v>84.041809999999998</v>
      </c>
      <c r="H71" s="180">
        <f t="shared" si="13"/>
        <v>0</v>
      </c>
      <c r="I71" s="180">
        <f t="shared" si="13"/>
        <v>-39.660180000000004</v>
      </c>
      <c r="J71" s="180">
        <f t="shared" si="12"/>
        <v>290.84131999999994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-135.03346999999999</v>
      </c>
      <c r="E72" s="180">
        <f t="shared" si="13"/>
        <v>0</v>
      </c>
      <c r="F72" s="180">
        <f t="shared" si="13"/>
        <v>11.44746</v>
      </c>
      <c r="G72" s="180">
        <f t="shared" si="13"/>
        <v>3.9035399999999996</v>
      </c>
      <c r="H72" s="180">
        <f t="shared" si="13"/>
        <v>0</v>
      </c>
      <c r="I72" s="180">
        <f t="shared" si="13"/>
        <v>-1.84212</v>
      </c>
      <c r="J72" s="180">
        <f t="shared" si="12"/>
        <v>-121.52458999999999</v>
      </c>
      <c r="M72" s="180"/>
    </row>
    <row r="73" spans="1:13">
      <c r="A73" s="195" t="s">
        <v>217</v>
      </c>
      <c r="C73" s="180">
        <f>I58*H14</f>
        <v>-2.2368600000000001</v>
      </c>
      <c r="D73" s="180">
        <f>$H14*C58</f>
        <v>-6.2719800000000001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-8.5088399999999993</v>
      </c>
      <c r="M73" s="180"/>
    </row>
    <row r="74" spans="1:13">
      <c r="A74" s="169"/>
      <c r="C74" s="194">
        <f>SUM(C63:C73)</f>
        <v>17036.322540000005</v>
      </c>
      <c r="D74" s="194">
        <f>SUM(D63:D73)</f>
        <v>-67456.240090000007</v>
      </c>
      <c r="E74" s="194">
        <f t="shared" ref="E74:J74" si="14">SUM(E63:E73)</f>
        <v>3871.5371700000005</v>
      </c>
      <c r="F74" s="194">
        <f t="shared" si="14"/>
        <v>-123211.06272999999</v>
      </c>
      <c r="G74" s="194">
        <f t="shared" si="14"/>
        <v>-46030.323970000005</v>
      </c>
      <c r="H74" s="194">
        <f t="shared" si="14"/>
        <v>0</v>
      </c>
      <c r="I74" s="194">
        <f t="shared" si="14"/>
        <v>15823.448460000001</v>
      </c>
      <c r="J74" s="194">
        <f t="shared" si="14"/>
        <v>-199966.31861999998</v>
      </c>
    </row>
    <row r="76" spans="1:13">
      <c r="A76" s="164" t="s">
        <v>19</v>
      </c>
      <c r="B76" s="164"/>
      <c r="C76" s="180">
        <f>C63+C64</f>
        <v>16533.773640000003</v>
      </c>
      <c r="D76" s="180">
        <f>D63+D64</f>
        <v>-85262.401320000004</v>
      </c>
      <c r="E76" s="180">
        <f t="shared" ref="E76:J76" si="15">E63+E64</f>
        <v>3871.5371700000005</v>
      </c>
      <c r="F76" s="180">
        <f t="shared" si="15"/>
        <v>-84938.20968</v>
      </c>
      <c r="G76" s="180">
        <f t="shared" si="15"/>
        <v>-31446.589080000002</v>
      </c>
      <c r="H76" s="180">
        <f t="shared" si="15"/>
        <v>0</v>
      </c>
      <c r="I76" s="180">
        <f t="shared" si="15"/>
        <v>11346.707400000001</v>
      </c>
      <c r="J76" s="180">
        <f t="shared" si="15"/>
        <v>-169895.18187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504.78575999999998</v>
      </c>
      <c r="D78" s="190">
        <f>SUM(D65:D68,D70:D72)</f>
        <v>17812.433210000003</v>
      </c>
      <c r="E78" s="190">
        <f t="shared" ref="E78:J78" si="16">SUM(E65:E68,E70:E72)</f>
        <v>0</v>
      </c>
      <c r="F78" s="190">
        <f t="shared" si="16"/>
        <v>-38272.853049999991</v>
      </c>
      <c r="G78" s="190">
        <f t="shared" si="16"/>
        <v>-14583.73489</v>
      </c>
      <c r="H78" s="190">
        <f t="shared" si="16"/>
        <v>0</v>
      </c>
      <c r="I78" s="190">
        <f t="shared" si="16"/>
        <v>4476.7410600000003</v>
      </c>
      <c r="J78" s="190">
        <f t="shared" si="16"/>
        <v>-30062.627909999996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  <pageSetUpPr fitToPage="1"/>
  </sheetPr>
  <dimension ref="A1:M78"/>
  <sheetViews>
    <sheetView workbookViewId="0">
      <selection activeCell="F18" sqref="F18"/>
    </sheetView>
  </sheetViews>
  <sheetFormatPr defaultColWidth="9.109375" defaultRowHeight="14.4"/>
  <cols>
    <col min="1" max="1" width="17.6640625" style="162" customWidth="1"/>
    <col min="2" max="2" width="9.109375" style="162"/>
    <col min="3" max="3" width="18.33203125" style="162" customWidth="1"/>
    <col min="4" max="4" width="22" style="162" customWidth="1"/>
    <col min="5" max="5" width="17.33203125" style="162" customWidth="1"/>
    <col min="6" max="6" width="16.33203125" style="162" customWidth="1"/>
    <col min="7" max="8" width="15.6640625" style="162" customWidth="1"/>
    <col min="9" max="9" width="21.33203125" style="162" customWidth="1"/>
    <col min="10" max="10" width="18.33203125" style="162" bestFit="1" customWidth="1"/>
    <col min="11" max="11" width="9.109375" style="162"/>
    <col min="12" max="12" width="13.44140625" style="162" bestFit="1" customWidth="1"/>
    <col min="13" max="13" width="27.5546875" style="162" bestFit="1" customWidth="1"/>
    <col min="14" max="16384" width="9.109375" style="162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7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207"/>
      <c r="B3" s="164"/>
      <c r="C3" s="208"/>
      <c r="D3" s="164"/>
      <c r="E3" s="208"/>
      <c r="F3" s="209"/>
      <c r="G3" s="209"/>
      <c r="H3" s="209"/>
      <c r="I3" s="209"/>
    </row>
    <row r="4" spans="1:9">
      <c r="A4" s="195" t="s">
        <v>148</v>
      </c>
      <c r="B4" s="164"/>
      <c r="C4" s="170">
        <v>211633</v>
      </c>
      <c r="D4" s="183"/>
      <c r="E4" s="197">
        <v>327175941</v>
      </c>
      <c r="F4" s="197">
        <v>-158594608</v>
      </c>
      <c r="G4" s="197">
        <v>160764583</v>
      </c>
      <c r="H4" s="163">
        <f>SUM(F4:G4)</f>
        <v>2169975</v>
      </c>
      <c r="I4" s="171">
        <f>E4+H4</f>
        <v>329345916</v>
      </c>
    </row>
    <row r="5" spans="1:9">
      <c r="A5" s="195" t="s">
        <v>203</v>
      </c>
      <c r="B5" s="164"/>
      <c r="C5" s="170">
        <v>501</v>
      </c>
      <c r="D5" s="183"/>
      <c r="E5" s="197">
        <v>1028552</v>
      </c>
      <c r="F5" s="197">
        <v>-463234</v>
      </c>
      <c r="G5" s="197">
        <v>509741</v>
      </c>
      <c r="H5" s="163">
        <f t="shared" ref="H5:H17" si="0">SUM(F5:G5)</f>
        <v>46507</v>
      </c>
      <c r="I5" s="171">
        <f t="shared" ref="I5:I17" si="1">E5+H5</f>
        <v>1075059</v>
      </c>
    </row>
    <row r="6" spans="1:9">
      <c r="A6" s="195" t="s">
        <v>149</v>
      </c>
      <c r="B6" s="164"/>
      <c r="C6" s="170">
        <v>22480</v>
      </c>
      <c r="D6" s="183"/>
      <c r="E6" s="197">
        <v>61579579</v>
      </c>
      <c r="F6" s="197">
        <v>-33268651</v>
      </c>
      <c r="G6" s="197">
        <v>30113951</v>
      </c>
      <c r="H6" s="163">
        <f t="shared" si="0"/>
        <v>-3154700</v>
      </c>
      <c r="I6" s="171">
        <f t="shared" si="1"/>
        <v>58424879</v>
      </c>
    </row>
    <row r="7" spans="1:9">
      <c r="A7" s="195" t="s">
        <v>150</v>
      </c>
      <c r="B7" s="164"/>
      <c r="C7" s="170">
        <v>9102</v>
      </c>
      <c r="D7" s="183"/>
      <c r="E7" s="197">
        <v>8059800</v>
      </c>
      <c r="F7" s="197">
        <v>-3790100</v>
      </c>
      <c r="G7" s="197">
        <v>3960298</v>
      </c>
      <c r="H7" s="163">
        <f t="shared" si="0"/>
        <v>170198</v>
      </c>
      <c r="I7" s="171">
        <f t="shared" si="1"/>
        <v>8229998</v>
      </c>
    </row>
    <row r="8" spans="1:9">
      <c r="A8" s="195" t="s">
        <v>151</v>
      </c>
      <c r="B8" s="164"/>
      <c r="C8" s="170">
        <v>1834</v>
      </c>
      <c r="D8" s="183"/>
      <c r="E8" s="197">
        <v>127594204</v>
      </c>
      <c r="F8" s="197">
        <v>-78918294</v>
      </c>
      <c r="G8" s="197">
        <v>62384500</v>
      </c>
      <c r="H8" s="163">
        <f t="shared" si="0"/>
        <v>-16533794</v>
      </c>
      <c r="I8" s="171">
        <f t="shared" si="1"/>
        <v>111060410</v>
      </c>
    </row>
    <row r="9" spans="1:9">
      <c r="A9" s="195" t="s">
        <v>152</v>
      </c>
      <c r="B9" s="164"/>
      <c r="C9" s="170">
        <v>50</v>
      </c>
      <c r="D9" s="183"/>
      <c r="E9" s="197">
        <v>4367920</v>
      </c>
      <c r="F9" s="197">
        <v>-1895050</v>
      </c>
      <c r="G9" s="197">
        <v>2156598</v>
      </c>
      <c r="H9" s="163">
        <f t="shared" si="0"/>
        <v>261548</v>
      </c>
      <c r="I9" s="171">
        <f t="shared" si="1"/>
        <v>4629468</v>
      </c>
    </row>
    <row r="10" spans="1:9">
      <c r="A10" s="195" t="s">
        <v>153</v>
      </c>
      <c r="B10" s="164"/>
      <c r="C10" s="170">
        <v>23</v>
      </c>
      <c r="D10" s="183"/>
      <c r="E10" s="197">
        <f>99654645-E11</f>
        <v>64398505</v>
      </c>
      <c r="F10" s="197">
        <v>-4573701</v>
      </c>
      <c r="G10" s="197">
        <v>0</v>
      </c>
      <c r="H10" s="163">
        <f>SUM(F10:G10)</f>
        <v>-4573701</v>
      </c>
      <c r="I10" s="171">
        <f t="shared" si="1"/>
        <v>59824804</v>
      </c>
    </row>
    <row r="11" spans="1:9">
      <c r="A11" s="195" t="s">
        <v>204</v>
      </c>
      <c r="B11" s="164"/>
      <c r="C11" s="170"/>
      <c r="D11" s="183"/>
      <c r="E11" s="197">
        <v>35256140</v>
      </c>
      <c r="F11" s="197">
        <v>0</v>
      </c>
      <c r="G11" s="197">
        <v>0</v>
      </c>
      <c r="H11" s="163">
        <f>SUM(F11:G11)</f>
        <v>0</v>
      </c>
      <c r="I11" s="171">
        <f t="shared" si="1"/>
        <v>35256140</v>
      </c>
    </row>
    <row r="12" spans="1:9">
      <c r="A12" s="195" t="s">
        <v>205</v>
      </c>
      <c r="B12" s="164"/>
      <c r="C12" s="170">
        <v>31</v>
      </c>
      <c r="D12" s="183"/>
      <c r="E12" s="197">
        <v>7860</v>
      </c>
      <c r="F12" s="197">
        <v>0</v>
      </c>
      <c r="G12" s="197">
        <v>0</v>
      </c>
      <c r="H12" s="163">
        <f t="shared" si="0"/>
        <v>0</v>
      </c>
      <c r="I12" s="171">
        <f t="shared" si="1"/>
        <v>7860</v>
      </c>
    </row>
    <row r="13" spans="1:9">
      <c r="A13" s="195" t="s">
        <v>154</v>
      </c>
      <c r="B13" s="164"/>
      <c r="C13" s="170">
        <v>1200</v>
      </c>
      <c r="D13" s="183"/>
      <c r="E13" s="197">
        <v>3742415</v>
      </c>
      <c r="F13" s="197">
        <v>-2105611</v>
      </c>
      <c r="G13" s="197">
        <v>1646857</v>
      </c>
      <c r="H13" s="163">
        <f t="shared" si="0"/>
        <v>-458754</v>
      </c>
      <c r="I13" s="171">
        <f t="shared" si="1"/>
        <v>3283661</v>
      </c>
    </row>
    <row r="14" spans="1:9">
      <c r="A14" s="195" t="s">
        <v>155</v>
      </c>
      <c r="B14" s="164"/>
      <c r="C14" s="170">
        <v>1186</v>
      </c>
      <c r="D14" s="183"/>
      <c r="E14" s="197">
        <v>364149</v>
      </c>
      <c r="F14" s="197">
        <v>-168449</v>
      </c>
      <c r="G14" s="197">
        <v>156844</v>
      </c>
      <c r="H14" s="163">
        <f t="shared" si="0"/>
        <v>-11605</v>
      </c>
      <c r="I14" s="171">
        <f t="shared" si="1"/>
        <v>352544</v>
      </c>
    </row>
    <row r="15" spans="1:9">
      <c r="A15" s="195" t="s">
        <v>206</v>
      </c>
      <c r="B15" s="164"/>
      <c r="C15" s="170">
        <v>410</v>
      </c>
      <c r="D15" s="183"/>
      <c r="E15" s="197">
        <v>1161517</v>
      </c>
      <c r="F15" s="197"/>
      <c r="G15" s="197"/>
      <c r="H15" s="163"/>
      <c r="I15" s="171">
        <f t="shared" si="1"/>
        <v>1161517</v>
      </c>
    </row>
    <row r="16" spans="1:9">
      <c r="A16" s="195" t="s">
        <v>207</v>
      </c>
      <c r="B16" s="164"/>
      <c r="C16" s="170"/>
      <c r="D16" s="183"/>
      <c r="E16" s="197">
        <v>451550</v>
      </c>
      <c r="F16" s="197"/>
      <c r="G16" s="197"/>
      <c r="H16" s="163">
        <f t="shared" si="0"/>
        <v>0</v>
      </c>
      <c r="I16" s="171">
        <f t="shared" si="1"/>
        <v>451550</v>
      </c>
    </row>
    <row r="17" spans="1:9">
      <c r="A17" s="195" t="s">
        <v>208</v>
      </c>
      <c r="B17" s="164"/>
      <c r="C17" s="170"/>
      <c r="D17" s="204"/>
      <c r="E17" s="197">
        <v>248016</v>
      </c>
      <c r="F17" s="197"/>
      <c r="G17" s="197"/>
      <c r="H17" s="163">
        <f t="shared" si="0"/>
        <v>0</v>
      </c>
      <c r="I17" s="171">
        <f t="shared" si="1"/>
        <v>248016</v>
      </c>
    </row>
    <row r="18" spans="1:9">
      <c r="A18" s="164"/>
      <c r="B18" s="164"/>
      <c r="C18" s="172">
        <f>SUM(C4:C17)</f>
        <v>248450</v>
      </c>
      <c r="E18" s="172">
        <f t="shared" ref="E18:I18" si="2">SUM(E4:E17)</f>
        <v>635436148</v>
      </c>
      <c r="F18" s="172">
        <f t="shared" si="2"/>
        <v>-283777698</v>
      </c>
      <c r="G18" s="172">
        <f t="shared" si="2"/>
        <v>261693372</v>
      </c>
      <c r="H18" s="172">
        <f t="shared" si="2"/>
        <v>-22084326</v>
      </c>
      <c r="I18" s="172">
        <f t="shared" si="2"/>
        <v>613351822</v>
      </c>
    </row>
    <row r="19" spans="1:9" ht="15" thickBot="1">
      <c r="A19" s="164"/>
      <c r="B19" s="164"/>
      <c r="C19" s="164"/>
      <c r="E19" s="164"/>
      <c r="F19" s="164"/>
      <c r="G19" s="164"/>
      <c r="I19" s="164"/>
    </row>
    <row r="20" spans="1:9">
      <c r="A20" s="164" t="s">
        <v>19</v>
      </c>
      <c r="B20" s="164"/>
      <c r="C20" s="173">
        <f>C4+C5</f>
        <v>212134</v>
      </c>
      <c r="E20" s="174">
        <f>E4+E5</f>
        <v>328204493</v>
      </c>
      <c r="F20" s="174">
        <f t="shared" ref="F20:I20" si="3">F4+F5</f>
        <v>-159057842</v>
      </c>
      <c r="G20" s="174">
        <f t="shared" si="3"/>
        <v>161274324</v>
      </c>
      <c r="H20" s="174">
        <f t="shared" si="3"/>
        <v>2216482</v>
      </c>
      <c r="I20" s="173">
        <f t="shared" si="3"/>
        <v>330420975</v>
      </c>
    </row>
    <row r="21" spans="1:9">
      <c r="A21" s="164"/>
      <c r="B21" s="164"/>
      <c r="C21" s="175"/>
      <c r="E21" s="164"/>
      <c r="F21" s="164"/>
      <c r="G21" s="164"/>
      <c r="H21" s="164"/>
      <c r="I21" s="175"/>
    </row>
    <row r="22" spans="1:9" ht="15" thickBot="1">
      <c r="A22" s="164" t="s">
        <v>209</v>
      </c>
      <c r="B22" s="164"/>
      <c r="C22" s="191">
        <f>SUM(C6:C9,C12:C14)</f>
        <v>35883</v>
      </c>
      <c r="E22" s="192">
        <f>SUM(E6:E9,E12:E14)</f>
        <v>205715927</v>
      </c>
      <c r="F22" s="192">
        <f t="shared" ref="F22:H22" si="4">SUM(F6:F9,F12:F14)</f>
        <v>-120146155</v>
      </c>
      <c r="G22" s="192">
        <f t="shared" si="4"/>
        <v>100419048</v>
      </c>
      <c r="H22" s="192">
        <f t="shared" si="4"/>
        <v>-19727107</v>
      </c>
      <c r="I22" s="191">
        <f>SUM(I6:I9,I12:I14)</f>
        <v>185988820</v>
      </c>
    </row>
    <row r="23" spans="1:9">
      <c r="A23" s="164"/>
      <c r="B23" s="164"/>
      <c r="C23" s="164"/>
      <c r="D23" s="164"/>
      <c r="E23" s="164"/>
    </row>
    <row r="24" spans="1:9" ht="40.200000000000003">
      <c r="A24" s="165"/>
      <c r="B24" s="176"/>
      <c r="C24" s="186" t="s">
        <v>210</v>
      </c>
      <c r="D24" s="186" t="s">
        <v>211</v>
      </c>
      <c r="E24" s="168" t="s">
        <v>212</v>
      </c>
      <c r="F24" s="168" t="s">
        <v>213</v>
      </c>
      <c r="G24" s="168" t="s">
        <v>214</v>
      </c>
      <c r="H24" s="168" t="s">
        <v>215</v>
      </c>
      <c r="I24" s="168" t="s">
        <v>216</v>
      </c>
    </row>
    <row r="25" spans="1:9">
      <c r="A25" s="207"/>
      <c r="B25" s="210"/>
      <c r="C25" s="211"/>
      <c r="D25" s="211"/>
      <c r="E25" s="209"/>
      <c r="F25" s="209"/>
      <c r="G25" s="209"/>
      <c r="H25" s="209"/>
      <c r="I25" s="209"/>
    </row>
    <row r="26" spans="1:9">
      <c r="A26" s="195" t="s">
        <v>148</v>
      </c>
      <c r="B26" s="164"/>
      <c r="C26" s="196">
        <v>1831826.5</v>
      </c>
      <c r="D26" s="196">
        <v>29529644.149999999</v>
      </c>
      <c r="E26" s="198">
        <v>-14781254</v>
      </c>
      <c r="F26" s="198">
        <v>15142628</v>
      </c>
      <c r="G26" s="188">
        <f>SUM(D26:F26)</f>
        <v>29891018.149999999</v>
      </c>
      <c r="H26" s="188">
        <f>-J63</f>
        <v>-11631.065999999999</v>
      </c>
      <c r="I26" s="188">
        <f>SUM(G26:H26)</f>
        <v>29879387.083999999</v>
      </c>
    </row>
    <row r="27" spans="1:9">
      <c r="A27" s="195" t="s">
        <v>203</v>
      </c>
      <c r="B27" s="164"/>
      <c r="C27" s="196">
        <v>4326.5</v>
      </c>
      <c r="D27" s="196">
        <v>93661.51</v>
      </c>
      <c r="E27" s="198">
        <v>-28026</v>
      </c>
      <c r="F27" s="198">
        <v>31200</v>
      </c>
      <c r="G27" s="188">
        <f t="shared" ref="G27:G35" si="5">SUM(D27:F27)</f>
        <v>96835.51</v>
      </c>
      <c r="H27" s="188">
        <f t="shared" ref="H27:H35" si="6">-J64</f>
        <v>1217.0881900000002</v>
      </c>
      <c r="I27" s="188">
        <f t="shared" ref="I27:I36" si="7">SUM(G27:H27)</f>
        <v>98052.59818999999</v>
      </c>
    </row>
    <row r="28" spans="1:9">
      <c r="A28" s="195" t="s">
        <v>149</v>
      </c>
      <c r="B28" s="164"/>
      <c r="C28" s="196">
        <v>412229.86</v>
      </c>
      <c r="D28" s="196">
        <v>6867677.9800000004</v>
      </c>
      <c r="E28" s="198">
        <v>-3797481</v>
      </c>
      <c r="F28" s="198">
        <v>3375090</v>
      </c>
      <c r="G28" s="188">
        <f t="shared" si="5"/>
        <v>6445286.9800000004</v>
      </c>
      <c r="H28" s="188">
        <f t="shared" si="6"/>
        <v>10221.227999999999</v>
      </c>
      <c r="I28" s="188">
        <f t="shared" si="7"/>
        <v>6455508.2080000006</v>
      </c>
    </row>
    <row r="29" spans="1:9">
      <c r="A29" s="195" t="s">
        <v>150</v>
      </c>
      <c r="B29" s="164"/>
      <c r="C29" s="196">
        <v>165470.49</v>
      </c>
      <c r="D29" s="196">
        <v>1042848.61</v>
      </c>
      <c r="E29" s="198">
        <v>-512529</v>
      </c>
      <c r="F29" s="198">
        <v>522935</v>
      </c>
      <c r="G29" s="188">
        <f t="shared" si="5"/>
        <v>1053254.6099999999</v>
      </c>
      <c r="H29" s="188">
        <f t="shared" si="6"/>
        <v>-464.64054000000004</v>
      </c>
      <c r="I29" s="188">
        <f t="shared" si="7"/>
        <v>1052789.9694599998</v>
      </c>
    </row>
    <row r="30" spans="1:9">
      <c r="A30" s="195" t="s">
        <v>151</v>
      </c>
      <c r="B30" s="164"/>
      <c r="C30" s="196">
        <v>919850</v>
      </c>
      <c r="D30" s="196">
        <v>11150089.310000001</v>
      </c>
      <c r="E30" s="198">
        <v>-6185816</v>
      </c>
      <c r="F30" s="198">
        <v>4954750</v>
      </c>
      <c r="G30" s="188">
        <f t="shared" si="5"/>
        <v>9919023.3100000005</v>
      </c>
      <c r="H30" s="188">
        <f t="shared" si="6"/>
        <v>32406.236239999998</v>
      </c>
      <c r="I30" s="188">
        <f t="shared" si="7"/>
        <v>9951429.5462400001</v>
      </c>
    </row>
    <row r="31" spans="1:9">
      <c r="A31" s="195" t="s">
        <v>152</v>
      </c>
      <c r="B31" s="164"/>
      <c r="C31" s="196">
        <v>25000</v>
      </c>
      <c r="D31" s="196">
        <v>371355.52</v>
      </c>
      <c r="E31" s="198">
        <v>-149324</v>
      </c>
      <c r="F31" s="198">
        <v>168815</v>
      </c>
      <c r="G31" s="188">
        <f t="shared" si="5"/>
        <v>390846.52</v>
      </c>
      <c r="H31" s="188">
        <f t="shared" si="6"/>
        <v>-379.24459999999993</v>
      </c>
      <c r="I31" s="188">
        <f t="shared" si="7"/>
        <v>390467.27540000004</v>
      </c>
    </row>
    <row r="32" spans="1:9">
      <c r="A32" s="195" t="s">
        <v>153</v>
      </c>
      <c r="B32" s="164"/>
      <c r="C32" s="196">
        <v>483000</v>
      </c>
      <c r="D32" s="196">
        <f>5850694.25-83377.7</f>
        <v>5767316.5499999998</v>
      </c>
      <c r="E32" s="198">
        <v>-300179</v>
      </c>
      <c r="F32" s="198">
        <v>0</v>
      </c>
      <c r="G32" s="188">
        <f t="shared" si="5"/>
        <v>5467137.5499999998</v>
      </c>
      <c r="H32" s="188">
        <f t="shared" si="6"/>
        <v>9238.8760199999997</v>
      </c>
      <c r="I32" s="188">
        <f t="shared" si="7"/>
        <v>5476376.4260200001</v>
      </c>
    </row>
    <row r="33" spans="1:9">
      <c r="A33" s="195" t="s">
        <v>205</v>
      </c>
      <c r="B33" s="164"/>
      <c r="C33" s="196">
        <v>558</v>
      </c>
      <c r="D33" s="196">
        <v>1093.9000000000001</v>
      </c>
      <c r="E33" s="198">
        <v>0</v>
      </c>
      <c r="F33" s="198">
        <v>0</v>
      </c>
      <c r="G33" s="188">
        <f t="shared" si="5"/>
        <v>1093.9000000000001</v>
      </c>
      <c r="H33" s="188">
        <f t="shared" si="6"/>
        <v>0</v>
      </c>
      <c r="I33" s="188">
        <f t="shared" si="7"/>
        <v>1093.9000000000001</v>
      </c>
    </row>
    <row r="34" spans="1:9">
      <c r="A34" s="195" t="s">
        <v>154</v>
      </c>
      <c r="B34" s="164"/>
      <c r="C34" s="196">
        <v>21780</v>
      </c>
      <c r="D34" s="196">
        <v>329699.69</v>
      </c>
      <c r="E34" s="198">
        <v>-183013</v>
      </c>
      <c r="F34" s="198">
        <v>143700</v>
      </c>
      <c r="G34" s="188">
        <f t="shared" si="5"/>
        <v>290386.69</v>
      </c>
      <c r="H34" s="188">
        <f t="shared" si="6"/>
        <v>1412.9623199999999</v>
      </c>
      <c r="I34" s="188">
        <f t="shared" si="7"/>
        <v>291799.65231999999</v>
      </c>
    </row>
    <row r="35" spans="1:9">
      <c r="A35" s="195" t="s">
        <v>155</v>
      </c>
      <c r="B35" s="164"/>
      <c r="C35" s="196">
        <v>21462.6</v>
      </c>
      <c r="D35" s="196">
        <v>51883.55</v>
      </c>
      <c r="E35" s="198">
        <v>-24762</v>
      </c>
      <c r="F35" s="198">
        <v>22990</v>
      </c>
      <c r="G35" s="188">
        <f t="shared" si="5"/>
        <v>50111.55</v>
      </c>
      <c r="H35" s="188">
        <f t="shared" si="6"/>
        <v>-620.27482000000009</v>
      </c>
      <c r="I35" s="188">
        <f t="shared" si="7"/>
        <v>49491.275180000004</v>
      </c>
    </row>
    <row r="36" spans="1:9">
      <c r="A36" s="195" t="s">
        <v>217</v>
      </c>
      <c r="B36" s="164"/>
      <c r="C36" s="188"/>
      <c r="D36" s="196">
        <v>563654.31000000006</v>
      </c>
      <c r="E36" s="196"/>
      <c r="F36" s="196"/>
      <c r="G36" s="188">
        <f>SUM(D36:F36)</f>
        <v>563654.31000000006</v>
      </c>
      <c r="H36" s="188"/>
      <c r="I36" s="188">
        <f t="shared" si="7"/>
        <v>563654.31000000006</v>
      </c>
    </row>
    <row r="37" spans="1:9">
      <c r="A37" s="195" t="s">
        <v>218</v>
      </c>
      <c r="B37" s="164"/>
      <c r="C37" s="183"/>
      <c r="D37" s="196">
        <v>2411286.0699999998</v>
      </c>
      <c r="E37" s="196"/>
      <c r="F37" s="196"/>
      <c r="G37" s="188"/>
      <c r="H37" s="188"/>
      <c r="I37" s="188"/>
    </row>
    <row r="38" spans="1:9">
      <c r="A38" s="195" t="s">
        <v>219</v>
      </c>
      <c r="B38" s="164"/>
      <c r="C38" s="183"/>
      <c r="D38" s="196">
        <v>2093989.11</v>
      </c>
      <c r="E38" s="196"/>
      <c r="F38" s="196"/>
      <c r="G38" s="188"/>
      <c r="H38" s="188"/>
      <c r="I38" s="188"/>
    </row>
    <row r="39" spans="1:9">
      <c r="A39" s="164"/>
      <c r="B39" s="164"/>
      <c r="C39" s="178">
        <f>SUM(C26:C38)</f>
        <v>3885503.9499999997</v>
      </c>
      <c r="D39" s="178">
        <f t="shared" ref="D39:I39" si="8">SUM(D26:D38)</f>
        <v>60274200.259999998</v>
      </c>
      <c r="E39" s="178">
        <f t="shared" si="8"/>
        <v>-25962384</v>
      </c>
      <c r="F39" s="178">
        <f t="shared" si="8"/>
        <v>24362108</v>
      </c>
      <c r="G39" s="178">
        <f t="shared" si="8"/>
        <v>54168649.079999998</v>
      </c>
      <c r="H39" s="178">
        <f t="shared" si="8"/>
        <v>41401.164810000002</v>
      </c>
      <c r="I39" s="178">
        <f t="shared" si="8"/>
        <v>54210050.244809993</v>
      </c>
    </row>
    <row r="40" spans="1:9" ht="15" thickBot="1">
      <c r="A40" s="164"/>
      <c r="B40" s="164"/>
      <c r="D40" s="179"/>
      <c r="E40" s="164"/>
      <c r="F40" s="164"/>
    </row>
    <row r="41" spans="1:9">
      <c r="A41" s="164" t="s">
        <v>19</v>
      </c>
      <c r="B41" s="164"/>
      <c r="C41" s="181">
        <f>C26+C27</f>
        <v>1836153</v>
      </c>
      <c r="D41" s="180">
        <f t="shared" ref="D41:I41" si="9">D26+D27</f>
        <v>29623305.66</v>
      </c>
      <c r="E41" s="180">
        <f t="shared" si="9"/>
        <v>-14809280</v>
      </c>
      <c r="F41" s="180">
        <f t="shared" si="9"/>
        <v>15173828</v>
      </c>
      <c r="G41" s="180">
        <f t="shared" si="9"/>
        <v>29987853.66</v>
      </c>
      <c r="H41" s="180">
        <f t="shared" si="9"/>
        <v>-10413.977809999998</v>
      </c>
      <c r="I41" s="181">
        <f t="shared" si="9"/>
        <v>29977439.682189997</v>
      </c>
    </row>
    <row r="42" spans="1:9">
      <c r="A42" s="164"/>
      <c r="B42" s="164"/>
      <c r="C42" s="187"/>
      <c r="D42" s="180"/>
      <c r="E42" s="164"/>
      <c r="F42" s="164"/>
      <c r="I42" s="182"/>
    </row>
    <row r="43" spans="1:9" ht="15" thickBot="1">
      <c r="A43" s="164" t="s">
        <v>209</v>
      </c>
      <c r="B43" s="164"/>
      <c r="C43" s="189">
        <f>SUM(C28:C31,C33:C35)</f>
        <v>1566350.9500000002</v>
      </c>
      <c r="D43" s="190">
        <f t="shared" ref="D43:I43" si="10">SUM(D28:D31,D33:D35)</f>
        <v>19814648.560000002</v>
      </c>
      <c r="E43" s="190">
        <f t="shared" si="10"/>
        <v>-10852925</v>
      </c>
      <c r="F43" s="190">
        <f t="shared" si="10"/>
        <v>9188280</v>
      </c>
      <c r="G43" s="190">
        <f t="shared" si="10"/>
        <v>18150003.559999999</v>
      </c>
      <c r="H43" s="190">
        <f t="shared" si="10"/>
        <v>42576.266599999995</v>
      </c>
      <c r="I43" s="189">
        <f t="shared" si="10"/>
        <v>18192579.826600004</v>
      </c>
    </row>
    <row r="44" spans="1:9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9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9">
      <c r="C46" s="185">
        <v>42675</v>
      </c>
      <c r="D46" s="185">
        <v>42278</v>
      </c>
      <c r="E46" s="161">
        <v>42583</v>
      </c>
      <c r="F46" s="161">
        <v>42644</v>
      </c>
      <c r="G46" s="161">
        <v>42380</v>
      </c>
      <c r="H46" s="161">
        <v>42552</v>
      </c>
      <c r="I46" s="161">
        <v>42675</v>
      </c>
    </row>
    <row r="47" spans="1:9" ht="27">
      <c r="A47" s="193" t="s">
        <v>220</v>
      </c>
      <c r="B47" s="166"/>
      <c r="C47" s="177" t="s">
        <v>239</v>
      </c>
      <c r="D47" s="177" t="s">
        <v>222</v>
      </c>
      <c r="E47" s="177" t="s">
        <v>223</v>
      </c>
      <c r="F47" s="177" t="s">
        <v>224</v>
      </c>
      <c r="G47" s="177" t="s">
        <v>225</v>
      </c>
      <c r="H47" s="177" t="s">
        <v>226</v>
      </c>
      <c r="I47" s="177" t="s">
        <v>221</v>
      </c>
    </row>
    <row r="48" spans="1:9">
      <c r="A48" s="195" t="s">
        <v>148</v>
      </c>
      <c r="B48" s="164"/>
      <c r="C48" s="184">
        <v>2.63E-3</v>
      </c>
      <c r="D48" s="184"/>
      <c r="E48" s="184">
        <v>2.6199999999999999E-3</v>
      </c>
      <c r="F48" s="184">
        <v>9.7000000000000005E-4</v>
      </c>
      <c r="G48" s="184">
        <v>0</v>
      </c>
      <c r="H48" s="184">
        <v>-3.5E-4</v>
      </c>
      <c r="I48" s="184">
        <v>-5.1000000000000004E-4</v>
      </c>
    </row>
    <row r="49" spans="1:13">
      <c r="A49" s="195" t="s">
        <v>203</v>
      </c>
      <c r="B49" s="164"/>
      <c r="C49" s="184">
        <v>2.63E-3</v>
      </c>
      <c r="D49" s="184">
        <v>-3.1530000000000002E-2</v>
      </c>
      <c r="E49" s="184">
        <v>2.6199999999999999E-3</v>
      </c>
      <c r="F49" s="184">
        <v>9.7000000000000005E-4</v>
      </c>
      <c r="G49" s="184">
        <v>0</v>
      </c>
      <c r="H49" s="184">
        <v>-3.5E-4</v>
      </c>
      <c r="I49" s="184">
        <v>-5.1000000000000004E-4</v>
      </c>
    </row>
    <row r="50" spans="1:13">
      <c r="A50" s="195" t="s">
        <v>149</v>
      </c>
      <c r="B50" s="164"/>
      <c r="C50" s="184">
        <v>-1.4300000000000001E-3</v>
      </c>
      <c r="D50" s="184"/>
      <c r="E50" s="184">
        <v>3.62E-3</v>
      </c>
      <c r="F50" s="184">
        <v>1.41E-3</v>
      </c>
      <c r="G50" s="184">
        <v>0</v>
      </c>
      <c r="H50" s="184">
        <v>-3.6000000000000002E-4</v>
      </c>
      <c r="I50" s="184"/>
    </row>
    <row r="51" spans="1:13">
      <c r="A51" s="195" t="s">
        <v>150</v>
      </c>
      <c r="B51" s="164"/>
      <c r="C51" s="184">
        <v>-1.4300000000000001E-3</v>
      </c>
      <c r="D51" s="184"/>
      <c r="E51" s="184">
        <v>3.62E-3</v>
      </c>
      <c r="F51" s="184">
        <v>1.41E-3</v>
      </c>
      <c r="G51" s="184">
        <v>0</v>
      </c>
      <c r="H51" s="184">
        <v>-3.6000000000000002E-4</v>
      </c>
      <c r="I51" s="184">
        <v>-5.1000000000000004E-4</v>
      </c>
    </row>
    <row r="52" spans="1:13">
      <c r="A52" s="195" t="s">
        <v>151</v>
      </c>
      <c r="B52" s="164"/>
      <c r="C52" s="184">
        <v>-1.4300000000000001E-3</v>
      </c>
      <c r="D52" s="184"/>
      <c r="E52" s="184">
        <v>2.7299999999999998E-3</v>
      </c>
      <c r="F52" s="184">
        <v>1.0200000000000001E-3</v>
      </c>
      <c r="G52" s="184">
        <v>0</v>
      </c>
      <c r="H52" s="184">
        <v>-3.6000000000000002E-4</v>
      </c>
      <c r="I52" s="184"/>
    </row>
    <row r="53" spans="1:13">
      <c r="A53" s="195" t="s">
        <v>152</v>
      </c>
      <c r="B53" s="164"/>
      <c r="C53" s="184">
        <v>-1.4300000000000001E-3</v>
      </c>
      <c r="D53" s="184"/>
      <c r="E53" s="184">
        <v>2.7299999999999998E-3</v>
      </c>
      <c r="F53" s="184">
        <v>1.0200000000000001E-3</v>
      </c>
      <c r="G53" s="184">
        <v>0</v>
      </c>
      <c r="H53" s="184">
        <v>-3.6000000000000002E-4</v>
      </c>
      <c r="I53" s="184">
        <v>-5.1000000000000004E-4</v>
      </c>
    </row>
    <row r="54" spans="1:13">
      <c r="A54" s="195" t="s">
        <v>153</v>
      </c>
      <c r="B54" s="164"/>
      <c r="C54" s="184"/>
      <c r="D54" s="184"/>
      <c r="E54" s="184">
        <v>1.72E-3</v>
      </c>
      <c r="F54" s="184">
        <v>6.4000000000000005E-4</v>
      </c>
      <c r="G54" s="184">
        <v>0</v>
      </c>
      <c r="H54" s="184">
        <v>-3.4000000000000002E-4</v>
      </c>
      <c r="I54" s="184"/>
    </row>
    <row r="55" spans="1:13">
      <c r="A55" s="195" t="s">
        <v>204</v>
      </c>
      <c r="B55" s="164"/>
      <c r="C55" s="184"/>
      <c r="D55" s="184"/>
      <c r="E55" s="184">
        <v>1.72E-3</v>
      </c>
      <c r="F55" s="184">
        <v>0</v>
      </c>
      <c r="G55" s="184">
        <v>0</v>
      </c>
      <c r="H55" s="184">
        <v>-3.4000000000000002E-4</v>
      </c>
      <c r="I55" s="184"/>
    </row>
    <row r="56" spans="1:13">
      <c r="A56" s="195" t="s">
        <v>205</v>
      </c>
      <c r="B56" s="164"/>
      <c r="C56" s="184">
        <v>-1.4300000000000001E-3</v>
      </c>
      <c r="D56" s="184"/>
      <c r="E56" s="184">
        <v>2.6099999999999999E-3</v>
      </c>
      <c r="F56" s="184">
        <v>8.8999999999999995E-4</v>
      </c>
      <c r="G56" s="184">
        <v>0</v>
      </c>
      <c r="H56" s="184">
        <v>-4.2000000000000002E-4</v>
      </c>
      <c r="I56" s="184"/>
    </row>
    <row r="57" spans="1:13">
      <c r="A57" s="195" t="s">
        <v>154</v>
      </c>
      <c r="B57" s="164"/>
      <c r="C57" s="184">
        <v>-1.4300000000000001E-3</v>
      </c>
      <c r="D57" s="184"/>
      <c r="E57" s="184">
        <v>2.6099999999999999E-3</v>
      </c>
      <c r="F57" s="184">
        <v>8.8999999999999995E-4</v>
      </c>
      <c r="G57" s="184">
        <v>0</v>
      </c>
      <c r="H57" s="184">
        <v>-4.2000000000000002E-4</v>
      </c>
      <c r="I57" s="184"/>
    </row>
    <row r="58" spans="1:13">
      <c r="A58" s="195" t="s">
        <v>155</v>
      </c>
      <c r="B58" s="164"/>
      <c r="C58" s="184">
        <v>-1.4300000000000001E-3</v>
      </c>
      <c r="D58" s="184"/>
      <c r="E58" s="184">
        <v>2.6099999999999999E-3</v>
      </c>
      <c r="F58" s="184">
        <v>8.8999999999999995E-4</v>
      </c>
      <c r="G58" s="184">
        <v>0</v>
      </c>
      <c r="H58" s="184">
        <v>-4.2000000000000002E-4</v>
      </c>
      <c r="I58" s="184">
        <v>-5.1000000000000004E-4</v>
      </c>
    </row>
    <row r="59" spans="1:13" ht="14.4" customHeight="1">
      <c r="A59" s="195" t="s">
        <v>217</v>
      </c>
      <c r="B59" s="164"/>
      <c r="C59" s="184"/>
      <c r="D59" s="184"/>
      <c r="E59" s="202">
        <v>8.6199999999999992E-3</v>
      </c>
      <c r="F59" s="255" t="s">
        <v>235</v>
      </c>
      <c r="G59" s="184">
        <v>0</v>
      </c>
      <c r="H59" s="199">
        <v>-3.6999999999999999E-4</v>
      </c>
      <c r="I59" s="255"/>
    </row>
    <row r="60" spans="1:13">
      <c r="A60" s="195" t="s">
        <v>208</v>
      </c>
      <c r="B60" s="164"/>
      <c r="C60" s="184"/>
      <c r="D60" s="184"/>
      <c r="E60" s="202">
        <v>8.6199999999999992E-3</v>
      </c>
      <c r="F60" s="255"/>
      <c r="G60" s="184">
        <v>0</v>
      </c>
      <c r="H60" s="199">
        <v>-3.6999999999999999E-4</v>
      </c>
      <c r="I60" s="255"/>
    </row>
    <row r="61" spans="1:13">
      <c r="E61" s="164"/>
    </row>
    <row r="62" spans="1:13" ht="40.200000000000003">
      <c r="A62" s="193" t="s">
        <v>227</v>
      </c>
      <c r="B62" s="166"/>
      <c r="C62" s="186" t="s">
        <v>234</v>
      </c>
      <c r="D62" s="186" t="s">
        <v>239</v>
      </c>
      <c r="E62" s="186" t="s">
        <v>228</v>
      </c>
      <c r="F62" s="186" t="s">
        <v>229</v>
      </c>
      <c r="G62" s="186" t="s">
        <v>230</v>
      </c>
      <c r="H62" s="186" t="s">
        <v>231</v>
      </c>
      <c r="I62" s="186" t="s">
        <v>232</v>
      </c>
      <c r="J62" s="186" t="s">
        <v>233</v>
      </c>
      <c r="M62" s="206"/>
    </row>
    <row r="63" spans="1:13">
      <c r="A63" s="195" t="s">
        <v>148</v>
      </c>
      <c r="C63" s="180">
        <f>I48*H4</f>
        <v>-1106.6872500000002</v>
      </c>
      <c r="D63" s="180">
        <f t="shared" ref="D63:I68" si="11">$H4*C48</f>
        <v>5707.0342499999997</v>
      </c>
      <c r="E63" s="180">
        <f t="shared" si="11"/>
        <v>0</v>
      </c>
      <c r="F63" s="180">
        <f t="shared" si="11"/>
        <v>5685.3344999999999</v>
      </c>
      <c r="G63" s="180">
        <f t="shared" si="11"/>
        <v>2104.8757500000002</v>
      </c>
      <c r="H63" s="180">
        <f t="shared" si="11"/>
        <v>0</v>
      </c>
      <c r="I63" s="180">
        <f t="shared" si="11"/>
        <v>-759.49125000000004</v>
      </c>
      <c r="J63" s="180">
        <f>SUM(C63:I63)</f>
        <v>11631.065999999999</v>
      </c>
      <c r="M63" s="180"/>
    </row>
    <row r="64" spans="1:13">
      <c r="A64" s="195" t="s">
        <v>203</v>
      </c>
      <c r="C64" s="180">
        <f>(I49*H5)</f>
        <v>-23.718570000000003</v>
      </c>
      <c r="D64" s="180">
        <f t="shared" si="11"/>
        <v>122.31341</v>
      </c>
      <c r="E64" s="180">
        <f t="shared" si="11"/>
        <v>-1466.36571</v>
      </c>
      <c r="F64" s="180">
        <f t="shared" si="11"/>
        <v>121.84833999999999</v>
      </c>
      <c r="G64" s="180">
        <f t="shared" si="11"/>
        <v>45.111789999999999</v>
      </c>
      <c r="H64" s="180">
        <f t="shared" si="11"/>
        <v>0</v>
      </c>
      <c r="I64" s="180">
        <f t="shared" si="11"/>
        <v>-16.277449999999998</v>
      </c>
      <c r="J64" s="180">
        <f t="shared" ref="J64:J73" si="12">SUM(C64:I64)</f>
        <v>-1217.0881900000002</v>
      </c>
      <c r="M64" s="180"/>
    </row>
    <row r="65" spans="1:13">
      <c r="A65" s="195" t="s">
        <v>149</v>
      </c>
      <c r="C65" s="180">
        <f>I50*H6</f>
        <v>0</v>
      </c>
      <c r="D65" s="180">
        <f t="shared" si="11"/>
        <v>4511.2210000000005</v>
      </c>
      <c r="E65" s="180">
        <f t="shared" si="11"/>
        <v>0</v>
      </c>
      <c r="F65" s="180">
        <f t="shared" si="11"/>
        <v>-11420.013999999999</v>
      </c>
      <c r="G65" s="180">
        <f t="shared" si="11"/>
        <v>-4448.1270000000004</v>
      </c>
      <c r="H65" s="180">
        <f t="shared" si="11"/>
        <v>0</v>
      </c>
      <c r="I65" s="180">
        <f t="shared" si="11"/>
        <v>1135.692</v>
      </c>
      <c r="J65" s="180">
        <f t="shared" si="12"/>
        <v>-10221.227999999999</v>
      </c>
      <c r="M65" s="180"/>
    </row>
    <row r="66" spans="1:13">
      <c r="A66" s="195" t="s">
        <v>150</v>
      </c>
      <c r="C66" s="180">
        <f>(I51*H7)</f>
        <v>-86.80098000000001</v>
      </c>
      <c r="D66" s="180">
        <f t="shared" si="11"/>
        <v>-243.38314</v>
      </c>
      <c r="E66" s="180">
        <f t="shared" si="11"/>
        <v>0</v>
      </c>
      <c r="F66" s="180">
        <f t="shared" si="11"/>
        <v>616.11676</v>
      </c>
      <c r="G66" s="180">
        <f t="shared" si="11"/>
        <v>239.97918000000001</v>
      </c>
      <c r="H66" s="180">
        <f t="shared" si="11"/>
        <v>0</v>
      </c>
      <c r="I66" s="180">
        <f t="shared" si="11"/>
        <v>-61.271280000000004</v>
      </c>
      <c r="J66" s="180">
        <f t="shared" si="12"/>
        <v>464.64054000000004</v>
      </c>
      <c r="M66" s="180"/>
    </row>
    <row r="67" spans="1:13">
      <c r="A67" s="195" t="s">
        <v>151</v>
      </c>
      <c r="C67" s="180">
        <f>I52*H8</f>
        <v>0</v>
      </c>
      <c r="D67" s="180">
        <f t="shared" si="11"/>
        <v>23643.325420000001</v>
      </c>
      <c r="E67" s="180">
        <f t="shared" si="11"/>
        <v>0</v>
      </c>
      <c r="F67" s="180">
        <f t="shared" si="11"/>
        <v>-45137.257619999997</v>
      </c>
      <c r="G67" s="180">
        <f t="shared" si="11"/>
        <v>-16864.469880000001</v>
      </c>
      <c r="H67" s="180">
        <f t="shared" si="11"/>
        <v>0</v>
      </c>
      <c r="I67" s="180">
        <f t="shared" si="11"/>
        <v>5952.1658400000006</v>
      </c>
      <c r="J67" s="180">
        <f t="shared" si="12"/>
        <v>-32406.236239999998</v>
      </c>
      <c r="M67" s="180"/>
    </row>
    <row r="68" spans="1:13">
      <c r="A68" s="195" t="s">
        <v>152</v>
      </c>
      <c r="C68" s="180">
        <f>(I53*H9)</f>
        <v>-133.38948000000002</v>
      </c>
      <c r="D68" s="180">
        <f t="shared" si="11"/>
        <v>-374.01364000000001</v>
      </c>
      <c r="E68" s="180">
        <f t="shared" si="11"/>
        <v>0</v>
      </c>
      <c r="F68" s="180">
        <f t="shared" si="11"/>
        <v>714.02603999999997</v>
      </c>
      <c r="G68" s="180">
        <f t="shared" si="11"/>
        <v>266.77896000000004</v>
      </c>
      <c r="H68" s="180">
        <f t="shared" si="11"/>
        <v>0</v>
      </c>
      <c r="I68" s="180">
        <f t="shared" si="11"/>
        <v>-94.15728</v>
      </c>
      <c r="J68" s="180">
        <f t="shared" si="12"/>
        <v>379.24459999999993</v>
      </c>
      <c r="M68" s="180"/>
    </row>
    <row r="69" spans="1:13">
      <c r="A69" s="195" t="s">
        <v>153</v>
      </c>
      <c r="C69" s="180">
        <f>I54*H10</f>
        <v>0</v>
      </c>
      <c r="D69" s="180">
        <f>$H10*C54</f>
        <v>0</v>
      </c>
      <c r="E69" s="180">
        <f>$H10*D54+$H11*D55</f>
        <v>0</v>
      </c>
      <c r="F69" s="180">
        <f>$H10*E54+$H11*E55</f>
        <v>-7866.7657199999994</v>
      </c>
      <c r="G69" s="180">
        <f>$H10*F54+$H11*F55</f>
        <v>-2927.1686400000003</v>
      </c>
      <c r="H69" s="180">
        <f>$H10*G54+$H11*G55</f>
        <v>0</v>
      </c>
      <c r="I69" s="180">
        <f>$H10*H54+$H11*H55</f>
        <v>1555.05834</v>
      </c>
      <c r="J69" s="180">
        <f t="shared" si="12"/>
        <v>-9238.8760199999997</v>
      </c>
      <c r="M69" s="180"/>
    </row>
    <row r="70" spans="1:13">
      <c r="A70" s="195" t="s">
        <v>205</v>
      </c>
      <c r="C70" s="180">
        <f>(I55*H11)</f>
        <v>0</v>
      </c>
      <c r="D70" s="180">
        <f>$H11*C55</f>
        <v>0</v>
      </c>
      <c r="E70" s="180">
        <f t="shared" ref="E70:I72" si="13">$H12*D56</f>
        <v>0</v>
      </c>
      <c r="F70" s="180">
        <f t="shared" si="13"/>
        <v>0</v>
      </c>
      <c r="G70" s="180">
        <f t="shared" si="13"/>
        <v>0</v>
      </c>
      <c r="H70" s="180">
        <f t="shared" si="13"/>
        <v>0</v>
      </c>
      <c r="I70" s="180">
        <f t="shared" si="13"/>
        <v>0</v>
      </c>
      <c r="J70" s="180">
        <f t="shared" si="12"/>
        <v>0</v>
      </c>
      <c r="M70" s="180"/>
    </row>
    <row r="71" spans="1:13">
      <c r="A71" s="195" t="s">
        <v>154</v>
      </c>
      <c r="C71" s="180">
        <f>I56*H12</f>
        <v>0</v>
      </c>
      <c r="D71" s="180">
        <f>$H12*C56</f>
        <v>0</v>
      </c>
      <c r="E71" s="180">
        <f t="shared" si="13"/>
        <v>0</v>
      </c>
      <c r="F71" s="180">
        <f t="shared" si="13"/>
        <v>-1197.3479399999999</v>
      </c>
      <c r="G71" s="180">
        <f t="shared" si="13"/>
        <v>-408.29105999999996</v>
      </c>
      <c r="H71" s="180">
        <f t="shared" si="13"/>
        <v>0</v>
      </c>
      <c r="I71" s="180">
        <f t="shared" si="13"/>
        <v>192.67668</v>
      </c>
      <c r="J71" s="180">
        <f t="shared" si="12"/>
        <v>-1412.9623199999999</v>
      </c>
      <c r="M71" s="180"/>
    </row>
    <row r="72" spans="1:13">
      <c r="A72" s="195" t="s">
        <v>155</v>
      </c>
      <c r="C72" s="180">
        <f>(I57*H13)</f>
        <v>0</v>
      </c>
      <c r="D72" s="180">
        <f>$H13*C57</f>
        <v>656.01822000000004</v>
      </c>
      <c r="E72" s="180">
        <f t="shared" si="13"/>
        <v>0</v>
      </c>
      <c r="F72" s="180">
        <f t="shared" si="13"/>
        <v>-30.28905</v>
      </c>
      <c r="G72" s="180">
        <f t="shared" si="13"/>
        <v>-10.32845</v>
      </c>
      <c r="H72" s="180">
        <f t="shared" si="13"/>
        <v>0</v>
      </c>
      <c r="I72" s="180">
        <f t="shared" si="13"/>
        <v>4.8741000000000003</v>
      </c>
      <c r="J72" s="180">
        <f t="shared" si="12"/>
        <v>620.27482000000009</v>
      </c>
      <c r="M72" s="180"/>
    </row>
    <row r="73" spans="1:13">
      <c r="A73" s="195" t="s">
        <v>217</v>
      </c>
      <c r="C73" s="180">
        <f>I58*H14</f>
        <v>5.9185500000000006</v>
      </c>
      <c r="D73" s="180">
        <f>$H14*C58</f>
        <v>16.59515</v>
      </c>
      <c r="E73" s="180">
        <f>($H15+$H16+$H17)*D59</f>
        <v>0</v>
      </c>
      <c r="F73" s="180">
        <f>($H15+$H16+$H17)*E59</f>
        <v>0</v>
      </c>
      <c r="G73" s="180">
        <v>0</v>
      </c>
      <c r="H73" s="198">
        <v>0</v>
      </c>
      <c r="I73" s="198">
        <v>0</v>
      </c>
      <c r="J73" s="180">
        <f t="shared" si="12"/>
        <v>22.5137</v>
      </c>
      <c r="M73" s="180"/>
    </row>
    <row r="74" spans="1:13">
      <c r="A74" s="169"/>
      <c r="C74" s="194">
        <f>SUM(C63:C73)</f>
        <v>-1344.6777300000001</v>
      </c>
      <c r="D74" s="194">
        <f>SUM(D63:D73)</f>
        <v>34039.110670000002</v>
      </c>
      <c r="E74" s="194">
        <f t="shared" ref="E74:J74" si="14">SUM(E63:E73)</f>
        <v>-1466.36571</v>
      </c>
      <c r="F74" s="194">
        <f t="shared" si="14"/>
        <v>-58514.348689999999</v>
      </c>
      <c r="G74" s="194">
        <f t="shared" si="14"/>
        <v>-22001.639350000001</v>
      </c>
      <c r="H74" s="194">
        <f t="shared" si="14"/>
        <v>0</v>
      </c>
      <c r="I74" s="194">
        <f t="shared" si="14"/>
        <v>7909.2696999999989</v>
      </c>
      <c r="J74" s="194">
        <f t="shared" si="14"/>
        <v>-41378.651109999999</v>
      </c>
    </row>
    <row r="76" spans="1:13">
      <c r="A76" s="164" t="s">
        <v>19</v>
      </c>
      <c r="B76" s="164"/>
      <c r="C76" s="180">
        <f>C63+C64</f>
        <v>-1130.4058200000002</v>
      </c>
      <c r="D76" s="180">
        <f>D63+D64</f>
        <v>5829.3476599999995</v>
      </c>
      <c r="E76" s="180">
        <f t="shared" ref="E76:J76" si="15">E63+E64</f>
        <v>-1466.36571</v>
      </c>
      <c r="F76" s="180">
        <f t="shared" si="15"/>
        <v>5807.1828399999995</v>
      </c>
      <c r="G76" s="180">
        <f t="shared" si="15"/>
        <v>2149.9875400000001</v>
      </c>
      <c r="H76" s="180">
        <f t="shared" si="15"/>
        <v>0</v>
      </c>
      <c r="I76" s="180">
        <f t="shared" si="15"/>
        <v>-775.76870000000008</v>
      </c>
      <c r="J76" s="180">
        <f t="shared" si="15"/>
        <v>10413.977809999998</v>
      </c>
    </row>
    <row r="77" spans="1:13">
      <c r="A77" s="164"/>
      <c r="B77" s="164"/>
      <c r="C77" s="180"/>
      <c r="D77" s="180"/>
      <c r="E77" s="180"/>
      <c r="F77" s="180"/>
      <c r="G77" s="180"/>
      <c r="H77" s="180"/>
      <c r="I77" s="180"/>
      <c r="J77" s="180"/>
    </row>
    <row r="78" spans="1:13">
      <c r="A78" s="164" t="s">
        <v>209</v>
      </c>
      <c r="B78" s="164"/>
      <c r="C78" s="190">
        <f>SUM(C65:C68,C70:C72)</f>
        <v>-220.19046000000003</v>
      </c>
      <c r="D78" s="190">
        <f>SUM(D65:D68,D70:D72)</f>
        <v>28193.167860000001</v>
      </c>
      <c r="E78" s="190">
        <f t="shared" ref="E78:J78" si="16">SUM(E65:E68,E70:E72)</f>
        <v>0</v>
      </c>
      <c r="F78" s="190">
        <f t="shared" si="16"/>
        <v>-56454.765809999997</v>
      </c>
      <c r="G78" s="190">
        <f t="shared" si="16"/>
        <v>-21224.458250000003</v>
      </c>
      <c r="H78" s="190">
        <f t="shared" si="16"/>
        <v>0</v>
      </c>
      <c r="I78" s="190">
        <f t="shared" si="16"/>
        <v>7129.9800599999999</v>
      </c>
      <c r="J78" s="190">
        <f t="shared" si="16"/>
        <v>-42576.266599999995</v>
      </c>
    </row>
  </sheetData>
  <mergeCells count="3">
    <mergeCell ref="A1:I1"/>
    <mergeCell ref="F59:F60"/>
    <mergeCell ref="I59:I60"/>
  </mergeCells>
  <pageMargins left="0.7" right="0.7" top="0.66" bottom="0.64" header="0.3" footer="0.3"/>
  <pageSetup scale="71" fitToHeight="2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E18" sqref="E18"/>
    </sheetView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3" t="s">
        <v>178</v>
      </c>
      <c r="B1" s="134"/>
      <c r="C1" s="134"/>
      <c r="D1" s="134"/>
      <c r="E1" s="135"/>
    </row>
    <row r="2" spans="1:5">
      <c r="A2" s="242" t="s">
        <v>179</v>
      </c>
      <c r="B2" s="242"/>
      <c r="C2" s="242"/>
      <c r="D2" s="242"/>
      <c r="E2" s="242"/>
    </row>
    <row r="3" spans="1:5">
      <c r="A3" s="242" t="s">
        <v>180</v>
      </c>
      <c r="B3" s="242"/>
      <c r="C3" s="242"/>
      <c r="D3" s="242"/>
      <c r="E3" s="242"/>
    </row>
    <row r="4" spans="1:5" ht="15.6">
      <c r="A4" s="243" t="s">
        <v>181</v>
      </c>
      <c r="B4" s="244"/>
      <c r="C4" s="243"/>
      <c r="D4" s="243"/>
      <c r="E4" s="243"/>
    </row>
    <row r="5" spans="1:5">
      <c r="A5" s="136"/>
      <c r="B5" s="136"/>
      <c r="C5" s="136"/>
      <c r="D5" s="136"/>
      <c r="E5" s="137"/>
    </row>
    <row r="6" spans="1:5">
      <c r="A6" s="138" t="s">
        <v>182</v>
      </c>
      <c r="B6" s="138"/>
      <c r="C6" s="138"/>
      <c r="D6" s="138"/>
      <c r="E6" s="139"/>
    </row>
    <row r="7" spans="1:5">
      <c r="A7" s="140" t="s">
        <v>183</v>
      </c>
      <c r="B7" s="138"/>
      <c r="C7" s="140" t="s">
        <v>184</v>
      </c>
      <c r="D7" s="141"/>
      <c r="E7" s="142" t="s">
        <v>185</v>
      </c>
    </row>
    <row r="8" spans="1:5">
      <c r="A8" s="136"/>
      <c r="B8" s="136"/>
      <c r="C8" s="136"/>
      <c r="D8" s="136"/>
      <c r="E8" s="137"/>
    </row>
    <row r="9" spans="1:5">
      <c r="A9" s="143">
        <v>1</v>
      </c>
      <c r="B9" s="136"/>
      <c r="C9" s="144" t="s">
        <v>70</v>
      </c>
      <c r="D9" s="136"/>
      <c r="E9" s="145">
        <v>1</v>
      </c>
    </row>
    <row r="10" spans="1:5">
      <c r="A10" s="143"/>
      <c r="B10" s="136"/>
      <c r="C10" s="136"/>
      <c r="D10" s="136"/>
      <c r="E10" s="145"/>
    </row>
    <row r="11" spans="1:5">
      <c r="A11" s="143"/>
      <c r="B11" s="136"/>
      <c r="C11" s="146" t="s">
        <v>186</v>
      </c>
      <c r="D11" s="147"/>
      <c r="E11" s="145"/>
    </row>
    <row r="12" spans="1:5">
      <c r="A12" s="143">
        <v>2</v>
      </c>
      <c r="B12" s="136"/>
      <c r="C12" s="147" t="s">
        <v>187</v>
      </c>
      <c r="D12" s="147"/>
      <c r="E12" s="147">
        <v>5.3530000000000001E-3</v>
      </c>
    </row>
    <row r="13" spans="1:5">
      <c r="A13" s="143"/>
      <c r="B13" s="136"/>
      <c r="C13" s="147"/>
      <c r="D13" s="147"/>
      <c r="E13" s="147"/>
    </row>
    <row r="14" spans="1:5">
      <c r="A14" s="143">
        <v>3</v>
      </c>
      <c r="B14" s="136"/>
      <c r="C14" s="147" t="s">
        <v>188</v>
      </c>
      <c r="D14" s="147"/>
      <c r="E14" s="147">
        <v>2E-3</v>
      </c>
    </row>
    <row r="15" spans="1:5">
      <c r="A15" s="143"/>
      <c r="B15" s="136"/>
      <c r="C15" s="147"/>
      <c r="D15" s="147"/>
      <c r="E15" s="147"/>
    </row>
    <row r="16" spans="1:5">
      <c r="A16" s="143">
        <v>4</v>
      </c>
      <c r="B16" s="136"/>
      <c r="C16" s="147" t="s">
        <v>189</v>
      </c>
      <c r="D16" s="147"/>
      <c r="E16" s="147">
        <v>3.8526999999999999E-2</v>
      </c>
    </row>
    <row r="17" spans="1:5">
      <c r="A17" s="143"/>
      <c r="B17" s="136"/>
      <c r="C17" s="147"/>
      <c r="D17" s="147"/>
      <c r="E17" s="147"/>
    </row>
    <row r="18" spans="1:5">
      <c r="A18" s="143">
        <v>5</v>
      </c>
      <c r="B18" s="136"/>
      <c r="C18" s="147" t="s">
        <v>190</v>
      </c>
      <c r="D18" s="147"/>
      <c r="E18" s="148">
        <f>SUM(E12:E16)</f>
        <v>4.5879999999999997E-2</v>
      </c>
    </row>
    <row r="19" spans="1:5">
      <c r="A19" s="143"/>
      <c r="B19" s="136"/>
      <c r="C19" s="147"/>
      <c r="D19" s="147"/>
      <c r="E19" s="149"/>
    </row>
    <row r="20" spans="1:5">
      <c r="A20" s="143">
        <v>6</v>
      </c>
      <c r="B20" s="136"/>
      <c r="C20" s="147" t="s">
        <v>191</v>
      </c>
      <c r="D20" s="147"/>
      <c r="E20" s="149">
        <f>E9-E18</f>
        <v>0.95411999999999997</v>
      </c>
    </row>
    <row r="21" spans="1:5">
      <c r="A21" s="136"/>
      <c r="B21" s="136"/>
      <c r="C21" s="147"/>
      <c r="D21" s="147"/>
      <c r="E21" s="149"/>
    </row>
    <row r="22" spans="1:5">
      <c r="A22" s="143">
        <v>7</v>
      </c>
      <c r="B22" s="136"/>
      <c r="C22" s="147" t="s">
        <v>192</v>
      </c>
      <c r="D22" s="150"/>
      <c r="E22" s="151">
        <f>ROUND(E20*0.35,6)</f>
        <v>0.33394200000000002</v>
      </c>
    </row>
    <row r="23" spans="1:5">
      <c r="A23" s="136"/>
      <c r="B23" s="136"/>
      <c r="C23" s="147"/>
      <c r="D23" s="147"/>
      <c r="E23" s="149"/>
    </row>
    <row r="24" spans="1:5" ht="15" thickBot="1">
      <c r="A24" s="143">
        <v>8</v>
      </c>
      <c r="B24" s="136"/>
      <c r="C24" s="146" t="s">
        <v>193</v>
      </c>
      <c r="D24" s="147"/>
      <c r="E24" s="152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38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45" t="s">
        <v>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>
      <c r="A2" s="245" t="s">
        <v>53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46" t="s">
        <v>77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1" t="s">
        <v>25</v>
      </c>
      <c r="K6" s="9" t="s">
        <v>27</v>
      </c>
    </row>
    <row r="7" spans="1:11">
      <c r="A7" s="7"/>
      <c r="B7" s="8"/>
      <c r="C7" s="8"/>
      <c r="D7" s="8"/>
      <c r="E7" s="112" t="s">
        <v>28</v>
      </c>
      <c r="F7" s="112" t="s">
        <v>29</v>
      </c>
      <c r="G7" s="112" t="s">
        <v>30</v>
      </c>
      <c r="H7" s="112" t="s">
        <v>31</v>
      </c>
      <c r="I7" s="112" t="s">
        <v>33</v>
      </c>
      <c r="J7" s="113" t="s">
        <v>32</v>
      </c>
      <c r="K7" s="112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4"/>
      <c r="K8" s="115"/>
    </row>
    <row r="9" spans="1:11">
      <c r="A9" s="7">
        <v>1</v>
      </c>
      <c r="B9" s="8" t="s">
        <v>163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6">
        <v>65194000</v>
      </c>
      <c r="K9" s="117">
        <v>7020000</v>
      </c>
    </row>
    <row r="10" spans="1:11">
      <c r="A10" s="7">
        <v>2</v>
      </c>
      <c r="B10" s="8" t="s">
        <v>164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6">
        <v>-1056000</v>
      </c>
      <c r="K10" s="117">
        <v>-112000</v>
      </c>
    </row>
    <row r="11" spans="1:11">
      <c r="A11" s="7">
        <v>3</v>
      </c>
      <c r="B11" s="8" t="s">
        <v>165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18">
        <f>J9+J10</f>
        <v>64138000</v>
      </c>
      <c r="K11" s="119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18"/>
      <c r="K12" s="119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0">
        <v>1105372136</v>
      </c>
      <c r="K13" s="121">
        <v>25127765</v>
      </c>
    </row>
    <row r="14" spans="1:11">
      <c r="A14" s="7">
        <v>5</v>
      </c>
      <c r="B14" s="8" t="s">
        <v>166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2">
        <f t="shared" si="1"/>
        <v>1.6410000000000001E-2</v>
      </c>
      <c r="K14" s="123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18">
        <f>J14*J13</f>
        <v>18139156.751760002</v>
      </c>
      <c r="K15" s="119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18"/>
      <c r="K16" s="119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4"/>
      <c r="K17" s="11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4"/>
      <c r="K18" s="115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4"/>
      <c r="K19" s="115"/>
    </row>
    <row r="20" spans="1:11">
      <c r="A20" s="7">
        <v>9</v>
      </c>
      <c r="B20" s="8" t="s">
        <v>167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4"/>
      <c r="K20" s="115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4"/>
      <c r="K21" s="11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47" t="s">
        <v>79</v>
      </c>
      <c r="K22" s="248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47"/>
      <c r="K23" s="248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168</v>
      </c>
      <c r="C25" s="8"/>
      <c r="D25" s="8"/>
      <c r="E25" s="124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169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170</v>
      </c>
    </row>
    <row r="37" spans="1:9">
      <c r="D37" s="2" t="s">
        <v>171</v>
      </c>
      <c r="F37" s="125">
        <f>F23/F13</f>
        <v>6.3656087648467335E-2</v>
      </c>
      <c r="G37" s="125">
        <f t="shared" ref="G37:I37" si="4">G23/G13</f>
        <v>9.1650724739878009E-2</v>
      </c>
      <c r="H37" s="125">
        <f t="shared" si="4"/>
        <v>6.5309764445137655E-2</v>
      </c>
      <c r="I37" s="125">
        <f t="shared" si="4"/>
        <v>6.1986442030770555E-2</v>
      </c>
    </row>
    <row r="38" spans="1:9">
      <c r="D38" s="2" t="s">
        <v>172</v>
      </c>
      <c r="F38" s="126">
        <f>F37+F14</f>
        <v>8.0066087648467343E-2</v>
      </c>
      <c r="G38" s="126">
        <f t="shared" ref="G38:I38" si="5">G37+G14</f>
        <v>0.10806072473987802</v>
      </c>
      <c r="H38" s="126">
        <f t="shared" si="5"/>
        <v>8.1719764445137649E-2</v>
      </c>
      <c r="I38" s="126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45" t="s">
        <v>20</v>
      </c>
      <c r="B2" s="245"/>
      <c r="C2" s="245"/>
      <c r="D2" s="245"/>
      <c r="E2" s="245"/>
    </row>
    <row r="3" spans="1:6">
      <c r="A3" s="245" t="s">
        <v>53</v>
      </c>
      <c r="B3" s="245"/>
      <c r="C3" s="245"/>
      <c r="D3" s="245"/>
      <c r="E3" s="245"/>
    </row>
    <row r="4" spans="1:6">
      <c r="A4" s="246" t="s">
        <v>74</v>
      </c>
      <c r="B4" s="246"/>
      <c r="C4" s="246"/>
      <c r="D4" s="246"/>
      <c r="E4" s="246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27" t="s">
        <v>17</v>
      </c>
      <c r="B7" s="128"/>
      <c r="C7" s="127" t="s">
        <v>16</v>
      </c>
      <c r="D7" s="127" t="s">
        <v>19</v>
      </c>
      <c r="E7" s="12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173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5"/>
  <sheetViews>
    <sheetView workbookViewId="0">
      <selection activeCell="I27" sqref="I27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49" t="s">
        <v>20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17.399999999999999">
      <c r="A2" s="249" t="str">
        <f>'Attachment 4, Page 2'!A3:E3</f>
        <v xml:space="preserve"> Electric Decoupling Mechanism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17.399999999999999">
      <c r="A3" s="250" t="s">
        <v>76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15.6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6" ht="30.6" customHeight="1">
      <c r="A5" s="129" t="s">
        <v>17</v>
      </c>
      <c r="B5" s="130"/>
      <c r="C5" s="131" t="s">
        <v>16</v>
      </c>
      <c r="D5" s="132" t="s">
        <v>36</v>
      </c>
      <c r="E5" s="132" t="s">
        <v>37</v>
      </c>
      <c r="F5" s="132" t="s">
        <v>38</v>
      </c>
      <c r="G5" s="132" t="s">
        <v>39</v>
      </c>
      <c r="H5" s="132" t="s">
        <v>40</v>
      </c>
      <c r="I5" s="132" t="s">
        <v>41</v>
      </c>
      <c r="J5" s="132" t="s">
        <v>42</v>
      </c>
      <c r="K5" s="132" t="s">
        <v>43</v>
      </c>
      <c r="L5" s="132" t="s">
        <v>44</v>
      </c>
      <c r="M5" s="132" t="s">
        <v>45</v>
      </c>
      <c r="N5" s="132" t="s">
        <v>46</v>
      </c>
      <c r="O5" s="132" t="s">
        <v>47</v>
      </c>
      <c r="P5" s="129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174</v>
      </c>
      <c r="C22" s="21" t="s">
        <v>175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176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174</v>
      </c>
      <c r="C26" s="21" t="s">
        <v>175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176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203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R71"/>
  <sheetViews>
    <sheetView topLeftCell="A41" workbookViewId="0">
      <selection activeCell="M55" sqref="M55"/>
    </sheetView>
  </sheetViews>
  <sheetFormatPr defaultRowHeight="14.4"/>
  <cols>
    <col min="2" max="2" width="30.6640625" customWidth="1"/>
    <col min="3" max="3" width="13.5546875" customWidth="1"/>
    <col min="4" max="14" width="15" customWidth="1"/>
    <col min="15" max="15" width="14.5546875" customWidth="1"/>
    <col min="16" max="16" width="13.5546875" customWidth="1"/>
    <col min="17" max="17" width="13.44140625" hidden="1" customWidth="1"/>
    <col min="18" max="18" width="11.33203125" hidden="1" customWidth="1"/>
  </cols>
  <sheetData>
    <row r="1" spans="1:18" ht="15.6">
      <c r="A1" s="251" t="s">
        <v>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0"/>
      <c r="Q1" s="58"/>
      <c r="R1" s="58"/>
    </row>
    <row r="2" spans="1:18" ht="15.6">
      <c r="A2" s="251" t="s">
        <v>194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0"/>
      <c r="Q2" s="58"/>
      <c r="R2" s="58"/>
    </row>
    <row r="3" spans="1:18" ht="15.6">
      <c r="A3" s="252" t="s">
        <v>240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0"/>
      <c r="Q3" s="58"/>
      <c r="R3" s="58"/>
    </row>
    <row r="4" spans="1:18" ht="15.6" hidden="1">
      <c r="A4" s="59"/>
      <c r="B4" s="60"/>
      <c r="C4" s="60"/>
      <c r="D4" s="61" t="str">
        <f>TEXT(D7,"YYYYMM")</f>
        <v>201701</v>
      </c>
      <c r="E4" s="61">
        <f>D4+1</f>
        <v>201702</v>
      </c>
      <c r="F4" s="61">
        <f t="shared" ref="F4:O4" si="0">E4+1</f>
        <v>201703</v>
      </c>
      <c r="G4" s="61">
        <f t="shared" si="0"/>
        <v>201704</v>
      </c>
      <c r="H4" s="61">
        <f t="shared" si="0"/>
        <v>201705</v>
      </c>
      <c r="I4" s="61">
        <f t="shared" si="0"/>
        <v>201706</v>
      </c>
      <c r="J4" s="61">
        <f t="shared" si="0"/>
        <v>201707</v>
      </c>
      <c r="K4" s="61">
        <f t="shared" si="0"/>
        <v>201708</v>
      </c>
      <c r="L4" s="61">
        <f t="shared" si="0"/>
        <v>201709</v>
      </c>
      <c r="M4" s="61">
        <f t="shared" si="0"/>
        <v>201710</v>
      </c>
      <c r="N4" s="61">
        <f t="shared" si="0"/>
        <v>201711</v>
      </c>
      <c r="O4" s="61">
        <f t="shared" si="0"/>
        <v>201712</v>
      </c>
      <c r="P4" s="20"/>
      <c r="Q4" s="58"/>
      <c r="R4" s="58"/>
    </row>
    <row r="5" spans="1:18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  <c r="Q5" s="58"/>
      <c r="R5" s="58"/>
    </row>
    <row r="6" spans="1:18">
      <c r="A6" s="20"/>
      <c r="B6" s="20"/>
      <c r="C6" s="20"/>
      <c r="D6" s="10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58"/>
      <c r="R6" s="58"/>
    </row>
    <row r="7" spans="1:18">
      <c r="A7" s="64" t="s">
        <v>17</v>
      </c>
      <c r="B7" s="65"/>
      <c r="C7" s="66" t="s">
        <v>16</v>
      </c>
      <c r="D7" s="110">
        <v>42736</v>
      </c>
      <c r="E7" s="67">
        <f>EDATE(D7,1)</f>
        <v>42767</v>
      </c>
      <c r="F7" s="67">
        <f t="shared" ref="F7:O7" si="1">EDATE(E7,1)</f>
        <v>42795</v>
      </c>
      <c r="G7" s="67">
        <f t="shared" si="1"/>
        <v>42826</v>
      </c>
      <c r="H7" s="67">
        <f t="shared" si="1"/>
        <v>42856</v>
      </c>
      <c r="I7" s="67">
        <f t="shared" si="1"/>
        <v>42887</v>
      </c>
      <c r="J7" s="67">
        <f t="shared" si="1"/>
        <v>42917</v>
      </c>
      <c r="K7" s="67">
        <f t="shared" si="1"/>
        <v>42948</v>
      </c>
      <c r="L7" s="67">
        <f t="shared" si="1"/>
        <v>42979</v>
      </c>
      <c r="M7" s="67">
        <f t="shared" si="1"/>
        <v>43009</v>
      </c>
      <c r="N7" s="67">
        <f t="shared" si="1"/>
        <v>43040</v>
      </c>
      <c r="O7" s="67">
        <f t="shared" si="1"/>
        <v>43070</v>
      </c>
      <c r="P7" s="67" t="s">
        <v>15</v>
      </c>
      <c r="Q7" s="58"/>
      <c r="R7" s="58"/>
    </row>
    <row r="8" spans="1:18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  <c r="Q8" s="58"/>
      <c r="R8" s="58"/>
    </row>
    <row r="9" spans="1:18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58"/>
      <c r="R9" s="58"/>
    </row>
    <row r="10" spans="1:18" hidden="1">
      <c r="A10" s="58"/>
      <c r="B10" s="69" t="s">
        <v>121</v>
      </c>
      <c r="C10" s="58" t="s">
        <v>122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58"/>
      <c r="R10" s="58"/>
    </row>
    <row r="11" spans="1:18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8"/>
      <c r="R11" s="58"/>
    </row>
    <row r="12" spans="1:18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58"/>
      <c r="R12" s="58"/>
    </row>
    <row r="13" spans="1:18">
      <c r="A13" s="21">
        <v>1</v>
      </c>
      <c r="B13" s="20" t="s">
        <v>124</v>
      </c>
      <c r="C13" s="21" t="s">
        <v>125</v>
      </c>
      <c r="D13" s="157">
        <f>'Jan Base Rate Revenue'!$C$20</f>
        <v>212134</v>
      </c>
      <c r="E13" s="157">
        <f>'Feb Base Rate Revenue'!$C$20</f>
        <v>212059</v>
      </c>
      <c r="F13" s="157">
        <f>'Mar Base Rate Revenue'!C20</f>
        <v>212618</v>
      </c>
      <c r="G13" s="157">
        <f>'Apr Base Rate Revenue'!C20</f>
        <v>212018</v>
      </c>
      <c r="H13" s="157">
        <f>'May Base Rate Revenue'!C19</f>
        <v>211258</v>
      </c>
      <c r="I13" s="157">
        <f>'June Base Rate Revenue'!C19</f>
        <v>211830</v>
      </c>
      <c r="J13" s="157">
        <f>'July Base Rate Revenue'!C19</f>
        <v>211439</v>
      </c>
      <c r="K13" s="157">
        <f>'August Base Rate Revenue'!$C19</f>
        <v>212411</v>
      </c>
      <c r="L13" s="157">
        <f>'September Base Rate Revenue'!$C19</f>
        <v>212339</v>
      </c>
      <c r="M13" s="157">
        <f>'October Base Rate Revenue'!$C19</f>
        <v>213798</v>
      </c>
      <c r="N13" s="157">
        <f>'November Base Rate Revenue'!$C19</f>
        <v>213856</v>
      </c>
      <c r="O13" s="157">
        <f>'December Base Rate Revenue'!$C19</f>
        <v>214177</v>
      </c>
      <c r="P13" s="105">
        <f>SUM(D13:O13)</f>
        <v>2549937</v>
      </c>
      <c r="Q13" s="73">
        <f>AVERAGE(D13:O13)</f>
        <v>212494.75</v>
      </c>
      <c r="R13" s="253" t="s">
        <v>126</v>
      </c>
    </row>
    <row r="14" spans="1:18" ht="26.4">
      <c r="A14" s="74">
        <f t="shared" ref="A14:A44" si="2">A13+1</f>
        <v>2</v>
      </c>
      <c r="B14" s="153" t="s">
        <v>127</v>
      </c>
      <c r="C14" s="153" t="s">
        <v>196</v>
      </c>
      <c r="D14" s="154">
        <f>'Attachment 4, Page 3'!D23</f>
        <v>88.322763278236906</v>
      </c>
      <c r="E14" s="154">
        <f>'Attachment 4, Page 3'!E23</f>
        <v>72.16516565702095</v>
      </c>
      <c r="F14" s="154">
        <f>'Attachment 4, Page 3'!F23</f>
        <v>70.972141606104245</v>
      </c>
      <c r="G14" s="154">
        <f>'Attachment 4, Page 3'!G23</f>
        <v>53.464415602104843</v>
      </c>
      <c r="H14" s="154">
        <f>'Attachment 4, Page 3'!H23</f>
        <v>51.698952694282845</v>
      </c>
      <c r="I14" s="154">
        <f>'Attachment 4, Page 3'!I23</f>
        <v>45.971109410999645</v>
      </c>
      <c r="J14" s="154">
        <f>'Attachment 4, Page 3'!J23</f>
        <v>47.581058675761213</v>
      </c>
      <c r="K14" s="154">
        <f>'Attachment 4, Page 3'!K23</f>
        <v>56.256559389250889</v>
      </c>
      <c r="L14" s="154">
        <f>'Attachment 4, Page 3'!L23</f>
        <v>45.471467138196999</v>
      </c>
      <c r="M14" s="154">
        <f>'Attachment 4, Page 3'!M23</f>
        <v>54.001684320194592</v>
      </c>
      <c r="N14" s="154">
        <f>'Attachment 4, Page 3'!N23</f>
        <v>65.980997284292343</v>
      </c>
      <c r="O14" s="154">
        <f>'Attachment 4, Page 3'!O23</f>
        <v>86.053684943554572</v>
      </c>
      <c r="P14" s="75">
        <f>SUM(D14:O14)</f>
        <v>737.94</v>
      </c>
      <c r="Q14" s="76">
        <f>SUM(D14:O14)</f>
        <v>737.94</v>
      </c>
      <c r="R14" s="253"/>
    </row>
    <row r="15" spans="1:18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>D13*D14</f>
        <v>18736261.065265507</v>
      </c>
      <c r="E15" s="77">
        <f t="shared" ref="E15:O15" si="3">E13*E14</f>
        <v>15303272.864062205</v>
      </c>
      <c r="F15" s="77">
        <f>F13*F14</f>
        <v>15089954.804006672</v>
      </c>
      <c r="G15" s="77">
        <f t="shared" si="3"/>
        <v>11335418.467127064</v>
      </c>
      <c r="H15" s="77">
        <f t="shared" si="3"/>
        <v>10921817.348288804</v>
      </c>
      <c r="I15" s="77">
        <f t="shared" si="3"/>
        <v>9738060.106532054</v>
      </c>
      <c r="J15" s="77">
        <f t="shared" si="3"/>
        <v>10060491.465344274</v>
      </c>
      <c r="K15" s="77">
        <f t="shared" si="3"/>
        <v>11949512.036430171</v>
      </c>
      <c r="L15" s="77">
        <f t="shared" si="3"/>
        <v>9655365.8606576119</v>
      </c>
      <c r="M15" s="77">
        <f t="shared" si="3"/>
        <v>11545452.104288964</v>
      </c>
      <c r="N15" s="77">
        <f t="shared" si="3"/>
        <v>14110432.155229622</v>
      </c>
      <c r="O15" s="77">
        <f t="shared" si="3"/>
        <v>18430720.080155689</v>
      </c>
      <c r="P15" s="78">
        <f>SUM(D15:O15)</f>
        <v>156876758.35738865</v>
      </c>
      <c r="Q15" s="77">
        <f>Q13*Q14</f>
        <v>156808375.815</v>
      </c>
      <c r="R15" s="79">
        <f>Q15-P15</f>
        <v>-68382.542388647795</v>
      </c>
    </row>
    <row r="16" spans="1:18">
      <c r="A16" s="21"/>
      <c r="B16" s="20"/>
      <c r="C16" s="2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0"/>
      <c r="Q16" s="58"/>
      <c r="R16" s="58"/>
    </row>
    <row r="17" spans="1:18">
      <c r="A17" s="21">
        <v>4</v>
      </c>
      <c r="B17" s="20" t="s">
        <v>128</v>
      </c>
      <c r="C17" s="21" t="s">
        <v>125</v>
      </c>
      <c r="D17" s="158">
        <f>'Jan Base Rate Revenue'!$I$41</f>
        <v>29977439.682189997</v>
      </c>
      <c r="E17" s="158">
        <f>'Feb Base Rate Revenue'!$I$41</f>
        <v>21701036.221870001</v>
      </c>
      <c r="F17" s="158">
        <f>'Mar Base Rate Revenue'!I41</f>
        <v>19217979.42436</v>
      </c>
      <c r="G17" s="158">
        <f>'Apr Base Rate Revenue'!I41</f>
        <v>15485302.735649999</v>
      </c>
      <c r="H17" s="158">
        <f>'May Base Rate Revenue'!I39</f>
        <v>14335482.055080002</v>
      </c>
      <c r="I17" s="158">
        <f>'June Base Rate Revenue'!I39</f>
        <v>13375307.533610001</v>
      </c>
      <c r="J17" s="158">
        <f>'July Base Rate Revenue'!I39</f>
        <v>17431399.198870003</v>
      </c>
      <c r="K17" s="158">
        <f>'August Base Rate Revenue'!$I39</f>
        <v>18289235.196620002</v>
      </c>
      <c r="L17" s="158">
        <f>'September Base Rate Revenue'!$I39</f>
        <v>14321080.195970001</v>
      </c>
      <c r="M17" s="158">
        <f>'October Base Rate Revenue'!$I39</f>
        <v>14347883.21611</v>
      </c>
      <c r="N17" s="158">
        <f>'November Base Rate Revenue'!$I39</f>
        <v>18951062.395669997</v>
      </c>
      <c r="O17" s="158">
        <f>'December Base Rate Revenue'!$I39</f>
        <v>24646419.874430001</v>
      </c>
      <c r="P17" s="106">
        <f>SUM(D17:O17)</f>
        <v>222079627.73043001</v>
      </c>
      <c r="Q17" s="79"/>
      <c r="R17" s="58"/>
    </row>
    <row r="18" spans="1:18">
      <c r="A18" s="21">
        <v>5</v>
      </c>
      <c r="B18" s="20" t="s">
        <v>129</v>
      </c>
      <c r="C18" s="21" t="s">
        <v>125</v>
      </c>
      <c r="D18" s="158">
        <f>'Jan Base Rate Revenue'!$C$41</f>
        <v>1836153</v>
      </c>
      <c r="E18" s="158">
        <f>'Feb Base Rate Revenue'!$C$41</f>
        <v>1834376.5</v>
      </c>
      <c r="F18" s="158">
        <f>'Mar Base Rate Revenue'!C41</f>
        <v>1843862.5</v>
      </c>
      <c r="G18" s="158">
        <f>'Apr Base Rate Revenue'!C41</f>
        <v>1840658</v>
      </c>
      <c r="H18" s="158">
        <f>'May Base Rate Revenue'!C39</f>
        <v>1850433</v>
      </c>
      <c r="I18" s="158">
        <f>'June Base Rate Revenue'!C39</f>
        <v>1866107</v>
      </c>
      <c r="J18" s="158">
        <f>'July Base Rate Revenue'!C39</f>
        <v>1855733.5</v>
      </c>
      <c r="K18" s="158">
        <f>'August Base Rate Revenue'!$C39</f>
        <v>1869014</v>
      </c>
      <c r="L18" s="158">
        <f>'September Base Rate Revenue'!$C39</f>
        <v>1855881.5</v>
      </c>
      <c r="M18" s="158">
        <f>'October Base Rate Revenue'!$C39</f>
        <v>1860480</v>
      </c>
      <c r="N18" s="158">
        <f>'November Base Rate Revenue'!$C39</f>
        <v>1856153.5</v>
      </c>
      <c r="O18" s="158">
        <f>'December Base Rate Revenue'!$C39</f>
        <v>1857488</v>
      </c>
      <c r="P18" s="106">
        <f>SUM(D18:O18)</f>
        <v>22226340.5</v>
      </c>
      <c r="Q18" s="79"/>
      <c r="R18" s="58"/>
    </row>
    <row r="19" spans="1:18">
      <c r="A19" s="21">
        <v>6</v>
      </c>
      <c r="B19" s="80" t="s">
        <v>238</v>
      </c>
      <c r="C19" s="21" t="s">
        <v>125</v>
      </c>
      <c r="D19" s="159">
        <f>'Jan Base Rate Revenue'!$I$20</f>
        <v>330420975</v>
      </c>
      <c r="E19" s="159">
        <f>'Feb Base Rate Revenue'!$I$20</f>
        <v>242845820</v>
      </c>
      <c r="F19" s="159">
        <f>'Mar Base Rate Revenue'!I20</f>
        <v>216778430</v>
      </c>
      <c r="G19" s="159">
        <f>'Apr Base Rate Revenue'!I20</f>
        <v>174126973.66999999</v>
      </c>
      <c r="H19" s="159">
        <f>'May Base Rate Revenue'!I19</f>
        <v>161673824.11000001</v>
      </c>
      <c r="I19" s="159">
        <f>'June Base Rate Revenue'!I19</f>
        <v>149145252.86000001</v>
      </c>
      <c r="J19" s="159">
        <f>'July Base Rate Revenue'!I19</f>
        <v>195746292</v>
      </c>
      <c r="K19" s="159">
        <f>'August Base Rate Revenue'!$I19</f>
        <v>206172696.38</v>
      </c>
      <c r="L19" s="159">
        <f>'September Base Rate Revenue'!$I19</f>
        <v>161177614.43000001</v>
      </c>
      <c r="M19" s="159">
        <f>'October Base Rate Revenue'!$I19</f>
        <v>163829516</v>
      </c>
      <c r="N19" s="159">
        <f>'November Base Rate Revenue'!$I19</f>
        <v>214624108.54899999</v>
      </c>
      <c r="O19" s="159">
        <f>'December Base Rate Revenue'!$I19</f>
        <v>275751736.64499998</v>
      </c>
      <c r="P19" s="107">
        <f>SUM(D19:O19)</f>
        <v>2492293239.6440001</v>
      </c>
      <c r="Q19" s="81"/>
      <c r="R19" s="82"/>
    </row>
    <row r="20" spans="1:18" ht="27">
      <c r="A20" s="21">
        <v>7</v>
      </c>
      <c r="B20" s="91" t="s">
        <v>130</v>
      </c>
      <c r="C20" s="155" t="s">
        <v>173</v>
      </c>
      <c r="D20" s="156">
        <f>'Attachment 4, Page 1'!$E$27</f>
        <v>1.6410000000000001E-2</v>
      </c>
      <c r="E20" s="156">
        <f>'Attachment 4, Page 1'!$E$27</f>
        <v>1.6410000000000001E-2</v>
      </c>
      <c r="F20" s="156">
        <f>'Attachment 4, Page 1'!$E$27</f>
        <v>1.6410000000000001E-2</v>
      </c>
      <c r="G20" s="156">
        <f>'Attachment 4, Page 1'!$E$27</f>
        <v>1.6410000000000001E-2</v>
      </c>
      <c r="H20" s="156">
        <f>'Attachment 4, Page 1'!$E$27</f>
        <v>1.6410000000000001E-2</v>
      </c>
      <c r="I20" s="156">
        <f>'Attachment 4, Page 1'!$E$27</f>
        <v>1.6410000000000001E-2</v>
      </c>
      <c r="J20" s="156">
        <f>'Attachment 4, Page 1'!$E$27</f>
        <v>1.6410000000000001E-2</v>
      </c>
      <c r="K20" s="156">
        <f>'Attachment 4, Page 1'!$E$27</f>
        <v>1.6410000000000001E-2</v>
      </c>
      <c r="L20" s="156">
        <f>'Attachment 4, Page 1'!$E$27</f>
        <v>1.6410000000000001E-2</v>
      </c>
      <c r="M20" s="156">
        <f>'Attachment 4, Page 1'!$E$27</f>
        <v>1.6410000000000001E-2</v>
      </c>
      <c r="N20" s="156">
        <f>'Attachment 4, Page 1'!$E$27</f>
        <v>1.6410000000000001E-2</v>
      </c>
      <c r="O20" s="156">
        <f>'Attachment 4, Page 1'!$E$27</f>
        <v>1.6410000000000001E-2</v>
      </c>
      <c r="P20" s="83"/>
      <c r="Q20" s="58"/>
      <c r="R20" s="58"/>
    </row>
    <row r="21" spans="1:18">
      <c r="A21" s="21">
        <v>8</v>
      </c>
      <c r="B21" s="20" t="s">
        <v>131</v>
      </c>
      <c r="C21" s="21" t="str">
        <f>"("&amp;A19&amp;") x ("&amp;A20&amp;")"</f>
        <v>(6) x (7)</v>
      </c>
      <c r="D21" s="77">
        <f>D19*D20</f>
        <v>5422208.1997500006</v>
      </c>
      <c r="E21" s="77">
        <f>E19*E20</f>
        <v>3985099.9062000001</v>
      </c>
      <c r="F21" s="77">
        <f t="shared" ref="F21:O21" si="4">F19*F20</f>
        <v>3557334.0363000003</v>
      </c>
      <c r="G21" s="77">
        <f t="shared" si="4"/>
        <v>2857423.6379247</v>
      </c>
      <c r="H21" s="77">
        <f t="shared" si="4"/>
        <v>2653067.4536451004</v>
      </c>
      <c r="I21" s="77">
        <f t="shared" si="4"/>
        <v>2447473.5994326002</v>
      </c>
      <c r="J21" s="77">
        <f t="shared" si="4"/>
        <v>3212196.65172</v>
      </c>
      <c r="K21" s="77">
        <f t="shared" si="4"/>
        <v>3383293.9475958003</v>
      </c>
      <c r="L21" s="77">
        <f t="shared" si="4"/>
        <v>2644924.6527963001</v>
      </c>
      <c r="M21" s="77">
        <f>M19*M20</f>
        <v>2688442.3575600004</v>
      </c>
      <c r="N21" s="77">
        <f t="shared" si="4"/>
        <v>3521981.6212890903</v>
      </c>
      <c r="O21" s="77">
        <f t="shared" si="4"/>
        <v>4525085.9983444503</v>
      </c>
      <c r="P21" s="78">
        <f>SUM(D21:O21)</f>
        <v>40898532.06255804</v>
      </c>
      <c r="Q21" s="79">
        <f>SUM(D21:O21)</f>
        <v>40898532.06255804</v>
      </c>
      <c r="R21" s="58"/>
    </row>
    <row r="22" spans="1:18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 t="shared" ref="D22" si="5">D17-D18-D21</f>
        <v>22719078.482439995</v>
      </c>
      <c r="E22" s="77">
        <f t="shared" ref="E22:O22" si="6">E17-E18-E21</f>
        <v>15881559.815670002</v>
      </c>
      <c r="F22" s="77">
        <f t="shared" si="6"/>
        <v>13816782.88806</v>
      </c>
      <c r="G22" s="77">
        <f t="shared" si="6"/>
        <v>10787221.097725298</v>
      </c>
      <c r="H22" s="77">
        <f t="shared" si="6"/>
        <v>9831981.6014349014</v>
      </c>
      <c r="I22" s="77">
        <f t="shared" si="6"/>
        <v>9061726.9341774005</v>
      </c>
      <c r="J22" s="77">
        <f t="shared" si="6"/>
        <v>12363469.047150003</v>
      </c>
      <c r="K22" s="77">
        <f t="shared" si="6"/>
        <v>13036927.249024201</v>
      </c>
      <c r="L22" s="77">
        <f t="shared" si="6"/>
        <v>9820274.0431737006</v>
      </c>
      <c r="M22" s="77">
        <f t="shared" si="6"/>
        <v>9798960.8585500009</v>
      </c>
      <c r="N22" s="77">
        <f t="shared" si="6"/>
        <v>13572927.274380907</v>
      </c>
      <c r="O22" s="77">
        <f t="shared" si="6"/>
        <v>18263845.87608555</v>
      </c>
      <c r="P22" s="78">
        <f>SUM(D22:O22)</f>
        <v>158954755.16787195</v>
      </c>
      <c r="Q22" s="84">
        <f>P22/Q13</f>
        <v>748.04085827001347</v>
      </c>
      <c r="R22" s="58"/>
    </row>
    <row r="23" spans="1:18">
      <c r="A23" s="21"/>
      <c r="B23" s="85" t="s">
        <v>133</v>
      </c>
      <c r="C23" s="21"/>
      <c r="D23" s="75">
        <f t="shared" ref="D23" si="7">D22/D13</f>
        <v>107.09777066589983</v>
      </c>
      <c r="E23" s="75">
        <f t="shared" ref="E23:O23" si="8">E22/E13</f>
        <v>74.892175364733404</v>
      </c>
      <c r="F23" s="75">
        <f t="shared" si="8"/>
        <v>64.984069495809379</v>
      </c>
      <c r="G23" s="75">
        <f t="shared" si="8"/>
        <v>50.878798487511901</v>
      </c>
      <c r="H23" s="75">
        <f t="shared" si="8"/>
        <v>46.54016227283654</v>
      </c>
      <c r="I23" s="75">
        <f t="shared" si="8"/>
        <v>42.778298324965306</v>
      </c>
      <c r="J23" s="75">
        <f t="shared" si="8"/>
        <v>58.472982974522218</v>
      </c>
      <c r="K23" s="75">
        <f t="shared" si="8"/>
        <v>61.375951570418678</v>
      </c>
      <c r="L23" s="75">
        <f t="shared" si="8"/>
        <v>46.248094053253055</v>
      </c>
      <c r="M23" s="75">
        <f t="shared" si="8"/>
        <v>45.83279945813338</v>
      </c>
      <c r="N23" s="75">
        <f t="shared" si="8"/>
        <v>63.467600976268642</v>
      </c>
      <c r="O23" s="75">
        <f t="shared" si="8"/>
        <v>85.274543373404001</v>
      </c>
      <c r="P23" s="75"/>
      <c r="Q23" s="86"/>
      <c r="R23" s="58"/>
    </row>
    <row r="24" spans="1:18">
      <c r="A24" s="21">
        <v>10</v>
      </c>
      <c r="B24" s="20" t="s">
        <v>134</v>
      </c>
      <c r="C24" s="21" t="str">
        <f>"("&amp;A$15&amp;") - ("&amp;A22&amp;")"</f>
        <v>(3) - (9)</v>
      </c>
      <c r="D24" s="87">
        <f t="shared" ref="D24" si="9">IF(D10="",D15-D22,-D10)</f>
        <v>-3982817.4171744883</v>
      </c>
      <c r="E24" s="87">
        <f t="shared" ref="E24:O24" si="10">IF(E10="",E15-E22,-E10)</f>
        <v>-578286.95160779729</v>
      </c>
      <c r="F24" s="87">
        <f t="shared" si="10"/>
        <v>1273171.9159466717</v>
      </c>
      <c r="G24" s="87">
        <f t="shared" si="10"/>
        <v>548197.36940176599</v>
      </c>
      <c r="H24" s="87">
        <f t="shared" si="10"/>
        <v>1089835.7468539029</v>
      </c>
      <c r="I24" s="87">
        <f t="shared" si="10"/>
        <v>676333.17235465348</v>
      </c>
      <c r="J24" s="87">
        <f t="shared" si="10"/>
        <v>-2302977.5818057284</v>
      </c>
      <c r="K24" s="87">
        <f t="shared" si="10"/>
        <v>-1087415.2125940304</v>
      </c>
      <c r="L24" s="87">
        <f t="shared" si="10"/>
        <v>-164908.18251608871</v>
      </c>
      <c r="M24" s="87">
        <f t="shared" si="10"/>
        <v>1746491.2457389627</v>
      </c>
      <c r="N24" s="87">
        <f t="shared" si="10"/>
        <v>537504.88084871508</v>
      </c>
      <c r="O24" s="87">
        <f t="shared" si="10"/>
        <v>166874.20407013968</v>
      </c>
      <c r="P24" s="78">
        <f>SUM(D24:O24)</f>
        <v>-2077996.8104833215</v>
      </c>
      <c r="Q24" s="86"/>
      <c r="R24" s="58"/>
    </row>
    <row r="25" spans="1:18">
      <c r="A25" s="21">
        <v>11</v>
      </c>
      <c r="B25" s="20" t="s">
        <v>135</v>
      </c>
      <c r="C25" s="88" t="s">
        <v>136</v>
      </c>
      <c r="D25" s="87">
        <f t="shared" ref="D25" si="11">IF(D10="",D24*-0.04588,0)</f>
        <v>182731.66309996552</v>
      </c>
      <c r="E25" s="87">
        <f t="shared" ref="E25:O25" si="12">IF(E10="",E24*-0.04588,0)</f>
        <v>26531.805339765739</v>
      </c>
      <c r="F25" s="87">
        <f t="shared" si="12"/>
        <v>-58413.127503633295</v>
      </c>
      <c r="G25" s="87">
        <f t="shared" si="12"/>
        <v>-25151.295308153021</v>
      </c>
      <c r="H25" s="87">
        <f t="shared" si="12"/>
        <v>-50001.664065657067</v>
      </c>
      <c r="I25" s="87">
        <f t="shared" si="12"/>
        <v>-31030.1659476315</v>
      </c>
      <c r="J25" s="87">
        <f t="shared" si="12"/>
        <v>105660.61145324681</v>
      </c>
      <c r="K25" s="87">
        <f t="shared" si="12"/>
        <v>49890.609953814113</v>
      </c>
      <c r="L25" s="87">
        <f t="shared" si="12"/>
        <v>7565.9874138381492</v>
      </c>
      <c r="M25" s="87">
        <f t="shared" si="12"/>
        <v>-80129.018354503598</v>
      </c>
      <c r="N25" s="87">
        <f t="shared" si="12"/>
        <v>-24660.723933339046</v>
      </c>
      <c r="O25" s="87">
        <f t="shared" si="12"/>
        <v>-7656.1884827380081</v>
      </c>
      <c r="P25" s="78">
        <f>SUM(D25:O25)</f>
        <v>95338.493664974812</v>
      </c>
      <c r="Q25" s="86"/>
      <c r="R25" s="58"/>
    </row>
    <row r="26" spans="1:18">
      <c r="A26" s="21"/>
      <c r="B26" s="20"/>
      <c r="C26" s="21" t="s">
        <v>137</v>
      </c>
      <c r="D26" s="89">
        <v>3.5000000000000003E-2</v>
      </c>
      <c r="E26" s="89">
        <v>3.5000000000000003E-2</v>
      </c>
      <c r="F26" s="89">
        <v>3.5000000000000003E-2</v>
      </c>
      <c r="G26" s="89">
        <v>3.7100000000000001E-2</v>
      </c>
      <c r="H26" s="89">
        <f>G26</f>
        <v>3.7100000000000001E-2</v>
      </c>
      <c r="I26" s="89">
        <f>H26</f>
        <v>3.7100000000000001E-2</v>
      </c>
      <c r="J26" s="89">
        <v>3.9600000000000003E-2</v>
      </c>
      <c r="K26" s="89">
        <v>3.9600000000000003E-2</v>
      </c>
      <c r="L26" s="89">
        <v>3.9600000000000003E-2</v>
      </c>
      <c r="M26" s="89">
        <v>4.2099999999999999E-2</v>
      </c>
      <c r="N26" s="89">
        <v>4.2099999999999999E-2</v>
      </c>
      <c r="O26" s="89">
        <v>4.2099999999999999E-2</v>
      </c>
      <c r="P26" s="78"/>
      <c r="Q26" s="86"/>
      <c r="R26" s="58"/>
    </row>
    <row r="27" spans="1:18">
      <c r="A27" s="21">
        <v>12</v>
      </c>
      <c r="B27" s="20" t="s">
        <v>138</v>
      </c>
      <c r="C27" s="21" t="s">
        <v>139</v>
      </c>
      <c r="D27" s="90">
        <f>(D24+D25)/2*D26/12</f>
        <v>-5541.7917246920124</v>
      </c>
      <c r="E27" s="90">
        <f>(D29+(E24+E25)/2)*E26/12</f>
        <v>-11904.389930221923</v>
      </c>
      <c r="F27" s="90">
        <f t="shared" ref="F27:O27" si="13">(E29+(F24+F25)/2)*F26/12</f>
        <v>-10972.230756013187</v>
      </c>
      <c r="G27" s="90">
        <f t="shared" si="13"/>
        <v>-8978.1303981234105</v>
      </c>
      <c r="H27" s="90">
        <f t="shared" si="13"/>
        <v>-6589.9355420910688</v>
      </c>
      <c r="I27" s="90">
        <f t="shared" si="13"/>
        <v>-4005.3683424276824</v>
      </c>
      <c r="J27" s="90">
        <f t="shared" si="13"/>
        <v>-6849.3126255854704</v>
      </c>
      <c r="K27" s="90">
        <f t="shared" si="13"/>
        <v>-12209.403952687855</v>
      </c>
      <c r="L27" s="90">
        <f t="shared" si="13"/>
        <v>-14221.225202006797</v>
      </c>
      <c r="M27" s="90">
        <f t="shared" si="13"/>
        <v>-12521.849981800942</v>
      </c>
      <c r="N27" s="90">
        <f t="shared" si="13"/>
        <v>-8743.0896063611344</v>
      </c>
      <c r="O27" s="90">
        <f t="shared" si="13"/>
        <v>-7594.8542181314942</v>
      </c>
      <c r="P27" s="78">
        <f>SUM(D27:O27)</f>
        <v>-110131.58228014297</v>
      </c>
      <c r="Q27" s="86"/>
      <c r="R27" s="91"/>
    </row>
    <row r="28" spans="1:18" ht="15" thickBot="1">
      <c r="A28" s="21"/>
      <c r="B28" s="92" t="s">
        <v>140</v>
      </c>
      <c r="C28" s="21"/>
      <c r="D28" s="93">
        <f>D24+D25+D27</f>
        <v>-3805627.5457992149</v>
      </c>
      <c r="E28" s="93">
        <f t="shared" ref="E28:O28" si="14">E24+E25+E27</f>
        <v>-563659.53619825351</v>
      </c>
      <c r="F28" s="93">
        <f t="shared" si="14"/>
        <v>1203786.5576870253</v>
      </c>
      <c r="G28" s="93">
        <f t="shared" si="14"/>
        <v>514067.94369548955</v>
      </c>
      <c r="H28" s="93">
        <f t="shared" si="14"/>
        <v>1033244.1472461548</v>
      </c>
      <c r="I28" s="93">
        <f t="shared" si="14"/>
        <v>641297.63806459436</v>
      </c>
      <c r="J28" s="93">
        <f t="shared" si="14"/>
        <v>-2204166.2829780672</v>
      </c>
      <c r="K28" s="93">
        <f t="shared" si="14"/>
        <v>-1049734.0065929042</v>
      </c>
      <c r="L28" s="93">
        <f t="shared" si="14"/>
        <v>-171563.42030425736</v>
      </c>
      <c r="M28" s="93">
        <f t="shared" si="14"/>
        <v>1653840.3774026581</v>
      </c>
      <c r="N28" s="93">
        <f t="shared" si="14"/>
        <v>504101.06730901491</v>
      </c>
      <c r="O28" s="93">
        <f t="shared" si="14"/>
        <v>151623.16136927018</v>
      </c>
      <c r="P28" s="94">
        <f>SUM(D28:O28)</f>
        <v>-2092789.8990984899</v>
      </c>
      <c r="Q28" s="95"/>
      <c r="R28" s="58"/>
    </row>
    <row r="29" spans="1:18" ht="27.6" thickBot="1">
      <c r="A29" s="21">
        <v>13</v>
      </c>
      <c r="B29" s="102" t="s">
        <v>146</v>
      </c>
      <c r="C29" s="21" t="str">
        <f>"Σ(("&amp;A$24&amp;") ~ ("&amp;A27&amp;"))"</f>
        <v>Σ((10) ~ (12))</v>
      </c>
      <c r="D29" s="77">
        <f>D24+D25+D27</f>
        <v>-3805627.5457992149</v>
      </c>
      <c r="E29" s="77">
        <f>D29+E24+E25+E27</f>
        <v>-4369287.0819974681</v>
      </c>
      <c r="F29" s="77">
        <f t="shared" ref="F29:N29" si="15">E29+F24+F25+F27</f>
        <v>-3165500.5243104431</v>
      </c>
      <c r="G29" s="77">
        <f t="shared" si="15"/>
        <v>-2651432.5806149538</v>
      </c>
      <c r="H29" s="77">
        <f t="shared" si="15"/>
        <v>-1618188.433368799</v>
      </c>
      <c r="I29" s="77">
        <f t="shared" si="15"/>
        <v>-976890.79530420469</v>
      </c>
      <c r="J29" s="77">
        <f t="shared" si="15"/>
        <v>-3181057.078282272</v>
      </c>
      <c r="K29" s="77">
        <f t="shared" si="15"/>
        <v>-4230791.0848751767</v>
      </c>
      <c r="L29" s="77">
        <f t="shared" si="15"/>
        <v>-4402354.5051794341</v>
      </c>
      <c r="M29" s="77">
        <f t="shared" si="15"/>
        <v>-2748514.127776776</v>
      </c>
      <c r="N29" s="77">
        <f t="shared" si="15"/>
        <v>-2244413.060467761</v>
      </c>
      <c r="O29" s="96">
        <f>N29+O24+O25+O27</f>
        <v>-2092789.8990984908</v>
      </c>
      <c r="P29" s="78"/>
      <c r="Q29" s="97"/>
      <c r="R29" s="58"/>
    </row>
    <row r="30" spans="1:18">
      <c r="A30" s="21"/>
      <c r="B30" s="92"/>
      <c r="C30" s="2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Q30" s="58"/>
      <c r="R30" s="58"/>
    </row>
    <row r="31" spans="1:18" hidden="1">
      <c r="A31" s="68" t="s">
        <v>141</v>
      </c>
      <c r="B31" s="20"/>
      <c r="C31" s="2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98"/>
      <c r="Q31" s="58"/>
      <c r="R31" s="58"/>
    </row>
    <row r="32" spans="1:18" ht="9" hidden="1" customHeight="1">
      <c r="A32" s="58"/>
      <c r="B32" s="69" t="s">
        <v>142</v>
      </c>
      <c r="C32" s="58" t="s">
        <v>143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58"/>
      <c r="Q32" s="58"/>
      <c r="R32" s="58"/>
    </row>
    <row r="33" spans="1:18" hidden="1">
      <c r="A33" s="21"/>
      <c r="B33" s="20"/>
      <c r="C33" s="21"/>
      <c r="D33" s="77"/>
      <c r="E33" s="77"/>
      <c r="F33" s="77"/>
      <c r="G33" s="77"/>
      <c r="H33" s="58"/>
      <c r="I33" s="77"/>
      <c r="J33" s="77"/>
      <c r="K33" s="77"/>
      <c r="L33" s="77"/>
      <c r="M33" s="77"/>
      <c r="N33" s="77"/>
      <c r="O33" s="77"/>
      <c r="P33" s="78"/>
      <c r="Q33" s="58"/>
      <c r="R33" s="58"/>
    </row>
    <row r="34" spans="1:18">
      <c r="A34" s="21"/>
      <c r="B34" s="72" t="s">
        <v>58</v>
      </c>
      <c r="C34" s="2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58"/>
      <c r="R34" s="58"/>
    </row>
    <row r="35" spans="1:18">
      <c r="A35" s="21">
        <v>14</v>
      </c>
      <c r="B35" s="20" t="s">
        <v>124</v>
      </c>
      <c r="C35" s="21" t="s">
        <v>125</v>
      </c>
      <c r="D35" s="157">
        <f>'Jan Base Rate Revenue'!$C$22</f>
        <v>35883</v>
      </c>
      <c r="E35" s="157">
        <f>'Feb Base Rate Revenue'!$C$22</f>
        <v>35789</v>
      </c>
      <c r="F35" s="157">
        <f>'Mar Base Rate Revenue'!C22</f>
        <v>36027</v>
      </c>
      <c r="G35" s="157">
        <f>'Apr Base Rate Revenue'!C22</f>
        <v>35857</v>
      </c>
      <c r="H35" s="157">
        <f>'May Base Rate Revenue'!C21</f>
        <v>35704</v>
      </c>
      <c r="I35" s="157">
        <f>'June Base Rate Revenue'!C21</f>
        <v>36104</v>
      </c>
      <c r="J35" s="157">
        <f>'July Base Rate Revenue'!C21</f>
        <v>35886</v>
      </c>
      <c r="K35" s="157">
        <f>'August Base Rate Revenue'!$C21</f>
        <v>36188</v>
      </c>
      <c r="L35" s="157">
        <f>'September Base Rate Revenue'!$C21</f>
        <v>36104</v>
      </c>
      <c r="M35" s="157">
        <f>'October Base Rate Revenue'!$C21</f>
        <v>36212</v>
      </c>
      <c r="N35" s="157">
        <f>'November Base Rate Revenue'!$C21+'November Base Rate Revenue'!B87</f>
        <v>35948</v>
      </c>
      <c r="O35" s="157">
        <f>'December Base Rate Revenue'!$C21+'December Base Rate Revenue'!B87</f>
        <v>36223</v>
      </c>
      <c r="P35" s="105">
        <f>SUM(D35:O35)</f>
        <v>431925</v>
      </c>
      <c r="Q35" s="73">
        <f>AVERAGE(D35:O35)</f>
        <v>35993.75</v>
      </c>
      <c r="R35" s="253" t="s">
        <v>126</v>
      </c>
    </row>
    <row r="36" spans="1:18" ht="26.4">
      <c r="A36" s="74">
        <f t="shared" si="2"/>
        <v>15</v>
      </c>
      <c r="B36" s="153" t="s">
        <v>127</v>
      </c>
      <c r="C36" s="153" t="s">
        <v>195</v>
      </c>
      <c r="D36" s="154">
        <f>'Attachment 4, Page 3'!D27</f>
        <v>362.51153702538215</v>
      </c>
      <c r="E36" s="154">
        <f>'Attachment 4, Page 3'!E27</f>
        <v>368.64634553355734</v>
      </c>
      <c r="F36" s="154">
        <f>'Attachment 4, Page 3'!F27</f>
        <v>345.3608332677303</v>
      </c>
      <c r="G36" s="154">
        <f>'Attachment 4, Page 3'!G27</f>
        <v>343.55068665310012</v>
      </c>
      <c r="H36" s="154">
        <f>'Attachment 4, Page 3'!H27</f>
        <v>369.90915568717207</v>
      </c>
      <c r="I36" s="154">
        <f>'Attachment 4, Page 3'!I27</f>
        <v>385.26617826211447</v>
      </c>
      <c r="J36" s="154">
        <f>'Attachment 4, Page 3'!J27</f>
        <v>416.90498753163007</v>
      </c>
      <c r="K36" s="154">
        <f>'Attachment 4, Page 3'!K27</f>
        <v>389.59606971640318</v>
      </c>
      <c r="L36" s="154">
        <f>'Attachment 4, Page 3'!L27</f>
        <v>372.63402682785289</v>
      </c>
      <c r="M36" s="154">
        <f>'Attachment 4, Page 3'!M27</f>
        <v>380.4894875098293</v>
      </c>
      <c r="N36" s="154">
        <f>'Attachment 4, Page 3'!N27</f>
        <v>350.01632614600436</v>
      </c>
      <c r="O36" s="154">
        <f>'Attachment 4, Page 3'!O27</f>
        <v>369.7043658392239</v>
      </c>
      <c r="P36" s="75">
        <f>SUM(D36:O36)</f>
        <v>4454.59</v>
      </c>
      <c r="Q36" s="76">
        <f>SUM(D36:O36)</f>
        <v>4454.59</v>
      </c>
      <c r="R36" s="253"/>
    </row>
    <row r="37" spans="1:18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" si="16">D35*D36</f>
        <v>13008001.483081788</v>
      </c>
      <c r="E37" s="77">
        <f t="shared" ref="E37:O37" si="17">E35*E36</f>
        <v>13193484.060300484</v>
      </c>
      <c r="F37" s="77">
        <f t="shared" si="17"/>
        <v>12442314.740136519</v>
      </c>
      <c r="G37" s="77">
        <f t="shared" si="17"/>
        <v>12318696.97132021</v>
      </c>
      <c r="H37" s="77">
        <f t="shared" si="17"/>
        <v>13207236.494654791</v>
      </c>
      <c r="I37" s="77">
        <f t="shared" si="17"/>
        <v>13909650.099975381</v>
      </c>
      <c r="J37" s="77">
        <f t="shared" si="17"/>
        <v>14961052.382560076</v>
      </c>
      <c r="K37" s="77">
        <f t="shared" si="17"/>
        <v>14098702.570897197</v>
      </c>
      <c r="L37" s="77">
        <f t="shared" si="17"/>
        <v>13453578.904592801</v>
      </c>
      <c r="M37" s="77">
        <f t="shared" si="17"/>
        <v>13778285.321705939</v>
      </c>
      <c r="N37" s="77">
        <f t="shared" si="17"/>
        <v>12582386.892296564</v>
      </c>
      <c r="O37" s="77">
        <f t="shared" si="17"/>
        <v>13391801.243794207</v>
      </c>
      <c r="P37" s="78">
        <f>SUM(D37:O37)</f>
        <v>160345191.16531593</v>
      </c>
      <c r="Q37" s="77">
        <f>Q35*Q36</f>
        <v>160337398.8125</v>
      </c>
      <c r="R37" s="79">
        <f>Q37-P37</f>
        <v>-7792.352815926075</v>
      </c>
    </row>
    <row r="38" spans="1:18">
      <c r="A38" s="21"/>
      <c r="B38" s="20"/>
      <c r="C38" s="21"/>
      <c r="D38" s="39"/>
      <c r="E38" s="39"/>
      <c r="F38" s="39"/>
      <c r="G38" s="39"/>
      <c r="H38" s="39"/>
      <c r="I38" s="77"/>
      <c r="J38" s="39"/>
      <c r="K38" s="39"/>
      <c r="L38" s="39"/>
      <c r="M38" s="39"/>
      <c r="N38" s="39"/>
      <c r="O38" s="39"/>
      <c r="P38" s="20"/>
      <c r="Q38" s="58"/>
      <c r="R38" s="58"/>
    </row>
    <row r="39" spans="1:18">
      <c r="A39" s="21">
        <v>17</v>
      </c>
      <c r="B39" s="20" t="s">
        <v>128</v>
      </c>
      <c r="C39" s="21" t="s">
        <v>125</v>
      </c>
      <c r="D39" s="158">
        <f>'Jan Base Rate Revenue'!$I$43</f>
        <v>18192579.826600004</v>
      </c>
      <c r="E39" s="158">
        <f>'Feb Base Rate Revenue'!$I$43</f>
        <v>17500278.877909999</v>
      </c>
      <c r="F39" s="158">
        <f>'Mar Base Rate Revenue'!I43</f>
        <v>17252312.574169997</v>
      </c>
      <c r="G39" s="158">
        <f>'Apr Base Rate Revenue'!I43</f>
        <v>16052468.77276</v>
      </c>
      <c r="H39" s="158">
        <f>'May Base Rate Revenue'!I41</f>
        <v>16625113.777000001</v>
      </c>
      <c r="I39" s="158">
        <f>'June Base Rate Revenue'!I41</f>
        <v>17868330.344359998</v>
      </c>
      <c r="J39" s="158">
        <f>'July Base Rate Revenue'!I41</f>
        <v>19688932.34502</v>
      </c>
      <c r="K39" s="158">
        <f>'August Base Rate Revenue'!$I41</f>
        <v>20070392.998210002</v>
      </c>
      <c r="L39" s="158">
        <f>'September Base Rate Revenue'!$I41</f>
        <v>17360373.2753</v>
      </c>
      <c r="M39" s="158">
        <f>'October Base Rate Revenue'!$I41</f>
        <v>17081517.821510002</v>
      </c>
      <c r="N39" s="158">
        <f>'November Base Rate Revenue'!$I41+'November Base Rate Revenue'!D87</f>
        <v>17352968.094989996</v>
      </c>
      <c r="O39" s="158">
        <f>'December Base Rate Revenue'!$I41+'December Base Rate Revenue'!D87</f>
        <v>18278019.018708002</v>
      </c>
      <c r="P39" s="106">
        <f>SUM(D39:O39)</f>
        <v>213323287.72653797</v>
      </c>
      <c r="Q39" s="79"/>
      <c r="R39" s="58"/>
    </row>
    <row r="40" spans="1:18">
      <c r="A40" s="21">
        <f t="shared" si="2"/>
        <v>18</v>
      </c>
      <c r="B40" s="20" t="s">
        <v>129</v>
      </c>
      <c r="C40" s="21" t="s">
        <v>125</v>
      </c>
      <c r="D40" s="158">
        <f>'Jan Base Rate Revenue'!$C$43</f>
        <v>1566350.9500000002</v>
      </c>
      <c r="E40" s="158">
        <f>'Feb Base Rate Revenue'!$C$43</f>
        <v>1568279.24</v>
      </c>
      <c r="F40" s="158">
        <f>'Mar Base Rate Revenue'!C43</f>
        <v>1574252.02</v>
      </c>
      <c r="G40" s="158">
        <f>'Apr Base Rate Revenue'!C43</f>
        <v>1569821.2</v>
      </c>
      <c r="H40" s="158">
        <f>'May Base Rate Revenue'!C41</f>
        <v>1564851.26</v>
      </c>
      <c r="I40" s="158">
        <f>'June Base Rate Revenue'!C41</f>
        <v>1581611.88</v>
      </c>
      <c r="J40" s="158">
        <f>'July Base Rate Revenue'!C41</f>
        <v>1566310.11</v>
      </c>
      <c r="K40" s="158">
        <f>'August Base Rate Revenue'!$C41</f>
        <v>1584152.79</v>
      </c>
      <c r="L40" s="158">
        <f>'September Base Rate Revenue'!$C41</f>
        <v>1577422.25</v>
      </c>
      <c r="M40" s="158">
        <f>'October Base Rate Revenue'!$C41</f>
        <v>1573388.55</v>
      </c>
      <c r="N40" s="158">
        <f>'November Base Rate Revenue'!$C41+'November Base Rate Revenue'!E87</f>
        <v>1578530.86</v>
      </c>
      <c r="O40" s="158">
        <f>'December Base Rate Revenue'!$C41+'December Base Rate Revenue'!E87</f>
        <v>1581325.4500000002</v>
      </c>
      <c r="P40" s="106">
        <f>SUM(D40:O40)</f>
        <v>18886296.559999999</v>
      </c>
      <c r="Q40" s="79"/>
      <c r="R40" s="58"/>
    </row>
    <row r="41" spans="1:18">
      <c r="A41" s="21">
        <f t="shared" si="2"/>
        <v>19</v>
      </c>
      <c r="B41" s="80" t="s">
        <v>238</v>
      </c>
      <c r="C41" s="21" t="s">
        <v>125</v>
      </c>
      <c r="D41" s="159">
        <f>'Jan Base Rate Revenue'!$I$22</f>
        <v>185988820</v>
      </c>
      <c r="E41" s="159">
        <f>'Feb Base Rate Revenue'!$I$22</f>
        <v>176601249</v>
      </c>
      <c r="F41" s="159">
        <f>'Mar Base Rate Revenue'!I22</f>
        <v>174880403</v>
      </c>
      <c r="G41" s="159">
        <f>'Apr Base Rate Revenue'!I22</f>
        <v>161375406.32999998</v>
      </c>
      <c r="H41" s="159">
        <f>'May Base Rate Revenue'!I21</f>
        <v>169307987.5</v>
      </c>
      <c r="I41" s="159">
        <f>'June Base Rate Revenue'!I21</f>
        <v>184519264.53</v>
      </c>
      <c r="J41" s="159">
        <f>'July Base Rate Revenue'!I21</f>
        <v>206968295</v>
      </c>
      <c r="K41" s="159">
        <f>'August Base Rate Revenue'!$I21</f>
        <v>209585575.12</v>
      </c>
      <c r="L41" s="159">
        <f>'September Base Rate Revenue'!$I21</f>
        <v>179036917.56999999</v>
      </c>
      <c r="M41" s="159">
        <f>'October Base Rate Revenue'!$I21</f>
        <v>172986219</v>
      </c>
      <c r="N41" s="159">
        <f>'November Base Rate Revenue'!$I21+'November Base Rate Revenue'!C87</f>
        <v>173841002.75233001</v>
      </c>
      <c r="O41" s="159">
        <f>'December Base Rate Revenue'!$I21+'December Base Rate Revenue'!C87</f>
        <v>191504968.36499998</v>
      </c>
      <c r="P41" s="107">
        <f>SUM(D41:O41)</f>
        <v>2186596108.1673298</v>
      </c>
      <c r="Q41" s="81"/>
      <c r="R41" s="91"/>
    </row>
    <row r="42" spans="1:18" ht="27">
      <c r="A42" s="21">
        <f t="shared" si="2"/>
        <v>20</v>
      </c>
      <c r="B42" s="91" t="s">
        <v>130</v>
      </c>
      <c r="C42" s="155" t="s">
        <v>173</v>
      </c>
      <c r="D42" s="156">
        <f>'Attachment 4, Page 1'!$E$27</f>
        <v>1.6410000000000001E-2</v>
      </c>
      <c r="E42" s="156">
        <f>'Attachment 4, Page 1'!$E$27</f>
        <v>1.6410000000000001E-2</v>
      </c>
      <c r="F42" s="156">
        <f>'Attachment 4, Page 1'!$E$27</f>
        <v>1.6410000000000001E-2</v>
      </c>
      <c r="G42" s="156">
        <f>'Attachment 4, Page 1'!$E$27</f>
        <v>1.6410000000000001E-2</v>
      </c>
      <c r="H42" s="156">
        <f>'Attachment 4, Page 1'!$E$27</f>
        <v>1.6410000000000001E-2</v>
      </c>
      <c r="I42" s="156">
        <f>'Attachment 4, Page 1'!$E$27</f>
        <v>1.6410000000000001E-2</v>
      </c>
      <c r="J42" s="156">
        <f>'Attachment 4, Page 1'!$E$27</f>
        <v>1.6410000000000001E-2</v>
      </c>
      <c r="K42" s="156">
        <f>'Attachment 4, Page 1'!$E$27</f>
        <v>1.6410000000000001E-2</v>
      </c>
      <c r="L42" s="156">
        <f>'Attachment 4, Page 1'!$E$27</f>
        <v>1.6410000000000001E-2</v>
      </c>
      <c r="M42" s="156">
        <f>'Attachment 4, Page 1'!$E$27</f>
        <v>1.6410000000000001E-2</v>
      </c>
      <c r="N42" s="156">
        <f>'Attachment 4, Page 1'!$E$27</f>
        <v>1.6410000000000001E-2</v>
      </c>
      <c r="O42" s="156">
        <f>'Attachment 4, Page 1'!$E$27</f>
        <v>1.6410000000000001E-2</v>
      </c>
      <c r="P42" s="83"/>
      <c r="Q42" s="58"/>
      <c r="R42" s="58"/>
    </row>
    <row r="43" spans="1:18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" si="18">D41*D42</f>
        <v>3052076.5362</v>
      </c>
      <c r="E43" s="77">
        <f t="shared" ref="E43:O43" si="19">E41*E42</f>
        <v>2898026.49609</v>
      </c>
      <c r="F43" s="77">
        <f t="shared" si="19"/>
        <v>2869787.4132300001</v>
      </c>
      <c r="G43" s="77">
        <f t="shared" si="19"/>
        <v>2648170.4178752997</v>
      </c>
      <c r="H43" s="77">
        <f t="shared" si="19"/>
        <v>2778344.0748749999</v>
      </c>
      <c r="I43" s="77">
        <f t="shared" si="19"/>
        <v>3027961.1309373002</v>
      </c>
      <c r="J43" s="77">
        <f t="shared" si="19"/>
        <v>3396349.72095</v>
      </c>
      <c r="K43" s="77">
        <f t="shared" si="19"/>
        <v>3439299.2877192004</v>
      </c>
      <c r="L43" s="77">
        <f t="shared" si="19"/>
        <v>2937995.8173237001</v>
      </c>
      <c r="M43" s="77">
        <f t="shared" si="19"/>
        <v>2838703.8537900001</v>
      </c>
      <c r="N43" s="77">
        <f t="shared" si="19"/>
        <v>2852730.8551657354</v>
      </c>
      <c r="O43" s="77">
        <f t="shared" si="19"/>
        <v>3142596.5308696497</v>
      </c>
      <c r="P43" s="78">
        <f>SUM(D43:O43)</f>
        <v>35882042.135025889</v>
      </c>
      <c r="Q43" s="79">
        <f>SUM(D43:O43)</f>
        <v>35882042.135025889</v>
      </c>
      <c r="R43" s="58"/>
    </row>
    <row r="44" spans="1:18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 t="shared" ref="D44" si="20">D39-D40-D43</f>
        <v>13574152.340400005</v>
      </c>
      <c r="E44" s="77">
        <f t="shared" ref="E44:O44" si="21">E39-E40-E43</f>
        <v>13033973.141819999</v>
      </c>
      <c r="F44" s="77">
        <f t="shared" si="21"/>
        <v>12808273.140939998</v>
      </c>
      <c r="G44" s="77">
        <f t="shared" si="21"/>
        <v>11834477.154884702</v>
      </c>
      <c r="H44" s="77">
        <f t="shared" si="21"/>
        <v>12281918.442125</v>
      </c>
      <c r="I44" s="77">
        <f t="shared" si="21"/>
        <v>13258757.333422698</v>
      </c>
      <c r="J44" s="77">
        <f t="shared" si="21"/>
        <v>14726272.51407</v>
      </c>
      <c r="K44" s="77">
        <f t="shared" si="21"/>
        <v>15046940.920490801</v>
      </c>
      <c r="L44" s="77">
        <f t="shared" si="21"/>
        <v>12844955.2079763</v>
      </c>
      <c r="M44" s="77">
        <f t="shared" si="21"/>
        <v>12669425.417720001</v>
      </c>
      <c r="N44" s="77">
        <f t="shared" si="21"/>
        <v>12921706.379824262</v>
      </c>
      <c r="O44" s="77">
        <f t="shared" si="21"/>
        <v>13554097.037838353</v>
      </c>
      <c r="P44" s="78">
        <f>SUM(D44:O44)</f>
        <v>158554949.03151211</v>
      </c>
      <c r="Q44" s="84">
        <f>P44/Q35</f>
        <v>4405.0689086719813</v>
      </c>
      <c r="R44" s="58"/>
    </row>
    <row r="45" spans="1:18">
      <c r="A45" s="21"/>
      <c r="B45" s="21" t="s">
        <v>144</v>
      </c>
      <c r="C45" s="21"/>
      <c r="D45" s="75">
        <f t="shared" ref="D45" si="22">D44/D35</f>
        <v>378.28922722180431</v>
      </c>
      <c r="E45" s="75">
        <f t="shared" ref="E45:O45" si="23">E44/E35</f>
        <v>364.18936382184467</v>
      </c>
      <c r="F45" s="75">
        <f t="shared" si="23"/>
        <v>355.51872598162481</v>
      </c>
      <c r="G45" s="75">
        <f t="shared" si="23"/>
        <v>330.04649454457154</v>
      </c>
      <c r="H45" s="75">
        <f t="shared" si="23"/>
        <v>343.99278630195494</v>
      </c>
      <c r="I45" s="75">
        <f t="shared" si="23"/>
        <v>367.23790531305946</v>
      </c>
      <c r="J45" s="75">
        <f t="shared" si="23"/>
        <v>410.36260697960211</v>
      </c>
      <c r="K45" s="75">
        <f t="shared" si="23"/>
        <v>415.79918537887698</v>
      </c>
      <c r="L45" s="75">
        <f t="shared" si="23"/>
        <v>355.77651251873198</v>
      </c>
      <c r="M45" s="75">
        <f t="shared" si="23"/>
        <v>349.86814916933616</v>
      </c>
      <c r="N45" s="75">
        <f t="shared" si="23"/>
        <v>359.45550183109663</v>
      </c>
      <c r="O45" s="75">
        <f t="shared" si="23"/>
        <v>374.18482836425346</v>
      </c>
      <c r="P45" s="75"/>
      <c r="Q45" s="58"/>
      <c r="R45" s="58"/>
    </row>
    <row r="46" spans="1:18">
      <c r="A46" s="21">
        <v>23</v>
      </c>
      <c r="B46" s="20" t="s">
        <v>134</v>
      </c>
      <c r="C46" s="21" t="str">
        <f>"("&amp;A$37&amp;") - ("&amp;A44&amp;")"</f>
        <v>(16) - (22)</v>
      </c>
      <c r="D46" s="87">
        <f t="shared" ref="D46" si="24">IF(D32="",D37-D44,-D32)</f>
        <v>-566150.85731821693</v>
      </c>
      <c r="E46" s="87">
        <f t="shared" ref="E46:O46" si="25">IF(E32="",E37-E44,-E32)</f>
        <v>159510.91848048568</v>
      </c>
      <c r="F46" s="87">
        <f t="shared" si="25"/>
        <v>-365958.40080347843</v>
      </c>
      <c r="G46" s="87">
        <f t="shared" si="25"/>
        <v>484219.81643550843</v>
      </c>
      <c r="H46" s="87">
        <f t="shared" si="25"/>
        <v>925318.05252979137</v>
      </c>
      <c r="I46" s="87">
        <f t="shared" si="25"/>
        <v>650892.76655268297</v>
      </c>
      <c r="J46" s="87">
        <f t="shared" si="25"/>
        <v>234779.86849007569</v>
      </c>
      <c r="K46" s="87">
        <f t="shared" si="25"/>
        <v>-948238.34959360398</v>
      </c>
      <c r="L46" s="87">
        <f t="shared" si="25"/>
        <v>608623.69661650062</v>
      </c>
      <c r="M46" s="87">
        <f t="shared" si="25"/>
        <v>1108859.9039859381</v>
      </c>
      <c r="N46" s="87">
        <f t="shared" si="25"/>
        <v>-339319.48752769828</v>
      </c>
      <c r="O46" s="87">
        <f t="shared" si="25"/>
        <v>-162295.79404414631</v>
      </c>
      <c r="P46" s="78">
        <f>SUM(D46:O46)</f>
        <v>1790242.1338038389</v>
      </c>
      <c r="Q46" s="58"/>
      <c r="R46" s="58"/>
    </row>
    <row r="47" spans="1:18">
      <c r="A47" s="21">
        <v>24</v>
      </c>
      <c r="B47" s="20" t="s">
        <v>135</v>
      </c>
      <c r="C47" s="88" t="s">
        <v>136</v>
      </c>
      <c r="D47" s="87">
        <f t="shared" ref="D47" si="26">IF(D32="",D46*-0.04588,0)</f>
        <v>25975.001333759792</v>
      </c>
      <c r="E47" s="87">
        <f t="shared" ref="E47:O47" si="27">IF(E32="",E46*-0.04588,0)</f>
        <v>-7318.360939884682</v>
      </c>
      <c r="F47" s="87">
        <f t="shared" si="27"/>
        <v>16790.171428863589</v>
      </c>
      <c r="G47" s="87">
        <f t="shared" si="27"/>
        <v>-22216.005178061125</v>
      </c>
      <c r="H47" s="87">
        <f t="shared" si="27"/>
        <v>-42453.592250066824</v>
      </c>
      <c r="I47" s="87">
        <f t="shared" si="27"/>
        <v>-29862.960129437091</v>
      </c>
      <c r="J47" s="87">
        <f t="shared" si="27"/>
        <v>-10771.700366324672</v>
      </c>
      <c r="K47" s="87">
        <f t="shared" si="27"/>
        <v>43505.175479354548</v>
      </c>
      <c r="L47" s="87">
        <f t="shared" si="27"/>
        <v>-27923.655200765046</v>
      </c>
      <c r="M47" s="87">
        <f t="shared" si="27"/>
        <v>-50874.492394874833</v>
      </c>
      <c r="N47" s="87">
        <f t="shared" si="27"/>
        <v>15567.978087770796</v>
      </c>
      <c r="O47" s="87">
        <f t="shared" si="27"/>
        <v>7446.1310307454323</v>
      </c>
      <c r="P47" s="78">
        <f>SUM(D47:O47)</f>
        <v>-82136.30909892013</v>
      </c>
      <c r="Q47" s="58"/>
      <c r="R47" s="58"/>
    </row>
    <row r="48" spans="1:18">
      <c r="A48" s="21"/>
      <c r="B48" s="20"/>
      <c r="C48" s="21" t="s">
        <v>137</v>
      </c>
      <c r="D48" s="89">
        <f>D26</f>
        <v>3.5000000000000003E-2</v>
      </c>
      <c r="E48" s="89">
        <f t="shared" ref="E48:I48" si="28">E26</f>
        <v>3.5000000000000003E-2</v>
      </c>
      <c r="F48" s="89">
        <f t="shared" si="28"/>
        <v>3.5000000000000003E-2</v>
      </c>
      <c r="G48" s="89">
        <f t="shared" si="28"/>
        <v>3.7100000000000001E-2</v>
      </c>
      <c r="H48" s="89">
        <f t="shared" si="28"/>
        <v>3.7100000000000001E-2</v>
      </c>
      <c r="I48" s="89">
        <f t="shared" si="28"/>
        <v>3.7100000000000001E-2</v>
      </c>
      <c r="J48" s="89">
        <v>3.9600000000000003E-2</v>
      </c>
      <c r="K48" s="89">
        <v>3.9600000000000003E-2</v>
      </c>
      <c r="L48" s="89">
        <v>3.9600000000000003E-2</v>
      </c>
      <c r="M48" s="89">
        <v>4.2099999999999999E-2</v>
      </c>
      <c r="N48" s="89">
        <v>4.2099999999999999E-2</v>
      </c>
      <c r="O48" s="89">
        <v>4.2099999999999999E-2</v>
      </c>
      <c r="P48" s="78"/>
      <c r="Q48" s="58"/>
      <c r="R48" s="58"/>
    </row>
    <row r="49" spans="1:18">
      <c r="A49" s="21">
        <v>25</v>
      </c>
      <c r="B49" s="20" t="s">
        <v>138</v>
      </c>
      <c r="C49" s="21" t="s">
        <v>139</v>
      </c>
      <c r="D49" s="90">
        <f>(D46+D47)/2*D48/12</f>
        <v>-787.75645664400008</v>
      </c>
      <c r="E49" s="90">
        <f>(D51+(E46+E47)/2)*E48/12</f>
        <v>-1355.8630565398355</v>
      </c>
      <c r="F49" s="90">
        <f t="shared" ref="F49:O49" si="29">(E51+(F46+F47)/2)*F48/12</f>
        <v>-1647.0738452126805</v>
      </c>
      <c r="G49" s="90">
        <f t="shared" si="29"/>
        <v>-1576.5654755696785</v>
      </c>
      <c r="H49" s="90">
        <f t="shared" si="29"/>
        <v>497.50251258623013</v>
      </c>
      <c r="I49" s="90">
        <f t="shared" si="29"/>
        <v>2823.8105117993177</v>
      </c>
      <c r="J49" s="90">
        <f t="shared" si="29"/>
        <v>4417.7254717009964</v>
      </c>
      <c r="K49" s="90">
        <f t="shared" si="29"/>
        <v>3309.1077058732876</v>
      </c>
      <c r="L49" s="90">
        <f t="shared" si="29"/>
        <v>2785.3730923501212</v>
      </c>
      <c r="M49" s="90">
        <f t="shared" si="29"/>
        <v>5845.5167693125659</v>
      </c>
      <c r="N49" s="90">
        <f t="shared" si="29"/>
        <v>7153.9934273350218</v>
      </c>
      <c r="O49" s="90">
        <f t="shared" si="29"/>
        <v>6339.5457975973759</v>
      </c>
      <c r="P49" s="78">
        <f>SUM(D49:O49)</f>
        <v>27805.316454588723</v>
      </c>
      <c r="Q49" s="58"/>
      <c r="R49" s="58"/>
    </row>
    <row r="50" spans="1:18" ht="15" thickBot="1">
      <c r="A50" s="21"/>
      <c r="B50" s="92" t="s">
        <v>145</v>
      </c>
      <c r="C50" s="21"/>
      <c r="D50" s="93">
        <f>D46+D47+D49</f>
        <v>-540963.61244110123</v>
      </c>
      <c r="E50" s="93">
        <f t="shared" ref="E50:P50" si="30">E46+E47+E49</f>
        <v>150836.69448406115</v>
      </c>
      <c r="F50" s="93">
        <f t="shared" si="30"/>
        <v>-350815.30321982753</v>
      </c>
      <c r="G50" s="93">
        <f t="shared" si="30"/>
        <v>460427.2457818776</v>
      </c>
      <c r="H50" s="93">
        <f t="shared" si="30"/>
        <v>883361.96279231075</v>
      </c>
      <c r="I50" s="93">
        <f t="shared" si="30"/>
        <v>623853.61693504523</v>
      </c>
      <c r="J50" s="93">
        <f t="shared" si="30"/>
        <v>228425.89359545201</v>
      </c>
      <c r="K50" s="93">
        <f t="shared" si="30"/>
        <v>-901424.06640837609</v>
      </c>
      <c r="L50" s="93">
        <f t="shared" si="30"/>
        <v>583485.4145080857</v>
      </c>
      <c r="M50" s="93">
        <f t="shared" si="30"/>
        <v>1063830.9283603758</v>
      </c>
      <c r="N50" s="93">
        <f t="shared" si="30"/>
        <v>-316597.51601259247</v>
      </c>
      <c r="O50" s="93">
        <f t="shared" si="30"/>
        <v>-148510.1172158035</v>
      </c>
      <c r="P50" s="93">
        <f t="shared" si="30"/>
        <v>1735911.1411595074</v>
      </c>
      <c r="Q50" s="58"/>
      <c r="R50" s="58"/>
    </row>
    <row r="51" spans="1:18" ht="27.6" thickBot="1">
      <c r="A51" s="21">
        <v>26</v>
      </c>
      <c r="B51" s="102" t="s">
        <v>146</v>
      </c>
      <c r="C51" s="21" t="str">
        <f>"Σ(("&amp;A$46&amp;") ~ ("&amp;A49&amp;"))"</f>
        <v>Σ((23) ~ (25))</v>
      </c>
      <c r="D51" s="77">
        <f>D46+D47+D49</f>
        <v>-540963.61244110123</v>
      </c>
      <c r="E51" s="77">
        <f>D51+E46+E47+E49</f>
        <v>-390126.91795704007</v>
      </c>
      <c r="F51" s="77">
        <f t="shared" ref="F51:N51" si="31">E51+F46+F47+F49</f>
        <v>-740942.22117686761</v>
      </c>
      <c r="G51" s="77">
        <f t="shared" si="31"/>
        <v>-280514.97539499</v>
      </c>
      <c r="H51" s="77">
        <f t="shared" si="31"/>
        <v>602846.98739732068</v>
      </c>
      <c r="I51" s="77">
        <f t="shared" si="31"/>
        <v>1226700.6043323658</v>
      </c>
      <c r="J51" s="77">
        <f t="shared" si="31"/>
        <v>1455126.4979278177</v>
      </c>
      <c r="K51" s="77">
        <f t="shared" si="31"/>
        <v>553702.43151944166</v>
      </c>
      <c r="L51" s="77">
        <f t="shared" si="31"/>
        <v>1137187.8460275275</v>
      </c>
      <c r="M51" s="77">
        <f t="shared" si="31"/>
        <v>2201018.7743879035</v>
      </c>
      <c r="N51" s="77">
        <f t="shared" si="31"/>
        <v>1884421.258375311</v>
      </c>
      <c r="O51" s="96">
        <f>N51+O46+O47+O49</f>
        <v>1735911.1411595074</v>
      </c>
      <c r="P51" s="78"/>
      <c r="Q51" s="58"/>
      <c r="R51" s="58"/>
    </row>
    <row r="52" spans="1:18" ht="15" thickBot="1">
      <c r="A52" s="21"/>
      <c r="B52" s="20"/>
      <c r="C52" s="2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99"/>
      <c r="Q52" s="58"/>
      <c r="R52" s="58"/>
    </row>
    <row r="53" spans="1:18" ht="28.95" customHeight="1" thickBot="1">
      <c r="A53" s="72">
        <v>25</v>
      </c>
      <c r="B53" s="103" t="s">
        <v>147</v>
      </c>
      <c r="C53" s="72" t="str">
        <f>"("&amp;A$29&amp;") + ("&amp;A51&amp;")"</f>
        <v>(13) + (26)</v>
      </c>
      <c r="D53" s="78">
        <f t="shared" ref="D53:O53" si="32">D29+D51</f>
        <v>-4346591.1582403164</v>
      </c>
      <c r="E53" s="78">
        <f t="shared" si="32"/>
        <v>-4759413.9999545086</v>
      </c>
      <c r="F53" s="78">
        <f t="shared" si="32"/>
        <v>-3906442.7454873109</v>
      </c>
      <c r="G53" s="78">
        <f t="shared" si="32"/>
        <v>-2931947.5560099436</v>
      </c>
      <c r="H53" s="78">
        <f t="shared" si="32"/>
        <v>-1015341.4459714784</v>
      </c>
      <c r="I53" s="78">
        <f t="shared" si="32"/>
        <v>249809.80902816111</v>
      </c>
      <c r="J53" s="78">
        <f t="shared" si="32"/>
        <v>-1725930.5803544542</v>
      </c>
      <c r="K53" s="78">
        <f t="shared" si="32"/>
        <v>-3677088.6533557349</v>
      </c>
      <c r="L53" s="78">
        <f t="shared" si="32"/>
        <v>-3265166.6591519066</v>
      </c>
      <c r="M53" s="78">
        <f t="shared" si="32"/>
        <v>-547495.35338887246</v>
      </c>
      <c r="N53" s="78">
        <f t="shared" si="32"/>
        <v>-359991.80209244997</v>
      </c>
      <c r="O53" s="100">
        <f t="shared" si="32"/>
        <v>-356878.75793898338</v>
      </c>
      <c r="P53" s="92"/>
      <c r="Q53" s="101"/>
      <c r="R53" s="101"/>
    </row>
    <row r="54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58"/>
      <c r="R54" s="58"/>
    </row>
    <row r="55" spans="1:18">
      <c r="B55" s="108" t="s">
        <v>156</v>
      </c>
      <c r="C55" s="104" t="s">
        <v>157</v>
      </c>
      <c r="E55" s="104"/>
      <c r="I55" s="104"/>
      <c r="J55" s="104"/>
      <c r="K55" s="104"/>
      <c r="L55" s="104"/>
      <c r="M55" s="104"/>
    </row>
    <row r="56" spans="1:18">
      <c r="B56" s="91"/>
    </row>
    <row r="57" spans="1:18">
      <c r="A57" s="91" t="s">
        <v>162</v>
      </c>
      <c r="B57" s="91" t="s">
        <v>236</v>
      </c>
      <c r="D57" s="160">
        <f t="shared" ref="D57:O57" si="33">-D24-D25</f>
        <v>3800085.7540745228</v>
      </c>
      <c r="E57" s="160">
        <f t="shared" si="33"/>
        <v>551755.14626803156</v>
      </c>
      <c r="F57" s="160">
        <f t="shared" si="33"/>
        <v>-1214758.7884430385</v>
      </c>
      <c r="G57" s="160">
        <f t="shared" si="33"/>
        <v>-523046.07409361296</v>
      </c>
      <c r="H57" s="160">
        <f t="shared" si="33"/>
        <v>-1039834.0827882459</v>
      </c>
      <c r="I57" s="160">
        <f t="shared" si="33"/>
        <v>-645303.00640702201</v>
      </c>
      <c r="J57" s="160">
        <f t="shared" si="33"/>
        <v>2197316.9703524816</v>
      </c>
      <c r="K57" s="160">
        <f t="shared" si="33"/>
        <v>1037524.6026402164</v>
      </c>
      <c r="L57" s="160">
        <f t="shared" si="33"/>
        <v>157342.19510225055</v>
      </c>
      <c r="M57" s="160">
        <f t="shared" si="33"/>
        <v>-1666362.227384459</v>
      </c>
      <c r="N57" s="160">
        <f t="shared" si="33"/>
        <v>-512844.15691537602</v>
      </c>
      <c r="O57" s="160">
        <f t="shared" si="33"/>
        <v>-159218.01558740166</v>
      </c>
      <c r="P57" s="160"/>
    </row>
    <row r="58" spans="1:18">
      <c r="A58" s="91"/>
      <c r="B58" s="91" t="s">
        <v>158</v>
      </c>
      <c r="D58" s="160">
        <f t="shared" ref="D58:O58" si="34">IF(D27&lt;0,-D27,0)</f>
        <v>5541.7917246920124</v>
      </c>
      <c r="E58" s="160">
        <f t="shared" si="34"/>
        <v>11904.389930221923</v>
      </c>
      <c r="F58" s="160">
        <f t="shared" si="34"/>
        <v>10972.230756013187</v>
      </c>
      <c r="G58" s="160">
        <f t="shared" si="34"/>
        <v>8978.1303981234105</v>
      </c>
      <c r="H58" s="160">
        <f t="shared" si="34"/>
        <v>6589.9355420910688</v>
      </c>
      <c r="I58" s="160">
        <f t="shared" si="34"/>
        <v>4005.3683424276824</v>
      </c>
      <c r="J58" s="160">
        <f t="shared" si="34"/>
        <v>6849.3126255854704</v>
      </c>
      <c r="K58" s="160">
        <f t="shared" si="34"/>
        <v>12209.403952687855</v>
      </c>
      <c r="L58" s="160">
        <f t="shared" si="34"/>
        <v>14221.225202006797</v>
      </c>
      <c r="M58" s="160">
        <f t="shared" si="34"/>
        <v>12521.849981800942</v>
      </c>
      <c r="N58" s="160">
        <f t="shared" si="34"/>
        <v>8743.0896063611344</v>
      </c>
      <c r="O58" s="160">
        <f t="shared" si="34"/>
        <v>7594.8542181314942</v>
      </c>
      <c r="P58" s="160"/>
    </row>
    <row r="59" spans="1:18">
      <c r="A59" s="91"/>
      <c r="B59" s="91" t="s">
        <v>159</v>
      </c>
      <c r="D59" s="160">
        <f t="shared" ref="D59:O59" si="35">IF(D27&gt;0,-D27,0)</f>
        <v>0</v>
      </c>
      <c r="E59" s="160">
        <f t="shared" si="35"/>
        <v>0</v>
      </c>
      <c r="F59" s="160">
        <f t="shared" si="35"/>
        <v>0</v>
      </c>
      <c r="G59" s="160">
        <f t="shared" si="35"/>
        <v>0</v>
      </c>
      <c r="H59" s="160">
        <f t="shared" si="35"/>
        <v>0</v>
      </c>
      <c r="I59" s="160">
        <f t="shared" si="35"/>
        <v>0</v>
      </c>
      <c r="J59" s="160">
        <f t="shared" si="35"/>
        <v>0</v>
      </c>
      <c r="K59" s="160">
        <f t="shared" si="35"/>
        <v>0</v>
      </c>
      <c r="L59" s="160">
        <f t="shared" si="35"/>
        <v>0</v>
      </c>
      <c r="M59" s="160">
        <f t="shared" si="35"/>
        <v>0</v>
      </c>
      <c r="N59" s="160">
        <f t="shared" si="35"/>
        <v>0</v>
      </c>
      <c r="O59" s="160">
        <f t="shared" si="35"/>
        <v>0</v>
      </c>
      <c r="P59" s="160"/>
    </row>
    <row r="60" spans="1:18">
      <c r="A60" s="91" t="s">
        <v>162</v>
      </c>
      <c r="B60" s="91" t="s">
        <v>160</v>
      </c>
      <c r="D60" s="160">
        <f t="shared" ref="D60:O60" si="36">D28</f>
        <v>-3805627.5457992149</v>
      </c>
      <c r="E60" s="160">
        <f t="shared" si="36"/>
        <v>-563659.53619825351</v>
      </c>
      <c r="F60" s="160">
        <f t="shared" si="36"/>
        <v>1203786.5576870253</v>
      </c>
      <c r="G60" s="160">
        <f t="shared" si="36"/>
        <v>514067.94369548955</v>
      </c>
      <c r="H60" s="160">
        <f t="shared" si="36"/>
        <v>1033244.1472461548</v>
      </c>
      <c r="I60" s="160">
        <f t="shared" si="36"/>
        <v>641297.63806459436</v>
      </c>
      <c r="J60" s="160">
        <f t="shared" si="36"/>
        <v>-2204166.2829780672</v>
      </c>
      <c r="K60" s="160">
        <f t="shared" si="36"/>
        <v>-1049734.0065929042</v>
      </c>
      <c r="L60" s="160">
        <f t="shared" si="36"/>
        <v>-171563.42030425736</v>
      </c>
      <c r="M60" s="160">
        <f t="shared" si="36"/>
        <v>1653840.3774026581</v>
      </c>
      <c r="N60" s="160">
        <f t="shared" si="36"/>
        <v>504101.06730901491</v>
      </c>
      <c r="O60" s="160">
        <f t="shared" si="36"/>
        <v>151623.16136927018</v>
      </c>
      <c r="P60" s="160"/>
    </row>
    <row r="61" spans="1:18">
      <c r="A61" s="91"/>
      <c r="B61" s="91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</row>
    <row r="62" spans="1:18">
      <c r="A62" s="91" t="s">
        <v>162</v>
      </c>
      <c r="B62" s="91" t="s">
        <v>237</v>
      </c>
      <c r="D62" s="160">
        <f t="shared" ref="D62:O62" si="37">-D46-D47</f>
        <v>540175.85598445719</v>
      </c>
      <c r="E62" s="160">
        <f t="shared" si="37"/>
        <v>-152192.557540601</v>
      </c>
      <c r="F62" s="160">
        <f t="shared" si="37"/>
        <v>349168.22937461484</v>
      </c>
      <c r="G62" s="160">
        <f t="shared" si="37"/>
        <v>-462003.81125744729</v>
      </c>
      <c r="H62" s="160">
        <f t="shared" si="37"/>
        <v>-882864.46027972456</v>
      </c>
      <c r="I62" s="160">
        <f t="shared" si="37"/>
        <v>-621029.80642324593</v>
      </c>
      <c r="J62" s="160">
        <f t="shared" si="37"/>
        <v>-224008.16812375101</v>
      </c>
      <c r="K62" s="160">
        <f t="shared" si="37"/>
        <v>904733.17411424941</v>
      </c>
      <c r="L62" s="160">
        <f t="shared" si="37"/>
        <v>-580700.04141573561</v>
      </c>
      <c r="M62" s="160">
        <f t="shared" si="37"/>
        <v>-1057985.4115910633</v>
      </c>
      <c r="N62" s="160">
        <f t="shared" si="37"/>
        <v>323751.50943992747</v>
      </c>
      <c r="O62" s="160">
        <f t="shared" si="37"/>
        <v>154849.66301340089</v>
      </c>
      <c r="P62" s="160"/>
    </row>
    <row r="63" spans="1:18">
      <c r="A63" s="91"/>
      <c r="B63" s="91" t="s">
        <v>158</v>
      </c>
      <c r="D63" s="160">
        <f t="shared" ref="D63:O63" si="38">IF(D49&lt;0,-D49,0)</f>
        <v>787.75645664400008</v>
      </c>
      <c r="E63" s="160">
        <f t="shared" si="38"/>
        <v>1355.8630565398355</v>
      </c>
      <c r="F63" s="160">
        <f t="shared" si="38"/>
        <v>1647.0738452126805</v>
      </c>
      <c r="G63" s="160">
        <f t="shared" si="38"/>
        <v>1576.5654755696785</v>
      </c>
      <c r="H63" s="160">
        <f t="shared" si="38"/>
        <v>0</v>
      </c>
      <c r="I63" s="160">
        <f t="shared" si="38"/>
        <v>0</v>
      </c>
      <c r="J63" s="160">
        <f t="shared" si="38"/>
        <v>0</v>
      </c>
      <c r="K63" s="160">
        <f t="shared" si="38"/>
        <v>0</v>
      </c>
      <c r="L63" s="160">
        <f t="shared" si="38"/>
        <v>0</v>
      </c>
      <c r="M63" s="160">
        <f t="shared" si="38"/>
        <v>0</v>
      </c>
      <c r="N63" s="160">
        <f t="shared" si="38"/>
        <v>0</v>
      </c>
      <c r="O63" s="160">
        <f t="shared" si="38"/>
        <v>0</v>
      </c>
      <c r="P63" s="160"/>
    </row>
    <row r="64" spans="1:18">
      <c r="A64" s="91"/>
      <c r="B64" s="91" t="s">
        <v>159</v>
      </c>
      <c r="D64" s="160">
        <f t="shared" ref="D64:O64" si="39">IF(D49&gt;0,-D49,0)</f>
        <v>0</v>
      </c>
      <c r="E64" s="160">
        <f t="shared" si="39"/>
        <v>0</v>
      </c>
      <c r="F64" s="160">
        <f t="shared" si="39"/>
        <v>0</v>
      </c>
      <c r="G64" s="160">
        <f t="shared" si="39"/>
        <v>0</v>
      </c>
      <c r="H64" s="160">
        <f t="shared" si="39"/>
        <v>-497.50251258623013</v>
      </c>
      <c r="I64" s="160">
        <f t="shared" si="39"/>
        <v>-2823.8105117993177</v>
      </c>
      <c r="J64" s="160">
        <f t="shared" si="39"/>
        <v>-4417.7254717009964</v>
      </c>
      <c r="K64" s="160">
        <f t="shared" si="39"/>
        <v>-3309.1077058732876</v>
      </c>
      <c r="L64" s="160">
        <f t="shared" si="39"/>
        <v>-2785.3730923501212</v>
      </c>
      <c r="M64" s="160">
        <f t="shared" si="39"/>
        <v>-5845.5167693125659</v>
      </c>
      <c r="N64" s="160">
        <f t="shared" si="39"/>
        <v>-7153.9934273350218</v>
      </c>
      <c r="O64" s="160">
        <f t="shared" si="39"/>
        <v>-6339.5457975973759</v>
      </c>
      <c r="P64" s="160"/>
    </row>
    <row r="65" spans="1:16">
      <c r="A65" s="91" t="s">
        <v>162</v>
      </c>
      <c r="B65" s="91" t="s">
        <v>161</v>
      </c>
      <c r="D65" s="160">
        <f t="shared" ref="D65:O65" si="40">D50</f>
        <v>-540963.61244110123</v>
      </c>
      <c r="E65" s="160">
        <f t="shared" si="40"/>
        <v>150836.69448406115</v>
      </c>
      <c r="F65" s="160">
        <f t="shared" si="40"/>
        <v>-350815.30321982753</v>
      </c>
      <c r="G65" s="160">
        <f t="shared" si="40"/>
        <v>460427.2457818776</v>
      </c>
      <c r="H65" s="160">
        <f t="shared" si="40"/>
        <v>883361.96279231075</v>
      </c>
      <c r="I65" s="160">
        <f t="shared" si="40"/>
        <v>623853.61693504523</v>
      </c>
      <c r="J65" s="160">
        <f t="shared" si="40"/>
        <v>228425.89359545201</v>
      </c>
      <c r="K65" s="160">
        <f t="shared" si="40"/>
        <v>-901424.06640837609</v>
      </c>
      <c r="L65" s="160">
        <f t="shared" si="40"/>
        <v>583485.4145080857</v>
      </c>
      <c r="M65" s="160">
        <f t="shared" si="40"/>
        <v>1063830.9283603758</v>
      </c>
      <c r="N65" s="160">
        <f t="shared" si="40"/>
        <v>-316597.51601259247</v>
      </c>
      <c r="O65" s="160">
        <f t="shared" si="40"/>
        <v>-148510.1172158035</v>
      </c>
      <c r="P65" s="160"/>
    </row>
    <row r="66" spans="1:16">
      <c r="D66" s="160"/>
    </row>
    <row r="67" spans="1:16">
      <c r="A67" s="183"/>
      <c r="B67" s="91"/>
      <c r="C67" s="183"/>
      <c r="D67" s="200"/>
      <c r="E67" s="183"/>
    </row>
    <row r="68" spans="1:16">
      <c r="A68" s="183"/>
      <c r="B68" s="183"/>
      <c r="C68" s="183"/>
      <c r="D68" s="201"/>
      <c r="E68" s="183"/>
    </row>
    <row r="69" spans="1:16">
      <c r="A69" s="183"/>
      <c r="B69" s="91"/>
      <c r="C69" s="183"/>
      <c r="D69" s="200"/>
      <c r="E69" s="183"/>
    </row>
    <row r="70" spans="1:16">
      <c r="A70" s="183"/>
      <c r="B70" s="183"/>
      <c r="C70" s="183"/>
      <c r="D70" s="201"/>
      <c r="E70" s="183"/>
    </row>
    <row r="71" spans="1:16">
      <c r="A71" s="183"/>
      <c r="B71" s="183"/>
      <c r="C71" s="183"/>
      <c r="D71" s="183"/>
      <c r="E71" s="183"/>
    </row>
  </sheetData>
  <mergeCells count="5">
    <mergeCell ref="A1:O1"/>
    <mergeCell ref="A2:O2"/>
    <mergeCell ref="A3:O3"/>
    <mergeCell ref="R13:R14"/>
    <mergeCell ref="R35:R36"/>
  </mergeCells>
  <printOptions horizontalCentered="1"/>
  <pageMargins left="0.17" right="0.16" top="0.42" bottom="0.46" header="0.3" footer="0.3"/>
  <pageSetup scale="77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M89"/>
  <sheetViews>
    <sheetView topLeftCell="A65" zoomScaleNormal="100" workbookViewId="0">
      <selection activeCell="A90" sqref="A90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2187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213762</v>
      </c>
      <c r="D3" s="224"/>
      <c r="E3" s="197">
        <v>245803793.097</v>
      </c>
      <c r="F3" s="197">
        <v>-119213068</v>
      </c>
      <c r="G3" s="197">
        <v>148528721</v>
      </c>
      <c r="H3" s="218">
        <f>SUM(F3:G3)</f>
        <v>29315653</v>
      </c>
      <c r="I3" s="171">
        <f>E3+H3</f>
        <v>275119446.097</v>
      </c>
    </row>
    <row r="4" spans="1:9">
      <c r="A4" s="195" t="s">
        <v>203</v>
      </c>
      <c r="B4" s="164"/>
      <c r="C4" s="170">
        <v>415</v>
      </c>
      <c r="D4" s="224"/>
      <c r="E4" s="197">
        <v>582927.54799999995</v>
      </c>
      <c r="F4" s="197">
        <v>-302230</v>
      </c>
      <c r="G4" s="197">
        <v>351593</v>
      </c>
      <c r="H4" s="218">
        <f t="shared" ref="H4:H16" si="0">SUM(F4:G4)</f>
        <v>49363</v>
      </c>
      <c r="I4" s="171">
        <f t="shared" ref="I4:I16" si="1">E4+H4</f>
        <v>632290.54799999995</v>
      </c>
    </row>
    <row r="5" spans="1:9">
      <c r="A5" s="195" t="s">
        <v>149</v>
      </c>
      <c r="B5" s="164"/>
      <c r="C5" s="170">
        <v>22556</v>
      </c>
      <c r="D5" s="224"/>
      <c r="E5" s="197">
        <v>51006609.853</v>
      </c>
      <c r="F5" s="197">
        <v>-27771607</v>
      </c>
      <c r="G5" s="197">
        <v>30705832</v>
      </c>
      <c r="H5" s="218">
        <f t="shared" si="0"/>
        <v>2934225</v>
      </c>
      <c r="I5" s="171">
        <f t="shared" si="1"/>
        <v>53940834.853</v>
      </c>
    </row>
    <row r="6" spans="1:9">
      <c r="A6" s="195" t="s">
        <v>150</v>
      </c>
      <c r="B6" s="164"/>
      <c r="C6" s="170">
        <v>9391</v>
      </c>
      <c r="D6" s="224"/>
      <c r="E6" s="197">
        <v>6171166.5140000004</v>
      </c>
      <c r="F6" s="197">
        <v>-2955141</v>
      </c>
      <c r="G6" s="197">
        <v>3711265</v>
      </c>
      <c r="H6" s="218">
        <f t="shared" si="0"/>
        <v>756124</v>
      </c>
      <c r="I6" s="171">
        <f t="shared" si="1"/>
        <v>6927290.5140000004</v>
      </c>
    </row>
    <row r="7" spans="1:9">
      <c r="A7" s="195" t="s">
        <v>151</v>
      </c>
      <c r="B7" s="164"/>
      <c r="C7" s="170">
        <v>1854</v>
      </c>
      <c r="D7" s="224"/>
      <c r="E7" s="197">
        <v>120134883.52599999</v>
      </c>
      <c r="F7" s="197">
        <v>-69042836</v>
      </c>
      <c r="G7" s="197">
        <v>72193864</v>
      </c>
      <c r="H7" s="218">
        <f t="shared" si="0"/>
        <v>3151028</v>
      </c>
      <c r="I7" s="171">
        <f t="shared" si="1"/>
        <v>123285911.52599999</v>
      </c>
    </row>
    <row r="8" spans="1:9">
      <c r="A8" s="195" t="s">
        <v>152</v>
      </c>
      <c r="B8" s="164"/>
      <c r="C8" s="170">
        <v>47</v>
      </c>
      <c r="D8" s="224"/>
      <c r="E8" s="197">
        <v>3274150.32</v>
      </c>
      <c r="F8" s="197">
        <v>-1578314</v>
      </c>
      <c r="G8" s="197">
        <v>1992363</v>
      </c>
      <c r="H8" s="218">
        <f t="shared" si="0"/>
        <v>414049</v>
      </c>
      <c r="I8" s="171">
        <f t="shared" si="1"/>
        <v>3688199.32</v>
      </c>
    </row>
    <row r="9" spans="1:9">
      <c r="A9" s="195" t="s">
        <v>153</v>
      </c>
      <c r="B9" s="164"/>
      <c r="C9" s="170">
        <v>23</v>
      </c>
      <c r="D9" s="224"/>
      <c r="E9" s="197">
        <f>95864271-E10</f>
        <v>61292069.399999999</v>
      </c>
      <c r="F9" s="197">
        <v>-5153310</v>
      </c>
      <c r="G9" s="197">
        <v>2136242</v>
      </c>
      <c r="H9" s="218">
        <f t="shared" si="0"/>
        <v>-3017068</v>
      </c>
      <c r="I9" s="171">
        <f t="shared" si="1"/>
        <v>58275001.399999999</v>
      </c>
    </row>
    <row r="10" spans="1:9">
      <c r="A10" s="195" t="s">
        <v>204</v>
      </c>
      <c r="B10" s="164"/>
      <c r="C10" s="170"/>
      <c r="D10" s="224"/>
      <c r="E10" s="197">
        <v>34572201.600000001</v>
      </c>
      <c r="F10" s="197">
        <v>0</v>
      </c>
      <c r="G10" s="197">
        <v>0</v>
      </c>
      <c r="H10" s="218">
        <f t="shared" si="0"/>
        <v>0</v>
      </c>
      <c r="I10" s="171">
        <f t="shared" si="1"/>
        <v>34572201.600000001</v>
      </c>
    </row>
    <row r="11" spans="1:9">
      <c r="A11" s="195" t="s">
        <v>205</v>
      </c>
      <c r="B11" s="164"/>
      <c r="C11" s="170">
        <v>49</v>
      </c>
      <c r="D11" s="224"/>
      <c r="E11" s="197">
        <v>13480</v>
      </c>
      <c r="F11" s="197">
        <v>0</v>
      </c>
      <c r="G11" s="197">
        <v>0</v>
      </c>
      <c r="H11" s="218">
        <f t="shared" si="0"/>
        <v>0</v>
      </c>
      <c r="I11" s="171">
        <f t="shared" si="1"/>
        <v>13480</v>
      </c>
    </row>
    <row r="12" spans="1:9">
      <c r="A12" s="195" t="s">
        <v>154</v>
      </c>
      <c r="B12" s="164"/>
      <c r="C12" s="170">
        <v>1144</v>
      </c>
      <c r="D12" s="224"/>
      <c r="E12" s="197">
        <v>3103166.1630000002</v>
      </c>
      <c r="F12" s="197">
        <v>-2317099</v>
      </c>
      <c r="G12" s="197">
        <v>1679835</v>
      </c>
      <c r="H12" s="218">
        <f t="shared" si="0"/>
        <v>-637264</v>
      </c>
      <c r="I12" s="171">
        <f t="shared" si="1"/>
        <v>2465902.1630000002</v>
      </c>
    </row>
    <row r="13" spans="1:9">
      <c r="A13" s="195" t="s">
        <v>155</v>
      </c>
      <c r="B13" s="164"/>
      <c r="C13" s="170">
        <v>1181</v>
      </c>
      <c r="D13" s="224"/>
      <c r="E13" s="197">
        <v>249977.389</v>
      </c>
      <c r="F13" s="197">
        <v>-134325</v>
      </c>
      <c r="G13" s="197">
        <v>156264</v>
      </c>
      <c r="H13" s="218">
        <f t="shared" si="0"/>
        <v>21939</v>
      </c>
      <c r="I13" s="171">
        <f t="shared" si="1"/>
        <v>271916.38899999997</v>
      </c>
    </row>
    <row r="14" spans="1:9">
      <c r="A14" s="195" t="s">
        <v>206</v>
      </c>
      <c r="B14" s="164"/>
      <c r="C14" s="170">
        <v>426</v>
      </c>
      <c r="D14" s="224"/>
      <c r="E14" s="197">
        <v>987328.78</v>
      </c>
      <c r="F14" s="197"/>
      <c r="G14" s="197"/>
      <c r="H14" s="218"/>
      <c r="I14" s="171">
        <f t="shared" si="1"/>
        <v>987328.78</v>
      </c>
    </row>
    <row r="15" spans="1:9">
      <c r="A15" s="195" t="s">
        <v>207</v>
      </c>
      <c r="B15" s="164"/>
      <c r="C15" s="170"/>
      <c r="D15" s="224"/>
      <c r="E15" s="197">
        <v>443211.76828999998</v>
      </c>
      <c r="F15" s="197"/>
      <c r="G15" s="197"/>
      <c r="H15" s="218">
        <f t="shared" si="0"/>
        <v>0</v>
      </c>
      <c r="I15" s="171">
        <f t="shared" si="1"/>
        <v>443211.76828999998</v>
      </c>
    </row>
    <row r="16" spans="1:9">
      <c r="A16" s="195" t="s">
        <v>208</v>
      </c>
      <c r="B16" s="164"/>
      <c r="C16" s="170"/>
      <c r="D16" s="225"/>
      <c r="E16" s="197">
        <v>235206.23134</v>
      </c>
      <c r="F16" s="197"/>
      <c r="G16" s="197"/>
      <c r="H16" s="218">
        <f t="shared" si="0"/>
        <v>0</v>
      </c>
      <c r="I16" s="171">
        <f t="shared" si="1"/>
        <v>235206.23134</v>
      </c>
    </row>
    <row r="17" spans="1:9">
      <c r="A17" s="164"/>
      <c r="B17" s="164"/>
      <c r="C17" s="172">
        <f>SUM(C3:C16)</f>
        <v>250848</v>
      </c>
      <c r="E17" s="172">
        <f t="shared" ref="E17:I17" si="2">SUM(E3:E16)</f>
        <v>527870172.18962991</v>
      </c>
      <c r="F17" s="172">
        <f t="shared" si="2"/>
        <v>-228467930</v>
      </c>
      <c r="G17" s="172">
        <f t="shared" si="2"/>
        <v>261455979</v>
      </c>
      <c r="H17" s="172">
        <f t="shared" si="2"/>
        <v>32988049</v>
      </c>
      <c r="I17" s="172">
        <f t="shared" si="2"/>
        <v>560858221.18963003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214177</v>
      </c>
      <c r="E19" s="174">
        <f>E3+E4</f>
        <v>246386720.64500001</v>
      </c>
      <c r="F19" s="174">
        <f t="shared" ref="F19:H19" si="3">F3+F4</f>
        <v>-119515298</v>
      </c>
      <c r="G19" s="174">
        <f t="shared" si="3"/>
        <v>148880314</v>
      </c>
      <c r="H19" s="174">
        <f t="shared" si="3"/>
        <v>29365016</v>
      </c>
      <c r="I19" s="173">
        <f>I3+I4</f>
        <v>275751736.64499998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36222</v>
      </c>
      <c r="E21" s="192">
        <f>SUM(E5:E8,E11:E13)</f>
        <v>183953433.76499999</v>
      </c>
      <c r="F21" s="192">
        <f t="shared" ref="F21:H21" si="4">SUM(F5:F8,F11:F13)</f>
        <v>-103799322</v>
      </c>
      <c r="G21" s="192">
        <f t="shared" si="4"/>
        <v>110439423</v>
      </c>
      <c r="H21" s="192">
        <f t="shared" si="4"/>
        <v>6640101</v>
      </c>
      <c r="I21" s="191">
        <f>SUM(I5:I8,I11:I13)</f>
        <v>190593534.76499999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1853943.5</v>
      </c>
      <c r="D24" s="196">
        <v>21826806.739999998</v>
      </c>
      <c r="E24" s="198">
        <v>-11231614</v>
      </c>
      <c r="F24" s="198">
        <v>14216193</v>
      </c>
      <c r="G24" s="188">
        <f>SUM(D24:F24)</f>
        <v>24811385.739999998</v>
      </c>
      <c r="H24" s="188">
        <f>-J65</f>
        <v>-221626.33668000001</v>
      </c>
      <c r="I24" s="188">
        <f>SUM(G24:H24)</f>
        <v>24589759.40332</v>
      </c>
    </row>
    <row r="25" spans="1:9">
      <c r="A25" s="195" t="s">
        <v>203</v>
      </c>
      <c r="B25" s="164"/>
      <c r="C25" s="196">
        <v>3544.5</v>
      </c>
      <c r="D25" s="196">
        <v>51838.240000000005</v>
      </c>
      <c r="E25" s="198">
        <v>-18518</v>
      </c>
      <c r="F25" s="198">
        <v>22157</v>
      </c>
      <c r="G25" s="188">
        <f t="shared" ref="G25:G33" si="5">SUM(D25:F25)</f>
        <v>55477.240000000005</v>
      </c>
      <c r="H25" s="188">
        <f t="shared" ref="H25:H33" si="6">-J66</f>
        <v>1183.2311100000002</v>
      </c>
      <c r="I25" s="188">
        <f t="shared" ref="I25:I34" si="7">SUM(G25:H25)</f>
        <v>56660.471110000006</v>
      </c>
    </row>
    <row r="26" spans="1:9">
      <c r="A26" s="195" t="s">
        <v>149</v>
      </c>
      <c r="B26" s="164"/>
      <c r="C26" s="196">
        <v>413095.58</v>
      </c>
      <c r="D26" s="196">
        <v>5859528.8499999996</v>
      </c>
      <c r="E26" s="198">
        <v>-3270448</v>
      </c>
      <c r="F26" s="198">
        <v>3556674</v>
      </c>
      <c r="G26" s="188">
        <f t="shared" si="5"/>
        <v>6145754.8499999996</v>
      </c>
      <c r="H26" s="188">
        <f t="shared" si="6"/>
        <v>-17546.665499999999</v>
      </c>
      <c r="I26" s="188">
        <f t="shared" si="7"/>
        <v>6128208.1844999995</v>
      </c>
    </row>
    <row r="27" spans="1:9">
      <c r="A27" s="195" t="s">
        <v>150</v>
      </c>
      <c r="B27" s="164"/>
      <c r="C27" s="196">
        <v>170705.33</v>
      </c>
      <c r="D27" s="196">
        <v>854178.67</v>
      </c>
      <c r="E27" s="198">
        <v>-427061</v>
      </c>
      <c r="F27" s="198">
        <v>511590</v>
      </c>
      <c r="G27" s="188">
        <f t="shared" si="5"/>
        <v>938707.67</v>
      </c>
      <c r="H27" s="188">
        <f t="shared" si="6"/>
        <v>-3909.1610799999999</v>
      </c>
      <c r="I27" s="188">
        <f t="shared" si="7"/>
        <v>934798.50892000005</v>
      </c>
    </row>
    <row r="28" spans="1:9">
      <c r="A28" s="195" t="s">
        <v>151</v>
      </c>
      <c r="B28" s="164"/>
      <c r="C28" s="196">
        <v>929404</v>
      </c>
      <c r="D28" s="196">
        <v>10621814.539999999</v>
      </c>
      <c r="E28" s="198">
        <v>-5903731</v>
      </c>
      <c r="F28" s="198">
        <v>5870374</v>
      </c>
      <c r="G28" s="188">
        <f t="shared" si="5"/>
        <v>10588457.539999999</v>
      </c>
      <c r="H28" s="188">
        <f t="shared" si="6"/>
        <v>-14400.197960000001</v>
      </c>
      <c r="I28" s="188">
        <f t="shared" si="7"/>
        <v>10574057.342039999</v>
      </c>
    </row>
    <row r="29" spans="1:9">
      <c r="A29" s="195" t="s">
        <v>152</v>
      </c>
      <c r="B29" s="164"/>
      <c r="C29" s="196">
        <v>23666.67</v>
      </c>
      <c r="D29" s="196">
        <v>283603.3</v>
      </c>
      <c r="E29" s="198">
        <v>-138917</v>
      </c>
      <c r="F29" s="198">
        <v>161186</v>
      </c>
      <c r="G29" s="188">
        <f t="shared" si="5"/>
        <v>305872.3</v>
      </c>
      <c r="H29" s="188">
        <f t="shared" si="6"/>
        <v>-1556.8242399999999</v>
      </c>
      <c r="I29" s="188">
        <f t="shared" si="7"/>
        <v>304315.47576</v>
      </c>
    </row>
    <row r="30" spans="1:9">
      <c r="A30" s="195" t="s">
        <v>153</v>
      </c>
      <c r="B30" s="164"/>
      <c r="C30" s="196">
        <v>483000</v>
      </c>
      <c r="D30" s="196">
        <v>5682129.2199999997</v>
      </c>
      <c r="E30" s="198">
        <v>-325325</v>
      </c>
      <c r="F30" s="198">
        <v>147054</v>
      </c>
      <c r="G30" s="188">
        <f t="shared" si="5"/>
        <v>5503858.2199999997</v>
      </c>
      <c r="H30" s="188">
        <f t="shared" si="6"/>
        <v>7361.645919999999</v>
      </c>
      <c r="I30" s="188">
        <f t="shared" si="7"/>
        <v>5511219.8659199998</v>
      </c>
    </row>
    <row r="31" spans="1:9">
      <c r="A31" s="195" t="s">
        <v>205</v>
      </c>
      <c r="B31" s="164"/>
      <c r="C31" s="196">
        <v>882</v>
      </c>
      <c r="D31" s="196">
        <v>1804</v>
      </c>
      <c r="E31" s="198">
        <v>0</v>
      </c>
      <c r="F31" s="198">
        <v>0</v>
      </c>
      <c r="G31" s="188">
        <f t="shared" si="5"/>
        <v>1804</v>
      </c>
      <c r="H31" s="188">
        <f t="shared" si="6"/>
        <v>0</v>
      </c>
      <c r="I31" s="188">
        <f t="shared" si="7"/>
        <v>1804</v>
      </c>
    </row>
    <row r="32" spans="1:9">
      <c r="A32" s="195" t="s">
        <v>154</v>
      </c>
      <c r="B32" s="164"/>
      <c r="C32" s="196">
        <v>21531.87</v>
      </c>
      <c r="D32" s="196">
        <v>275545.31</v>
      </c>
      <c r="E32" s="198">
        <v>-211520</v>
      </c>
      <c r="F32" s="198">
        <v>151206</v>
      </c>
      <c r="G32" s="188">
        <f t="shared" si="5"/>
        <v>215231.31</v>
      </c>
      <c r="H32" s="188">
        <f t="shared" si="6"/>
        <v>1784.3391999999999</v>
      </c>
      <c r="I32" s="188">
        <f t="shared" si="7"/>
        <v>217015.64919999999</v>
      </c>
    </row>
    <row r="33" spans="1:11">
      <c r="A33" s="195" t="s">
        <v>155</v>
      </c>
      <c r="B33" s="164"/>
      <c r="C33" s="196">
        <v>21540</v>
      </c>
      <c r="D33" s="196">
        <v>42992.310000000005</v>
      </c>
      <c r="E33" s="198">
        <v>-22591</v>
      </c>
      <c r="F33" s="198">
        <v>23653</v>
      </c>
      <c r="G33" s="188">
        <f t="shared" si="5"/>
        <v>44054.310000000005</v>
      </c>
      <c r="H33" s="188">
        <f t="shared" si="6"/>
        <v>805.24984000000006</v>
      </c>
      <c r="I33" s="188">
        <f t="shared" si="7"/>
        <v>44859.559840000002</v>
      </c>
    </row>
    <row r="34" spans="1:11">
      <c r="A34" s="195" t="s">
        <v>217</v>
      </c>
      <c r="B34" s="164"/>
      <c r="C34" s="188"/>
      <c r="D34" s="196">
        <v>548472.01</v>
      </c>
      <c r="E34" s="196"/>
      <c r="F34" s="196"/>
      <c r="G34" s="188">
        <f>SUM(D34:F34)</f>
        <v>548472.01</v>
      </c>
      <c r="H34" s="188"/>
      <c r="I34" s="188">
        <f t="shared" si="7"/>
        <v>548472.01</v>
      </c>
    </row>
    <row r="35" spans="1:11">
      <c r="A35" s="195" t="s">
        <v>218</v>
      </c>
      <c r="B35" s="164"/>
      <c r="C35" s="224"/>
      <c r="D35" s="196">
        <v>2977711.58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1793994.88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3921313.45</v>
      </c>
      <c r="D37" s="178">
        <f t="shared" ref="D37:I37" si="8">SUM(D24:D36)</f>
        <v>50820419.649999999</v>
      </c>
      <c r="E37" s="178">
        <f t="shared" si="8"/>
        <v>-21549725</v>
      </c>
      <c r="F37" s="178">
        <f t="shared" si="8"/>
        <v>24660087</v>
      </c>
      <c r="G37" s="178">
        <f t="shared" si="8"/>
        <v>49159075.189999998</v>
      </c>
      <c r="H37" s="178">
        <f t="shared" si="8"/>
        <v>-247904.71938999998</v>
      </c>
      <c r="I37" s="178">
        <f t="shared" si="8"/>
        <v>48911170.470609993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1857488</v>
      </c>
      <c r="D39" s="180">
        <f t="shared" ref="D39:I39" si="9">D24+D25</f>
        <v>21878644.979999997</v>
      </c>
      <c r="E39" s="180">
        <f t="shared" si="9"/>
        <v>-11250132</v>
      </c>
      <c r="F39" s="180">
        <f t="shared" si="9"/>
        <v>14238350</v>
      </c>
      <c r="G39" s="180">
        <f t="shared" si="9"/>
        <v>24866862.979999997</v>
      </c>
      <c r="H39" s="180">
        <f t="shared" si="9"/>
        <v>-220443.10557000001</v>
      </c>
      <c r="I39" s="181">
        <f t="shared" si="9"/>
        <v>24646419.874430001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1580825.4500000002</v>
      </c>
      <c r="D41" s="190">
        <f t="shared" ref="D41:I41" si="10">SUM(D26:D29,D31:D33)</f>
        <v>17939466.979999997</v>
      </c>
      <c r="E41" s="190">
        <f t="shared" si="10"/>
        <v>-9974268</v>
      </c>
      <c r="F41" s="190">
        <f t="shared" si="10"/>
        <v>10274683</v>
      </c>
      <c r="G41" s="190">
        <f t="shared" si="10"/>
        <v>18239881.979999997</v>
      </c>
      <c r="H41" s="190">
        <f t="shared" si="10"/>
        <v>-34823.259740000001</v>
      </c>
      <c r="I41" s="189">
        <f t="shared" si="10"/>
        <v>18205058.720260002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43040</v>
      </c>
      <c r="D48" s="229">
        <v>43040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/>
      <c r="K48" s="229"/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241"/>
      <c r="K49" s="241"/>
    </row>
    <row r="50" spans="1:13">
      <c r="A50" s="195" t="s">
        <v>148</v>
      </c>
      <c r="B50" s="164"/>
      <c r="C50" s="184">
        <v>-8.0999999999999996E-4</v>
      </c>
      <c r="D50" s="184">
        <v>4.45E-3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/>
      <c r="K50" s="184"/>
    </row>
    <row r="51" spans="1:13">
      <c r="A51" s="195" t="s">
        <v>203</v>
      </c>
      <c r="B51" s="164"/>
      <c r="C51" s="184">
        <v>-8.0999999999999996E-4</v>
      </c>
      <c r="D51" s="184">
        <v>4.45E-3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/>
      <c r="K51" s="184"/>
    </row>
    <row r="52" spans="1:13">
      <c r="A52" s="195" t="s">
        <v>149</v>
      </c>
      <c r="B52" s="164"/>
      <c r="C52" s="184">
        <v>0</v>
      </c>
      <c r="D52" s="184">
        <v>4.0000000000000002E-4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/>
      <c r="K52" s="184"/>
    </row>
    <row r="53" spans="1:13">
      <c r="A53" s="195" t="s">
        <v>150</v>
      </c>
      <c r="B53" s="164"/>
      <c r="C53" s="184">
        <v>-8.0999999999999996E-4</v>
      </c>
      <c r="D53" s="184">
        <v>4.0000000000000002E-4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/>
      <c r="K53" s="184"/>
    </row>
    <row r="54" spans="1:13">
      <c r="A54" s="195" t="s">
        <v>151</v>
      </c>
      <c r="B54" s="164"/>
      <c r="C54" s="184">
        <v>0</v>
      </c>
      <c r="D54" s="184">
        <v>4.0000000000000002E-4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/>
      <c r="K54" s="184"/>
    </row>
    <row r="55" spans="1:13">
      <c r="A55" s="195" t="s">
        <v>152</v>
      </c>
      <c r="B55" s="164"/>
      <c r="C55" s="184">
        <v>-8.0999999999999996E-4</v>
      </c>
      <c r="D55" s="184">
        <v>4.0000000000000002E-4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/>
      <c r="K55" s="184"/>
    </row>
    <row r="56" spans="1:13">
      <c r="A56" s="195" t="s">
        <v>153</v>
      </c>
      <c r="B56" s="164"/>
      <c r="C56" s="184">
        <v>0</v>
      </c>
      <c r="D56" s="184">
        <v>0</v>
      </c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/>
      <c r="K56" s="184"/>
    </row>
    <row r="57" spans="1:13">
      <c r="A57" s="195" t="s">
        <v>204</v>
      </c>
      <c r="B57" s="164"/>
      <c r="C57" s="184">
        <v>0</v>
      </c>
      <c r="D57" s="184">
        <v>0</v>
      </c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/>
      <c r="K57" s="184"/>
    </row>
    <row r="58" spans="1:13">
      <c r="A58" s="195" t="s">
        <v>205</v>
      </c>
      <c r="B58" s="164"/>
      <c r="C58" s="184">
        <v>0</v>
      </c>
      <c r="D58" s="184">
        <v>4.0000000000000002E-4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/>
      <c r="K58" s="184"/>
    </row>
    <row r="59" spans="1:13">
      <c r="A59" s="195" t="s">
        <v>154</v>
      </c>
      <c r="B59" s="164"/>
      <c r="C59" s="184">
        <v>0</v>
      </c>
      <c r="D59" s="184">
        <v>4.0000000000000002E-4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/>
      <c r="K59" s="184"/>
    </row>
    <row r="60" spans="1:13">
      <c r="A60" s="195" t="s">
        <v>155</v>
      </c>
      <c r="B60" s="164"/>
      <c r="C60" s="184">
        <v>-8.0999999999999996E-4</v>
      </c>
      <c r="D60" s="184">
        <v>4.0000000000000002E-4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/>
      <c r="K60" s="184"/>
    </row>
    <row r="61" spans="1:13" ht="14.4" customHeight="1">
      <c r="A61" s="195" t="s">
        <v>217</v>
      </c>
      <c r="B61" s="164"/>
      <c r="C61" s="184">
        <v>0</v>
      </c>
      <c r="D61" s="184">
        <v>0</v>
      </c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/>
      <c r="K61" s="184"/>
    </row>
    <row r="62" spans="1:13">
      <c r="A62" s="195" t="s">
        <v>208</v>
      </c>
      <c r="B62" s="164"/>
      <c r="C62" s="184">
        <v>-8.0999999999999996E-4</v>
      </c>
      <c r="D62" s="184">
        <v>0</v>
      </c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/>
      <c r="K62" s="184"/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40"/>
    </row>
    <row r="65" spans="1:13">
      <c r="A65" s="195" t="s">
        <v>148</v>
      </c>
      <c r="C65" s="180">
        <f>C50*H3</f>
        <v>-23745.678929999998</v>
      </c>
      <c r="D65" s="180">
        <f>D50*H3</f>
        <v>130454.65585</v>
      </c>
      <c r="E65" s="180">
        <f t="shared" ref="E65:E70" si="11">$H3*E50</f>
        <v>0</v>
      </c>
      <c r="F65" s="180">
        <f t="shared" ref="F65:G70" si="12">($H3*F50)</f>
        <v>100845.84632</v>
      </c>
      <c r="G65" s="180">
        <f t="shared" si="12"/>
        <v>30781.435649999999</v>
      </c>
      <c r="H65" s="180">
        <f t="shared" ref="H65:H70" si="13">$H3*H50</f>
        <v>0</v>
      </c>
      <c r="I65" s="180">
        <f t="shared" ref="I65:I70" si="14">(I50*H3)</f>
        <v>-16709.922210000001</v>
      </c>
      <c r="J65" s="180">
        <f>SUM(C65:I65)</f>
        <v>221626.33668000001</v>
      </c>
      <c r="M65" s="180"/>
    </row>
    <row r="66" spans="1:13">
      <c r="A66" s="195" t="s">
        <v>203</v>
      </c>
      <c r="C66" s="180">
        <f t="shared" ref="C66:C75" si="15">C51*H4</f>
        <v>-39.984029999999997</v>
      </c>
      <c r="D66" s="180">
        <f t="shared" ref="D66:D75" si="16">D51*H4</f>
        <v>219.66534999999999</v>
      </c>
      <c r="E66" s="180">
        <f t="shared" si="11"/>
        <v>-1556.4153900000001</v>
      </c>
      <c r="F66" s="180">
        <f t="shared" si="12"/>
        <v>169.80871999999999</v>
      </c>
      <c r="G66" s="180">
        <f t="shared" si="12"/>
        <v>51.831149999999994</v>
      </c>
      <c r="H66" s="180">
        <f t="shared" si="13"/>
        <v>0</v>
      </c>
      <c r="I66" s="180">
        <f t="shared" si="14"/>
        <v>-28.13691</v>
      </c>
      <c r="J66" s="180">
        <f t="shared" ref="J66:J75" si="17">SUM(C66:I66)</f>
        <v>-1183.2311100000002</v>
      </c>
      <c r="M66" s="180"/>
    </row>
    <row r="67" spans="1:13">
      <c r="A67" s="195" t="s">
        <v>149</v>
      </c>
      <c r="C67" s="180">
        <f t="shared" si="15"/>
        <v>0</v>
      </c>
      <c r="D67" s="180">
        <f t="shared" si="16"/>
        <v>1173.69</v>
      </c>
      <c r="E67" s="180">
        <f t="shared" si="11"/>
        <v>0</v>
      </c>
      <c r="F67" s="180">
        <f t="shared" si="12"/>
        <v>13585.461749999999</v>
      </c>
      <c r="G67" s="180">
        <f t="shared" si="12"/>
        <v>4460.0219999999999</v>
      </c>
      <c r="H67" s="180">
        <f t="shared" si="13"/>
        <v>0</v>
      </c>
      <c r="I67" s="180">
        <f t="shared" si="14"/>
        <v>-1672.5082499999999</v>
      </c>
      <c r="J67" s="180">
        <f t="shared" si="17"/>
        <v>17546.665499999999</v>
      </c>
      <c r="M67" s="180"/>
    </row>
    <row r="68" spans="1:13">
      <c r="A68" s="195" t="s">
        <v>150</v>
      </c>
      <c r="C68" s="180">
        <f t="shared" si="15"/>
        <v>-612.46043999999995</v>
      </c>
      <c r="D68" s="180">
        <f t="shared" si="16"/>
        <v>302.44960000000003</v>
      </c>
      <c r="E68" s="180">
        <f t="shared" si="11"/>
        <v>0</v>
      </c>
      <c r="F68" s="180">
        <f t="shared" si="12"/>
        <v>3500.8541199999995</v>
      </c>
      <c r="G68" s="180">
        <f t="shared" si="12"/>
        <v>1149.3084800000001</v>
      </c>
      <c r="H68" s="180">
        <f t="shared" si="13"/>
        <v>0</v>
      </c>
      <c r="I68" s="180">
        <f t="shared" si="14"/>
        <v>-430.99068</v>
      </c>
      <c r="J68" s="180">
        <f t="shared" si="17"/>
        <v>3909.1610799999999</v>
      </c>
      <c r="M68" s="180"/>
    </row>
    <row r="69" spans="1:13">
      <c r="A69" s="195" t="s">
        <v>151</v>
      </c>
      <c r="C69" s="180">
        <f t="shared" si="15"/>
        <v>0</v>
      </c>
      <c r="D69" s="180">
        <f t="shared" si="16"/>
        <v>1260.4112</v>
      </c>
      <c r="E69" s="180">
        <f t="shared" si="11"/>
        <v>0</v>
      </c>
      <c r="F69" s="180">
        <f t="shared" si="12"/>
        <v>11532.762479999999</v>
      </c>
      <c r="G69" s="180">
        <f t="shared" si="12"/>
        <v>3466.1308000000004</v>
      </c>
      <c r="H69" s="180">
        <f t="shared" si="13"/>
        <v>0</v>
      </c>
      <c r="I69" s="180">
        <f t="shared" si="14"/>
        <v>-1859.10652</v>
      </c>
      <c r="J69" s="180">
        <f t="shared" si="17"/>
        <v>14400.197960000001</v>
      </c>
      <c r="M69" s="180"/>
    </row>
    <row r="70" spans="1:13">
      <c r="A70" s="195" t="s">
        <v>152</v>
      </c>
      <c r="C70" s="180">
        <f t="shared" si="15"/>
        <v>-335.37968999999998</v>
      </c>
      <c r="D70" s="180">
        <f t="shared" si="16"/>
        <v>165.61960000000002</v>
      </c>
      <c r="E70" s="180">
        <f t="shared" si="11"/>
        <v>0</v>
      </c>
      <c r="F70" s="180">
        <f t="shared" si="12"/>
        <v>1515.4193399999999</v>
      </c>
      <c r="G70" s="180">
        <f t="shared" si="12"/>
        <v>455.45390000000003</v>
      </c>
      <c r="H70" s="180">
        <f t="shared" si="13"/>
        <v>0</v>
      </c>
      <c r="I70" s="180">
        <f t="shared" si="14"/>
        <v>-244.28891000000002</v>
      </c>
      <c r="J70" s="180">
        <f>SUM(C70:I70)</f>
        <v>1556.8242399999999</v>
      </c>
      <c r="M70" s="180"/>
    </row>
    <row r="71" spans="1:13">
      <c r="A71" s="195" t="s">
        <v>153</v>
      </c>
      <c r="C71" s="180">
        <f t="shared" si="15"/>
        <v>0</v>
      </c>
      <c r="D71" s="180">
        <f t="shared" si="16"/>
        <v>0</v>
      </c>
      <c r="E71" s="180">
        <f>$H9*E56+$H10*E57</f>
        <v>0</v>
      </c>
      <c r="F71" s="180">
        <f>$H9*F56+$H10*F57</f>
        <v>-6999.5977599999997</v>
      </c>
      <c r="G71" s="180">
        <f>($H9*G56)</f>
        <v>-2081.7769199999998</v>
      </c>
      <c r="H71" s="180">
        <f>$H9*H56+$H10*H57</f>
        <v>0</v>
      </c>
      <c r="I71" s="180">
        <f>$H9*I56+$H10*I57</f>
        <v>1719.72876</v>
      </c>
      <c r="J71" s="180">
        <f t="shared" si="17"/>
        <v>-7361.645919999999</v>
      </c>
      <c r="M71" s="180"/>
    </row>
    <row r="72" spans="1:13">
      <c r="A72" s="195" t="s">
        <v>205</v>
      </c>
      <c r="C72" s="180">
        <f t="shared" si="15"/>
        <v>0</v>
      </c>
      <c r="D72" s="180">
        <f t="shared" si="16"/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 t="shared" si="15"/>
        <v>0</v>
      </c>
      <c r="D73" s="180">
        <f t="shared" si="16"/>
        <v>0</v>
      </c>
      <c r="E73" s="180">
        <f>$H12*E59</f>
        <v>0</v>
      </c>
      <c r="F73" s="180">
        <f>($H12*F58)</f>
        <v>-2173.07024</v>
      </c>
      <c r="G73" s="180">
        <f>($H11*G58)</f>
        <v>0</v>
      </c>
      <c r="H73" s="180">
        <f t="shared" si="18"/>
        <v>0</v>
      </c>
      <c r="I73" s="180">
        <f t="shared" si="18"/>
        <v>388.73104000000001</v>
      </c>
      <c r="J73" s="180">
        <f t="shared" si="17"/>
        <v>-1784.3391999999999</v>
      </c>
      <c r="M73" s="180"/>
    </row>
    <row r="74" spans="1:13">
      <c r="A74" s="195" t="s">
        <v>155</v>
      </c>
      <c r="C74" s="180">
        <f t="shared" si="15"/>
        <v>0</v>
      </c>
      <c r="D74" s="180">
        <f t="shared" si="16"/>
        <v>-254.90560000000002</v>
      </c>
      <c r="E74" s="180">
        <f>$H13*E60</f>
        <v>0</v>
      </c>
      <c r="F74" s="180">
        <f>($H13*F59)</f>
        <v>74.811989999999994</v>
      </c>
      <c r="G74" s="180">
        <f>($H12*G59)</f>
        <v>-611.77344000000005</v>
      </c>
      <c r="H74" s="180">
        <f t="shared" si="18"/>
        <v>0</v>
      </c>
      <c r="I74" s="180">
        <f t="shared" si="18"/>
        <v>-13.38279</v>
      </c>
      <c r="J74" s="180">
        <f t="shared" si="17"/>
        <v>-805.24984000000006</v>
      </c>
      <c r="M74" s="180"/>
    </row>
    <row r="75" spans="1:13">
      <c r="A75" s="195" t="s">
        <v>217</v>
      </c>
      <c r="C75" s="180">
        <f t="shared" si="15"/>
        <v>-17.770589999999999</v>
      </c>
      <c r="D75" s="180">
        <f t="shared" si="16"/>
        <v>8.7756000000000007</v>
      </c>
      <c r="E75" s="180">
        <f>($H14+$H15)*E61</f>
        <v>0</v>
      </c>
      <c r="F75" s="180">
        <f>($H14*F60)</f>
        <v>0</v>
      </c>
      <c r="G75" s="180">
        <f>($H13*G60)</f>
        <v>21.061440000000001</v>
      </c>
      <c r="H75" s="180">
        <f>($H14+$H15)*H61</f>
        <v>0</v>
      </c>
      <c r="I75" s="180">
        <f>($H14+$H15)*I61</f>
        <v>0</v>
      </c>
      <c r="J75" s="180">
        <f t="shared" si="17"/>
        <v>12.066450000000003</v>
      </c>
      <c r="M75" s="180"/>
    </row>
    <row r="76" spans="1:13">
      <c r="A76" s="169"/>
      <c r="C76" s="222">
        <f>SUM(C65:C75)</f>
        <v>-24751.273679999998</v>
      </c>
      <c r="D76" s="222">
        <f t="shared" ref="D76:I76" si="19">SUM(D65:D75)</f>
        <v>133330.36159999997</v>
      </c>
      <c r="E76" s="222">
        <f t="shared" si="19"/>
        <v>-1556.4153900000001</v>
      </c>
      <c r="F76" s="222">
        <f t="shared" si="19"/>
        <v>122052.29672</v>
      </c>
      <c r="G76" s="222">
        <f t="shared" si="19"/>
        <v>37691.693060000005</v>
      </c>
      <c r="H76" s="222">
        <f t="shared" si="19"/>
        <v>0</v>
      </c>
      <c r="I76" s="222">
        <f t="shared" si="19"/>
        <v>-18849.876469999999</v>
      </c>
      <c r="J76" s="222">
        <f>SUM(J65:J75)</f>
        <v>247916.78584</v>
      </c>
    </row>
    <row r="77" spans="1:13" ht="15.75" customHeight="1"/>
    <row r="78" spans="1:13">
      <c r="A78" s="164" t="s">
        <v>19</v>
      </c>
      <c r="B78" s="164"/>
      <c r="C78" s="180">
        <f>C65+C66</f>
        <v>-23785.662959999998</v>
      </c>
      <c r="D78" s="180">
        <f t="shared" ref="D78:I78" si="20">D65+D66</f>
        <v>130674.32119999999</v>
      </c>
      <c r="E78" s="180">
        <f t="shared" si="20"/>
        <v>-1556.4153900000001</v>
      </c>
      <c r="F78" s="180">
        <f t="shared" si="20"/>
        <v>101015.65504</v>
      </c>
      <c r="G78" s="180">
        <f t="shared" si="20"/>
        <v>30833.266800000001</v>
      </c>
      <c r="H78" s="180">
        <f t="shared" si="20"/>
        <v>0</v>
      </c>
      <c r="I78" s="180">
        <f t="shared" si="20"/>
        <v>-16738.059120000002</v>
      </c>
      <c r="J78" s="180">
        <f>J65+J66</f>
        <v>220443.10557000001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-947.84012999999993</v>
      </c>
      <c r="D80" s="190">
        <f t="shared" ref="D80:I80" si="21">SUM(D67:D70,D72:D74)</f>
        <v>2647.2647999999999</v>
      </c>
      <c r="E80" s="190">
        <f t="shared" si="21"/>
        <v>0</v>
      </c>
      <c r="F80" s="190">
        <f t="shared" si="21"/>
        <v>28036.239439999994</v>
      </c>
      <c r="G80" s="190">
        <f t="shared" si="21"/>
        <v>8919.1417400000009</v>
      </c>
      <c r="H80" s="190">
        <f t="shared" si="21"/>
        <v>0</v>
      </c>
      <c r="I80" s="190">
        <f t="shared" si="21"/>
        <v>-3831.5461100000002</v>
      </c>
      <c r="J80" s="190">
        <f>SUM(J67:J70,J72:J74)</f>
        <v>34823.259740000001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253</v>
      </c>
      <c r="B86" s="231">
        <v>1</v>
      </c>
      <c r="C86" s="232">
        <v>911433.6</v>
      </c>
      <c r="D86" s="233">
        <f>77125.55-C86*SUM($C$54:$K$54)</f>
        <v>72960.298448000001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911433.6</v>
      </c>
      <c r="D87" s="238">
        <f>SUM(D86:D86)</f>
        <v>72960.298448000001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254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3" fitToHeight="2" orientation="landscape" r:id="rId1"/>
  <headerFooter>
    <oddFooter>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M89"/>
  <sheetViews>
    <sheetView zoomScaleNormal="100" workbookViewId="0">
      <selection activeCell="I21" sqref="I2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5.6640625" style="1" bestFit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2.66406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254" t="s">
        <v>197</v>
      </c>
      <c r="B1" s="254"/>
      <c r="C1" s="254"/>
      <c r="D1" s="254"/>
      <c r="E1" s="254"/>
      <c r="F1" s="254"/>
      <c r="G1" s="254"/>
      <c r="H1" s="254"/>
      <c r="I1" s="254"/>
    </row>
    <row r="2" spans="1:9" ht="26.4" customHeight="1">
      <c r="A2" s="165"/>
      <c r="B2" s="166"/>
      <c r="C2" s="167" t="s">
        <v>198</v>
      </c>
      <c r="D2" s="166"/>
      <c r="E2" s="167" t="s">
        <v>199</v>
      </c>
      <c r="F2" s="168" t="s">
        <v>200</v>
      </c>
      <c r="G2" s="168" t="s">
        <v>201</v>
      </c>
      <c r="H2" s="168" t="s">
        <v>106</v>
      </c>
      <c r="I2" s="168" t="s">
        <v>202</v>
      </c>
    </row>
    <row r="3" spans="1:9">
      <c r="A3" s="195" t="s">
        <v>148</v>
      </c>
      <c r="B3" s="164"/>
      <c r="C3" s="170">
        <v>213407</v>
      </c>
      <c r="D3" s="224"/>
      <c r="E3" s="197">
        <v>193013064.54899999</v>
      </c>
      <c r="F3" s="197">
        <v>-98182541</v>
      </c>
      <c r="G3" s="197">
        <v>119213068</v>
      </c>
      <c r="H3" s="218">
        <f>SUM(F3:G3)</f>
        <v>21030527</v>
      </c>
      <c r="I3" s="171">
        <f>E3+H3</f>
        <v>214043591.54899999</v>
      </c>
    </row>
    <row r="4" spans="1:9">
      <c r="A4" s="195" t="s">
        <v>203</v>
      </c>
      <c r="B4" s="164"/>
      <c r="C4" s="170">
        <v>449</v>
      </c>
      <c r="D4" s="224"/>
      <c r="E4" s="197">
        <v>489238</v>
      </c>
      <c r="F4" s="197">
        <v>-210951</v>
      </c>
      <c r="G4" s="197">
        <v>302230</v>
      </c>
      <c r="H4" s="218">
        <f t="shared" ref="H4:H16" si="0">SUM(F4:G4)</f>
        <v>91279</v>
      </c>
      <c r="I4" s="171">
        <f t="shared" ref="I4:I16" si="1">E4+H4</f>
        <v>580517</v>
      </c>
    </row>
    <row r="5" spans="1:9">
      <c r="A5" s="195" t="s">
        <v>149</v>
      </c>
      <c r="B5" s="164"/>
      <c r="C5" s="170">
        <v>22341</v>
      </c>
      <c r="D5" s="224"/>
      <c r="E5" s="197">
        <v>45161872.186999999</v>
      </c>
      <c r="F5" s="197">
        <v>-26218176</v>
      </c>
      <c r="G5" s="197">
        <v>27771607</v>
      </c>
      <c r="H5" s="218">
        <f t="shared" si="0"/>
        <v>1553431</v>
      </c>
      <c r="I5" s="171">
        <f t="shared" si="1"/>
        <v>46715303.186999999</v>
      </c>
    </row>
    <row r="6" spans="1:9">
      <c r="A6" s="195" t="s">
        <v>150</v>
      </c>
      <c r="B6" s="164"/>
      <c r="C6" s="170">
        <v>9275</v>
      </c>
      <c r="D6" s="224"/>
      <c r="E6" s="197">
        <v>4782538.1710000001</v>
      </c>
      <c r="F6" s="197">
        <v>-2561546</v>
      </c>
      <c r="G6" s="197">
        <v>2955141</v>
      </c>
      <c r="H6" s="218">
        <f t="shared" si="0"/>
        <v>393595</v>
      </c>
      <c r="I6" s="171">
        <f t="shared" si="1"/>
        <v>5176133.1710000001</v>
      </c>
    </row>
    <row r="7" spans="1:9">
      <c r="A7" s="195" t="s">
        <v>151</v>
      </c>
      <c r="B7" s="164"/>
      <c r="C7" s="170">
        <v>1849</v>
      </c>
      <c r="D7" s="224"/>
      <c r="E7" s="197">
        <v>112461357.251</v>
      </c>
      <c r="F7" s="197">
        <v>-65997476</v>
      </c>
      <c r="G7" s="197">
        <v>69042836</v>
      </c>
      <c r="H7" s="218">
        <f t="shared" si="0"/>
        <v>3045360</v>
      </c>
      <c r="I7" s="171">
        <f t="shared" si="1"/>
        <v>115506717.251</v>
      </c>
    </row>
    <row r="8" spans="1:9">
      <c r="A8" s="195" t="s">
        <v>152</v>
      </c>
      <c r="B8" s="164"/>
      <c r="C8" s="170">
        <v>47</v>
      </c>
      <c r="D8" s="224"/>
      <c r="E8" s="197">
        <v>2554874.4</v>
      </c>
      <c r="F8" s="197">
        <v>-1476656</v>
      </c>
      <c r="G8" s="197">
        <v>1578314</v>
      </c>
      <c r="H8" s="218">
        <f t="shared" si="0"/>
        <v>101658</v>
      </c>
      <c r="I8" s="171">
        <f t="shared" si="1"/>
        <v>2656532.4</v>
      </c>
    </row>
    <row r="9" spans="1:9">
      <c r="A9" s="195" t="s">
        <v>153</v>
      </c>
      <c r="B9" s="164"/>
      <c r="C9" s="170">
        <v>26</v>
      </c>
      <c r="D9" s="224"/>
      <c r="E9" s="197">
        <f>137011065.2-E10</f>
        <v>65546779.199999988</v>
      </c>
      <c r="F9" s="197">
        <v>-18677097</v>
      </c>
      <c r="G9" s="197">
        <v>5153310</v>
      </c>
      <c r="H9" s="218">
        <f t="shared" si="0"/>
        <v>-13523787</v>
      </c>
      <c r="I9" s="171">
        <f t="shared" si="1"/>
        <v>52022992.199999988</v>
      </c>
    </row>
    <row r="10" spans="1:9">
      <c r="A10" s="195" t="s">
        <v>204</v>
      </c>
      <c r="B10" s="164"/>
      <c r="C10" s="170"/>
      <c r="D10" s="224"/>
      <c r="E10" s="197">
        <v>71464286</v>
      </c>
      <c r="F10" s="197">
        <v>-30000000</v>
      </c>
      <c r="G10" s="197">
        <v>0</v>
      </c>
      <c r="H10" s="218">
        <f t="shared" si="0"/>
        <v>-30000000</v>
      </c>
      <c r="I10" s="171">
        <f t="shared" si="1"/>
        <v>41464286</v>
      </c>
    </row>
    <row r="11" spans="1:9">
      <c r="A11" s="195" t="s">
        <v>205</v>
      </c>
      <c r="B11" s="164"/>
      <c r="C11" s="170">
        <v>49</v>
      </c>
      <c r="D11" s="224"/>
      <c r="E11" s="197">
        <v>286060</v>
      </c>
      <c r="F11" s="197">
        <v>0</v>
      </c>
      <c r="G11" s="197">
        <v>0</v>
      </c>
      <c r="H11" s="218">
        <f t="shared" si="0"/>
        <v>0</v>
      </c>
      <c r="I11" s="171">
        <f t="shared" si="1"/>
        <v>286060</v>
      </c>
    </row>
    <row r="12" spans="1:9">
      <c r="A12" s="195" t="s">
        <v>154</v>
      </c>
      <c r="B12" s="164"/>
      <c r="C12" s="170">
        <v>1183</v>
      </c>
      <c r="D12" s="224"/>
      <c r="E12" s="197">
        <v>4323275.59</v>
      </c>
      <c r="F12" s="197">
        <v>-4158745</v>
      </c>
      <c r="G12" s="197">
        <v>2317099</v>
      </c>
      <c r="H12" s="218">
        <f t="shared" si="0"/>
        <v>-1841646</v>
      </c>
      <c r="I12" s="171">
        <f t="shared" si="1"/>
        <v>2481629.59</v>
      </c>
    </row>
    <row r="13" spans="1:9">
      <c r="A13" s="195" t="s">
        <v>155</v>
      </c>
      <c r="B13" s="164"/>
      <c r="C13" s="170">
        <v>1203</v>
      </c>
      <c r="D13" s="224"/>
      <c r="E13" s="197">
        <v>271210.15333</v>
      </c>
      <c r="F13" s="197">
        <v>-241087</v>
      </c>
      <c r="G13" s="197">
        <v>134325</v>
      </c>
      <c r="H13" s="218">
        <f t="shared" si="0"/>
        <v>-106762</v>
      </c>
      <c r="I13" s="171">
        <f t="shared" si="1"/>
        <v>164448.15333</v>
      </c>
    </row>
    <row r="14" spans="1:9">
      <c r="A14" s="195" t="s">
        <v>206</v>
      </c>
      <c r="B14" s="164"/>
      <c r="C14" s="170">
        <v>362</v>
      </c>
      <c r="D14" s="224"/>
      <c r="E14" s="197">
        <v>894342</v>
      </c>
      <c r="F14" s="197"/>
      <c r="G14" s="197"/>
      <c r="H14" s="218"/>
      <c r="I14" s="171">
        <f t="shared" si="1"/>
        <v>894342</v>
      </c>
    </row>
    <row r="15" spans="1:9">
      <c r="A15" s="195" t="s">
        <v>207</v>
      </c>
      <c r="B15" s="164"/>
      <c r="C15" s="170"/>
      <c r="D15" s="224"/>
      <c r="E15" s="197">
        <v>411076.93066000001</v>
      </c>
      <c r="F15" s="197"/>
      <c r="G15" s="197"/>
      <c r="H15" s="218">
        <f t="shared" si="0"/>
        <v>0</v>
      </c>
      <c r="I15" s="171">
        <f t="shared" si="1"/>
        <v>411076.93066000001</v>
      </c>
    </row>
    <row r="16" spans="1:9">
      <c r="A16" s="195" t="s">
        <v>208</v>
      </c>
      <c r="B16" s="164"/>
      <c r="C16" s="170"/>
      <c r="D16" s="225"/>
      <c r="E16" s="197">
        <v>214583.91571</v>
      </c>
      <c r="F16" s="197"/>
      <c r="G16" s="197"/>
      <c r="H16" s="218">
        <f t="shared" si="0"/>
        <v>0</v>
      </c>
      <c r="I16" s="171">
        <f t="shared" si="1"/>
        <v>214583.91571</v>
      </c>
    </row>
    <row r="17" spans="1:9">
      <c r="A17" s="164"/>
      <c r="B17" s="164"/>
      <c r="C17" s="172">
        <f>SUM(C3:C16)</f>
        <v>250191</v>
      </c>
      <c r="E17" s="172">
        <f t="shared" ref="E17:I17" si="2">SUM(E3:E16)</f>
        <v>501874558.34769994</v>
      </c>
      <c r="F17" s="172">
        <f t="shared" si="2"/>
        <v>-247724275</v>
      </c>
      <c r="G17" s="172">
        <f t="shared" si="2"/>
        <v>228467930</v>
      </c>
      <c r="H17" s="172">
        <f t="shared" si="2"/>
        <v>-19256345</v>
      </c>
      <c r="I17" s="172">
        <f t="shared" si="2"/>
        <v>482618213.34769994</v>
      </c>
    </row>
    <row r="18" spans="1:9" ht="14.4" thickBot="1">
      <c r="A18" s="164"/>
      <c r="B18" s="164"/>
      <c r="C18" s="164"/>
      <c r="E18" s="164"/>
      <c r="F18" s="164"/>
      <c r="G18" s="164"/>
      <c r="I18" s="164"/>
    </row>
    <row r="19" spans="1:9">
      <c r="A19" s="164" t="s">
        <v>19</v>
      </c>
      <c r="B19" s="164"/>
      <c r="C19" s="173">
        <f>C3+C4</f>
        <v>213856</v>
      </c>
      <c r="E19" s="174">
        <f>E3+E4</f>
        <v>193502302.54899999</v>
      </c>
      <c r="F19" s="174">
        <f t="shared" ref="F19:H19" si="3">F3+F4</f>
        <v>-98393492</v>
      </c>
      <c r="G19" s="174">
        <f t="shared" si="3"/>
        <v>119515298</v>
      </c>
      <c r="H19" s="174">
        <f t="shared" si="3"/>
        <v>21121806</v>
      </c>
      <c r="I19" s="173">
        <f>I3+I4</f>
        <v>214624108.54899999</v>
      </c>
    </row>
    <row r="20" spans="1:9" ht="7.2" customHeight="1">
      <c r="A20" s="164"/>
      <c r="B20" s="164"/>
      <c r="C20" s="175"/>
      <c r="E20" s="164"/>
      <c r="F20" s="164"/>
      <c r="G20" s="164"/>
      <c r="H20" s="164"/>
      <c r="I20" s="175"/>
    </row>
    <row r="21" spans="1:9" ht="14.4" thickBot="1">
      <c r="A21" s="164" t="s">
        <v>209</v>
      </c>
      <c r="B21" s="164"/>
      <c r="C21" s="191">
        <f>SUM(C5:C8,C11:C13)</f>
        <v>35947</v>
      </c>
      <c r="E21" s="192">
        <f>SUM(E5:E8,E11:E13)</f>
        <v>169841187.75233001</v>
      </c>
      <c r="F21" s="192">
        <f t="shared" ref="F21:H21" si="4">SUM(F5:F8,F11:F13)</f>
        <v>-100653686</v>
      </c>
      <c r="G21" s="192">
        <f t="shared" si="4"/>
        <v>103799322</v>
      </c>
      <c r="H21" s="192">
        <f t="shared" si="4"/>
        <v>3145636</v>
      </c>
      <c r="I21" s="191">
        <f>SUM(I5:I8,I11:I13)</f>
        <v>172986823.75233001</v>
      </c>
    </row>
    <row r="22" spans="1:9">
      <c r="A22" s="164"/>
      <c r="B22" s="164"/>
      <c r="C22" s="164"/>
      <c r="D22" s="164"/>
      <c r="E22" s="164"/>
    </row>
    <row r="23" spans="1:9" ht="43.2" customHeight="1">
      <c r="A23" s="165"/>
      <c r="B23" s="176"/>
      <c r="C23" s="186" t="s">
        <v>210</v>
      </c>
      <c r="D23" s="186" t="s">
        <v>211</v>
      </c>
      <c r="E23" s="168" t="s">
        <v>212</v>
      </c>
      <c r="F23" s="168" t="s">
        <v>213</v>
      </c>
      <c r="G23" s="168" t="s">
        <v>214</v>
      </c>
      <c r="H23" s="168" t="s">
        <v>215</v>
      </c>
      <c r="I23" s="168" t="s">
        <v>216</v>
      </c>
    </row>
    <row r="24" spans="1:9">
      <c r="A24" s="195" t="s">
        <v>148</v>
      </c>
      <c r="B24" s="164"/>
      <c r="C24" s="196">
        <v>1852328.5</v>
      </c>
      <c r="D24" s="196">
        <v>17082323.949999999</v>
      </c>
      <c r="E24" s="198">
        <v>-9105299</v>
      </c>
      <c r="F24" s="198">
        <v>11231614</v>
      </c>
      <c r="G24" s="188">
        <f>SUM(D24:F24)</f>
        <v>19208638.949999999</v>
      </c>
      <c r="H24" s="188">
        <f>-J65</f>
        <v>-308228.24644000002</v>
      </c>
      <c r="I24" s="188">
        <f>SUM(G24:H24)</f>
        <v>18900410.703559998</v>
      </c>
    </row>
    <row r="25" spans="1:9">
      <c r="A25" s="195" t="s">
        <v>203</v>
      </c>
      <c r="B25" s="164"/>
      <c r="C25" s="196">
        <v>3825</v>
      </c>
      <c r="D25" s="196">
        <v>43088.380000000005</v>
      </c>
      <c r="E25" s="198">
        <v>-12822</v>
      </c>
      <c r="F25" s="198">
        <v>18518</v>
      </c>
      <c r="G25" s="188">
        <f t="shared" ref="G25:G33" si="5">SUM(D25:F25)</f>
        <v>48784.380000000005</v>
      </c>
      <c r="H25" s="188">
        <f t="shared" ref="H25:H33" si="6">-J66</f>
        <v>1867.3121100000001</v>
      </c>
      <c r="I25" s="188">
        <f t="shared" ref="I25:I34" si="7">SUM(G25:H25)</f>
        <v>50651.692110000004</v>
      </c>
    </row>
    <row r="26" spans="1:9">
      <c r="A26" s="195" t="s">
        <v>149</v>
      </c>
      <c r="B26" s="164"/>
      <c r="C26" s="196">
        <v>409868.41</v>
      </c>
      <c r="D26" s="196">
        <v>5292422.41</v>
      </c>
      <c r="E26" s="198">
        <v>-3051722</v>
      </c>
      <c r="F26" s="198">
        <v>3270448</v>
      </c>
      <c r="G26" s="188">
        <f t="shared" si="5"/>
        <v>5511148.4100000001</v>
      </c>
      <c r="H26" s="188">
        <f t="shared" si="6"/>
        <v>-57268.779459999998</v>
      </c>
      <c r="I26" s="188">
        <f t="shared" si="7"/>
        <v>5453879.6305400003</v>
      </c>
    </row>
    <row r="27" spans="1:9">
      <c r="A27" s="195" t="s">
        <v>150</v>
      </c>
      <c r="B27" s="164"/>
      <c r="C27" s="196">
        <v>168953.98</v>
      </c>
      <c r="D27" s="196">
        <v>696500.5</v>
      </c>
      <c r="E27" s="198">
        <v>-377791</v>
      </c>
      <c r="F27" s="198">
        <v>427061</v>
      </c>
      <c r="G27" s="188">
        <f t="shared" si="5"/>
        <v>745770.5</v>
      </c>
      <c r="H27" s="188">
        <f t="shared" si="6"/>
        <v>-5954.0515299999997</v>
      </c>
      <c r="I27" s="188">
        <f t="shared" si="7"/>
        <v>739816.44846999994</v>
      </c>
    </row>
    <row r="28" spans="1:9">
      <c r="A28" s="195" t="s">
        <v>151</v>
      </c>
      <c r="B28" s="164"/>
      <c r="C28" s="196">
        <v>927369.35</v>
      </c>
      <c r="D28" s="196">
        <v>10075119.120000001</v>
      </c>
      <c r="E28" s="198">
        <v>-5302427</v>
      </c>
      <c r="F28" s="198">
        <v>5903731</v>
      </c>
      <c r="G28" s="188">
        <f t="shared" si="5"/>
        <v>10676423.120000001</v>
      </c>
      <c r="H28" s="188">
        <f t="shared" si="6"/>
        <v>-134692.67628000001</v>
      </c>
      <c r="I28" s="188">
        <f t="shared" si="7"/>
        <v>10541730.443720002</v>
      </c>
    </row>
    <row r="29" spans="1:9">
      <c r="A29" s="195" t="s">
        <v>152</v>
      </c>
      <c r="B29" s="164"/>
      <c r="C29" s="196">
        <v>23500</v>
      </c>
      <c r="D29" s="196">
        <v>227058.44</v>
      </c>
      <c r="E29" s="198">
        <v>-121009</v>
      </c>
      <c r="F29" s="198">
        <v>138917</v>
      </c>
      <c r="G29" s="188">
        <f t="shared" si="5"/>
        <v>244966.44</v>
      </c>
      <c r="H29" s="188">
        <f t="shared" si="6"/>
        <v>-2641.5177600000002</v>
      </c>
      <c r="I29" s="188">
        <f t="shared" si="7"/>
        <v>242324.92224000001</v>
      </c>
    </row>
    <row r="30" spans="1:9">
      <c r="A30" s="195" t="s">
        <v>153</v>
      </c>
      <c r="B30" s="164"/>
      <c r="C30" s="196">
        <v>546000</v>
      </c>
      <c r="D30" s="196">
        <f>7879940.73-176905.4</f>
        <v>7703035.3300000001</v>
      </c>
      <c r="E30" s="198">
        <v>-2635112</v>
      </c>
      <c r="F30" s="198">
        <v>325325</v>
      </c>
      <c r="G30" s="188">
        <f t="shared" si="5"/>
        <v>5393248.3300000001</v>
      </c>
      <c r="H30" s="188">
        <f t="shared" si="6"/>
        <v>85498.040280000001</v>
      </c>
      <c r="I30" s="188">
        <f t="shared" si="7"/>
        <v>5478746.3702800004</v>
      </c>
    </row>
    <row r="31" spans="1:9">
      <c r="A31" s="195" t="s">
        <v>205</v>
      </c>
      <c r="B31" s="164"/>
      <c r="C31" s="196">
        <v>882</v>
      </c>
      <c r="D31" s="196">
        <v>20518.580000000002</v>
      </c>
      <c r="E31" s="198">
        <v>0</v>
      </c>
      <c r="F31" s="198">
        <v>0</v>
      </c>
      <c r="G31" s="188">
        <f t="shared" si="5"/>
        <v>20518.580000000002</v>
      </c>
      <c r="H31" s="188">
        <f t="shared" si="6"/>
        <v>0</v>
      </c>
      <c r="I31" s="188">
        <f t="shared" si="7"/>
        <v>20518.580000000002</v>
      </c>
    </row>
    <row r="32" spans="1:9">
      <c r="A32" s="195" t="s">
        <v>154</v>
      </c>
      <c r="B32" s="164"/>
      <c r="C32" s="196">
        <v>24915</v>
      </c>
      <c r="D32" s="196">
        <v>386291.79</v>
      </c>
      <c r="E32" s="198">
        <v>-351675</v>
      </c>
      <c r="F32" s="198">
        <v>211520</v>
      </c>
      <c r="G32" s="188">
        <f t="shared" si="5"/>
        <v>246136.78999999998</v>
      </c>
      <c r="H32" s="188">
        <f t="shared" si="6"/>
        <v>-1717.2361500000006</v>
      </c>
      <c r="I32" s="188">
        <f t="shared" si="7"/>
        <v>244419.55384999997</v>
      </c>
    </row>
    <row r="33" spans="1:11">
      <c r="A33" s="195" t="s">
        <v>155</v>
      </c>
      <c r="B33" s="164"/>
      <c r="C33" s="196">
        <v>22542.12</v>
      </c>
      <c r="D33" s="196">
        <v>46366.22</v>
      </c>
      <c r="E33" s="198">
        <v>-30523</v>
      </c>
      <c r="F33" s="198">
        <v>22591</v>
      </c>
      <c r="G33" s="188">
        <f t="shared" si="5"/>
        <v>38434.22</v>
      </c>
      <c r="H33" s="188">
        <f t="shared" si="6"/>
        <v>1654.2782299999999</v>
      </c>
      <c r="I33" s="188">
        <f t="shared" si="7"/>
        <v>40088.498229999997</v>
      </c>
    </row>
    <row r="34" spans="1:11">
      <c r="A34" s="195" t="s">
        <v>217</v>
      </c>
      <c r="B34" s="164"/>
      <c r="C34" s="188"/>
      <c r="D34" s="196">
        <v>530772.54</v>
      </c>
      <c r="E34" s="196"/>
      <c r="F34" s="196"/>
      <c r="G34" s="188">
        <f>SUM(D34:F34)</f>
        <v>530772.54</v>
      </c>
      <c r="H34" s="188"/>
      <c r="I34" s="188">
        <f t="shared" si="7"/>
        <v>530772.54</v>
      </c>
    </row>
    <row r="35" spans="1:11">
      <c r="A35" s="195" t="s">
        <v>218</v>
      </c>
      <c r="B35" s="164"/>
      <c r="C35" s="224"/>
      <c r="D35" s="196">
        <v>2233160.7000000002</v>
      </c>
      <c r="E35" s="196"/>
      <c r="F35" s="196"/>
      <c r="G35" s="188"/>
      <c r="H35" s="188"/>
      <c r="I35" s="188"/>
    </row>
    <row r="36" spans="1:11">
      <c r="A36" s="195" t="s">
        <v>219</v>
      </c>
      <c r="B36" s="164"/>
      <c r="C36" s="224"/>
      <c r="D36" s="196">
        <v>1576979.76</v>
      </c>
      <c r="E36" s="196"/>
      <c r="F36" s="196"/>
      <c r="G36" s="188"/>
      <c r="H36" s="188"/>
      <c r="I36" s="188"/>
    </row>
    <row r="37" spans="1:11">
      <c r="A37" s="164"/>
      <c r="B37" s="164"/>
      <c r="C37" s="178">
        <f>SUM(C24:C36)</f>
        <v>3980184.3600000003</v>
      </c>
      <c r="D37" s="178">
        <f t="shared" ref="D37:I37" si="8">SUM(D24:D36)</f>
        <v>45913637.719999999</v>
      </c>
      <c r="E37" s="178">
        <f t="shared" si="8"/>
        <v>-20988380</v>
      </c>
      <c r="F37" s="178">
        <f t="shared" si="8"/>
        <v>21549725</v>
      </c>
      <c r="G37" s="178">
        <f t="shared" si="8"/>
        <v>42664842.25999999</v>
      </c>
      <c r="H37" s="178">
        <f t="shared" si="8"/>
        <v>-421482.87700000004</v>
      </c>
      <c r="I37" s="178">
        <f t="shared" si="8"/>
        <v>42243359.382999994</v>
      </c>
    </row>
    <row r="38" spans="1:11" ht="14.4" thickBot="1">
      <c r="A38" s="164"/>
      <c r="B38" s="164"/>
      <c r="D38" s="179"/>
      <c r="E38" s="164"/>
      <c r="F38" s="164"/>
    </row>
    <row r="39" spans="1:11">
      <c r="A39" s="164" t="s">
        <v>19</v>
      </c>
      <c r="B39" s="164"/>
      <c r="C39" s="181">
        <f>C24+C25</f>
        <v>1856153.5</v>
      </c>
      <c r="D39" s="180">
        <f t="shared" ref="D39:I39" si="9">D24+D25</f>
        <v>17125412.329999998</v>
      </c>
      <c r="E39" s="180">
        <f t="shared" si="9"/>
        <v>-9118121</v>
      </c>
      <c r="F39" s="180">
        <f t="shared" si="9"/>
        <v>11250132</v>
      </c>
      <c r="G39" s="180">
        <f t="shared" si="9"/>
        <v>19257423.329999998</v>
      </c>
      <c r="H39" s="180">
        <f t="shared" si="9"/>
        <v>-306360.93433000002</v>
      </c>
      <c r="I39" s="181">
        <f t="shared" si="9"/>
        <v>18951062.395669997</v>
      </c>
    </row>
    <row r="40" spans="1:11" ht="6" customHeight="1">
      <c r="A40" s="164"/>
      <c r="B40" s="164"/>
      <c r="C40" s="187"/>
      <c r="D40" s="180"/>
      <c r="E40" s="164"/>
      <c r="F40" s="164"/>
      <c r="I40" s="219"/>
    </row>
    <row r="41" spans="1:11" ht="14.4" thickBot="1">
      <c r="A41" s="164" t="s">
        <v>209</v>
      </c>
      <c r="B41" s="164"/>
      <c r="C41" s="189">
        <f>SUM(C26:C29,C31:C33)</f>
        <v>1578030.86</v>
      </c>
      <c r="D41" s="190">
        <f t="shared" ref="D41:I41" si="10">SUM(D26:D29,D31:D33)</f>
        <v>16744277.060000001</v>
      </c>
      <c r="E41" s="190">
        <f t="shared" si="10"/>
        <v>-9235147</v>
      </c>
      <c r="F41" s="190">
        <f t="shared" si="10"/>
        <v>9974268</v>
      </c>
      <c r="G41" s="190">
        <f t="shared" si="10"/>
        <v>17483398.059999999</v>
      </c>
      <c r="H41" s="190">
        <f t="shared" si="10"/>
        <v>-200619.98295000001</v>
      </c>
      <c r="I41" s="189">
        <f t="shared" si="10"/>
        <v>17282778.077049997</v>
      </c>
    </row>
    <row r="42" spans="1:11">
      <c r="A42" s="164"/>
      <c r="B42" s="164"/>
      <c r="C42" s="205"/>
      <c r="D42" s="190"/>
      <c r="E42" s="190"/>
      <c r="F42" s="190"/>
      <c r="G42" s="190"/>
      <c r="H42" s="190"/>
      <c r="I42" s="205"/>
    </row>
    <row r="43" spans="1:11">
      <c r="A43" s="164"/>
      <c r="B43" s="164"/>
      <c r="C43" s="205"/>
      <c r="D43" s="190"/>
      <c r="E43" s="190"/>
      <c r="F43" s="190"/>
      <c r="G43" s="190"/>
      <c r="H43" s="190"/>
      <c r="I43" s="205"/>
    </row>
    <row r="44" spans="1:11">
      <c r="A44" s="164"/>
      <c r="B44" s="164"/>
      <c r="C44" s="205"/>
      <c r="D44" s="190"/>
      <c r="E44" s="190"/>
      <c r="F44" s="190"/>
      <c r="G44" s="190"/>
      <c r="H44" s="190"/>
      <c r="I44" s="205"/>
    </row>
    <row r="45" spans="1:11">
      <c r="A45" s="164"/>
      <c r="B45" s="164"/>
      <c r="C45" s="205"/>
      <c r="D45" s="190"/>
      <c r="E45" s="190"/>
      <c r="F45" s="190"/>
      <c r="G45" s="190"/>
      <c r="H45" s="190"/>
      <c r="I45" s="205"/>
    </row>
    <row r="46" spans="1:11">
      <c r="A46" s="164"/>
      <c r="B46" s="164"/>
      <c r="C46" s="205"/>
      <c r="D46" s="190"/>
      <c r="E46" s="190"/>
      <c r="F46" s="190"/>
      <c r="G46" s="190"/>
      <c r="H46" s="190"/>
      <c r="I46" s="205"/>
    </row>
    <row r="47" spans="1:11">
      <c r="A47" s="164"/>
      <c r="B47" s="164"/>
      <c r="C47" s="205"/>
      <c r="D47" s="190"/>
      <c r="E47" s="190"/>
      <c r="F47" s="190"/>
      <c r="G47" s="190"/>
      <c r="H47" s="190"/>
      <c r="I47" s="205"/>
    </row>
    <row r="48" spans="1:11">
      <c r="C48" s="220">
        <v>42675</v>
      </c>
      <c r="D48" s="221">
        <v>42675</v>
      </c>
      <c r="E48" s="221">
        <v>42278</v>
      </c>
      <c r="F48" s="220">
        <v>42583</v>
      </c>
      <c r="G48" s="220">
        <v>43009</v>
      </c>
      <c r="H48" s="220">
        <v>42380</v>
      </c>
      <c r="I48" s="220">
        <v>42917</v>
      </c>
      <c r="J48" s="220">
        <v>43040</v>
      </c>
      <c r="K48" s="229">
        <v>43040</v>
      </c>
    </row>
    <row r="49" spans="1:13" ht="42" customHeight="1">
      <c r="A49" s="193" t="s">
        <v>220</v>
      </c>
      <c r="B49" s="166"/>
      <c r="C49" s="177" t="s">
        <v>221</v>
      </c>
      <c r="D49" s="177" t="s">
        <v>239</v>
      </c>
      <c r="E49" s="177" t="s">
        <v>222</v>
      </c>
      <c r="F49" s="177" t="s">
        <v>223</v>
      </c>
      <c r="G49" s="177" t="s">
        <v>224</v>
      </c>
      <c r="H49" s="177" t="s">
        <v>225</v>
      </c>
      <c r="I49" s="177" t="s">
        <v>226</v>
      </c>
      <c r="J49" s="177" t="s">
        <v>221</v>
      </c>
      <c r="K49" s="177" t="s">
        <v>239</v>
      </c>
    </row>
    <row r="50" spans="1:13">
      <c r="A50" s="195" t="s">
        <v>148</v>
      </c>
      <c r="B50" s="164"/>
      <c r="C50" s="184">
        <v>-5.1000000000000004E-4</v>
      </c>
      <c r="D50" s="184">
        <v>2.63E-3</v>
      </c>
      <c r="E50" s="184"/>
      <c r="F50" s="184">
        <v>3.4399999999999999E-3</v>
      </c>
      <c r="G50" s="184">
        <v>1.0499999999999999E-3</v>
      </c>
      <c r="H50" s="184">
        <v>0</v>
      </c>
      <c r="I50" s="184">
        <v>-5.6999999999999998E-4</v>
      </c>
      <c r="J50" s="184">
        <v>-8.0999999999999996E-4</v>
      </c>
      <c r="K50" s="184">
        <v>4.45E-3</v>
      </c>
    </row>
    <row r="51" spans="1:13">
      <c r="A51" s="195" t="s">
        <v>203</v>
      </c>
      <c r="B51" s="164"/>
      <c r="C51" s="184">
        <v>-5.1000000000000004E-4</v>
      </c>
      <c r="D51" s="184">
        <v>2.63E-3</v>
      </c>
      <c r="E51" s="184">
        <v>-3.1530000000000002E-2</v>
      </c>
      <c r="F51" s="184">
        <v>3.4399999999999999E-3</v>
      </c>
      <c r="G51" s="184">
        <v>1.0499999999999999E-3</v>
      </c>
      <c r="H51" s="184">
        <v>0</v>
      </c>
      <c r="I51" s="184">
        <v>-5.6999999999999998E-4</v>
      </c>
      <c r="J51" s="184">
        <v>-8.0999999999999996E-4</v>
      </c>
      <c r="K51" s="184">
        <v>4.45E-3</v>
      </c>
    </row>
    <row r="52" spans="1:13">
      <c r="A52" s="195" t="s">
        <v>149</v>
      </c>
      <c r="B52" s="164"/>
      <c r="C52" s="184">
        <v>0</v>
      </c>
      <c r="D52" s="184">
        <v>-1.4300000000000001E-3</v>
      </c>
      <c r="E52" s="184"/>
      <c r="F52" s="184">
        <v>4.6299999999999996E-3</v>
      </c>
      <c r="G52" s="184">
        <v>1.5200000000000001E-3</v>
      </c>
      <c r="H52" s="184">
        <v>0</v>
      </c>
      <c r="I52" s="184">
        <v>-5.6999999999999998E-4</v>
      </c>
      <c r="J52" s="184">
        <v>0</v>
      </c>
      <c r="K52" s="184">
        <v>4.0000000000000002E-4</v>
      </c>
    </row>
    <row r="53" spans="1:13">
      <c r="A53" s="195" t="s">
        <v>150</v>
      </c>
      <c r="B53" s="164"/>
      <c r="C53" s="184">
        <v>-5.1000000000000004E-4</v>
      </c>
      <c r="D53" s="184">
        <v>-1.4300000000000001E-3</v>
      </c>
      <c r="E53" s="184"/>
      <c r="F53" s="184">
        <v>4.6299999999999996E-3</v>
      </c>
      <c r="G53" s="184">
        <v>1.5200000000000001E-3</v>
      </c>
      <c r="H53" s="184">
        <v>0</v>
      </c>
      <c r="I53" s="184">
        <v>-5.6999999999999998E-4</v>
      </c>
      <c r="J53" s="184">
        <v>-8.0999999999999996E-4</v>
      </c>
      <c r="K53" s="184">
        <v>4.0000000000000002E-4</v>
      </c>
    </row>
    <row r="54" spans="1:13">
      <c r="A54" s="195" t="s">
        <v>151</v>
      </c>
      <c r="B54" s="164"/>
      <c r="C54" s="184"/>
      <c r="D54" s="184">
        <v>-1.4300000000000001E-3</v>
      </c>
      <c r="E54" s="184"/>
      <c r="F54" s="184">
        <v>3.6600000000000001E-3</v>
      </c>
      <c r="G54" s="184">
        <v>1.1000000000000001E-3</v>
      </c>
      <c r="H54" s="184">
        <v>0</v>
      </c>
      <c r="I54" s="184">
        <v>-5.9000000000000003E-4</v>
      </c>
      <c r="J54" s="184">
        <v>0</v>
      </c>
      <c r="K54" s="184">
        <v>4.0000000000000002E-4</v>
      </c>
    </row>
    <row r="55" spans="1:13">
      <c r="A55" s="195" t="s">
        <v>152</v>
      </c>
      <c r="B55" s="164"/>
      <c r="C55" s="184">
        <v>-5.1000000000000004E-4</v>
      </c>
      <c r="D55" s="184">
        <v>-1.4300000000000001E-3</v>
      </c>
      <c r="E55" s="184"/>
      <c r="F55" s="184">
        <v>3.6600000000000001E-3</v>
      </c>
      <c r="G55" s="184">
        <v>1.1000000000000001E-3</v>
      </c>
      <c r="H55" s="184">
        <v>0</v>
      </c>
      <c r="I55" s="184">
        <v>-5.9000000000000003E-4</v>
      </c>
      <c r="J55" s="184">
        <v>-8.0999999999999996E-4</v>
      </c>
      <c r="K55" s="184">
        <v>4.0000000000000002E-4</v>
      </c>
    </row>
    <row r="56" spans="1:13">
      <c r="A56" s="195" t="s">
        <v>153</v>
      </c>
      <c r="B56" s="164"/>
      <c r="C56" s="184"/>
      <c r="D56" s="184"/>
      <c r="E56" s="184"/>
      <c r="F56" s="184">
        <v>2.32E-3</v>
      </c>
      <c r="G56" s="184">
        <v>6.8999999999999997E-4</v>
      </c>
      <c r="H56" s="184">
        <v>0</v>
      </c>
      <c r="I56" s="184">
        <v>-5.6999999999999998E-4</v>
      </c>
      <c r="J56" s="184">
        <v>0</v>
      </c>
      <c r="K56" s="184">
        <v>0</v>
      </c>
    </row>
    <row r="57" spans="1:13">
      <c r="A57" s="195" t="s">
        <v>204</v>
      </c>
      <c r="B57" s="164"/>
      <c r="C57" s="184"/>
      <c r="D57" s="184"/>
      <c r="E57" s="184"/>
      <c r="F57" s="184">
        <v>2.32E-3</v>
      </c>
      <c r="G57" s="184">
        <v>0</v>
      </c>
      <c r="H57" s="184">
        <v>0</v>
      </c>
      <c r="I57" s="184">
        <v>-5.6999999999999998E-4</v>
      </c>
      <c r="J57" s="184">
        <v>0</v>
      </c>
      <c r="K57" s="184">
        <v>0</v>
      </c>
    </row>
    <row r="58" spans="1:13">
      <c r="A58" s="195" t="s">
        <v>205</v>
      </c>
      <c r="B58" s="164"/>
      <c r="C58" s="184"/>
      <c r="D58" s="184">
        <v>-1.4300000000000001E-3</v>
      </c>
      <c r="E58" s="184"/>
      <c r="F58" s="184">
        <v>3.4099999999999998E-3</v>
      </c>
      <c r="G58" s="184">
        <v>9.6000000000000002E-4</v>
      </c>
      <c r="H58" s="184">
        <v>0</v>
      </c>
      <c r="I58" s="184">
        <v>-6.0999999999999997E-4</v>
      </c>
      <c r="J58" s="184">
        <v>0</v>
      </c>
      <c r="K58" s="184">
        <v>4.0000000000000002E-4</v>
      </c>
    </row>
    <row r="59" spans="1:13">
      <c r="A59" s="195" t="s">
        <v>154</v>
      </c>
      <c r="B59" s="164"/>
      <c r="C59" s="184"/>
      <c r="D59" s="184">
        <v>-1.4300000000000001E-3</v>
      </c>
      <c r="E59" s="184"/>
      <c r="F59" s="184">
        <v>3.4099999999999998E-3</v>
      </c>
      <c r="G59" s="184">
        <v>9.6000000000000002E-4</v>
      </c>
      <c r="H59" s="184">
        <v>0</v>
      </c>
      <c r="I59" s="184">
        <v>-6.0999999999999997E-4</v>
      </c>
      <c r="J59" s="184">
        <v>0</v>
      </c>
      <c r="K59" s="184">
        <v>4.0000000000000002E-4</v>
      </c>
    </row>
    <row r="60" spans="1:13">
      <c r="A60" s="195" t="s">
        <v>155</v>
      </c>
      <c r="B60" s="164"/>
      <c r="C60" s="184">
        <v>-5.1000000000000004E-4</v>
      </c>
      <c r="D60" s="184">
        <v>-1.4300000000000001E-3</v>
      </c>
      <c r="E60" s="184"/>
      <c r="F60" s="184">
        <v>3.4099999999999998E-3</v>
      </c>
      <c r="G60" s="184">
        <v>9.6000000000000002E-4</v>
      </c>
      <c r="H60" s="184">
        <v>0</v>
      </c>
      <c r="I60" s="184">
        <v>-6.0999999999999997E-4</v>
      </c>
      <c r="J60" s="184">
        <v>-8.0999999999999996E-4</v>
      </c>
      <c r="K60" s="184">
        <v>4.0000000000000002E-4</v>
      </c>
    </row>
    <row r="61" spans="1:13" ht="14.4" customHeight="1">
      <c r="A61" s="195" t="s">
        <v>217</v>
      </c>
      <c r="B61" s="164"/>
      <c r="C61" s="202"/>
      <c r="D61" s="184"/>
      <c r="E61" s="184"/>
      <c r="F61" s="202">
        <v>1.2149999999999999E-2</v>
      </c>
      <c r="G61" s="255" t="s">
        <v>241</v>
      </c>
      <c r="H61" s="184">
        <v>0</v>
      </c>
      <c r="I61" s="202">
        <v>-6.4999999999999997E-4</v>
      </c>
      <c r="J61" s="184">
        <v>0</v>
      </c>
      <c r="K61" s="184">
        <v>0</v>
      </c>
    </row>
    <row r="62" spans="1:13">
      <c r="A62" s="195" t="s">
        <v>208</v>
      </c>
      <c r="B62" s="164"/>
      <c r="C62" s="202"/>
      <c r="D62" s="184"/>
      <c r="E62" s="184"/>
      <c r="F62" s="202">
        <v>1.2149999999999999E-2</v>
      </c>
      <c r="G62" s="255"/>
      <c r="H62" s="184">
        <v>0</v>
      </c>
      <c r="I62" s="202">
        <v>-6.4999999999999997E-4</v>
      </c>
      <c r="J62" s="184">
        <v>-8.0999999999999996E-4</v>
      </c>
      <c r="K62" s="184">
        <v>0</v>
      </c>
    </row>
    <row r="63" spans="1:13">
      <c r="E63" s="164"/>
    </row>
    <row r="64" spans="1:13" ht="52.8">
      <c r="A64" s="193" t="s">
        <v>227</v>
      </c>
      <c r="B64" s="166"/>
      <c r="C64" s="186" t="s">
        <v>234</v>
      </c>
      <c r="D64" s="186" t="s">
        <v>239</v>
      </c>
      <c r="E64" s="186" t="s">
        <v>228</v>
      </c>
      <c r="F64" s="186" t="s">
        <v>229</v>
      </c>
      <c r="G64" s="186" t="s">
        <v>230</v>
      </c>
      <c r="H64" s="186" t="s">
        <v>231</v>
      </c>
      <c r="I64" s="186" t="s">
        <v>232</v>
      </c>
      <c r="J64" s="186" t="s">
        <v>233</v>
      </c>
      <c r="M64" s="228"/>
    </row>
    <row r="65" spans="1:13">
      <c r="A65" s="195" t="s">
        <v>148</v>
      </c>
      <c r="C65" s="180">
        <f t="shared" ref="C65:C71" si="11">C50*F3+J50*G3</f>
        <v>-46489.489169999986</v>
      </c>
      <c r="D65" s="180">
        <f t="shared" ref="D65:D71" si="12">D50*F3+K50*G3</f>
        <v>272278.06977000006</v>
      </c>
      <c r="E65" s="180">
        <f t="shared" ref="E65:E70" si="13">$H3*E50</f>
        <v>0</v>
      </c>
      <c r="F65" s="180">
        <f t="shared" ref="F65:G70" si="14">($H3*F50)</f>
        <v>72345.012879999995</v>
      </c>
      <c r="G65" s="180">
        <f t="shared" si="14"/>
        <v>22082.053349999998</v>
      </c>
      <c r="H65" s="180">
        <f t="shared" ref="H65:H70" si="15">$H3*H50</f>
        <v>0</v>
      </c>
      <c r="I65" s="180">
        <f t="shared" ref="I65:I70" si="16">(I50*H3)</f>
        <v>-11987.400389999999</v>
      </c>
      <c r="J65" s="180">
        <f>SUM(C65:I65)</f>
        <v>308228.24644000002</v>
      </c>
      <c r="M65" s="180"/>
    </row>
    <row r="66" spans="1:13">
      <c r="A66" s="195" t="s">
        <v>203</v>
      </c>
      <c r="C66" s="180">
        <f t="shared" si="11"/>
        <v>-137.22128999999998</v>
      </c>
      <c r="D66" s="180">
        <f t="shared" si="12"/>
        <v>790.12236999999993</v>
      </c>
      <c r="E66" s="180">
        <f t="shared" si="13"/>
        <v>-2878.0268700000001</v>
      </c>
      <c r="F66" s="180">
        <f t="shared" si="14"/>
        <v>313.99975999999998</v>
      </c>
      <c r="G66" s="180">
        <f t="shared" si="14"/>
        <v>95.842949999999988</v>
      </c>
      <c r="H66" s="180">
        <f t="shared" si="15"/>
        <v>0</v>
      </c>
      <c r="I66" s="180">
        <f t="shared" si="16"/>
        <v>-52.029029999999999</v>
      </c>
      <c r="J66" s="180">
        <f t="shared" ref="J66:J75" si="17">SUM(C66:I66)</f>
        <v>-1867.3121100000001</v>
      </c>
      <c r="M66" s="180"/>
    </row>
    <row r="67" spans="1:13">
      <c r="A67" s="195" t="s">
        <v>149</v>
      </c>
      <c r="C67" s="180">
        <f t="shared" si="11"/>
        <v>0</v>
      </c>
      <c r="D67" s="180">
        <f t="shared" si="12"/>
        <v>48600.634480000001</v>
      </c>
      <c r="E67" s="180">
        <f t="shared" si="13"/>
        <v>0</v>
      </c>
      <c r="F67" s="180">
        <f t="shared" si="14"/>
        <v>7192.3855299999996</v>
      </c>
      <c r="G67" s="180">
        <f t="shared" si="14"/>
        <v>2361.2151200000003</v>
      </c>
      <c r="H67" s="180">
        <f t="shared" si="15"/>
        <v>0</v>
      </c>
      <c r="I67" s="180">
        <f t="shared" si="16"/>
        <v>-885.45566999999994</v>
      </c>
      <c r="J67" s="180">
        <f t="shared" si="17"/>
        <v>57268.779459999998</v>
      </c>
      <c r="M67" s="180"/>
    </row>
    <row r="68" spans="1:13">
      <c r="A68" s="195" t="s">
        <v>150</v>
      </c>
      <c r="C68" s="180">
        <f t="shared" si="11"/>
        <v>-1087.2757499999998</v>
      </c>
      <c r="D68" s="180">
        <f t="shared" si="12"/>
        <v>4845.06718</v>
      </c>
      <c r="E68" s="180">
        <f t="shared" si="13"/>
        <v>0</v>
      </c>
      <c r="F68" s="180">
        <f t="shared" si="14"/>
        <v>1822.3448499999997</v>
      </c>
      <c r="G68" s="180">
        <f t="shared" si="14"/>
        <v>598.26440000000002</v>
      </c>
      <c r="H68" s="180">
        <f t="shared" si="15"/>
        <v>0</v>
      </c>
      <c r="I68" s="180">
        <f t="shared" si="16"/>
        <v>-224.34914999999998</v>
      </c>
      <c r="J68" s="180">
        <f t="shared" si="17"/>
        <v>5954.0515299999997</v>
      </c>
      <c r="M68" s="180"/>
    </row>
    <row r="69" spans="1:13">
      <c r="A69" s="195" t="s">
        <v>151</v>
      </c>
      <c r="C69" s="180">
        <f t="shared" si="11"/>
        <v>0</v>
      </c>
      <c r="D69" s="180">
        <f t="shared" si="12"/>
        <v>121993.52508000002</v>
      </c>
      <c r="E69" s="180">
        <f t="shared" si="13"/>
        <v>0</v>
      </c>
      <c r="F69" s="180">
        <f t="shared" si="14"/>
        <v>11146.017600000001</v>
      </c>
      <c r="G69" s="180">
        <f t="shared" si="14"/>
        <v>3349.8960000000002</v>
      </c>
      <c r="H69" s="180">
        <f t="shared" si="15"/>
        <v>0</v>
      </c>
      <c r="I69" s="180">
        <f t="shared" si="16"/>
        <v>-1796.7624000000001</v>
      </c>
      <c r="J69" s="180">
        <f t="shared" si="17"/>
        <v>134692.67628000001</v>
      </c>
      <c r="M69" s="180"/>
    </row>
    <row r="70" spans="1:13">
      <c r="A70" s="195" t="s">
        <v>152</v>
      </c>
      <c r="C70" s="180">
        <f t="shared" si="11"/>
        <v>-525.33978000000002</v>
      </c>
      <c r="D70" s="180">
        <f t="shared" si="12"/>
        <v>2742.9436800000003</v>
      </c>
      <c r="E70" s="180">
        <f t="shared" si="13"/>
        <v>0</v>
      </c>
      <c r="F70" s="180">
        <f t="shared" si="14"/>
        <v>372.06828000000002</v>
      </c>
      <c r="G70" s="180">
        <f t="shared" si="14"/>
        <v>111.82380000000001</v>
      </c>
      <c r="H70" s="180">
        <f t="shared" si="15"/>
        <v>0</v>
      </c>
      <c r="I70" s="180">
        <f t="shared" si="16"/>
        <v>-59.97822</v>
      </c>
      <c r="J70" s="180">
        <f>SUM(C70:I70)</f>
        <v>2641.5177600000002</v>
      </c>
      <c r="M70" s="180"/>
    </row>
    <row r="71" spans="1:13">
      <c r="A71" s="195" t="s">
        <v>153</v>
      </c>
      <c r="C71" s="180">
        <f t="shared" si="11"/>
        <v>0</v>
      </c>
      <c r="D71" s="180">
        <f t="shared" si="12"/>
        <v>0</v>
      </c>
      <c r="E71" s="180">
        <f>$H9*E56+$H10*E57</f>
        <v>0</v>
      </c>
      <c r="F71" s="180">
        <f>$H9*F56+$H10*F57</f>
        <v>-100975.18584000001</v>
      </c>
      <c r="G71" s="180">
        <f>($H9*G56)</f>
        <v>-9331.4130299999997</v>
      </c>
      <c r="H71" s="180">
        <f>$H9*H56+$H10*H57</f>
        <v>0</v>
      </c>
      <c r="I71" s="180">
        <f>$H9*I56+$H10*I57</f>
        <v>24808.558590000001</v>
      </c>
      <c r="J71" s="180">
        <f t="shared" si="17"/>
        <v>-85498.040280000001</v>
      </c>
      <c r="M71" s="180"/>
    </row>
    <row r="72" spans="1:13">
      <c r="A72" s="195" t="s">
        <v>205</v>
      </c>
      <c r="C72" s="180">
        <f>C58*F11+J58*G11</f>
        <v>0</v>
      </c>
      <c r="D72" s="180">
        <f>D58*F11+K58*G11</f>
        <v>0</v>
      </c>
      <c r="E72" s="180">
        <f>$H11*E58</f>
        <v>0</v>
      </c>
      <c r="F72" s="180">
        <f>($H11*F57)</f>
        <v>0</v>
      </c>
      <c r="G72" s="180">
        <f>($H10*G57)</f>
        <v>0</v>
      </c>
      <c r="H72" s="180">
        <f t="shared" ref="H72:I74" si="18">$H11*H58</f>
        <v>0</v>
      </c>
      <c r="I72" s="180">
        <f t="shared" si="18"/>
        <v>0</v>
      </c>
      <c r="J72" s="180">
        <f t="shared" si="17"/>
        <v>0</v>
      </c>
      <c r="M72" s="180"/>
    </row>
    <row r="73" spans="1:13">
      <c r="A73" s="195" t="s">
        <v>154</v>
      </c>
      <c r="C73" s="180">
        <f>C59*F12+J59*G12</f>
        <v>0</v>
      </c>
      <c r="D73" s="180">
        <f>D59*F12+K59*G12</f>
        <v>6873.8449500000006</v>
      </c>
      <c r="E73" s="180">
        <f>$H12*E59</f>
        <v>0</v>
      </c>
      <c r="F73" s="180">
        <f>($H12*F58)</f>
        <v>-6280.0128599999998</v>
      </c>
      <c r="G73" s="180">
        <f>($H11*G58)</f>
        <v>0</v>
      </c>
      <c r="H73" s="180">
        <f t="shared" si="18"/>
        <v>0</v>
      </c>
      <c r="I73" s="180">
        <f t="shared" si="18"/>
        <v>1123.4040599999998</v>
      </c>
      <c r="J73" s="180">
        <f t="shared" si="17"/>
        <v>1717.2361500000006</v>
      </c>
      <c r="M73" s="180"/>
    </row>
    <row r="74" spans="1:13">
      <c r="A74" s="195" t="s">
        <v>155</v>
      </c>
      <c r="C74" s="180">
        <f>C60*F13+J60*G13</f>
        <v>14.15112000000002</v>
      </c>
      <c r="D74" s="180">
        <f>D60*F13+K60*G13</f>
        <v>398.48441000000003</v>
      </c>
      <c r="E74" s="180">
        <f>$H13*E60</f>
        <v>0</v>
      </c>
      <c r="F74" s="180">
        <f>($H13*F59)</f>
        <v>-364.05841999999996</v>
      </c>
      <c r="G74" s="180">
        <f>($H12*G59)</f>
        <v>-1767.9801600000001</v>
      </c>
      <c r="H74" s="180">
        <f t="shared" si="18"/>
        <v>0</v>
      </c>
      <c r="I74" s="180">
        <f t="shared" si="18"/>
        <v>65.12482</v>
      </c>
      <c r="J74" s="180">
        <f t="shared" si="17"/>
        <v>-1654.2782299999999</v>
      </c>
      <c r="M74" s="180"/>
    </row>
    <row r="75" spans="1:13">
      <c r="A75" s="195" t="s">
        <v>217</v>
      </c>
      <c r="C75" s="180">
        <f>C61*F14+J61*G14</f>
        <v>0</v>
      </c>
      <c r="D75" s="180">
        <f>D61*F14+K61*G14</f>
        <v>0</v>
      </c>
      <c r="E75" s="180">
        <f>($H14+$H15)*E61</f>
        <v>0</v>
      </c>
      <c r="F75" s="180">
        <f>($H14*F60)</f>
        <v>0</v>
      </c>
      <c r="G75" s="180">
        <f>($H13*G60)</f>
        <v>-102.49152000000001</v>
      </c>
      <c r="H75" s="180">
        <f>($H14+$H15)*H61</f>
        <v>0</v>
      </c>
      <c r="I75" s="180">
        <f>($H14+$H15)*I61</f>
        <v>0</v>
      </c>
      <c r="J75" s="180">
        <f t="shared" si="17"/>
        <v>-102.49152000000001</v>
      </c>
      <c r="M75" s="180"/>
    </row>
    <row r="76" spans="1:13">
      <c r="A76" s="169"/>
      <c r="C76" s="222">
        <f>SUM(C65:C75)</f>
        <v>-48225.174869999988</v>
      </c>
      <c r="D76" s="222">
        <f t="shared" ref="D76:I76" si="19">SUM(D65:D75)</f>
        <v>458522.69192000013</v>
      </c>
      <c r="E76" s="222">
        <f t="shared" si="19"/>
        <v>-2878.0268700000001</v>
      </c>
      <c r="F76" s="222">
        <f t="shared" si="19"/>
        <v>-14427.428219999996</v>
      </c>
      <c r="G76" s="222">
        <f t="shared" si="19"/>
        <v>17397.210909999998</v>
      </c>
      <c r="H76" s="222">
        <f t="shared" si="19"/>
        <v>0</v>
      </c>
      <c r="I76" s="222">
        <f t="shared" si="19"/>
        <v>10991.112610000004</v>
      </c>
      <c r="J76" s="222">
        <f>SUM(J65:J75)</f>
        <v>421380.38548000006</v>
      </c>
    </row>
    <row r="77" spans="1:13" ht="15.75" customHeight="1"/>
    <row r="78" spans="1:13">
      <c r="A78" s="164" t="s">
        <v>19</v>
      </c>
      <c r="B78" s="164"/>
      <c r="C78" s="180">
        <f>C65+C66</f>
        <v>-46626.710459999988</v>
      </c>
      <c r="D78" s="180">
        <f t="shared" ref="D78:I78" si="20">D65+D66</f>
        <v>273068.19214000006</v>
      </c>
      <c r="E78" s="180">
        <f t="shared" si="20"/>
        <v>-2878.0268700000001</v>
      </c>
      <c r="F78" s="180">
        <f t="shared" si="20"/>
        <v>72659.012640000001</v>
      </c>
      <c r="G78" s="180">
        <f t="shared" si="20"/>
        <v>22177.896299999997</v>
      </c>
      <c r="H78" s="180">
        <f t="shared" si="20"/>
        <v>0</v>
      </c>
      <c r="I78" s="180">
        <f t="shared" si="20"/>
        <v>-12039.429419999999</v>
      </c>
      <c r="J78" s="180">
        <f>J65+J66</f>
        <v>306360.93433000002</v>
      </c>
    </row>
    <row r="79" spans="1:13">
      <c r="A79" s="164"/>
      <c r="B79" s="164"/>
      <c r="C79" s="180"/>
      <c r="D79" s="180"/>
      <c r="E79" s="180"/>
      <c r="F79" s="180"/>
      <c r="G79" s="180"/>
      <c r="H79" s="180"/>
      <c r="I79" s="180"/>
      <c r="J79" s="180"/>
    </row>
    <row r="80" spans="1:13">
      <c r="A80" s="164" t="s">
        <v>209</v>
      </c>
      <c r="B80" s="164"/>
      <c r="C80" s="190">
        <f>SUM(C67:C70,C72:C74)</f>
        <v>-1598.4644099999998</v>
      </c>
      <c r="D80" s="190">
        <f t="shared" ref="D80:I80" si="21">SUM(D67:D70,D72:D74)</f>
        <v>185454.49978000001</v>
      </c>
      <c r="E80" s="190">
        <f t="shared" si="21"/>
        <v>0</v>
      </c>
      <c r="F80" s="190">
        <f t="shared" si="21"/>
        <v>13888.744980000001</v>
      </c>
      <c r="G80" s="190">
        <f t="shared" si="21"/>
        <v>4653.2191600000006</v>
      </c>
      <c r="H80" s="190">
        <f t="shared" si="21"/>
        <v>0</v>
      </c>
      <c r="I80" s="190">
        <f t="shared" si="21"/>
        <v>-1778.01656</v>
      </c>
      <c r="J80" s="190">
        <f>SUM(J67:J70,J72:J74)</f>
        <v>200619.98295000001</v>
      </c>
    </row>
    <row r="81" spans="1:6" ht="15.75" customHeight="1"/>
    <row r="82" spans="1:6" ht="14.4">
      <c r="A82" s="162" t="s">
        <v>242</v>
      </c>
      <c r="B82" s="162"/>
      <c r="C82" s="162"/>
      <c r="D82" s="162"/>
      <c r="E82" s="162"/>
      <c r="F82" s="162"/>
    </row>
    <row r="83" spans="1:6" ht="14.4">
      <c r="A83" s="162" t="s">
        <v>252</v>
      </c>
      <c r="B83" s="162"/>
      <c r="C83" s="162"/>
      <c r="D83" s="162"/>
      <c r="E83" s="162"/>
      <c r="F83" s="162"/>
    </row>
    <row r="84" spans="1:6" ht="14.4">
      <c r="A84" s="183" t="s">
        <v>251</v>
      </c>
      <c r="B84" s="183"/>
      <c r="C84" s="183"/>
      <c r="D84" s="183"/>
      <c r="E84" s="183"/>
      <c r="F84" s="162"/>
    </row>
    <row r="85" spans="1:6" ht="28.8">
      <c r="A85" s="183"/>
      <c r="B85" s="230" t="s">
        <v>243</v>
      </c>
      <c r="C85" s="230" t="s">
        <v>244</v>
      </c>
      <c r="D85" s="230" t="s">
        <v>245</v>
      </c>
      <c r="E85" s="230" t="s">
        <v>249</v>
      </c>
      <c r="F85" s="162"/>
    </row>
    <row r="86" spans="1:6" ht="14.4">
      <c r="A86" s="183" t="s">
        <v>246</v>
      </c>
      <c r="B86" s="231">
        <v>1</v>
      </c>
      <c r="C86" s="232">
        <v>854179</v>
      </c>
      <c r="D86" s="233">
        <f>72872.14-C86*SUM($C$54:$K$54)</f>
        <v>70190.017940000005</v>
      </c>
      <c r="E86" s="233">
        <v>500</v>
      </c>
      <c r="F86" s="234" t="s">
        <v>247</v>
      </c>
    </row>
    <row r="87" spans="1:6" ht="28.8">
      <c r="A87" s="235" t="s">
        <v>248</v>
      </c>
      <c r="B87" s="236">
        <f>SUM(B86:B86)</f>
        <v>1</v>
      </c>
      <c r="C87" s="237">
        <f>SUM(C86:C86)</f>
        <v>854179</v>
      </c>
      <c r="D87" s="238">
        <f>SUM(D86:D86)</f>
        <v>70190.017940000005</v>
      </c>
      <c r="E87" s="238">
        <f>SUM(E86:E86)</f>
        <v>500</v>
      </c>
      <c r="F87" s="162"/>
    </row>
    <row r="88" spans="1:6" ht="9" customHeight="1">
      <c r="A88" s="183"/>
      <c r="B88" s="183"/>
      <c r="C88" s="183"/>
      <c r="D88" s="183"/>
      <c r="E88" s="183"/>
      <c r="F88" s="162"/>
    </row>
    <row r="89" spans="1:6" ht="14.4">
      <c r="A89" s="239" t="s">
        <v>250</v>
      </c>
      <c r="B89" s="239"/>
      <c r="C89" s="239"/>
      <c r="D89" s="239"/>
      <c r="E89" s="239"/>
      <c r="F89" s="162"/>
    </row>
  </sheetData>
  <mergeCells count="2">
    <mergeCell ref="A1:I1"/>
    <mergeCell ref="G61:G62"/>
  </mergeCells>
  <pageMargins left="0.7" right="0.7" top="0.75" bottom="0.75" header="0.3" footer="0.3"/>
  <pageSetup scale="7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E96608-CDED-4DE8-944F-4584B8C58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ED9BD1-557F-4AD1-9C48-07B463CBE419}"/>
</file>

<file path=customXml/itemProps3.xml><?xml version="1.0" encoding="utf-8"?>
<ds:datastoreItem xmlns:ds="http://schemas.openxmlformats.org/officeDocument/2006/customXml" ds:itemID="{09F8965B-2F91-4200-B154-50338B55697F}"/>
</file>

<file path=customXml/itemProps4.xml><?xml version="1.0" encoding="utf-8"?>
<ds:datastoreItem xmlns:ds="http://schemas.openxmlformats.org/officeDocument/2006/customXml" ds:itemID="{D19394C1-0730-4119-AA84-24ADF1452849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'Deferral Calc'!Print_Area</vt:lpstr>
      <vt:lpstr>'Feb Base Rate Revenue'!Print_Area</vt:lpstr>
      <vt:lpstr>'Jan Base Rate Revenue'!Print_Area</vt:lpstr>
      <vt:lpstr>'October Base Rate Revenue'!Print_Area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2018-01-06T01:30:02Z</cp:lastPrinted>
  <dcterms:created xsi:type="dcterms:W3CDTF">2013-02-28T17:31:50Z</dcterms:created>
  <dcterms:modified xsi:type="dcterms:W3CDTF">2021-02-12T23:58:56Z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