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wyse215\Desktop\"/>
    </mc:Choice>
  </mc:AlternateContent>
  <bookViews>
    <workbookView xWindow="-28920" yWindow="-2480" windowWidth="29040" windowHeight="17640"/>
  </bookViews>
  <sheets>
    <sheet name="2020 Pro Forma Income State" sheetId="39" r:id="rId1"/>
    <sheet name="Inc Stmnt 12 mo 8.1.18  7.31.19" sheetId="61" r:id="rId2"/>
    <sheet name="Proforma Company Adj" sheetId="10" r:id="rId3"/>
    <sheet name="Proforma Restating Adj" sheetId="45" r:id="rId4"/>
    <sheet name="Charters" sheetId="78" r:id="rId5"/>
    <sheet name="Pass Fares - 2020" sheetId="81" r:id="rId6"/>
    <sheet name="Pass Fares - OLD" sheetId="44" r:id="rId7"/>
    <sheet name="2020 Sailing Schedule Changes" sheetId="49" r:id="rId8"/>
    <sheet name="Freight Rate Calc" sheetId="52" r:id="rId9"/>
    <sheet name="Freight Rate comparables" sheetId="51" r:id="rId10"/>
    <sheet name="OLD WUTC Depn" sheetId="14" r:id="rId11"/>
    <sheet name="DLC LCBC Depn" sheetId="83" r:id="rId12"/>
    <sheet name="OLD LCRI LCBC Depn" sheetId="62" r:id="rId13"/>
    <sheet name="Fuel Purchases" sheetId="19" r:id="rId14"/>
    <sheet name="Passengers" sheetId="71" r:id="rId15"/>
    <sheet name="Minimum Wage" sheetId="82" r:id="rId16"/>
  </sheets>
  <externalReferences>
    <externalReference r:id="rId17"/>
    <externalReference r:id="rId18"/>
    <externalReference r:id="rId19"/>
  </externalReferences>
  <definedNames>
    <definedName name="_Regression_Int">0</definedName>
    <definedName name="AprSun1" localSheetId="14">DATEVALUE("4/1/"&amp;Passengers!TheYear)-WEEKDAY(DATEVALUE("4/1/"&amp;Passengers!TheYear))+1</definedName>
    <definedName name="AprSun1">DATEVALUE("4/1/"&amp;TheYear)-WEEKDAY(DATEVALUE("4/1/"&amp;TheYear))+1</definedName>
    <definedName name="AugSun1" localSheetId="14">DATEVALUE("8/1/"&amp;Passengers!TheYear)-WEEKDAY(DATEVALUE("8/1/"&amp;Passengers!TheYear))+1</definedName>
    <definedName name="AugSun1">DATEVALUE("8/1/"&amp;TheYear)-WEEKDAY(DATEVALUE("8/1/"&amp;TheYear))+1</definedName>
    <definedName name="_xlnm.Database" localSheetId="0">#REF!</definedName>
    <definedName name="_xlnm.Database" localSheetId="10">#REF!</definedName>
    <definedName name="_xlnm.Database" localSheetId="14">#REF!</definedName>
    <definedName name="_xlnm.Database" localSheetId="2">#REF!</definedName>
    <definedName name="_xlnm.Database">#REF!</definedName>
    <definedName name="Database_MI" localSheetId="0">#REF!</definedName>
    <definedName name="Database_MI" localSheetId="10">#REF!</definedName>
    <definedName name="Database_MI" localSheetId="14">#REF!</definedName>
    <definedName name="Database_MI" localSheetId="2">#REF!</definedName>
    <definedName name="Database_MI">#REF!</definedName>
    <definedName name="DecSun1" localSheetId="14">DATEVALUE("12/1/"&amp;Passengers!TheYear)-WEEKDAY(DATEVALUE("12/1/"&amp;Passengers!TheYear))+1</definedName>
    <definedName name="DecSun1">DATEVALUE("12/1/"&amp;TheYear)-WEEKDAY(DATEVALUE("12/1/"&amp;TheYear))+1</definedName>
    <definedName name="FebSun1" localSheetId="14">DATEVALUE("2/1/"&amp;Passengers!TheYear)-WEEKDAY(DATEVALUE("2/1/"&amp;Passengers!TheYear))+1</definedName>
    <definedName name="FebSun1">DATEVALUE("2/1/"&amp;TheYear)-WEEKDAY(DATEVALUE("2/1/"&amp;TheYear))+1</definedName>
    <definedName name="INPUT">#REF!</definedName>
    <definedName name="JanSun1" localSheetId="14">DATEVALUE("1/1/"&amp;Passengers!TheYear)-WEEKDAY(DATEVALUE("1/1/"&amp;Passengers!TheYear))+1</definedName>
    <definedName name="JanSun1">DATEVALUE("1/1/"&amp;TheYear)-WEEKDAY(DATEVALUE("1/1/"&amp;TheYear))+1</definedName>
    <definedName name="JulSun1" localSheetId="14">DATEVALUE("7/1/"&amp;Passengers!TheYear)-WEEKDAY(DATEVALUE("7/1/"&amp;Passengers!TheYear))+1</definedName>
    <definedName name="JulSun1">DATEVALUE("7/1/"&amp;TheYear)-WEEKDAY(DATEVALUE("7/1/"&amp;TheYear))+1</definedName>
    <definedName name="JunSun1" localSheetId="14">DATEVALUE("6/1/"&amp;Passengers!TheYear)-WEEKDAY(DATEVALUE("6/1/"&amp;Passengers!TheYear))+1</definedName>
    <definedName name="JunSun1">DATEVALUE("6/1/"&amp;TheYear)-WEEKDAY(DATEVALUE("6/1/"&amp;TheYear))+1</definedName>
    <definedName name="MarSun1" localSheetId="14">DATEVALUE("3/1/"&amp;Passengers!TheYear)-WEEKDAY(DATEVALUE("3/1/"&amp;Passengers!TheYear))+1</definedName>
    <definedName name="MarSun1">DATEVALUE("3/1/"&amp;TheYear)-WEEKDAY(DATEVALUE("3/1/"&amp;TheYear))+1</definedName>
    <definedName name="MaySun1" localSheetId="14">DATEVALUE("5/1/"&amp;Passengers!TheYear)-WEEKDAY(DATEVALUE("5/1/"&amp;Passengers!TheYear))+1</definedName>
    <definedName name="MaySun1">DATEVALUE("5/1/"&amp;TheYear)-WEEKDAY(DATEVALUE("5/1/"&amp;TheYear))+1</definedName>
    <definedName name="Monthtotal">#REF!</definedName>
    <definedName name="NOTES" localSheetId="0">#REF!</definedName>
    <definedName name="NOTES" localSheetId="14">#REF!</definedName>
    <definedName name="NOTES" localSheetId="2">#REF!</definedName>
    <definedName name="NOTES">#REF!</definedName>
    <definedName name="NovSun1" localSheetId="14">DATEVALUE("11/1/"&amp;Passengers!TheYear)-WEEKDAY(DATEVALUE("11/1/"&amp;Passengers!TheYear))+1</definedName>
    <definedName name="NovSun1">DATEVALUE("11/1/"&amp;TheYear)-WEEKDAY(DATEVALUE("11/1/"&amp;TheYear))+1</definedName>
    <definedName name="OctSun1" localSheetId="14">DATEVALUE("10/1/"&amp;Passengers!TheYear)-WEEKDAY(DATEVALUE("10/1/"&amp;Passengers!TheYear))+1</definedName>
    <definedName name="OctSun1">DATEVALUE("10/1/"&amp;TheYear)-WEEKDAY(DATEVALUE("10/1/"&amp;TheYear))+1</definedName>
    <definedName name="PAGE_1" localSheetId="0">#REF!</definedName>
    <definedName name="PAGE_1" localSheetId="14">#REF!</definedName>
    <definedName name="PAGE_1" localSheetId="2">#REF!</definedName>
    <definedName name="PAGE_1">#REF!</definedName>
    <definedName name="Percentage" localSheetId="14">'[1]Pass Fares Increases'!$B$42</definedName>
    <definedName name="Percentage">'Pass Fares - OLD'!#REF!</definedName>
    <definedName name="_xlnm.Print_Area" localSheetId="14">#REF!</definedName>
    <definedName name="_xlnm.Print_Area">#REF!</definedName>
    <definedName name="Print_Area_MI" localSheetId="0">#REF!</definedName>
    <definedName name="Print_Area_MI" localSheetId="10">#REF!</definedName>
    <definedName name="Print_Area_MI" localSheetId="14">#REF!</definedName>
    <definedName name="Print_Area_MI" localSheetId="2">#REF!</definedName>
    <definedName name="Print_Area_MI">#REF!</definedName>
    <definedName name="_xlnm.Print_Titles" localSheetId="0">'2020 Pro Forma Income State'!$1:$1</definedName>
    <definedName name="_xlnm.Print_Titles" localSheetId="1">'Inc Stmnt 12 mo 8.1.18  7.31.19'!$1:$3</definedName>
    <definedName name="_xlnm.Print_Titles" localSheetId="10">'OLD WUTC Depn'!$1:$10</definedName>
    <definedName name="_xlnm.Print_Titles" localSheetId="2">'Proforma Company Adj'!$1:$2</definedName>
    <definedName name="SepSun1" localSheetId="14">DATEVALUE("9/1/"&amp;Passengers!TheYear)-WEEKDAY(DATEVALUE("9/1/"&amp;Passengers!TheYear))+1</definedName>
    <definedName name="SepSun1">DATEVALUE("9/1/"&amp;TheYear)-WEEKDAY(DATEVALUE("9/1/"&amp;TheYear))+1</definedName>
    <definedName name="TheYear" localSheetId="14">'[1]2013 Sailing Sched Submitting'!$B$5</definedName>
    <definedName name="TheYear">'2020 Sailing Schedule Changes'!$A$47</definedName>
    <definedName name="Total_Interest">'[2]Amortization Table'!$F$18</definedName>
  </definedNames>
  <calcPr calcId="191029" iterate="1" iterateCount="30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1" i="39" l="1"/>
  <c r="X9" i="39"/>
  <c r="X8" i="39"/>
  <c r="L4" i="39" l="1"/>
  <c r="M11" i="51" l="1"/>
  <c r="M10" i="51"/>
  <c r="M9" i="51"/>
  <c r="M7" i="51"/>
  <c r="L7" i="51"/>
  <c r="J49" i="39" l="1"/>
  <c r="J24" i="39"/>
  <c r="J18" i="39"/>
  <c r="L38" i="83" l="1"/>
  <c r="L34" i="83"/>
  <c r="L32" i="83"/>
  <c r="O81" i="61" l="1"/>
  <c r="D37" i="19"/>
  <c r="C29" i="19"/>
  <c r="B29" i="19"/>
  <c r="D29" i="19"/>
  <c r="D9" i="81"/>
  <c r="C9" i="81"/>
  <c r="D8" i="81"/>
  <c r="C8" i="81"/>
  <c r="B11" i="52" l="1"/>
  <c r="E4" i="52" s="1"/>
  <c r="I48" i="39"/>
  <c r="B21" i="10"/>
  <c r="D25" i="19" l="1"/>
  <c r="C32" i="81"/>
  <c r="D32" i="81"/>
  <c r="C33" i="81"/>
  <c r="D33" i="81"/>
  <c r="F49" i="78"/>
  <c r="D49" i="78"/>
  <c r="E49" i="78"/>
  <c r="C49" i="78"/>
  <c r="G36" i="78"/>
  <c r="G37" i="78"/>
  <c r="G38" i="78"/>
  <c r="G39" i="78"/>
  <c r="G40" i="78"/>
  <c r="G41" i="78"/>
  <c r="G42" i="78"/>
  <c r="G45" i="78" l="1"/>
  <c r="G46" i="78"/>
  <c r="G47" i="78"/>
  <c r="G24" i="78" l="1"/>
  <c r="G25" i="78"/>
  <c r="G26" i="78"/>
  <c r="G27" i="78"/>
  <c r="G28" i="78"/>
  <c r="G29" i="78"/>
  <c r="G30" i="78"/>
  <c r="G31" i="78"/>
  <c r="G32" i="78"/>
  <c r="G33" i="78"/>
  <c r="G34" i="78"/>
  <c r="G35" i="78"/>
  <c r="G43" i="78"/>
  <c r="G44" i="78"/>
  <c r="G48" i="78"/>
  <c r="G23" i="78"/>
  <c r="G49" i="78" l="1"/>
  <c r="I30" i="39"/>
  <c r="I41" i="39"/>
  <c r="I39" i="39"/>
  <c r="T131" i="14" l="1"/>
  <c r="E131" i="14"/>
  <c r="T129" i="14"/>
  <c r="E128" i="14"/>
  <c r="E127" i="14"/>
  <c r="W123" i="14"/>
  <c r="Q123" i="14"/>
  <c r="K123" i="14"/>
  <c r="E123" i="14"/>
  <c r="AD121" i="14"/>
  <c r="Z121" i="14"/>
  <c r="O121" i="14"/>
  <c r="L121" i="14"/>
  <c r="M121" i="14" s="1"/>
  <c r="H121" i="14"/>
  <c r="AB121" i="14" s="1"/>
  <c r="AD120" i="14"/>
  <c r="Z120" i="14"/>
  <c r="O120" i="14"/>
  <c r="L120" i="14"/>
  <c r="M120" i="14" s="1"/>
  <c r="H120" i="14"/>
  <c r="AB120" i="14" s="1"/>
  <c r="AD119" i="14"/>
  <c r="Z119" i="14"/>
  <c r="O119" i="14"/>
  <c r="L119" i="14"/>
  <c r="M119" i="14" s="1"/>
  <c r="H119" i="14"/>
  <c r="AB119" i="14" s="1"/>
  <c r="AD118" i="14"/>
  <c r="Z118" i="14"/>
  <c r="O118" i="14"/>
  <c r="L118" i="14"/>
  <c r="M118" i="14" s="1"/>
  <c r="H118" i="14"/>
  <c r="AB118" i="14" s="1"/>
  <c r="AD117" i="14"/>
  <c r="Z117" i="14"/>
  <c r="O117" i="14"/>
  <c r="L117" i="14"/>
  <c r="M117" i="14" s="1"/>
  <c r="H117" i="14"/>
  <c r="AB117" i="14" s="1"/>
  <c r="AD116" i="14"/>
  <c r="Z116" i="14"/>
  <c r="O116" i="14"/>
  <c r="L116" i="14"/>
  <c r="M116" i="14" s="1"/>
  <c r="H116" i="14"/>
  <c r="AB116" i="14" s="1"/>
  <c r="AD115" i="14"/>
  <c r="Z115" i="14"/>
  <c r="O115" i="14"/>
  <c r="L115" i="14"/>
  <c r="M115" i="14" s="1"/>
  <c r="H115" i="14"/>
  <c r="AB115" i="14" s="1"/>
  <c r="W112" i="14"/>
  <c r="Q112" i="14"/>
  <c r="K112" i="14"/>
  <c r="E112" i="14"/>
  <c r="AD110" i="14"/>
  <c r="Z110" i="14"/>
  <c r="O110" i="14"/>
  <c r="L110" i="14"/>
  <c r="M110" i="14" s="1"/>
  <c r="H110" i="14"/>
  <c r="AB110" i="14" s="1"/>
  <c r="AD109" i="14"/>
  <c r="Z109" i="14"/>
  <c r="O109" i="14"/>
  <c r="L109" i="14"/>
  <c r="M109" i="14" s="1"/>
  <c r="H109" i="14"/>
  <c r="AB109" i="14" s="1"/>
  <c r="AD108" i="14"/>
  <c r="Z108" i="14"/>
  <c r="O108" i="14"/>
  <c r="L108" i="14"/>
  <c r="M108" i="14" s="1"/>
  <c r="H108" i="14"/>
  <c r="AB108" i="14" s="1"/>
  <c r="AD107" i="14"/>
  <c r="Z107" i="14"/>
  <c r="O107" i="14"/>
  <c r="L107" i="14"/>
  <c r="M107" i="14" s="1"/>
  <c r="H107" i="14"/>
  <c r="AB107" i="14" s="1"/>
  <c r="AD106" i="14"/>
  <c r="Z106" i="14"/>
  <c r="O106" i="14"/>
  <c r="L106" i="14"/>
  <c r="M106" i="14" s="1"/>
  <c r="H106" i="14"/>
  <c r="AB106" i="14" s="1"/>
  <c r="AD105" i="14"/>
  <c r="Z105" i="14"/>
  <c r="O105" i="14"/>
  <c r="L105" i="14"/>
  <c r="M105" i="14" s="1"/>
  <c r="H105" i="14"/>
  <c r="AB105" i="14" s="1"/>
  <c r="AD104" i="14"/>
  <c r="Z104" i="14"/>
  <c r="O104" i="14"/>
  <c r="L104" i="14"/>
  <c r="M104" i="14" s="1"/>
  <c r="H104" i="14"/>
  <c r="AB104" i="14" s="1"/>
  <c r="AD103" i="14"/>
  <c r="Z103" i="14"/>
  <c r="O103" i="14"/>
  <c r="L103" i="14"/>
  <c r="M103" i="14" s="1"/>
  <c r="H103" i="14"/>
  <c r="AB103" i="14" s="1"/>
  <c r="AD102" i="14"/>
  <c r="Z102" i="14"/>
  <c r="O102" i="14"/>
  <c r="L102" i="14"/>
  <c r="M102" i="14" s="1"/>
  <c r="H102" i="14"/>
  <c r="AB102" i="14" s="1"/>
  <c r="AD101" i="14"/>
  <c r="Z101" i="14"/>
  <c r="O101" i="14"/>
  <c r="L101" i="14"/>
  <c r="M101" i="14" s="1"/>
  <c r="H101" i="14"/>
  <c r="AB101" i="14" s="1"/>
  <c r="AD100" i="14"/>
  <c r="Z100" i="14"/>
  <c r="O100" i="14"/>
  <c r="L100" i="14"/>
  <c r="M100" i="14" s="1"/>
  <c r="H100" i="14"/>
  <c r="AB100" i="14" s="1"/>
  <c r="AD99" i="14"/>
  <c r="Z99" i="14"/>
  <c r="O99" i="14"/>
  <c r="L99" i="14"/>
  <c r="M99" i="14" s="1"/>
  <c r="H99" i="14"/>
  <c r="AB99" i="14" s="1"/>
  <c r="AD98" i="14"/>
  <c r="Z98" i="14"/>
  <c r="O98" i="14"/>
  <c r="L98" i="14"/>
  <c r="M98" i="14" s="1"/>
  <c r="H98" i="14"/>
  <c r="AB98" i="14" s="1"/>
  <c r="AD97" i="14"/>
  <c r="Z97" i="14"/>
  <c r="O97" i="14"/>
  <c r="L97" i="14"/>
  <c r="M97" i="14" s="1"/>
  <c r="H97" i="14"/>
  <c r="AB97" i="14" s="1"/>
  <c r="AD96" i="14"/>
  <c r="Z96" i="14"/>
  <c r="O96" i="14"/>
  <c r="L96" i="14"/>
  <c r="M96" i="14" s="1"/>
  <c r="H96" i="14"/>
  <c r="AB96" i="14" s="1"/>
  <c r="AD95" i="14"/>
  <c r="Z95" i="14"/>
  <c r="O95" i="14"/>
  <c r="L95" i="14"/>
  <c r="M95" i="14" s="1"/>
  <c r="H95" i="14"/>
  <c r="AB95" i="14" s="1"/>
  <c r="AD94" i="14"/>
  <c r="Z94" i="14"/>
  <c r="O94" i="14"/>
  <c r="L94" i="14"/>
  <c r="M94" i="14" s="1"/>
  <c r="H94" i="14"/>
  <c r="AB94" i="14" s="1"/>
  <c r="AD93" i="14"/>
  <c r="Z93" i="14"/>
  <c r="O93" i="14"/>
  <c r="L93" i="14"/>
  <c r="M93" i="14" s="1"/>
  <c r="H93" i="14"/>
  <c r="AB93" i="14" s="1"/>
  <c r="AD92" i="14"/>
  <c r="Z92" i="14"/>
  <c r="O92" i="14"/>
  <c r="L92" i="14"/>
  <c r="M92" i="14" s="1"/>
  <c r="H92" i="14"/>
  <c r="AB92" i="14" s="1"/>
  <c r="AD91" i="14"/>
  <c r="Z91" i="14"/>
  <c r="O91" i="14"/>
  <c r="L91" i="14"/>
  <c r="M91" i="14" s="1"/>
  <c r="H91" i="14"/>
  <c r="AB91" i="14" s="1"/>
  <c r="AD90" i="14"/>
  <c r="Z90" i="14"/>
  <c r="O90" i="14"/>
  <c r="L90" i="14"/>
  <c r="M90" i="14" s="1"/>
  <c r="H90" i="14"/>
  <c r="AB90" i="14" s="1"/>
  <c r="AD89" i="14"/>
  <c r="Z89" i="14"/>
  <c r="O89" i="14"/>
  <c r="L89" i="14"/>
  <c r="M89" i="14" s="1"/>
  <c r="H89" i="14"/>
  <c r="AB89" i="14" s="1"/>
  <c r="AD88" i="14"/>
  <c r="Z88" i="14"/>
  <c r="O88" i="14"/>
  <c r="L88" i="14"/>
  <c r="M88" i="14" s="1"/>
  <c r="H88" i="14"/>
  <c r="AB88" i="14" s="1"/>
  <c r="AD87" i="14"/>
  <c r="Z87" i="14"/>
  <c r="O87" i="14"/>
  <c r="L87" i="14"/>
  <c r="M87" i="14" s="1"/>
  <c r="H87" i="14"/>
  <c r="AB87" i="14" s="1"/>
  <c r="AD86" i="14"/>
  <c r="Z86" i="14"/>
  <c r="O86" i="14"/>
  <c r="L86" i="14"/>
  <c r="M86" i="14" s="1"/>
  <c r="H86" i="14"/>
  <c r="AB86" i="14" s="1"/>
  <c r="AD85" i="14"/>
  <c r="Z85" i="14"/>
  <c r="O85" i="14"/>
  <c r="L85" i="14"/>
  <c r="M85" i="14" s="1"/>
  <c r="H85" i="14"/>
  <c r="AB85" i="14" s="1"/>
  <c r="AD84" i="14"/>
  <c r="Z84" i="14"/>
  <c r="O84" i="14"/>
  <c r="L84" i="14"/>
  <c r="M84" i="14" s="1"/>
  <c r="H84" i="14"/>
  <c r="AB84" i="14" s="1"/>
  <c r="AD83" i="14"/>
  <c r="Z83" i="14"/>
  <c r="O83" i="14"/>
  <c r="L83" i="14"/>
  <c r="H83" i="14"/>
  <c r="AB83" i="14" s="1"/>
  <c r="W80" i="14"/>
  <c r="Q80" i="14"/>
  <c r="K80" i="14"/>
  <c r="E80" i="14"/>
  <c r="AD78" i="14"/>
  <c r="Z78" i="14"/>
  <c r="O78" i="14"/>
  <c r="O80" i="14" s="1"/>
  <c r="L78" i="14"/>
  <c r="M78" i="14" s="1"/>
  <c r="H78" i="14"/>
  <c r="AB78" i="14" s="1"/>
  <c r="AD77" i="14"/>
  <c r="Z77" i="14"/>
  <c r="O77" i="14"/>
  <c r="L77" i="14"/>
  <c r="M77" i="14" s="1"/>
  <c r="H77" i="14"/>
  <c r="AB77" i="14" s="1"/>
  <c r="AD76" i="14"/>
  <c r="Z76" i="14"/>
  <c r="O76" i="14"/>
  <c r="L76" i="14"/>
  <c r="M76" i="14" s="1"/>
  <c r="H76" i="14"/>
  <c r="AB76" i="14" s="1"/>
  <c r="AD75" i="14"/>
  <c r="Z75" i="14"/>
  <c r="O75" i="14"/>
  <c r="L75" i="14"/>
  <c r="M75" i="14" s="1"/>
  <c r="H75" i="14"/>
  <c r="AB75" i="14" s="1"/>
  <c r="AD74" i="14"/>
  <c r="Z74" i="14"/>
  <c r="O74" i="14"/>
  <c r="L74" i="14"/>
  <c r="H74" i="14"/>
  <c r="AB74" i="14" s="1"/>
  <c r="W71" i="14"/>
  <c r="Q71" i="14"/>
  <c r="K71" i="14"/>
  <c r="E71" i="14"/>
  <c r="AD69" i="14"/>
  <c r="Z69" i="14"/>
  <c r="O69" i="14"/>
  <c r="O71" i="14" s="1"/>
  <c r="L69" i="14"/>
  <c r="L71" i="14" s="1"/>
  <c r="H69" i="14"/>
  <c r="AB69" i="14" s="1"/>
  <c r="W66" i="14"/>
  <c r="Q66" i="14"/>
  <c r="K66" i="14"/>
  <c r="E66" i="14"/>
  <c r="AD64" i="14"/>
  <c r="Z64" i="14"/>
  <c r="O64" i="14"/>
  <c r="L64" i="14"/>
  <c r="M64" i="14" s="1"/>
  <c r="H64" i="14"/>
  <c r="AB64" i="14" s="1"/>
  <c r="AD63" i="14"/>
  <c r="Z63" i="14"/>
  <c r="O63" i="14"/>
  <c r="L63" i="14"/>
  <c r="M63" i="14" s="1"/>
  <c r="H63" i="14"/>
  <c r="AB63" i="14" s="1"/>
  <c r="AD62" i="14"/>
  <c r="Z62" i="14"/>
  <c r="O62" i="14"/>
  <c r="L62" i="14"/>
  <c r="M62" i="14" s="1"/>
  <c r="H62" i="14"/>
  <c r="AB62" i="14" s="1"/>
  <c r="W59" i="14"/>
  <c r="Q59" i="14"/>
  <c r="K59" i="14"/>
  <c r="E59" i="14"/>
  <c r="AD57" i="14"/>
  <c r="Z57" i="14"/>
  <c r="O57" i="14"/>
  <c r="L57" i="14"/>
  <c r="M57" i="14" s="1"/>
  <c r="H57" i="14"/>
  <c r="AB57" i="14" s="1"/>
  <c r="AD56" i="14"/>
  <c r="Z56" i="14"/>
  <c r="O56" i="14"/>
  <c r="L56" i="14"/>
  <c r="M56" i="14" s="1"/>
  <c r="H56" i="14"/>
  <c r="AB56" i="14" s="1"/>
  <c r="AD55" i="14"/>
  <c r="Z55" i="14"/>
  <c r="O55" i="14"/>
  <c r="L55" i="14"/>
  <c r="M55" i="14" s="1"/>
  <c r="H55" i="14"/>
  <c r="AB55" i="14" s="1"/>
  <c r="AD54" i="14"/>
  <c r="Z54" i="14"/>
  <c r="O54" i="14"/>
  <c r="L54" i="14"/>
  <c r="M54" i="14" s="1"/>
  <c r="H54" i="14"/>
  <c r="AB54" i="14" s="1"/>
  <c r="W51" i="14"/>
  <c r="Q51" i="14"/>
  <c r="K51" i="14"/>
  <c r="E51" i="14"/>
  <c r="AD49" i="14"/>
  <c r="Z49" i="14"/>
  <c r="O49" i="14"/>
  <c r="L49" i="14"/>
  <c r="M49" i="14" s="1"/>
  <c r="H49" i="14"/>
  <c r="AB49" i="14" s="1"/>
  <c r="AD48" i="14"/>
  <c r="Z48" i="14"/>
  <c r="O48" i="14"/>
  <c r="L48" i="14"/>
  <c r="M48" i="14" s="1"/>
  <c r="H48" i="14"/>
  <c r="AB48" i="14" s="1"/>
  <c r="AD47" i="14"/>
  <c r="Z47" i="14"/>
  <c r="O47" i="14"/>
  <c r="L47" i="14"/>
  <c r="M47" i="14" s="1"/>
  <c r="H47" i="14"/>
  <c r="AB47" i="14" s="1"/>
  <c r="AD46" i="14"/>
  <c r="Z46" i="14"/>
  <c r="O46" i="14"/>
  <c r="L46" i="14"/>
  <c r="M46" i="14" s="1"/>
  <c r="H46" i="14"/>
  <c r="AB46" i="14" s="1"/>
  <c r="AD45" i="14"/>
  <c r="Z45" i="14"/>
  <c r="O45" i="14"/>
  <c r="L45" i="14"/>
  <c r="M45" i="14" s="1"/>
  <c r="H45" i="14"/>
  <c r="AB45" i="14" s="1"/>
  <c r="W42" i="14"/>
  <c r="Q42" i="14"/>
  <c r="K42" i="14"/>
  <c r="E42" i="14"/>
  <c r="AD40" i="14"/>
  <c r="Z40" i="14"/>
  <c r="O40" i="14"/>
  <c r="L40" i="14"/>
  <c r="M40" i="14" s="1"/>
  <c r="H40" i="14"/>
  <c r="AB40" i="14" s="1"/>
  <c r="AD39" i="14"/>
  <c r="Z39" i="14"/>
  <c r="O39" i="14"/>
  <c r="L39" i="14"/>
  <c r="M39" i="14" s="1"/>
  <c r="H39" i="14"/>
  <c r="AB39" i="14" s="1"/>
  <c r="AD38" i="14"/>
  <c r="Z38" i="14"/>
  <c r="O38" i="14"/>
  <c r="L38" i="14"/>
  <c r="M38" i="14" s="1"/>
  <c r="H38" i="14"/>
  <c r="AB38" i="14" s="1"/>
  <c r="AD37" i="14"/>
  <c r="Z37" i="14"/>
  <c r="O37" i="14"/>
  <c r="L37" i="14"/>
  <c r="M37" i="14" s="1"/>
  <c r="H37" i="14"/>
  <c r="AB37" i="14" s="1"/>
  <c r="W34" i="14"/>
  <c r="Q34" i="14"/>
  <c r="K34" i="14"/>
  <c r="E34" i="14"/>
  <c r="AD32" i="14"/>
  <c r="Z32" i="14"/>
  <c r="O32" i="14"/>
  <c r="L32" i="14"/>
  <c r="M32" i="14" s="1"/>
  <c r="H32" i="14"/>
  <c r="AB32" i="14" s="1"/>
  <c r="AD31" i="14"/>
  <c r="Z31" i="14"/>
  <c r="O31" i="14"/>
  <c r="L31" i="14"/>
  <c r="M31" i="14" s="1"/>
  <c r="H31" i="14"/>
  <c r="AB31" i="14" s="1"/>
  <c r="AD30" i="14"/>
  <c r="Z30" i="14"/>
  <c r="O30" i="14"/>
  <c r="L30" i="14"/>
  <c r="H30" i="14"/>
  <c r="AB30" i="14" s="1"/>
  <c r="W27" i="14"/>
  <c r="Q27" i="14"/>
  <c r="K27" i="14"/>
  <c r="E27" i="14"/>
  <c r="E129" i="14" s="1"/>
  <c r="AD25" i="14"/>
  <c r="Z25" i="14"/>
  <c r="O25" i="14"/>
  <c r="L25" i="14"/>
  <c r="M25" i="14" s="1"/>
  <c r="H25" i="14"/>
  <c r="AB25" i="14" s="1"/>
  <c r="AD24" i="14"/>
  <c r="Z24" i="14"/>
  <c r="O24" i="14"/>
  <c r="L24" i="14"/>
  <c r="M24" i="14" s="1"/>
  <c r="H24" i="14"/>
  <c r="AB24" i="14" s="1"/>
  <c r="W21" i="14"/>
  <c r="Q21" i="14"/>
  <c r="K21" i="14"/>
  <c r="E21" i="14"/>
  <c r="AD19" i="14"/>
  <c r="Z19" i="14"/>
  <c r="O19" i="14"/>
  <c r="L19" i="14"/>
  <c r="M19" i="14" s="1"/>
  <c r="H19" i="14"/>
  <c r="AB19" i="14" s="1"/>
  <c r="AD18" i="14"/>
  <c r="Z18" i="14"/>
  <c r="O18" i="14"/>
  <c r="L18" i="14"/>
  <c r="H18" i="14"/>
  <c r="AB18" i="14" s="1"/>
  <c r="W15" i="14"/>
  <c r="Q15" i="14"/>
  <c r="K15" i="14"/>
  <c r="E15" i="14"/>
  <c r="AD13" i="14"/>
  <c r="Z13" i="14"/>
  <c r="O13" i="14"/>
  <c r="L13" i="14"/>
  <c r="M13" i="14" s="1"/>
  <c r="H13" i="14"/>
  <c r="AB13" i="14" s="1"/>
  <c r="AD12" i="14"/>
  <c r="Z12" i="14"/>
  <c r="O12" i="14"/>
  <c r="L12" i="14"/>
  <c r="M12" i="14" s="1"/>
  <c r="H12" i="14"/>
  <c r="AB12" i="14" s="1"/>
  <c r="X10" i="14"/>
  <c r="G7" i="14"/>
  <c r="F7" i="14"/>
  <c r="W126" i="14" l="1"/>
  <c r="L80" i="14"/>
  <c r="O15" i="14"/>
  <c r="O112" i="14"/>
  <c r="Q126" i="14"/>
  <c r="M51" i="14"/>
  <c r="O66" i="14"/>
  <c r="O123" i="14"/>
  <c r="L42" i="14"/>
  <c r="L66" i="14"/>
  <c r="T132" i="14"/>
  <c r="L15" i="14"/>
  <c r="AC18" i="14"/>
  <c r="O42" i="14"/>
  <c r="O51" i="14"/>
  <c r="M69" i="14"/>
  <c r="M71" i="14" s="1"/>
  <c r="M74" i="14"/>
  <c r="M80" i="14" s="1"/>
  <c r="L112" i="14"/>
  <c r="L123" i="14"/>
  <c r="M42" i="14"/>
  <c r="M66" i="14"/>
  <c r="M15" i="14"/>
  <c r="AA118" i="14"/>
  <c r="AA109" i="14"/>
  <c r="AA105" i="14"/>
  <c r="AA101" i="14"/>
  <c r="AA97" i="14"/>
  <c r="AA93" i="14"/>
  <c r="AA89" i="14"/>
  <c r="AA85" i="14"/>
  <c r="AA77" i="14"/>
  <c r="AA63" i="14"/>
  <c r="AA119" i="14"/>
  <c r="AA115" i="14"/>
  <c r="AA110" i="14"/>
  <c r="AA106" i="14"/>
  <c r="AA102" i="14"/>
  <c r="AA98" i="14"/>
  <c r="AA94" i="14"/>
  <c r="AA90" i="14"/>
  <c r="AA86" i="14"/>
  <c r="AA74" i="14"/>
  <c r="AA69" i="14"/>
  <c r="AA64" i="14"/>
  <c r="AA55" i="14"/>
  <c r="AA47" i="14"/>
  <c r="AA120" i="14"/>
  <c r="AA116" i="14"/>
  <c r="AA107" i="14"/>
  <c r="AA103" i="14"/>
  <c r="AA99" i="14"/>
  <c r="AA95" i="14"/>
  <c r="AA91" i="14"/>
  <c r="AA87" i="14"/>
  <c r="AA83" i="14"/>
  <c r="AA78" i="14"/>
  <c r="AA75" i="14"/>
  <c r="AA56" i="14"/>
  <c r="AA121" i="14"/>
  <c r="AA117" i="14"/>
  <c r="AA108" i="14"/>
  <c r="AA104" i="14"/>
  <c r="AA100" i="14"/>
  <c r="AA96" i="14"/>
  <c r="AA92" i="14"/>
  <c r="AA88" i="14"/>
  <c r="AA84" i="14"/>
  <c r="AA76" i="14"/>
  <c r="AA62" i="14"/>
  <c r="T62" i="14" s="1"/>
  <c r="AA57" i="14"/>
  <c r="AA54" i="14"/>
  <c r="AA49" i="14"/>
  <c r="AA48" i="14"/>
  <c r="AA38" i="14"/>
  <c r="AA31" i="14"/>
  <c r="AA39" i="14"/>
  <c r="AA46" i="14"/>
  <c r="AA45" i="14"/>
  <c r="AA40" i="14"/>
  <c r="AA37" i="14"/>
  <c r="N37" i="14" s="1"/>
  <c r="P37" i="14" s="1"/>
  <c r="AA32" i="14"/>
  <c r="AA24" i="14"/>
  <c r="AA19" i="14"/>
  <c r="L21" i="14"/>
  <c r="M18" i="14"/>
  <c r="M21" i="14" s="1"/>
  <c r="AC12" i="14"/>
  <c r="AA13" i="14"/>
  <c r="AA18" i="14"/>
  <c r="AC25" i="14"/>
  <c r="L27" i="14"/>
  <c r="O27" i="14"/>
  <c r="O34" i="14"/>
  <c r="AA25" i="14"/>
  <c r="AC120" i="14"/>
  <c r="AC116" i="14"/>
  <c r="AC107" i="14"/>
  <c r="AC103" i="14"/>
  <c r="AC99" i="14"/>
  <c r="AC95" i="14"/>
  <c r="AC91" i="14"/>
  <c r="AC87" i="14"/>
  <c r="AC83" i="14"/>
  <c r="AC78" i="14"/>
  <c r="AC75" i="14"/>
  <c r="AC56" i="14"/>
  <c r="AC121" i="14"/>
  <c r="N121" i="14" s="1"/>
  <c r="R121" i="14" s="1"/>
  <c r="AC117" i="14"/>
  <c r="AC108" i="14"/>
  <c r="AC104" i="14"/>
  <c r="AC100" i="14"/>
  <c r="T100" i="14" s="1"/>
  <c r="V100" i="14" s="1"/>
  <c r="X100" i="14" s="1"/>
  <c r="AC96" i="14"/>
  <c r="AC92" i="14"/>
  <c r="AC88" i="14"/>
  <c r="AC84" i="14"/>
  <c r="AC76" i="14"/>
  <c r="AC62" i="14"/>
  <c r="AC57" i="14"/>
  <c r="AC54" i="14"/>
  <c r="N54" i="14" s="1"/>
  <c r="AC49" i="14"/>
  <c r="AC118" i="14"/>
  <c r="AC109" i="14"/>
  <c r="AC105" i="14"/>
  <c r="AC101" i="14"/>
  <c r="AC97" i="14"/>
  <c r="AC93" i="14"/>
  <c r="AC89" i="14"/>
  <c r="AC85" i="14"/>
  <c r="AC77" i="14"/>
  <c r="AC63" i="14"/>
  <c r="AC119" i="14"/>
  <c r="AC115" i="14"/>
  <c r="AC110" i="14"/>
  <c r="AC106" i="14"/>
  <c r="AC102" i="14"/>
  <c r="AC98" i="14"/>
  <c r="AC94" i="14"/>
  <c r="AC90" i="14"/>
  <c r="AC86" i="14"/>
  <c r="AC74" i="14"/>
  <c r="AC69" i="14"/>
  <c r="AC64" i="14"/>
  <c r="AC55" i="14"/>
  <c r="AC47" i="14"/>
  <c r="AC46" i="14"/>
  <c r="AC39" i="14"/>
  <c r="AC45" i="14"/>
  <c r="AC40" i="14"/>
  <c r="AC37" i="14"/>
  <c r="AC32" i="14"/>
  <c r="AC24" i="14"/>
  <c r="AC19" i="14"/>
  <c r="AC48" i="14"/>
  <c r="AC38" i="14"/>
  <c r="AC31" i="14"/>
  <c r="T31" i="14" s="1"/>
  <c r="V31" i="14" s="1"/>
  <c r="X31" i="14" s="1"/>
  <c r="AA12" i="14"/>
  <c r="AC13" i="14"/>
  <c r="O21" i="14"/>
  <c r="M27" i="14"/>
  <c r="AC30" i="14"/>
  <c r="L34" i="14"/>
  <c r="M30" i="14"/>
  <c r="M34" i="14" s="1"/>
  <c r="AA30" i="14"/>
  <c r="L51" i="14"/>
  <c r="M123" i="14"/>
  <c r="O59" i="14"/>
  <c r="K126" i="14"/>
  <c r="M59" i="14"/>
  <c r="E126" i="14"/>
  <c r="E130" i="14" s="1"/>
  <c r="E132" i="14" s="1"/>
  <c r="L59" i="14"/>
  <c r="M83" i="14"/>
  <c r="M112" i="14" s="1"/>
  <c r="T84" i="14"/>
  <c r="V84" i="14" s="1"/>
  <c r="X84" i="14" s="1"/>
  <c r="T104" i="14"/>
  <c r="V104" i="14" s="1"/>
  <c r="X104" i="14" s="1"/>
  <c r="N88" i="14" l="1"/>
  <c r="R88" i="14" s="1"/>
  <c r="N98" i="14"/>
  <c r="R98" i="14" s="1"/>
  <c r="N115" i="14"/>
  <c r="T117" i="14"/>
  <c r="V117" i="14" s="1"/>
  <c r="X117" i="14" s="1"/>
  <c r="T38" i="14"/>
  <c r="V38" i="14" s="1"/>
  <c r="X38" i="14" s="1"/>
  <c r="N104" i="14"/>
  <c r="R104" i="14" s="1"/>
  <c r="T47" i="14"/>
  <c r="V47" i="14" s="1"/>
  <c r="X47" i="14" s="1"/>
  <c r="T37" i="14"/>
  <c r="T88" i="14"/>
  <c r="V88" i="14" s="1"/>
  <c r="X88" i="14" s="1"/>
  <c r="T76" i="14"/>
  <c r="V76" i="14" s="1"/>
  <c r="X76" i="14" s="1"/>
  <c r="N76" i="14"/>
  <c r="R76" i="14" s="1"/>
  <c r="N62" i="14"/>
  <c r="P62" i="14" s="1"/>
  <c r="N84" i="14"/>
  <c r="R84" i="14" s="1"/>
  <c r="U84" i="14" s="1"/>
  <c r="Y84" i="14" s="1"/>
  <c r="N100" i="14"/>
  <c r="R100" i="14" s="1"/>
  <c r="N55" i="14"/>
  <c r="R55" i="14" s="1"/>
  <c r="T90" i="14"/>
  <c r="V90" i="14" s="1"/>
  <c r="X90" i="14" s="1"/>
  <c r="N106" i="14"/>
  <c r="R106" i="14" s="1"/>
  <c r="N64" i="14"/>
  <c r="R64" i="14" s="1"/>
  <c r="T94" i="14"/>
  <c r="V94" i="14" s="1"/>
  <c r="X94" i="14" s="1"/>
  <c r="T110" i="14"/>
  <c r="V110" i="14" s="1"/>
  <c r="X110" i="14" s="1"/>
  <c r="N45" i="14"/>
  <c r="P45" i="14" s="1"/>
  <c r="N108" i="14"/>
  <c r="R108" i="14" s="1"/>
  <c r="N32" i="14"/>
  <c r="P32" i="14" s="1"/>
  <c r="R32" i="14" s="1"/>
  <c r="N90" i="14"/>
  <c r="R90" i="14" s="1"/>
  <c r="U90" i="14" s="1"/>
  <c r="Y90" i="14" s="1"/>
  <c r="T55" i="14"/>
  <c r="V55" i="14" s="1"/>
  <c r="X55" i="14" s="1"/>
  <c r="T106" i="14"/>
  <c r="V106" i="14" s="1"/>
  <c r="X106" i="14" s="1"/>
  <c r="T19" i="14"/>
  <c r="V19" i="14" s="1"/>
  <c r="X19" i="14" s="1"/>
  <c r="N47" i="14"/>
  <c r="R47" i="14" s="1"/>
  <c r="T32" i="14"/>
  <c r="V32" i="14" s="1"/>
  <c r="X32" i="14" s="1"/>
  <c r="N92" i="14"/>
  <c r="R92" i="14" s="1"/>
  <c r="N110" i="14"/>
  <c r="R110" i="14" s="1"/>
  <c r="U110" i="14" s="1"/>
  <c r="Y110" i="14" s="1"/>
  <c r="N94" i="14"/>
  <c r="R94" i="14" s="1"/>
  <c r="N74" i="14"/>
  <c r="P74" i="14" s="1"/>
  <c r="R74" i="14" s="1"/>
  <c r="N13" i="14"/>
  <c r="P13" i="14" s="1"/>
  <c r="R13" i="14" s="1"/>
  <c r="T54" i="14"/>
  <c r="V54" i="14" s="1"/>
  <c r="N12" i="14"/>
  <c r="P12" i="14" s="1"/>
  <c r="T24" i="14"/>
  <c r="V24" i="14" s="1"/>
  <c r="T40" i="14"/>
  <c r="V40" i="14" s="1"/>
  <c r="X40" i="14" s="1"/>
  <c r="T69" i="14"/>
  <c r="V69" i="14" s="1"/>
  <c r="T92" i="14"/>
  <c r="V92" i="14" s="1"/>
  <c r="X92" i="14" s="1"/>
  <c r="T108" i="14"/>
  <c r="V108" i="14" s="1"/>
  <c r="X108" i="14" s="1"/>
  <c r="U108" i="14" s="1"/>
  <c r="Y108" i="14" s="1"/>
  <c r="T13" i="14"/>
  <c r="V13" i="14" s="1"/>
  <c r="X13" i="14" s="1"/>
  <c r="P90" i="14"/>
  <c r="M126" i="14"/>
  <c r="O126" i="14"/>
  <c r="T45" i="14"/>
  <c r="V45" i="14" s="1"/>
  <c r="X45" i="14" s="1"/>
  <c r="N38" i="14"/>
  <c r="P38" i="14" s="1"/>
  <c r="N49" i="14"/>
  <c r="P49" i="14" s="1"/>
  <c r="T57" i="14"/>
  <c r="V57" i="14" s="1"/>
  <c r="X57" i="14" s="1"/>
  <c r="T96" i="14"/>
  <c r="V96" i="14" s="1"/>
  <c r="X96" i="14" s="1"/>
  <c r="N117" i="14"/>
  <c r="R117" i="14" s="1"/>
  <c r="U117" i="14" s="1"/>
  <c r="Y117" i="14" s="1"/>
  <c r="T74" i="14"/>
  <c r="V74" i="14" s="1"/>
  <c r="X74" i="14" s="1"/>
  <c r="T86" i="14"/>
  <c r="V86" i="14" s="1"/>
  <c r="X86" i="14" s="1"/>
  <c r="T102" i="14"/>
  <c r="V102" i="14" s="1"/>
  <c r="X102" i="14" s="1"/>
  <c r="L126" i="14"/>
  <c r="P94" i="14"/>
  <c r="N19" i="14"/>
  <c r="P19" i="14" s="1"/>
  <c r="P104" i="14"/>
  <c r="N18" i="14"/>
  <c r="T18" i="14"/>
  <c r="T83" i="14"/>
  <c r="N83" i="14"/>
  <c r="N99" i="14"/>
  <c r="N120" i="14"/>
  <c r="T77" i="14"/>
  <c r="V77" i="14" s="1"/>
  <c r="X77" i="14" s="1"/>
  <c r="N77" i="14"/>
  <c r="T89" i="14"/>
  <c r="V89" i="14" s="1"/>
  <c r="X89" i="14" s="1"/>
  <c r="N89" i="14"/>
  <c r="T105" i="14"/>
  <c r="V105" i="14" s="1"/>
  <c r="X105" i="14" s="1"/>
  <c r="N105" i="14"/>
  <c r="V62" i="14"/>
  <c r="T25" i="14"/>
  <c r="V25" i="14" s="1"/>
  <c r="X25" i="14" s="1"/>
  <c r="N25" i="14"/>
  <c r="T48" i="14"/>
  <c r="V48" i="14" s="1"/>
  <c r="X48" i="14" s="1"/>
  <c r="N48" i="14"/>
  <c r="T56" i="14"/>
  <c r="V56" i="14" s="1"/>
  <c r="X56" i="14" s="1"/>
  <c r="N56" i="14"/>
  <c r="T78" i="14"/>
  <c r="V78" i="14" s="1"/>
  <c r="N78" i="14"/>
  <c r="T95" i="14"/>
  <c r="V95" i="14" s="1"/>
  <c r="X95" i="14" s="1"/>
  <c r="N95" i="14"/>
  <c r="T116" i="14"/>
  <c r="V116" i="14" s="1"/>
  <c r="X116" i="14" s="1"/>
  <c r="N116" i="14"/>
  <c r="T63" i="14"/>
  <c r="V63" i="14" s="1"/>
  <c r="X63" i="14" s="1"/>
  <c r="N63" i="14"/>
  <c r="T85" i="14"/>
  <c r="V85" i="14" s="1"/>
  <c r="X85" i="14" s="1"/>
  <c r="N85" i="14"/>
  <c r="T101" i="14"/>
  <c r="V101" i="14" s="1"/>
  <c r="X101" i="14" s="1"/>
  <c r="N101" i="14"/>
  <c r="U100" i="14"/>
  <c r="Y100" i="14" s="1"/>
  <c r="T115" i="14"/>
  <c r="U106" i="14"/>
  <c r="Y106" i="14" s="1"/>
  <c r="N86" i="14"/>
  <c r="P86" i="14" s="1"/>
  <c r="R86" i="14" s="1"/>
  <c r="P98" i="14"/>
  <c r="T98" i="14" s="1"/>
  <c r="V98" i="14" s="1"/>
  <c r="X98" i="14" s="1"/>
  <c r="U98" i="14" s="1"/>
  <c r="P88" i="14"/>
  <c r="T49" i="14"/>
  <c r="V49" i="14" s="1"/>
  <c r="X49" i="14" s="1"/>
  <c r="N31" i="14"/>
  <c r="T12" i="14"/>
  <c r="T30" i="14"/>
  <c r="N30" i="14"/>
  <c r="T39" i="14"/>
  <c r="V39" i="14" s="1"/>
  <c r="X39" i="14" s="1"/>
  <c r="N39" i="14"/>
  <c r="T75" i="14"/>
  <c r="V75" i="14" s="1"/>
  <c r="X75" i="14" s="1"/>
  <c r="N75" i="14"/>
  <c r="R54" i="14"/>
  <c r="V15" i="14"/>
  <c r="N46" i="14"/>
  <c r="T46" i="14"/>
  <c r="V46" i="14" s="1"/>
  <c r="X46" i="14" s="1"/>
  <c r="T91" i="14"/>
  <c r="V91" i="14" s="1"/>
  <c r="X91" i="14" s="1"/>
  <c r="N91" i="14"/>
  <c r="T107" i="14"/>
  <c r="V107" i="14" s="1"/>
  <c r="X107" i="14" s="1"/>
  <c r="N107" i="14"/>
  <c r="N97" i="14"/>
  <c r="P97" i="14" s="1"/>
  <c r="R97" i="14" s="1"/>
  <c r="T118" i="14"/>
  <c r="V118" i="14" s="1"/>
  <c r="X118" i="14" s="1"/>
  <c r="N118" i="14"/>
  <c r="N24" i="14"/>
  <c r="N96" i="14"/>
  <c r="N57" i="14"/>
  <c r="N119" i="14"/>
  <c r="N69" i="14"/>
  <c r="P121" i="14"/>
  <c r="T121" i="14" s="1"/>
  <c r="V121" i="14" s="1"/>
  <c r="X121" i="14" s="1"/>
  <c r="U121" i="14" s="1"/>
  <c r="Y121" i="14" s="1"/>
  <c r="P108" i="14"/>
  <c r="N40" i="14"/>
  <c r="V37" i="14"/>
  <c r="X37" i="14" s="1"/>
  <c r="R37" i="14"/>
  <c r="T87" i="14"/>
  <c r="V87" i="14" s="1"/>
  <c r="X87" i="14" s="1"/>
  <c r="N87" i="14"/>
  <c r="T103" i="14"/>
  <c r="V103" i="14" s="1"/>
  <c r="X103" i="14" s="1"/>
  <c r="N103" i="14"/>
  <c r="T93" i="14"/>
  <c r="V93" i="14" s="1"/>
  <c r="X93" i="14" s="1"/>
  <c r="N93" i="14"/>
  <c r="T109" i="14"/>
  <c r="V109" i="14" s="1"/>
  <c r="X109" i="14" s="1"/>
  <c r="N109" i="14"/>
  <c r="P115" i="14"/>
  <c r="N102" i="14"/>
  <c r="P100" i="14"/>
  <c r="U104" i="14"/>
  <c r="Y104" i="14" s="1"/>
  <c r="U88" i="14"/>
  <c r="Y88" i="14" s="1"/>
  <c r="P92" i="14"/>
  <c r="P54" i="14"/>
  <c r="P55" i="14" l="1"/>
  <c r="U94" i="14"/>
  <c r="Y94" i="14" s="1"/>
  <c r="U47" i="14"/>
  <c r="Y47" i="14" s="1"/>
  <c r="U55" i="14"/>
  <c r="Y55" i="14" s="1"/>
  <c r="P76" i="14"/>
  <c r="U76" i="14"/>
  <c r="Y76" i="14" s="1"/>
  <c r="P84" i="14"/>
  <c r="P106" i="14"/>
  <c r="P64" i="14"/>
  <c r="T64" i="14" s="1"/>
  <c r="V64" i="14" s="1"/>
  <c r="X64" i="14" s="1"/>
  <c r="U64" i="14" s="1"/>
  <c r="Y64" i="14" s="1"/>
  <c r="N66" i="14"/>
  <c r="R45" i="14"/>
  <c r="T71" i="14"/>
  <c r="U32" i="14"/>
  <c r="Y32" i="14" s="1"/>
  <c r="U92" i="14"/>
  <c r="Y92" i="14" s="1"/>
  <c r="P47" i="14"/>
  <c r="U86" i="14"/>
  <c r="Y86" i="14" s="1"/>
  <c r="P110" i="14"/>
  <c r="R19" i="14"/>
  <c r="U19" i="14" s="1"/>
  <c r="Y19" i="14" s="1"/>
  <c r="R49" i="14"/>
  <c r="U49" i="14" s="1"/>
  <c r="Y49" i="14" s="1"/>
  <c r="R38" i="14"/>
  <c r="U38" i="14" s="1"/>
  <c r="Y38" i="14" s="1"/>
  <c r="P117" i="14"/>
  <c r="N42" i="14"/>
  <c r="N80" i="14"/>
  <c r="R62" i="14"/>
  <c r="R115" i="14"/>
  <c r="P109" i="14"/>
  <c r="R109" i="14"/>
  <c r="P103" i="14"/>
  <c r="R103" i="14"/>
  <c r="U103" i="14" s="1"/>
  <c r="Y103" i="14" s="1"/>
  <c r="N71" i="14"/>
  <c r="R69" i="14"/>
  <c r="R71" i="14" s="1"/>
  <c r="P69" i="14"/>
  <c r="P71" i="14" s="1"/>
  <c r="N27" i="14"/>
  <c r="R24" i="14"/>
  <c r="P24" i="14"/>
  <c r="P118" i="14"/>
  <c r="R118" i="14"/>
  <c r="U118" i="14" s="1"/>
  <c r="Y118" i="14" s="1"/>
  <c r="P107" i="14"/>
  <c r="R107" i="14"/>
  <c r="T34" i="14"/>
  <c r="V30" i="14"/>
  <c r="V115" i="14"/>
  <c r="V80" i="14"/>
  <c r="X78" i="14"/>
  <c r="V51" i="14"/>
  <c r="R15" i="14"/>
  <c r="U37" i="14"/>
  <c r="Y37" i="14" s="1"/>
  <c r="N59" i="14"/>
  <c r="T59" i="14"/>
  <c r="N15" i="14"/>
  <c r="R40" i="14"/>
  <c r="U40" i="14" s="1"/>
  <c r="Y40" i="14" s="1"/>
  <c r="P40" i="14"/>
  <c r="R96" i="14"/>
  <c r="P96" i="14"/>
  <c r="R46" i="14"/>
  <c r="U46" i="14" s="1"/>
  <c r="Y46" i="14" s="1"/>
  <c r="P46" i="14"/>
  <c r="R30" i="14"/>
  <c r="N34" i="14"/>
  <c r="P30" i="14"/>
  <c r="V12" i="14"/>
  <c r="X12" i="14" s="1"/>
  <c r="T15" i="14"/>
  <c r="P85" i="14"/>
  <c r="R85" i="14"/>
  <c r="U85" i="14" s="1"/>
  <c r="Y85" i="14" s="1"/>
  <c r="P116" i="14"/>
  <c r="R116" i="14"/>
  <c r="U116" i="14" s="1"/>
  <c r="Y116" i="14" s="1"/>
  <c r="P78" i="14"/>
  <c r="P80" i="14" s="1"/>
  <c r="R78" i="14"/>
  <c r="R80" i="14" s="1"/>
  <c r="R48" i="14"/>
  <c r="U48" i="14" s="1"/>
  <c r="Y48" i="14" s="1"/>
  <c r="P48" i="14"/>
  <c r="R25" i="14"/>
  <c r="U25" i="14" s="1"/>
  <c r="Y25" i="14" s="1"/>
  <c r="P25" i="14"/>
  <c r="V59" i="14"/>
  <c r="X54" i="14"/>
  <c r="P105" i="14"/>
  <c r="R105" i="14"/>
  <c r="U105" i="14" s="1"/>
  <c r="Y105" i="14" s="1"/>
  <c r="P77" i="14"/>
  <c r="R77" i="14"/>
  <c r="U77" i="14" s="1"/>
  <c r="Y77" i="14" s="1"/>
  <c r="P99" i="14"/>
  <c r="T99" i="14" s="1"/>
  <c r="V99" i="14" s="1"/>
  <c r="X99" i="14" s="1"/>
  <c r="R99" i="14"/>
  <c r="U74" i="14"/>
  <c r="Y74" i="14" s="1"/>
  <c r="P15" i="14"/>
  <c r="R12" i="14"/>
  <c r="N51" i="14"/>
  <c r="T97" i="14"/>
  <c r="V97" i="14" s="1"/>
  <c r="N123" i="14"/>
  <c r="V21" i="14"/>
  <c r="T51" i="14"/>
  <c r="R102" i="14"/>
  <c r="U102" i="14" s="1"/>
  <c r="Y102" i="14" s="1"/>
  <c r="P102" i="14"/>
  <c r="P93" i="14"/>
  <c r="R93" i="14"/>
  <c r="U93" i="14" s="1"/>
  <c r="Y93" i="14" s="1"/>
  <c r="P87" i="14"/>
  <c r="R87" i="14"/>
  <c r="U87" i="14" s="1"/>
  <c r="Y87" i="14" s="1"/>
  <c r="R57" i="14"/>
  <c r="U57" i="14" s="1"/>
  <c r="Y57" i="14" s="1"/>
  <c r="P57" i="14"/>
  <c r="P91" i="14"/>
  <c r="R91" i="14"/>
  <c r="U91" i="14" s="1"/>
  <c r="Y91" i="14" s="1"/>
  <c r="V83" i="14"/>
  <c r="X83" i="14" s="1"/>
  <c r="R18" i="14"/>
  <c r="N21" i="14"/>
  <c r="P18" i="14"/>
  <c r="X21" i="14"/>
  <c r="V71" i="14"/>
  <c r="X69" i="14"/>
  <c r="U45" i="14"/>
  <c r="Y98" i="14"/>
  <c r="T27" i="14"/>
  <c r="T80" i="14"/>
  <c r="R119" i="14"/>
  <c r="P119" i="14"/>
  <c r="T119" i="14" s="1"/>
  <c r="V119" i="14" s="1"/>
  <c r="X119" i="14" s="1"/>
  <c r="U13" i="14"/>
  <c r="Y13" i="14" s="1"/>
  <c r="X15" i="14"/>
  <c r="P75" i="14"/>
  <c r="R75" i="14"/>
  <c r="U75" i="14" s="1"/>
  <c r="Y75" i="14" s="1"/>
  <c r="P39" i="14"/>
  <c r="R39" i="14"/>
  <c r="U39" i="14" s="1"/>
  <c r="Y39" i="14" s="1"/>
  <c r="R31" i="14"/>
  <c r="U31" i="14" s="1"/>
  <c r="Y31" i="14" s="1"/>
  <c r="P31" i="14"/>
  <c r="P101" i="14"/>
  <c r="R101" i="14"/>
  <c r="U101" i="14" s="1"/>
  <c r="Y101" i="14" s="1"/>
  <c r="P63" i="14"/>
  <c r="R63" i="14"/>
  <c r="U63" i="14" s="1"/>
  <c r="Y63" i="14" s="1"/>
  <c r="P95" i="14"/>
  <c r="R95" i="14"/>
  <c r="U95" i="14" s="1"/>
  <c r="Y95" i="14" s="1"/>
  <c r="P56" i="14"/>
  <c r="R56" i="14"/>
  <c r="U56" i="14" s="1"/>
  <c r="Y56" i="14" s="1"/>
  <c r="X62" i="14"/>
  <c r="P89" i="14"/>
  <c r="R89" i="14"/>
  <c r="U89" i="14" s="1"/>
  <c r="Y89" i="14" s="1"/>
  <c r="P120" i="14"/>
  <c r="T120" i="14" s="1"/>
  <c r="V120" i="14" s="1"/>
  <c r="X120" i="14" s="1"/>
  <c r="R120" i="14"/>
  <c r="N112" i="14"/>
  <c r="P83" i="14"/>
  <c r="R83" i="14"/>
  <c r="T21" i="14"/>
  <c r="V18" i="14"/>
  <c r="V27" i="14"/>
  <c r="X24" i="14"/>
  <c r="U109" i="14"/>
  <c r="Y109" i="14" s="1"/>
  <c r="U107" i="14"/>
  <c r="Y107" i="14" s="1"/>
  <c r="T66" i="14" l="1"/>
  <c r="P66" i="14"/>
  <c r="V66" i="14"/>
  <c r="R21" i="14"/>
  <c r="U99" i="14"/>
  <c r="Y99" i="14" s="1"/>
  <c r="U120" i="14"/>
  <c r="Y120" i="14" s="1"/>
  <c r="P59" i="14"/>
  <c r="N126" i="14"/>
  <c r="R59" i="14"/>
  <c r="P27" i="14"/>
  <c r="T112" i="14"/>
  <c r="N129" i="14"/>
  <c r="U129" i="14" s="1"/>
  <c r="P123" i="14"/>
  <c r="X66" i="14"/>
  <c r="U62" i="14"/>
  <c r="U66" i="14" s="1"/>
  <c r="U69" i="14"/>
  <c r="U71" i="14" s="1"/>
  <c r="X71" i="14"/>
  <c r="U83" i="14"/>
  <c r="X97" i="14"/>
  <c r="V112" i="14"/>
  <c r="U78" i="14"/>
  <c r="Y78" i="14" s="1"/>
  <c r="Y80" i="14" s="1"/>
  <c r="X80" i="14"/>
  <c r="T42" i="14"/>
  <c r="R42" i="14"/>
  <c r="R51" i="14"/>
  <c r="R34" i="14"/>
  <c r="R112" i="14"/>
  <c r="U96" i="14"/>
  <c r="Y96" i="14" s="1"/>
  <c r="R123" i="14"/>
  <c r="T123" i="14"/>
  <c r="R66" i="14"/>
  <c r="X18" i="14"/>
  <c r="U119" i="14"/>
  <c r="Y119" i="14" s="1"/>
  <c r="X59" i="14"/>
  <c r="U54" i="14"/>
  <c r="Y54" i="14" s="1"/>
  <c r="X42" i="14"/>
  <c r="X51" i="14"/>
  <c r="U51" i="14"/>
  <c r="V123" i="14"/>
  <c r="X115" i="14"/>
  <c r="X30" i="14"/>
  <c r="V34" i="14"/>
  <c r="P112" i="14"/>
  <c r="Y45" i="14"/>
  <c r="N131" i="14"/>
  <c r="U131" i="14" s="1"/>
  <c r="P34" i="14"/>
  <c r="X27" i="14"/>
  <c r="U24" i="14"/>
  <c r="U27" i="14" s="1"/>
  <c r="U12" i="14"/>
  <c r="U15" i="14" s="1"/>
  <c r="P21" i="14"/>
  <c r="P42" i="14"/>
  <c r="P51" i="14"/>
  <c r="V42" i="14"/>
  <c r="R27" i="14"/>
  <c r="U80" i="14" l="1"/>
  <c r="T126" i="14"/>
  <c r="R126" i="14"/>
  <c r="Y69" i="14"/>
  <c r="Y71" i="14" s="1"/>
  <c r="Y24" i="14"/>
  <c r="Y27" i="14" s="1"/>
  <c r="Y59" i="14"/>
  <c r="U132" i="14"/>
  <c r="V126" i="14"/>
  <c r="P126" i="14"/>
  <c r="Y42" i="14"/>
  <c r="U18" i="14"/>
  <c r="U21" i="14" s="1"/>
  <c r="U42" i="14"/>
  <c r="Y12" i="14"/>
  <c r="Y15" i="14" s="1"/>
  <c r="Y51" i="14"/>
  <c r="Y83" i="14"/>
  <c r="X123" i="14"/>
  <c r="U115" i="14"/>
  <c r="U123" i="14" s="1"/>
  <c r="X34" i="14"/>
  <c r="U30" i="14"/>
  <c r="U34" i="14" s="1"/>
  <c r="U97" i="14"/>
  <c r="U112" i="14" s="1"/>
  <c r="X112" i="14"/>
  <c r="Y62" i="14"/>
  <c r="Y66" i="14" s="1"/>
  <c r="U59" i="14"/>
  <c r="N132" i="14"/>
  <c r="X126" i="14" l="1"/>
  <c r="U126" i="14"/>
  <c r="Y97" i="14"/>
  <c r="Y112" i="14" s="1"/>
  <c r="Y115" i="14"/>
  <c r="Y123" i="14" s="1"/>
  <c r="Y30" i="14"/>
  <c r="Y34" i="14" s="1"/>
  <c r="Y18" i="14"/>
  <c r="Y21" i="14" s="1"/>
  <c r="Y126" i="14" l="1"/>
  <c r="F116" i="83" l="1"/>
  <c r="D116" i="83"/>
  <c r="C90" i="83" s="1"/>
  <c r="G114" i="83"/>
  <c r="H114" i="83" s="1"/>
  <c r="F110" i="83"/>
  <c r="D110" i="83"/>
  <c r="C89" i="83" s="1"/>
  <c r="H109" i="83"/>
  <c r="J109" i="83" s="1"/>
  <c r="G108" i="83"/>
  <c r="G110" i="83" s="1"/>
  <c r="J104" i="83"/>
  <c r="I104" i="83"/>
  <c r="H104" i="83"/>
  <c r="G104" i="83"/>
  <c r="F104" i="83"/>
  <c r="E104" i="83"/>
  <c r="D104" i="83"/>
  <c r="C88" i="83" s="1"/>
  <c r="B87" i="83"/>
  <c r="F80" i="83"/>
  <c r="D80" i="83"/>
  <c r="C94" i="83" s="1"/>
  <c r="H79" i="83"/>
  <c r="J79" i="83" s="1"/>
  <c r="G78" i="83"/>
  <c r="G80" i="83" s="1"/>
  <c r="F66" i="83"/>
  <c r="D66" i="83"/>
  <c r="C93" i="83" s="1"/>
  <c r="G65" i="83"/>
  <c r="H65" i="83" s="1"/>
  <c r="J65" i="83" s="1"/>
  <c r="G64" i="83"/>
  <c r="H64" i="83" s="1"/>
  <c r="I64" i="83" s="1"/>
  <c r="G63" i="83"/>
  <c r="H63" i="83" s="1"/>
  <c r="G62" i="83"/>
  <c r="F56" i="83"/>
  <c r="D56" i="83"/>
  <c r="G55" i="83"/>
  <c r="H55" i="83" s="1"/>
  <c r="I55" i="83" s="1"/>
  <c r="G54" i="83"/>
  <c r="G53" i="83"/>
  <c r="H53" i="83" s="1"/>
  <c r="I53" i="83" s="1"/>
  <c r="F50" i="83"/>
  <c r="F58" i="83" s="1"/>
  <c r="D50" i="83"/>
  <c r="D58" i="83" s="1"/>
  <c r="G49" i="83"/>
  <c r="H49" i="83" s="1"/>
  <c r="I49" i="83" s="1"/>
  <c r="G48" i="83"/>
  <c r="H48" i="83" s="1"/>
  <c r="I48" i="83" s="1"/>
  <c r="G47" i="83"/>
  <c r="H47" i="83" s="1"/>
  <c r="I47" i="83" s="1"/>
  <c r="G46" i="83"/>
  <c r="H46" i="83" s="1"/>
  <c r="I46" i="83" s="1"/>
  <c r="G45" i="83"/>
  <c r="F38" i="83"/>
  <c r="D38" i="83"/>
  <c r="G37" i="83"/>
  <c r="H37" i="83" s="1"/>
  <c r="I37" i="83" s="1"/>
  <c r="G36" i="83"/>
  <c r="H36" i="83" s="1"/>
  <c r="I36" i="83" s="1"/>
  <c r="G35" i="83"/>
  <c r="F32" i="83"/>
  <c r="D32" i="83"/>
  <c r="G31" i="83"/>
  <c r="H31" i="83" s="1"/>
  <c r="I31" i="83" s="1"/>
  <c r="G30" i="83"/>
  <c r="H30" i="83" s="1"/>
  <c r="I30" i="83" s="1"/>
  <c r="G29" i="83"/>
  <c r="H29" i="83" s="1"/>
  <c r="I29" i="83" s="1"/>
  <c r="G28" i="83"/>
  <c r="H28" i="83" s="1"/>
  <c r="I28" i="83" s="1"/>
  <c r="G27" i="83"/>
  <c r="H27" i="83" s="1"/>
  <c r="I27" i="83" s="1"/>
  <c r="G26" i="83"/>
  <c r="H26" i="83" s="1"/>
  <c r="I26" i="83" s="1"/>
  <c r="F23" i="83"/>
  <c r="D23" i="83"/>
  <c r="G22" i="83"/>
  <c r="G21" i="83"/>
  <c r="H21" i="83" s="1"/>
  <c r="G20" i="83"/>
  <c r="H20" i="83" s="1"/>
  <c r="G19" i="83"/>
  <c r="H19" i="83" s="1"/>
  <c r="G18" i="83"/>
  <c r="H18" i="83" s="1"/>
  <c r="F15" i="83"/>
  <c r="D15" i="83"/>
  <c r="G14" i="83"/>
  <c r="H14" i="83" s="1"/>
  <c r="G13" i="83"/>
  <c r="H13" i="83" s="1"/>
  <c r="I13" i="83" s="1"/>
  <c r="G12" i="83"/>
  <c r="H12" i="83" s="1"/>
  <c r="G11" i="83"/>
  <c r="H11" i="83" s="1"/>
  <c r="G10" i="83"/>
  <c r="G66" i="83" l="1"/>
  <c r="G38" i="83"/>
  <c r="G15" i="83"/>
  <c r="G50" i="83"/>
  <c r="G58" i="83" s="1"/>
  <c r="H35" i="83"/>
  <c r="I35" i="83" s="1"/>
  <c r="I38" i="83" s="1"/>
  <c r="H45" i="83"/>
  <c r="H50" i="83" s="1"/>
  <c r="H62" i="83"/>
  <c r="I62" i="83" s="1"/>
  <c r="G56" i="83"/>
  <c r="I63" i="83"/>
  <c r="J63" i="83" s="1"/>
  <c r="I12" i="83"/>
  <c r="J12" i="83" s="1"/>
  <c r="I14" i="83"/>
  <c r="J14" i="83" s="1"/>
  <c r="H54" i="83"/>
  <c r="H56" i="83" s="1"/>
  <c r="H58" i="83" s="1"/>
  <c r="D92" i="83" s="1"/>
  <c r="D88" i="83"/>
  <c r="G116" i="83"/>
  <c r="F40" i="83"/>
  <c r="F69" i="83" s="1"/>
  <c r="F83" i="83" s="1"/>
  <c r="J36" i="83"/>
  <c r="J37" i="83"/>
  <c r="J46" i="83"/>
  <c r="J47" i="83"/>
  <c r="J48" i="83"/>
  <c r="J55" i="83"/>
  <c r="J64" i="83"/>
  <c r="H66" i="83"/>
  <c r="D93" i="83" s="1"/>
  <c r="J13" i="83"/>
  <c r="H10" i="83"/>
  <c r="I11" i="83"/>
  <c r="J11" i="83" s="1"/>
  <c r="G32" i="83"/>
  <c r="D40" i="83"/>
  <c r="D69" i="83" s="1"/>
  <c r="D83" i="83" s="1"/>
  <c r="I21" i="83"/>
  <c r="J21" i="83" s="1"/>
  <c r="I20" i="83"/>
  <c r="J20" i="83" s="1"/>
  <c r="I19" i="83"/>
  <c r="J19" i="83" s="1"/>
  <c r="H23" i="83"/>
  <c r="I18" i="83"/>
  <c r="J18" i="83" s="1"/>
  <c r="C92" i="83"/>
  <c r="I32" i="83"/>
  <c r="I114" i="83"/>
  <c r="I116" i="83" s="1"/>
  <c r="H116" i="83"/>
  <c r="D90" i="83" s="1"/>
  <c r="J26" i="83"/>
  <c r="J27" i="83"/>
  <c r="J28" i="83"/>
  <c r="J29" i="83"/>
  <c r="J30" i="83"/>
  <c r="J31" i="83"/>
  <c r="H32" i="83"/>
  <c r="H78" i="83"/>
  <c r="H108" i="83"/>
  <c r="G23" i="83"/>
  <c r="J53" i="83"/>
  <c r="G40" i="83" l="1"/>
  <c r="C91" i="83"/>
  <c r="C95" i="83" s="1"/>
  <c r="J35" i="83"/>
  <c r="J38" i="83" s="1"/>
  <c r="H38" i="83"/>
  <c r="I66" i="83"/>
  <c r="I45" i="83"/>
  <c r="I50" i="83" s="1"/>
  <c r="J62" i="83"/>
  <c r="J66" i="83" s="1"/>
  <c r="G69" i="83"/>
  <c r="G83" i="83" s="1"/>
  <c r="H15" i="83"/>
  <c r="I10" i="83"/>
  <c r="I15" i="83" s="1"/>
  <c r="I54" i="83"/>
  <c r="I56" i="83" s="1"/>
  <c r="I108" i="83"/>
  <c r="I110" i="83" s="1"/>
  <c r="H110" i="83"/>
  <c r="J32" i="83"/>
  <c r="I78" i="83"/>
  <c r="I80" i="83" s="1"/>
  <c r="B11" i="10" s="1"/>
  <c r="H80" i="83"/>
  <c r="D94" i="83" s="1"/>
  <c r="J114" i="83"/>
  <c r="J116" i="83" s="1"/>
  <c r="J23" i="83"/>
  <c r="I23" i="83"/>
  <c r="H40" i="83" l="1"/>
  <c r="D91" i="83" s="1"/>
  <c r="J45" i="83"/>
  <c r="J50" i="83" s="1"/>
  <c r="I58" i="83"/>
  <c r="B13" i="10" s="1"/>
  <c r="J10" i="83"/>
  <c r="J15" i="83" s="1"/>
  <c r="J40" i="83" s="1"/>
  <c r="I40" i="83"/>
  <c r="B17" i="10" s="1"/>
  <c r="J78" i="83"/>
  <c r="J80" i="83" s="1"/>
  <c r="J54" i="83"/>
  <c r="J56" i="83" s="1"/>
  <c r="J108" i="83"/>
  <c r="J110" i="83" s="1"/>
  <c r="H69" i="83"/>
  <c r="H83" i="83" s="1"/>
  <c r="D89" i="83"/>
  <c r="I69" i="83" l="1"/>
  <c r="I83" i="83" s="1"/>
  <c r="J58" i="83"/>
  <c r="J69" i="83" s="1"/>
  <c r="J83" i="83" s="1"/>
  <c r="D95" i="83"/>
  <c r="J38" i="49" l="1"/>
  <c r="J37" i="49"/>
  <c r="B70" i="78" s="1"/>
  <c r="D70" i="78" s="1"/>
  <c r="J36" i="49"/>
  <c r="B69" i="78" s="1"/>
  <c r="J39" i="49" l="1"/>
  <c r="D69" i="78"/>
  <c r="D71" i="78" s="1"/>
  <c r="D73" i="78" s="1"/>
  <c r="C85" i="39" s="1"/>
  <c r="B71" i="78"/>
  <c r="D24" i="19"/>
  <c r="D19" i="19"/>
  <c r="D20" i="19"/>
  <c r="D21" i="19"/>
  <c r="D22" i="19"/>
  <c r="D23" i="19"/>
  <c r="D18" i="19"/>
  <c r="D17" i="19"/>
  <c r="D16" i="19"/>
  <c r="D15" i="19"/>
  <c r="D14" i="19"/>
  <c r="D13" i="19"/>
  <c r="D12" i="19"/>
  <c r="D11" i="19"/>
  <c r="D10" i="19"/>
  <c r="D9" i="19"/>
  <c r="D8" i="19"/>
  <c r="D7" i="19"/>
  <c r="D6" i="19"/>
  <c r="D5" i="19"/>
  <c r="M161" i="61" l="1"/>
  <c r="N52" i="61"/>
  <c r="B31" i="61"/>
  <c r="C31" i="61"/>
  <c r="D31" i="61"/>
  <c r="E31" i="61"/>
  <c r="F31" i="61"/>
  <c r="G31" i="61"/>
  <c r="H31" i="61"/>
  <c r="I31" i="61"/>
  <c r="J31" i="61"/>
  <c r="K31" i="61"/>
  <c r="L31" i="61"/>
  <c r="M31" i="61"/>
  <c r="E54" i="78" l="1"/>
  <c r="E55" i="78"/>
  <c r="E53" i="78"/>
  <c r="E56" i="78" l="1"/>
  <c r="B12" i="78" s="1"/>
  <c r="C64" i="78" l="1"/>
  <c r="N138" i="61" l="1"/>
  <c r="N110" i="61"/>
  <c r="N111" i="61"/>
  <c r="N116" i="61" l="1"/>
  <c r="N121" i="61"/>
  <c r="N122" i="61"/>
  <c r="N123" i="61"/>
  <c r="N124" i="61"/>
  <c r="N125" i="61"/>
  <c r="N126" i="61"/>
  <c r="N127" i="61"/>
  <c r="N128" i="61"/>
  <c r="N129" i="61"/>
  <c r="N130" i="61"/>
  <c r="N131" i="61"/>
  <c r="N132" i="61"/>
  <c r="N118" i="61"/>
  <c r="N119" i="61"/>
  <c r="N120" i="61"/>
  <c r="N117" i="61"/>
  <c r="B12" i="10" l="1"/>
  <c r="O124" i="61"/>
  <c r="B16" i="10"/>
  <c r="B18" i="10" s="1"/>
  <c r="I33" i="39" s="1"/>
  <c r="B33" i="39"/>
  <c r="C33" i="39" s="1"/>
  <c r="O131" i="61"/>
  <c r="I245" i="62"/>
  <c r="B238" i="62"/>
  <c r="T235" i="62"/>
  <c r="S235" i="62"/>
  <c r="R235" i="62"/>
  <c r="Q235" i="62"/>
  <c r="P235" i="62"/>
  <c r="O235" i="62"/>
  <c r="N235" i="62"/>
  <c r="M235" i="62"/>
  <c r="L235" i="62"/>
  <c r="K235" i="62"/>
  <c r="J235" i="62"/>
  <c r="I235" i="62"/>
  <c r="H235" i="62"/>
  <c r="G235" i="62"/>
  <c r="F235" i="62"/>
  <c r="L232" i="62"/>
  <c r="K232" i="62"/>
  <c r="J232" i="62"/>
  <c r="I232" i="62"/>
  <c r="H232" i="62"/>
  <c r="G232" i="62"/>
  <c r="F232" i="62"/>
  <c r="D232" i="62"/>
  <c r="C244" i="62" s="1"/>
  <c r="AL231" i="62"/>
  <c r="AN231" i="62" s="1"/>
  <c r="AP231" i="62" s="1"/>
  <c r="AR231" i="62" s="1"/>
  <c r="W231" i="62"/>
  <c r="AP230" i="62"/>
  <c r="AQ230" i="62" s="1"/>
  <c r="AR230" i="62" s="1"/>
  <c r="W229" i="62"/>
  <c r="X229" i="62" s="1"/>
  <c r="V228" i="62"/>
  <c r="U227" i="62"/>
  <c r="V227" i="62" s="1"/>
  <c r="W227" i="62" s="1"/>
  <c r="M226" i="62"/>
  <c r="N226" i="62" s="1"/>
  <c r="O226" i="62" s="1"/>
  <c r="M225" i="62"/>
  <c r="N225" i="62" s="1"/>
  <c r="O225" i="62" s="1"/>
  <c r="P225" i="62" s="1"/>
  <c r="M224" i="62"/>
  <c r="F217" i="62"/>
  <c r="D217" i="62"/>
  <c r="AM215" i="62"/>
  <c r="AN215" i="62" s="1"/>
  <c r="AO215" i="62" s="1"/>
  <c r="AM214" i="62"/>
  <c r="AN214" i="62" s="1"/>
  <c r="AO214" i="62" s="1"/>
  <c r="AM213" i="62"/>
  <c r="AL213" i="62"/>
  <c r="AK213" i="62"/>
  <c r="AK212" i="62"/>
  <c r="AL212" i="62" s="1"/>
  <c r="AI211" i="62"/>
  <c r="AJ211" i="62" s="1"/>
  <c r="AK211" i="62" s="1"/>
  <c r="AK210" i="62"/>
  <c r="AJ210" i="62"/>
  <c r="AI210" i="62"/>
  <c r="AI209" i="62"/>
  <c r="AJ209" i="62" s="1"/>
  <c r="AK209" i="62" s="1"/>
  <c r="AI208" i="62"/>
  <c r="AJ208" i="62" s="1"/>
  <c r="AK208" i="62" s="1"/>
  <c r="AG207" i="62"/>
  <c r="AH207" i="62" s="1"/>
  <c r="AI207" i="62" s="1"/>
  <c r="AD206" i="62"/>
  <c r="AE206" i="62" s="1"/>
  <c r="AD205" i="62"/>
  <c r="AD204" i="62"/>
  <c r="AE204" i="62" s="1"/>
  <c r="AD203" i="62"/>
  <c r="AB202" i="62"/>
  <c r="AB201" i="62"/>
  <c r="AB200" i="62"/>
  <c r="AC200" i="62" s="1"/>
  <c r="V199" i="62"/>
  <c r="V198" i="62"/>
  <c r="W198" i="62" s="1"/>
  <c r="X198" i="62" s="1"/>
  <c r="W197" i="62"/>
  <c r="X197" i="62" s="1"/>
  <c r="V197" i="62"/>
  <c r="V196" i="62"/>
  <c r="V195" i="62"/>
  <c r="U194" i="62"/>
  <c r="V194" i="62" s="1"/>
  <c r="W194" i="62" s="1"/>
  <c r="Q193" i="62"/>
  <c r="R193" i="62" s="1"/>
  <c r="S193" i="62" s="1"/>
  <c r="O192" i="62"/>
  <c r="P192" i="62" s="1"/>
  <c r="H191" i="62"/>
  <c r="I191" i="62" s="1"/>
  <c r="J191" i="62" s="1"/>
  <c r="K191" i="62" s="1"/>
  <c r="G190" i="62"/>
  <c r="H190" i="62" s="1"/>
  <c r="G189" i="62"/>
  <c r="H189" i="62" s="1"/>
  <c r="H188" i="62"/>
  <c r="G188" i="62"/>
  <c r="H187" i="62"/>
  <c r="I187" i="62" s="1"/>
  <c r="G187" i="62"/>
  <c r="F184" i="62"/>
  <c r="F220" i="62" s="1"/>
  <c r="D184" i="62"/>
  <c r="AH183" i="62"/>
  <c r="AP182" i="62"/>
  <c r="AA181" i="62"/>
  <c r="AB181" i="62" s="1"/>
  <c r="AC181" i="62" s="1"/>
  <c r="X180" i="62"/>
  <c r="W179" i="62"/>
  <c r="X179" i="62" s="1"/>
  <c r="O178" i="62"/>
  <c r="P178" i="62" s="1"/>
  <c r="M177" i="62"/>
  <c r="N177" i="62" s="1"/>
  <c r="K177" i="62"/>
  <c r="L176" i="62"/>
  <c r="N176" i="62" s="1"/>
  <c r="O176" i="62" s="1"/>
  <c r="L175" i="62"/>
  <c r="N175" i="62" s="1"/>
  <c r="O175" i="62" s="1"/>
  <c r="H174" i="62"/>
  <c r="I174" i="62" s="1"/>
  <c r="J174" i="62" s="1"/>
  <c r="K174" i="62" s="1"/>
  <c r="G173" i="62"/>
  <c r="H173" i="62" s="1"/>
  <c r="G172" i="62"/>
  <c r="H172" i="62" s="1"/>
  <c r="I172" i="62" s="1"/>
  <c r="J172" i="62" s="1"/>
  <c r="H171" i="62"/>
  <c r="G171" i="62"/>
  <c r="G170" i="62"/>
  <c r="H170" i="62" s="1"/>
  <c r="I170" i="62" s="1"/>
  <c r="J170" i="62" s="1"/>
  <c r="G169" i="62"/>
  <c r="H169" i="62" s="1"/>
  <c r="H168" i="62"/>
  <c r="G168" i="62"/>
  <c r="F160" i="62"/>
  <c r="D160" i="62"/>
  <c r="H158" i="62"/>
  <c r="I158" i="62" s="1"/>
  <c r="I160" i="62" s="1"/>
  <c r="G158" i="62"/>
  <c r="G160" i="62" s="1"/>
  <c r="F154" i="62"/>
  <c r="D154" i="62"/>
  <c r="AH153" i="62"/>
  <c r="AJ153" i="62" s="1"/>
  <c r="AL153" i="62" s="1"/>
  <c r="AN153" i="62" s="1"/>
  <c r="AP153" i="62" s="1"/>
  <c r="AR153" i="62" s="1"/>
  <c r="H152" i="62"/>
  <c r="G152" i="62"/>
  <c r="G151" i="62"/>
  <c r="H151" i="62" s="1"/>
  <c r="I151" i="62" s="1"/>
  <c r="H150" i="62"/>
  <c r="G150" i="62"/>
  <c r="G149" i="62"/>
  <c r="H149" i="62" s="1"/>
  <c r="G148" i="62"/>
  <c r="H148" i="62" s="1"/>
  <c r="I148" i="62" s="1"/>
  <c r="G147" i="62"/>
  <c r="H147" i="62" s="1"/>
  <c r="I147" i="62" s="1"/>
  <c r="G146" i="62"/>
  <c r="H146" i="62" s="1"/>
  <c r="I146" i="62" s="1"/>
  <c r="G145" i="62"/>
  <c r="H145" i="62" s="1"/>
  <c r="I145" i="62" s="1"/>
  <c r="H144" i="62"/>
  <c r="G144" i="62"/>
  <c r="G143" i="62"/>
  <c r="H143" i="62" s="1"/>
  <c r="I143" i="62" s="1"/>
  <c r="H142" i="62"/>
  <c r="G142" i="62"/>
  <c r="G141" i="62"/>
  <c r="H141" i="62" s="1"/>
  <c r="G140" i="62"/>
  <c r="H140" i="62" s="1"/>
  <c r="I140" i="62" s="1"/>
  <c r="F136" i="62"/>
  <c r="AN134" i="62"/>
  <c r="AM133" i="62"/>
  <c r="AN133" i="62" s="1"/>
  <c r="AO133" i="62" s="1"/>
  <c r="AK132" i="62"/>
  <c r="AL132" i="62" s="1"/>
  <c r="AG131" i="62"/>
  <c r="AH131" i="62" s="1"/>
  <c r="AI131" i="62" s="1"/>
  <c r="AB130" i="62"/>
  <c r="AB129" i="62"/>
  <c r="V128" i="62"/>
  <c r="W128" i="62" s="1"/>
  <c r="U127" i="62"/>
  <c r="V127" i="62" s="1"/>
  <c r="W127" i="62" s="1"/>
  <c r="X127" i="62" s="1"/>
  <c r="S127" i="62"/>
  <c r="S126" i="62"/>
  <c r="T126" i="62" s="1"/>
  <c r="Q125" i="62"/>
  <c r="R125" i="62" s="1"/>
  <c r="S125" i="62" s="1"/>
  <c r="Q124" i="62"/>
  <c r="R124" i="62" s="1"/>
  <c r="S124" i="62" s="1"/>
  <c r="O123" i="62"/>
  <c r="P123" i="62" s="1"/>
  <c r="Q123" i="62" s="1"/>
  <c r="P122" i="62"/>
  <c r="Q122" i="62" s="1"/>
  <c r="O122" i="62"/>
  <c r="R121" i="62"/>
  <c r="Q121" i="62"/>
  <c r="O121" i="62"/>
  <c r="P121" i="62" s="1"/>
  <c r="L120" i="62"/>
  <c r="D120" i="62"/>
  <c r="D136" i="62" s="1"/>
  <c r="M119" i="62"/>
  <c r="N119" i="62" s="1"/>
  <c r="N118" i="62"/>
  <c r="O118" i="62" s="1"/>
  <c r="M118" i="62"/>
  <c r="M117" i="62"/>
  <c r="N117" i="62" s="1"/>
  <c r="O117" i="62" s="1"/>
  <c r="K116" i="62"/>
  <c r="L116" i="62" s="1"/>
  <c r="L115" i="62"/>
  <c r="K115" i="62"/>
  <c r="G114" i="62"/>
  <c r="H114" i="62" s="1"/>
  <c r="I114" i="62" s="1"/>
  <c r="G113" i="62"/>
  <c r="H113" i="62" s="1"/>
  <c r="G112" i="62"/>
  <c r="H112" i="62" s="1"/>
  <c r="H111" i="62"/>
  <c r="I111" i="62" s="1"/>
  <c r="G111" i="62"/>
  <c r="G110" i="62"/>
  <c r="H110" i="62" s="1"/>
  <c r="I110" i="62" s="1"/>
  <c r="H109" i="62"/>
  <c r="I109" i="62" s="1"/>
  <c r="G109" i="62"/>
  <c r="G108" i="62"/>
  <c r="H108" i="62" s="1"/>
  <c r="I108" i="62" s="1"/>
  <c r="G107" i="62"/>
  <c r="H107" i="62" s="1"/>
  <c r="G106" i="62"/>
  <c r="H106" i="62" s="1"/>
  <c r="I106" i="62" s="1"/>
  <c r="G105" i="62"/>
  <c r="H105" i="62" s="1"/>
  <c r="F101" i="62"/>
  <c r="D101" i="62"/>
  <c r="AH100" i="62"/>
  <c r="AJ100" i="62" s="1"/>
  <c r="W100" i="62"/>
  <c r="AP99" i="62"/>
  <c r="AO99" i="62"/>
  <c r="AO98" i="62"/>
  <c r="AP98" i="62" s="1"/>
  <c r="AQ98" i="62" s="1"/>
  <c r="AM97" i="62"/>
  <c r="AN97" i="62" s="1"/>
  <c r="AO97" i="62" s="1"/>
  <c r="AM96" i="62"/>
  <c r="AN96" i="62" s="1"/>
  <c r="AO96" i="62" s="1"/>
  <c r="AL95" i="62"/>
  <c r="AM95" i="62" s="1"/>
  <c r="AK95" i="62"/>
  <c r="AK94" i="62"/>
  <c r="AL94" i="62" s="1"/>
  <c r="AK93" i="62"/>
  <c r="AL93" i="62" s="1"/>
  <c r="AM93" i="62" s="1"/>
  <c r="AG92" i="62"/>
  <c r="AH92" i="62" s="1"/>
  <c r="AD91" i="62"/>
  <c r="AD90" i="62"/>
  <c r="X89" i="62"/>
  <c r="Z89" i="62" s="1"/>
  <c r="Y88" i="62"/>
  <c r="Z88" i="62" s="1"/>
  <c r="X88" i="62"/>
  <c r="S87" i="62"/>
  <c r="T87" i="62" s="1"/>
  <c r="U87" i="62" s="1"/>
  <c r="S86" i="62"/>
  <c r="T86" i="62" s="1"/>
  <c r="U86" i="62" s="1"/>
  <c r="V85" i="62"/>
  <c r="S85" i="62"/>
  <c r="T85" i="62" s="1"/>
  <c r="U85" i="62" s="1"/>
  <c r="L84" i="62"/>
  <c r="M84" i="62" s="1"/>
  <c r="N84" i="62" s="1"/>
  <c r="K83" i="62"/>
  <c r="L83" i="62" s="1"/>
  <c r="M83" i="62" s="1"/>
  <c r="I82" i="62"/>
  <c r="J82" i="62" s="1"/>
  <c r="K82" i="62" s="1"/>
  <c r="I81" i="62"/>
  <c r="J81" i="62" s="1"/>
  <c r="K81" i="62" s="1"/>
  <c r="H80" i="62"/>
  <c r="I80" i="62" s="1"/>
  <c r="G80" i="62"/>
  <c r="J79" i="62"/>
  <c r="G79" i="62"/>
  <c r="H79" i="62" s="1"/>
  <c r="I79" i="62" s="1"/>
  <c r="H78" i="62"/>
  <c r="G78" i="62"/>
  <c r="G77" i="62"/>
  <c r="H77" i="62" s="1"/>
  <c r="I77" i="62" s="1"/>
  <c r="F74" i="62"/>
  <c r="F163" i="62" s="1"/>
  <c r="D74" i="62"/>
  <c r="AH73" i="62"/>
  <c r="AJ73" i="62" s="1"/>
  <c r="AL73" i="62" s="1"/>
  <c r="AN73" i="62" s="1"/>
  <c r="AP73" i="62" s="1"/>
  <c r="AR73" i="62" s="1"/>
  <c r="O72" i="62"/>
  <c r="P72" i="62" s="1"/>
  <c r="N72" i="62"/>
  <c r="M71" i="62"/>
  <c r="N71" i="62" s="1"/>
  <c r="O71" i="62" s="1"/>
  <c r="G70" i="62"/>
  <c r="H70" i="62" s="1"/>
  <c r="I70" i="62" s="1"/>
  <c r="G69" i="62"/>
  <c r="H69" i="62" s="1"/>
  <c r="G68" i="62"/>
  <c r="H68" i="62" s="1"/>
  <c r="I68" i="62" s="1"/>
  <c r="G67" i="62"/>
  <c r="H67" i="62" s="1"/>
  <c r="I67" i="62" s="1"/>
  <c r="J66" i="62"/>
  <c r="K66" i="62" s="1"/>
  <c r="G66" i="62"/>
  <c r="H66" i="62" s="1"/>
  <c r="I66" i="62" s="1"/>
  <c r="G65" i="62"/>
  <c r="H65" i="62" s="1"/>
  <c r="I65" i="62" s="1"/>
  <c r="F59" i="62"/>
  <c r="D59" i="62"/>
  <c r="AQ57" i="62"/>
  <c r="AP57" i="62"/>
  <c r="AR57" i="62" s="1"/>
  <c r="AQ56" i="62"/>
  <c r="AP56" i="62"/>
  <c r="Q55" i="62"/>
  <c r="O55" i="62"/>
  <c r="P55" i="62" s="1"/>
  <c r="H54" i="62"/>
  <c r="G54" i="62"/>
  <c r="G53" i="62"/>
  <c r="H53" i="62" s="1"/>
  <c r="I53" i="62" s="1"/>
  <c r="G52" i="62"/>
  <c r="H52" i="62" s="1"/>
  <c r="H51" i="62"/>
  <c r="G51" i="62"/>
  <c r="G50" i="62"/>
  <c r="H50" i="62" s="1"/>
  <c r="H49" i="62"/>
  <c r="I49" i="62" s="1"/>
  <c r="J49" i="62" s="1"/>
  <c r="G49" i="62"/>
  <c r="G48" i="62"/>
  <c r="H48" i="62" s="1"/>
  <c r="G47" i="62"/>
  <c r="H47" i="62" s="1"/>
  <c r="G46" i="62"/>
  <c r="H46" i="62" s="1"/>
  <c r="G45" i="62"/>
  <c r="H45" i="62" s="1"/>
  <c r="G44" i="62"/>
  <c r="H44" i="62" s="1"/>
  <c r="G43" i="62"/>
  <c r="H43" i="62" s="1"/>
  <c r="G42" i="62"/>
  <c r="H42" i="62" s="1"/>
  <c r="G41" i="62"/>
  <c r="H41" i="62" s="1"/>
  <c r="G40" i="62"/>
  <c r="G59" i="62" s="1"/>
  <c r="F37" i="62"/>
  <c r="AJ36" i="62"/>
  <c r="AL36" i="62" s="1"/>
  <c r="AN36" i="62" s="1"/>
  <c r="AP36" i="62" s="1"/>
  <c r="AR36" i="62" s="1"/>
  <c r="AH36" i="62"/>
  <c r="W36" i="62"/>
  <c r="V36" i="62"/>
  <c r="AD35" i="62"/>
  <c r="AD34" i="62"/>
  <c r="AE34" i="62" s="1"/>
  <c r="AD33" i="62"/>
  <c r="AE33" i="62" s="1"/>
  <c r="AE32" i="62"/>
  <c r="AF32" i="62" s="1"/>
  <c r="AD32" i="62"/>
  <c r="AD31" i="62"/>
  <c r="AD30" i="62"/>
  <c r="D29" i="62"/>
  <c r="D37" i="62" s="1"/>
  <c r="W28" i="62"/>
  <c r="X28" i="62" s="1"/>
  <c r="W27" i="62"/>
  <c r="X27" i="62" s="1"/>
  <c r="W26" i="62"/>
  <c r="X26" i="62" s="1"/>
  <c r="V25" i="62"/>
  <c r="W25" i="62" s="1"/>
  <c r="U25" i="62"/>
  <c r="U24" i="62"/>
  <c r="V24" i="62" s="1"/>
  <c r="V23" i="62"/>
  <c r="U23" i="62"/>
  <c r="U22" i="62"/>
  <c r="V22" i="62" s="1"/>
  <c r="V21" i="62"/>
  <c r="W21" i="62" s="1"/>
  <c r="U21" i="62"/>
  <c r="U20" i="62"/>
  <c r="V20" i="62" s="1"/>
  <c r="G19" i="62"/>
  <c r="H19" i="62" s="1"/>
  <c r="G18" i="62"/>
  <c r="H18" i="62" s="1"/>
  <c r="G17" i="62"/>
  <c r="H17" i="62" s="1"/>
  <c r="G16" i="62"/>
  <c r="H16" i="62" s="1"/>
  <c r="G15" i="62"/>
  <c r="H15" i="62" s="1"/>
  <c r="AR12" i="62"/>
  <c r="AQ12" i="62"/>
  <c r="AP12" i="62"/>
  <c r="AO12" i="62"/>
  <c r="AN12" i="62"/>
  <c r="AM12" i="62"/>
  <c r="AL12" i="62"/>
  <c r="AK12" i="62"/>
  <c r="AJ12" i="62"/>
  <c r="AI12" i="62"/>
  <c r="AH12" i="62"/>
  <c r="AG12" i="62"/>
  <c r="AF12" i="62"/>
  <c r="AE12" i="62"/>
  <c r="AD12" i="62"/>
  <c r="AC12" i="62"/>
  <c r="AB12" i="62"/>
  <c r="AA12" i="62"/>
  <c r="Z12" i="62"/>
  <c r="Y12" i="62"/>
  <c r="X12" i="62"/>
  <c r="W12" i="62"/>
  <c r="V12" i="62"/>
  <c r="U12" i="62"/>
  <c r="T12" i="62"/>
  <c r="S12" i="62"/>
  <c r="R12" i="62"/>
  <c r="Q12" i="62"/>
  <c r="P12" i="62"/>
  <c r="O12" i="62"/>
  <c r="N12" i="62"/>
  <c r="M12" i="62"/>
  <c r="L12" i="62"/>
  <c r="K12" i="62"/>
  <c r="J12" i="62"/>
  <c r="I12" i="62"/>
  <c r="H12" i="62"/>
  <c r="G12" i="62"/>
  <c r="F12" i="62"/>
  <c r="E12" i="62"/>
  <c r="D12" i="62"/>
  <c r="I44" i="62" l="1"/>
  <c r="J44" i="62" s="1"/>
  <c r="K44" i="62" s="1"/>
  <c r="L44" i="62" s="1"/>
  <c r="I18" i="62"/>
  <c r="J18" i="62" s="1"/>
  <c r="W24" i="62"/>
  <c r="X24" i="62" s="1"/>
  <c r="W22" i="62"/>
  <c r="X22" i="62" s="1"/>
  <c r="J42" i="62"/>
  <c r="I42" i="62"/>
  <c r="J46" i="62"/>
  <c r="I46" i="62"/>
  <c r="J16" i="62"/>
  <c r="I16" i="62"/>
  <c r="X20" i="62"/>
  <c r="W20" i="62"/>
  <c r="AH32" i="62"/>
  <c r="AG32" i="62"/>
  <c r="Y179" i="62"/>
  <c r="Z179" i="62"/>
  <c r="I48" i="62"/>
  <c r="J48" i="62" s="1"/>
  <c r="Z26" i="62"/>
  <c r="Y26" i="62"/>
  <c r="Z28" i="62"/>
  <c r="Y28" i="62"/>
  <c r="K49" i="62"/>
  <c r="L49" i="62" s="1"/>
  <c r="J189" i="62"/>
  <c r="I189" i="62"/>
  <c r="AE31" i="62"/>
  <c r="AF31" i="62" s="1"/>
  <c r="I51" i="62"/>
  <c r="J51" i="62" s="1"/>
  <c r="K51" i="62" s="1"/>
  <c r="L51" i="62" s="1"/>
  <c r="J70" i="62"/>
  <c r="V87" i="62"/>
  <c r="W87" i="62" s="1"/>
  <c r="J106" i="62"/>
  <c r="J108" i="62"/>
  <c r="K108" i="62" s="1"/>
  <c r="J114" i="62"/>
  <c r="X128" i="62"/>
  <c r="Y128" i="62" s="1"/>
  <c r="AC130" i="62"/>
  <c r="AD130" i="62" s="1"/>
  <c r="AE130" i="62" s="1"/>
  <c r="AF130" i="62" s="1"/>
  <c r="J143" i="62"/>
  <c r="J145" i="62"/>
  <c r="K145" i="62" s="1"/>
  <c r="J151" i="62"/>
  <c r="G154" i="62"/>
  <c r="Y180" i="62"/>
  <c r="Z180" i="62" s="1"/>
  <c r="AA180" i="62" s="1"/>
  <c r="AB180" i="62" s="1"/>
  <c r="J187" i="62"/>
  <c r="AC202" i="62"/>
  <c r="AD202" i="62" s="1"/>
  <c r="AE203" i="62"/>
  <c r="AF203" i="62" s="1"/>
  <c r="AF204" i="62"/>
  <c r="AL211" i="62"/>
  <c r="AM211" i="62" s="1"/>
  <c r="P226" i="62"/>
  <c r="Q226" i="62" s="1"/>
  <c r="M120" i="62"/>
  <c r="R123" i="62"/>
  <c r="S123" i="62" s="1"/>
  <c r="G184" i="62"/>
  <c r="X194" i="62"/>
  <c r="Y194" i="62" s="1"/>
  <c r="W23" i="62"/>
  <c r="X23" i="62" s="1"/>
  <c r="AE30" i="62"/>
  <c r="AF30" i="62" s="1"/>
  <c r="AE35" i="62"/>
  <c r="AF35" i="62" s="1"/>
  <c r="H40" i="62"/>
  <c r="R55" i="62"/>
  <c r="L81" i="62"/>
  <c r="M81" i="62" s="1"/>
  <c r="N83" i="62"/>
  <c r="O83" i="62" s="1"/>
  <c r="H184" i="62"/>
  <c r="X21" i="62"/>
  <c r="X25" i="62"/>
  <c r="AF34" i="62"/>
  <c r="I168" i="62"/>
  <c r="J168" i="62" s="1"/>
  <c r="T193" i="62"/>
  <c r="AL209" i="62"/>
  <c r="AP215" i="62"/>
  <c r="AQ215" i="62" s="1"/>
  <c r="X227" i="62"/>
  <c r="Y227" i="62" s="1"/>
  <c r="C240" i="62"/>
  <c r="I41" i="62"/>
  <c r="J41" i="62" s="1"/>
  <c r="I45" i="62"/>
  <c r="J45" i="62" s="1"/>
  <c r="AI92" i="62"/>
  <c r="AJ92" i="62" s="1"/>
  <c r="Y21" i="62"/>
  <c r="Z21" i="62" s="1"/>
  <c r="AA88" i="62"/>
  <c r="AB88" i="62" s="1"/>
  <c r="I17" i="62"/>
  <c r="J17" i="62" s="1"/>
  <c r="AA28" i="62"/>
  <c r="AB28" i="62" s="1"/>
  <c r="K42" i="62"/>
  <c r="L42" i="62" s="1"/>
  <c r="K46" i="62"/>
  <c r="L46" i="62" s="1"/>
  <c r="I52" i="62"/>
  <c r="J52" i="62" s="1"/>
  <c r="S55" i="62"/>
  <c r="T55" i="62" s="1"/>
  <c r="K16" i="62"/>
  <c r="L16" i="62" s="1"/>
  <c r="Y20" i="62"/>
  <c r="Z20" i="62" s="1"/>
  <c r="Y27" i="62"/>
  <c r="Z27" i="62" s="1"/>
  <c r="AI32" i="62"/>
  <c r="AJ32" i="62" s="1"/>
  <c r="I43" i="62"/>
  <c r="J43" i="62" s="1"/>
  <c r="I47" i="62"/>
  <c r="J47" i="62" s="1"/>
  <c r="Y25" i="62"/>
  <c r="Z25" i="62" s="1"/>
  <c r="AG34" i="62"/>
  <c r="AH34" i="62" s="1"/>
  <c r="I15" i="62"/>
  <c r="H37" i="62"/>
  <c r="I19" i="62"/>
  <c r="J19" i="62" s="1"/>
  <c r="AA26" i="62"/>
  <c r="AB26" i="62" s="1"/>
  <c r="I50" i="62"/>
  <c r="J50" i="62" s="1"/>
  <c r="Q72" i="62"/>
  <c r="R72" i="62" s="1"/>
  <c r="O84" i="62"/>
  <c r="P84" i="62" s="1"/>
  <c r="I54" i="62"/>
  <c r="J54" i="62" s="1"/>
  <c r="AN94" i="62"/>
  <c r="AM94" i="62"/>
  <c r="J113" i="62"/>
  <c r="I113" i="62"/>
  <c r="I150" i="62"/>
  <c r="J150" i="62" s="1"/>
  <c r="K168" i="62"/>
  <c r="L168" i="62" s="1"/>
  <c r="AA89" i="62"/>
  <c r="AB89" i="62" s="1"/>
  <c r="AQ99" i="62"/>
  <c r="AR99" i="62" s="1"/>
  <c r="AH204" i="62"/>
  <c r="AG204" i="62"/>
  <c r="J65" i="62"/>
  <c r="H74" i="62"/>
  <c r="L106" i="62"/>
  <c r="K106" i="62"/>
  <c r="I112" i="62"/>
  <c r="J112" i="62" s="1"/>
  <c r="L114" i="62"/>
  <c r="K114" i="62"/>
  <c r="O119" i="62"/>
  <c r="P119" i="62" s="1"/>
  <c r="S121" i="62"/>
  <c r="T121" i="62" s="1"/>
  <c r="AM132" i="62"/>
  <c r="AN132" i="62" s="1"/>
  <c r="I141" i="62"/>
  <c r="J141" i="62" s="1"/>
  <c r="K143" i="62"/>
  <c r="L143" i="62" s="1"/>
  <c r="I149" i="62"/>
  <c r="J149" i="62" s="1"/>
  <c r="K151" i="62"/>
  <c r="L151" i="62" s="1"/>
  <c r="K172" i="62"/>
  <c r="L172" i="62" s="1"/>
  <c r="O177" i="62"/>
  <c r="P177" i="62"/>
  <c r="Q178" i="62"/>
  <c r="R178" i="62" s="1"/>
  <c r="D220" i="62"/>
  <c r="I190" i="62"/>
  <c r="J190" i="62" s="1"/>
  <c r="W196" i="62"/>
  <c r="X196" i="62" s="1"/>
  <c r="J80" i="62"/>
  <c r="P83" i="62"/>
  <c r="T123" i="62"/>
  <c r="AF33" i="62"/>
  <c r="J53" i="62"/>
  <c r="AR56" i="62"/>
  <c r="H59" i="62"/>
  <c r="L66" i="62"/>
  <c r="H101" i="62"/>
  <c r="R122" i="62"/>
  <c r="H136" i="62"/>
  <c r="I105" i="62"/>
  <c r="I142" i="62"/>
  <c r="J142" i="62" s="1"/>
  <c r="AA179" i="62"/>
  <c r="AB179" i="62" s="1"/>
  <c r="Y229" i="62"/>
  <c r="Z229" i="62" s="1"/>
  <c r="C239" i="62"/>
  <c r="AE91" i="62"/>
  <c r="AF91" i="62" s="1"/>
  <c r="Y127" i="62"/>
  <c r="Z127" i="62" s="1"/>
  <c r="AO134" i="62"/>
  <c r="AP134" i="62"/>
  <c r="Y198" i="62"/>
  <c r="Z198" i="62" s="1"/>
  <c r="M116" i="62"/>
  <c r="N116" i="62"/>
  <c r="U126" i="62"/>
  <c r="V126" i="62" s="1"/>
  <c r="K170" i="62"/>
  <c r="L170" i="62" s="1"/>
  <c r="G37" i="62"/>
  <c r="P71" i="62"/>
  <c r="D163" i="62"/>
  <c r="N81" i="62"/>
  <c r="X87" i="62"/>
  <c r="L108" i="62"/>
  <c r="L145" i="62"/>
  <c r="W29" i="62"/>
  <c r="X29" i="62" s="1"/>
  <c r="G74" i="62"/>
  <c r="J67" i="62"/>
  <c r="J68" i="62"/>
  <c r="I69" i="62"/>
  <c r="J69" i="62" s="1"/>
  <c r="K70" i="62"/>
  <c r="L70" i="62" s="1"/>
  <c r="J77" i="62"/>
  <c r="I78" i="62"/>
  <c r="I101" i="62" s="1"/>
  <c r="K79" i="62"/>
  <c r="L79" i="62" s="1"/>
  <c r="L82" i="62"/>
  <c r="W85" i="62"/>
  <c r="X85" i="62" s="1"/>
  <c r="V86" i="62"/>
  <c r="AE90" i="62"/>
  <c r="AF90" i="62" s="1"/>
  <c r="AN93" i="62"/>
  <c r="G101" i="62"/>
  <c r="I107" i="62"/>
  <c r="J107" i="62" s="1"/>
  <c r="M115" i="62"/>
  <c r="N115" i="62" s="1"/>
  <c r="P118" i="62"/>
  <c r="G136" i="62"/>
  <c r="I144" i="62"/>
  <c r="J144" i="62" s="1"/>
  <c r="I152" i="62"/>
  <c r="I154" i="62" s="1"/>
  <c r="D239" i="62"/>
  <c r="AP96" i="62"/>
  <c r="AP97" i="62"/>
  <c r="J109" i="62"/>
  <c r="J110" i="62"/>
  <c r="P117" i="62"/>
  <c r="T124" i="62"/>
  <c r="Z128" i="62"/>
  <c r="J146" i="62"/>
  <c r="J147" i="62"/>
  <c r="P176" i="62"/>
  <c r="C241" i="62"/>
  <c r="AC129" i="62"/>
  <c r="AD129" i="62" s="1"/>
  <c r="H154" i="62"/>
  <c r="J140" i="62"/>
  <c r="H160" i="62"/>
  <c r="J158" i="62"/>
  <c r="AE205" i="62"/>
  <c r="AF205" i="62" s="1"/>
  <c r="Q225" i="62"/>
  <c r="R225" i="62" s="1"/>
  <c r="AN95" i="62"/>
  <c r="AR98" i="62"/>
  <c r="J111" i="62"/>
  <c r="N120" i="62"/>
  <c r="T125" i="62"/>
  <c r="AJ131" i="62"/>
  <c r="AP133" i="62"/>
  <c r="J148" i="62"/>
  <c r="L174" i="62"/>
  <c r="I169" i="62"/>
  <c r="I184" i="62" s="1"/>
  <c r="I220" i="62" s="1"/>
  <c r="I171" i="62"/>
  <c r="J171" i="62"/>
  <c r="I173" i="62"/>
  <c r="J173" i="62" s="1"/>
  <c r="I188" i="62"/>
  <c r="I217" i="62" s="1"/>
  <c r="Q192" i="62"/>
  <c r="R192" i="62" s="1"/>
  <c r="U193" i="62"/>
  <c r="V193" i="62" s="1"/>
  <c r="AM209" i="62"/>
  <c r="AN209" i="62" s="1"/>
  <c r="P175" i="62"/>
  <c r="AD181" i="62"/>
  <c r="H217" i="62"/>
  <c r="H220" i="62" s="1"/>
  <c r="AN211" i="62"/>
  <c r="Z227" i="62"/>
  <c r="AQ182" i="62"/>
  <c r="AR182" i="62" s="1"/>
  <c r="AM212" i="62"/>
  <c r="AN212" i="62" s="1"/>
  <c r="G220" i="62"/>
  <c r="G217" i="62"/>
  <c r="AJ207" i="62"/>
  <c r="R226" i="62"/>
  <c r="K187" i="62"/>
  <c r="L187" i="62" s="1"/>
  <c r="K189" i="62"/>
  <c r="L189" i="62"/>
  <c r="Y197" i="62"/>
  <c r="Z197" i="62" s="1"/>
  <c r="W199" i="62"/>
  <c r="X199" i="62" s="1"/>
  <c r="AC201" i="62"/>
  <c r="AD201" i="62" s="1"/>
  <c r="M232" i="62"/>
  <c r="N224" i="62"/>
  <c r="W228" i="62"/>
  <c r="X228" i="62" s="1"/>
  <c r="Z194" i="62"/>
  <c r="AF206" i="62"/>
  <c r="AL208" i="62"/>
  <c r="AP214" i="62"/>
  <c r="AR215" i="62"/>
  <c r="W195" i="62"/>
  <c r="X195" i="62" s="1"/>
  <c r="L191" i="62"/>
  <c r="AD200" i="62"/>
  <c r="AL210" i="62"/>
  <c r="AN213" i="62"/>
  <c r="AE202" i="62" l="1"/>
  <c r="AF202" i="62" s="1"/>
  <c r="AG202" i="62" s="1"/>
  <c r="AH202" i="62" s="1"/>
  <c r="Y22" i="62"/>
  <c r="Z22" i="62" s="1"/>
  <c r="AG35" i="62"/>
  <c r="AH35" i="62" s="1"/>
  <c r="AI35" i="62" s="1"/>
  <c r="AJ35" i="62" s="1"/>
  <c r="Y24" i="62"/>
  <c r="Z24" i="62" s="1"/>
  <c r="AG30" i="62"/>
  <c r="AH30" i="62" s="1"/>
  <c r="M49" i="62"/>
  <c r="N49" i="62"/>
  <c r="K18" i="62"/>
  <c r="L18" i="62" s="1"/>
  <c r="Y23" i="62"/>
  <c r="Z23" i="62"/>
  <c r="AG203" i="62"/>
  <c r="AH203" i="62" s="1"/>
  <c r="AI203" i="62" s="1"/>
  <c r="AJ203" i="62" s="1"/>
  <c r="AG31" i="62"/>
  <c r="AH31" i="62"/>
  <c r="K48" i="62"/>
  <c r="L48" i="62" s="1"/>
  <c r="G163" i="62"/>
  <c r="J78" i="62"/>
  <c r="I136" i="62"/>
  <c r="I40" i="62"/>
  <c r="I59" i="62" s="1"/>
  <c r="AA197" i="62"/>
  <c r="AB197" i="62" s="1"/>
  <c r="AE129" i="62"/>
  <c r="AF129" i="62" s="1"/>
  <c r="AG130" i="62"/>
  <c r="AH130" i="62" s="1"/>
  <c r="M151" i="62"/>
  <c r="N151" i="62" s="1"/>
  <c r="L50" i="62"/>
  <c r="K50" i="62"/>
  <c r="AB25" i="62"/>
  <c r="AA25" i="62"/>
  <c r="N42" i="62"/>
  <c r="M42" i="62"/>
  <c r="M187" i="62"/>
  <c r="N187" i="62" s="1"/>
  <c r="AC180" i="62"/>
  <c r="AD180" i="62" s="1"/>
  <c r="AG205" i="62"/>
  <c r="AH205" i="62" s="1"/>
  <c r="M170" i="62"/>
  <c r="N170" i="62" s="1"/>
  <c r="M172" i="62"/>
  <c r="N172" i="62" s="1"/>
  <c r="Q119" i="62"/>
  <c r="R119" i="62" s="1"/>
  <c r="AI34" i="62"/>
  <c r="AJ34" i="62" s="1"/>
  <c r="L17" i="62"/>
  <c r="K17" i="62"/>
  <c r="Y228" i="62"/>
  <c r="Z228" i="62"/>
  <c r="K144" i="62"/>
  <c r="L144" i="62" s="1"/>
  <c r="AG91" i="62"/>
  <c r="AH91" i="62"/>
  <c r="AC179" i="62"/>
  <c r="AD179" i="62" s="1"/>
  <c r="K190" i="62"/>
  <c r="L190" i="62" s="1"/>
  <c r="M143" i="62"/>
  <c r="N143" i="62" s="1"/>
  <c r="AA20" i="62"/>
  <c r="AB20" i="62" s="1"/>
  <c r="K52" i="62"/>
  <c r="L52" i="62" s="1"/>
  <c r="AO212" i="62"/>
  <c r="AP212" i="62"/>
  <c r="K173" i="62"/>
  <c r="L173" i="62" s="1"/>
  <c r="M70" i="62"/>
  <c r="N70" i="62" s="1"/>
  <c r="S178" i="62"/>
  <c r="T178" i="62" s="1"/>
  <c r="AO132" i="62"/>
  <c r="AP132" i="62" s="1"/>
  <c r="K54" i="62"/>
  <c r="L54" i="62" s="1"/>
  <c r="AK32" i="62"/>
  <c r="AL32" i="62" s="1"/>
  <c r="AK92" i="62"/>
  <c r="AL92" i="62" s="1"/>
  <c r="Y195" i="62"/>
  <c r="Z195" i="62" s="1"/>
  <c r="Y85" i="62"/>
  <c r="Z85" i="62" s="1"/>
  <c r="M51" i="62"/>
  <c r="N51" i="62" s="1"/>
  <c r="L141" i="62"/>
  <c r="K141" i="62"/>
  <c r="AC89" i="62"/>
  <c r="AD89" i="62" s="1"/>
  <c r="N44" i="62"/>
  <c r="M44" i="62"/>
  <c r="K41" i="62"/>
  <c r="L41" i="62" s="1"/>
  <c r="AE201" i="62"/>
  <c r="AF201" i="62" s="1"/>
  <c r="S192" i="62"/>
  <c r="T192" i="62" s="1"/>
  <c r="O115" i="62"/>
  <c r="P115" i="62"/>
  <c r="AG90" i="62"/>
  <c r="AH90" i="62" s="1"/>
  <c r="M79" i="62"/>
  <c r="N79" i="62" s="1"/>
  <c r="K69" i="62"/>
  <c r="L69" i="62" s="1"/>
  <c r="AA127" i="62"/>
  <c r="AB127" i="62" s="1"/>
  <c r="AA229" i="62"/>
  <c r="AB229" i="62" s="1"/>
  <c r="Y196" i="62"/>
  <c r="Z196" i="62" s="1"/>
  <c r="K149" i="62"/>
  <c r="L149" i="62" s="1"/>
  <c r="Q84" i="62"/>
  <c r="R84" i="62" s="1"/>
  <c r="K47" i="62"/>
  <c r="L47" i="62" s="1"/>
  <c r="AA27" i="62"/>
  <c r="AB27" i="62" s="1"/>
  <c r="U55" i="62"/>
  <c r="V55" i="62" s="1"/>
  <c r="M191" i="62"/>
  <c r="N191" i="62"/>
  <c r="AG206" i="62"/>
  <c r="AH206" i="62" s="1"/>
  <c r="Y199" i="62"/>
  <c r="Z199" i="62" s="1"/>
  <c r="M189" i="62"/>
  <c r="N189" i="62" s="1"/>
  <c r="S226" i="62"/>
  <c r="T226" i="62"/>
  <c r="Q175" i="62"/>
  <c r="R175" i="62" s="1"/>
  <c r="M174" i="62"/>
  <c r="N174" i="62" s="1"/>
  <c r="AA128" i="62"/>
  <c r="AB128" i="62" s="1"/>
  <c r="K109" i="62"/>
  <c r="L109" i="62" s="1"/>
  <c r="Y29" i="62"/>
  <c r="Z29" i="62"/>
  <c r="Y87" i="62"/>
  <c r="Z87" i="62" s="1"/>
  <c r="I239" i="62"/>
  <c r="U239" i="62"/>
  <c r="S122" i="62"/>
  <c r="T122" i="62" s="1"/>
  <c r="Q177" i="62"/>
  <c r="R177" i="62" s="1"/>
  <c r="K112" i="62"/>
  <c r="L112" i="62" s="1"/>
  <c r="M168" i="62"/>
  <c r="N168" i="62" s="1"/>
  <c r="AO94" i="62"/>
  <c r="AP94" i="62" s="1"/>
  <c r="S72" i="62"/>
  <c r="T72" i="62" s="1"/>
  <c r="AD26" i="62"/>
  <c r="AC26" i="62"/>
  <c r="AC88" i="62"/>
  <c r="AD88" i="62" s="1"/>
  <c r="AM208" i="62"/>
  <c r="AN208" i="62" s="1"/>
  <c r="AO209" i="62"/>
  <c r="AP209" i="62" s="1"/>
  <c r="O120" i="62"/>
  <c r="P120" i="62" s="1"/>
  <c r="K140" i="62"/>
  <c r="K110" i="62"/>
  <c r="L110" i="62" s="1"/>
  <c r="Q118" i="62"/>
  <c r="R118" i="62" s="1"/>
  <c r="M108" i="62"/>
  <c r="N108" i="62" s="1"/>
  <c r="K107" i="62"/>
  <c r="L107" i="62" s="1"/>
  <c r="O49" i="62"/>
  <c r="P49" i="62" s="1"/>
  <c r="M114" i="62"/>
  <c r="N114" i="62" s="1"/>
  <c r="M106" i="62"/>
  <c r="N106" i="62" s="1"/>
  <c r="AI204" i="62"/>
  <c r="AJ204" i="62"/>
  <c r="L19" i="62"/>
  <c r="K19" i="62"/>
  <c r="AC28" i="62"/>
  <c r="AD28" i="62" s="1"/>
  <c r="AQ214" i="62"/>
  <c r="AR214" i="62" s="1"/>
  <c r="U125" i="62"/>
  <c r="V125" i="62" s="1"/>
  <c r="S225" i="62"/>
  <c r="T225" i="62" s="1"/>
  <c r="L147" i="62"/>
  <c r="K147" i="62"/>
  <c r="Q117" i="62"/>
  <c r="R117" i="62" s="1"/>
  <c r="AQ96" i="62"/>
  <c r="AR96" i="62" s="1"/>
  <c r="J101" i="62"/>
  <c r="K77" i="62"/>
  <c r="K67" i="62"/>
  <c r="L67" i="62" s="1"/>
  <c r="M145" i="62"/>
  <c r="N145" i="62" s="1"/>
  <c r="C242" i="62"/>
  <c r="K53" i="62"/>
  <c r="L53" i="62" s="1"/>
  <c r="AI31" i="62"/>
  <c r="AJ31" i="62" s="1"/>
  <c r="K80" i="62"/>
  <c r="L80" i="62" s="1"/>
  <c r="K113" i="62"/>
  <c r="L113" i="62" s="1"/>
  <c r="K43" i="62"/>
  <c r="L43" i="62" s="1"/>
  <c r="N16" i="62"/>
  <c r="M16" i="62"/>
  <c r="M46" i="62"/>
  <c r="N46" i="62" s="1"/>
  <c r="H163" i="62"/>
  <c r="I74" i="62"/>
  <c r="I163" i="62" s="1"/>
  <c r="J188" i="62"/>
  <c r="J169" i="62"/>
  <c r="J105" i="62"/>
  <c r="I37" i="62"/>
  <c r="AO213" i="62"/>
  <c r="AP213" i="62" s="1"/>
  <c r="N232" i="62"/>
  <c r="O224" i="62"/>
  <c r="O232" i="62" s="1"/>
  <c r="AA227" i="62"/>
  <c r="AB227" i="62" s="1"/>
  <c r="K171" i="62"/>
  <c r="L171" i="62" s="1"/>
  <c r="AQ133" i="62"/>
  <c r="AR133" i="62" s="1"/>
  <c r="K111" i="62"/>
  <c r="L111" i="62" s="1"/>
  <c r="P116" i="62"/>
  <c r="O116" i="62"/>
  <c r="AQ134" i="62"/>
  <c r="AR134" i="62" s="1"/>
  <c r="U123" i="62"/>
  <c r="V123" i="62" s="1"/>
  <c r="K78" i="62"/>
  <c r="L78" i="62" s="1"/>
  <c r="K150" i="62"/>
  <c r="L150" i="62" s="1"/>
  <c r="AE200" i="62"/>
  <c r="AF200" i="62" s="1"/>
  <c r="AE181" i="62"/>
  <c r="AF181" i="62" s="1"/>
  <c r="W193" i="62"/>
  <c r="X193" i="62" s="1"/>
  <c r="K148" i="62"/>
  <c r="L148" i="62" s="1"/>
  <c r="AO95" i="62"/>
  <c r="AP95" i="62" s="1"/>
  <c r="K146" i="62"/>
  <c r="L146" i="62" s="1"/>
  <c r="AO93" i="62"/>
  <c r="AP93" i="62" s="1"/>
  <c r="M82" i="62"/>
  <c r="N82" i="62" s="1"/>
  <c r="Q71" i="62"/>
  <c r="R71" i="62" s="1"/>
  <c r="W126" i="62"/>
  <c r="X126" i="62" s="1"/>
  <c r="AA198" i="62"/>
  <c r="AB198" i="62" s="1"/>
  <c r="K142" i="62"/>
  <c r="L142" i="62" s="1"/>
  <c r="M66" i="62"/>
  <c r="N66" i="62" s="1"/>
  <c r="U121" i="62"/>
  <c r="V121" i="62" s="1"/>
  <c r="AA23" i="62"/>
  <c r="AB23" i="62" s="1"/>
  <c r="AB21" i="62"/>
  <c r="AA21" i="62"/>
  <c r="K45" i="62"/>
  <c r="L45" i="62" s="1"/>
  <c r="AM210" i="62"/>
  <c r="AN210" i="62" s="1"/>
  <c r="AA194" i="62"/>
  <c r="AB194" i="62" s="1"/>
  <c r="AK207" i="62"/>
  <c r="AL207" i="62" s="1"/>
  <c r="AO211" i="62"/>
  <c r="AP211" i="62" s="1"/>
  <c r="AK131" i="62"/>
  <c r="AL131" i="62" s="1"/>
  <c r="K158" i="62"/>
  <c r="K160" i="62" s="1"/>
  <c r="J160" i="62"/>
  <c r="Q176" i="62"/>
  <c r="R176" i="62"/>
  <c r="U124" i="62"/>
  <c r="V124" i="62" s="1"/>
  <c r="AQ97" i="62"/>
  <c r="AR97" i="62" s="1"/>
  <c r="W86" i="62"/>
  <c r="X86" i="62" s="1"/>
  <c r="K68" i="62"/>
  <c r="L68" i="62" s="1"/>
  <c r="O81" i="62"/>
  <c r="P81" i="62" s="1"/>
  <c r="AG33" i="62"/>
  <c r="AH33" i="62"/>
  <c r="Q83" i="62"/>
  <c r="R83" i="62" s="1"/>
  <c r="C243" i="62"/>
  <c r="K65" i="62"/>
  <c r="J74" i="62"/>
  <c r="L65" i="62"/>
  <c r="J152" i="62"/>
  <c r="D235" i="62"/>
  <c r="J15" i="62"/>
  <c r="M18" i="62" l="1"/>
  <c r="N18" i="62" s="1"/>
  <c r="AA24" i="62"/>
  <c r="AB24" i="62" s="1"/>
  <c r="AC24" i="62" s="1"/>
  <c r="AD24" i="62" s="1"/>
  <c r="M48" i="62"/>
  <c r="N48" i="62" s="1"/>
  <c r="O48" i="62" s="1"/>
  <c r="P48" i="62" s="1"/>
  <c r="AA22" i="62"/>
  <c r="AB22" i="62" s="1"/>
  <c r="AI30" i="62"/>
  <c r="AJ30" i="62" s="1"/>
  <c r="J40" i="62"/>
  <c r="T83" i="62"/>
  <c r="S83" i="62"/>
  <c r="AN131" i="62"/>
  <c r="AM131" i="62"/>
  <c r="P66" i="62"/>
  <c r="O66" i="62"/>
  <c r="N146" i="62"/>
  <c r="M146" i="62"/>
  <c r="X123" i="62"/>
  <c r="W123" i="62"/>
  <c r="N113" i="62"/>
  <c r="M113" i="62"/>
  <c r="AK35" i="62"/>
  <c r="AL35" i="62" s="1"/>
  <c r="S175" i="62"/>
  <c r="T175" i="62" s="1"/>
  <c r="W55" i="62"/>
  <c r="X55" i="62" s="1"/>
  <c r="M52" i="62"/>
  <c r="N52" i="62" s="1"/>
  <c r="O151" i="62"/>
  <c r="P151" i="62" s="1"/>
  <c r="Q81" i="62"/>
  <c r="R81" i="62" s="1"/>
  <c r="AC194" i="62"/>
  <c r="AD194" i="62" s="1"/>
  <c r="Y126" i="62"/>
  <c r="Z126" i="62" s="1"/>
  <c r="Y193" i="62"/>
  <c r="Z193" i="62" s="1"/>
  <c r="AC227" i="62"/>
  <c r="AD227" i="62" s="1"/>
  <c r="N67" i="62"/>
  <c r="M67" i="62"/>
  <c r="W125" i="62"/>
  <c r="X125" i="62" s="1"/>
  <c r="Q49" i="62"/>
  <c r="R49" i="62" s="1"/>
  <c r="S177" i="62"/>
  <c r="T177" i="62"/>
  <c r="AK203" i="62"/>
  <c r="AL203" i="62" s="1"/>
  <c r="M41" i="62"/>
  <c r="N41" i="62" s="1"/>
  <c r="AE180" i="62"/>
  <c r="AF180" i="62" s="1"/>
  <c r="AM207" i="62"/>
  <c r="AN207" i="62" s="1"/>
  <c r="N148" i="62"/>
  <c r="M148" i="62"/>
  <c r="M150" i="62"/>
  <c r="N150" i="62" s="1"/>
  <c r="AK31" i="62"/>
  <c r="AL31" i="62" s="1"/>
  <c r="U225" i="62"/>
  <c r="V225" i="62" s="1"/>
  <c r="AI202" i="62"/>
  <c r="AJ202" i="62" s="1"/>
  <c r="O108" i="62"/>
  <c r="P108" i="62" s="1"/>
  <c r="AR209" i="62"/>
  <c r="AQ209" i="62"/>
  <c r="U72" i="62"/>
  <c r="V72" i="62" s="1"/>
  <c r="M112" i="62"/>
  <c r="N112" i="62" s="1"/>
  <c r="O174" i="62"/>
  <c r="P174" i="62" s="1"/>
  <c r="N69" i="62"/>
  <c r="M69" i="62"/>
  <c r="AE89" i="62"/>
  <c r="AF89" i="62" s="1"/>
  <c r="AB85" i="62"/>
  <c r="AA85" i="62"/>
  <c r="AM32" i="62"/>
  <c r="AN32" i="62" s="1"/>
  <c r="U178" i="62"/>
  <c r="V178" i="62" s="1"/>
  <c r="O143" i="62"/>
  <c r="P143" i="62" s="1"/>
  <c r="S119" i="62"/>
  <c r="T119" i="62" s="1"/>
  <c r="AI205" i="62"/>
  <c r="AJ205" i="62"/>
  <c r="AG129" i="62"/>
  <c r="AH129" i="62" s="1"/>
  <c r="M68" i="62"/>
  <c r="N68" i="62" s="1"/>
  <c r="AP210" i="62"/>
  <c r="AO210" i="62"/>
  <c r="S71" i="62"/>
  <c r="T71" i="62" s="1"/>
  <c r="AG181" i="62"/>
  <c r="AH181" i="62" s="1"/>
  <c r="M111" i="62"/>
  <c r="N111" i="62" s="1"/>
  <c r="P106" i="62"/>
  <c r="O106" i="62"/>
  <c r="AA87" i="62"/>
  <c r="AB87" i="62" s="1"/>
  <c r="AA199" i="62"/>
  <c r="AB199" i="62" s="1"/>
  <c r="U192" i="62"/>
  <c r="V192" i="62" s="1"/>
  <c r="M144" i="62"/>
  <c r="N144" i="62" s="1"/>
  <c r="W124" i="62"/>
  <c r="X124" i="62" s="1"/>
  <c r="X121" i="62"/>
  <c r="W121" i="62"/>
  <c r="AQ93" i="62"/>
  <c r="AR93" i="62" s="1"/>
  <c r="M78" i="62"/>
  <c r="N78" i="62" s="1"/>
  <c r="M53" i="62"/>
  <c r="N53" i="62"/>
  <c r="S117" i="62"/>
  <c r="T117" i="62" s="1"/>
  <c r="AE28" i="62"/>
  <c r="AF28" i="62"/>
  <c r="AQ94" i="62"/>
  <c r="AR94" i="62" s="1"/>
  <c r="M109" i="62"/>
  <c r="N109" i="62" s="1"/>
  <c r="O189" i="62"/>
  <c r="P189" i="62" s="1"/>
  <c r="M54" i="62"/>
  <c r="N54" i="62"/>
  <c r="AC198" i="62"/>
  <c r="AD198" i="62" s="1"/>
  <c r="M171" i="62"/>
  <c r="N171" i="62"/>
  <c r="Y86" i="62"/>
  <c r="Z86" i="62" s="1"/>
  <c r="AQ211" i="62"/>
  <c r="AR211" i="62" s="1"/>
  <c r="N142" i="62"/>
  <c r="M142" i="62"/>
  <c r="AQ95" i="62"/>
  <c r="AR95" i="62" s="1"/>
  <c r="AG200" i="62"/>
  <c r="AH200" i="62" s="1"/>
  <c r="M80" i="62"/>
  <c r="N80" i="62" s="1"/>
  <c r="V122" i="62"/>
  <c r="U122" i="62"/>
  <c r="AI206" i="62"/>
  <c r="AJ206" i="62" s="1"/>
  <c r="AC27" i="62"/>
  <c r="AD27" i="62" s="1"/>
  <c r="AI90" i="62"/>
  <c r="AJ90" i="62" s="1"/>
  <c r="AG201" i="62"/>
  <c r="AH201" i="62" s="1"/>
  <c r="O51" i="62"/>
  <c r="P51" i="62"/>
  <c r="AM92" i="62"/>
  <c r="AN92" i="62" s="1"/>
  <c r="M173" i="62"/>
  <c r="N173" i="62"/>
  <c r="AC20" i="62"/>
  <c r="AD20" i="62" s="1"/>
  <c r="AE179" i="62"/>
  <c r="AF179" i="62"/>
  <c r="AK34" i="62"/>
  <c r="AL34" i="62" s="1"/>
  <c r="O170" i="62"/>
  <c r="P170" i="62" s="1"/>
  <c r="AJ130" i="62"/>
  <c r="AI130" i="62"/>
  <c r="M45" i="62"/>
  <c r="N45" i="62" s="1"/>
  <c r="AC23" i="62"/>
  <c r="AD23" i="62"/>
  <c r="K169" i="62"/>
  <c r="K184" i="62" s="1"/>
  <c r="J184" i="62"/>
  <c r="M147" i="62"/>
  <c r="N147" i="62" s="1"/>
  <c r="R120" i="62"/>
  <c r="Q120" i="62"/>
  <c r="AE88" i="62"/>
  <c r="AF88" i="62" s="1"/>
  <c r="AE26" i="62"/>
  <c r="AF26" i="62" s="1"/>
  <c r="M47" i="62"/>
  <c r="N47" i="62" s="1"/>
  <c r="M149" i="62"/>
  <c r="N149" i="62" s="1"/>
  <c r="AC229" i="62"/>
  <c r="AD229" i="62" s="1"/>
  <c r="O70" i="62"/>
  <c r="P70" i="62" s="1"/>
  <c r="AQ212" i="62"/>
  <c r="AR212" i="62" s="1"/>
  <c r="M190" i="62"/>
  <c r="N190" i="62" s="1"/>
  <c r="AJ91" i="62"/>
  <c r="AI91" i="62"/>
  <c r="AA228" i="62"/>
  <c r="AB228" i="62" s="1"/>
  <c r="K152" i="62"/>
  <c r="L152" i="62" s="1"/>
  <c r="J136" i="62"/>
  <c r="K105" i="62"/>
  <c r="K136" i="62" s="1"/>
  <c r="AC21" i="62"/>
  <c r="AD21" i="62" s="1"/>
  <c r="O82" i="62"/>
  <c r="P82" i="62" s="1"/>
  <c r="O16" i="62"/>
  <c r="P16" i="62" s="1"/>
  <c r="AD25" i="62"/>
  <c r="AC25" i="62"/>
  <c r="K101" i="62"/>
  <c r="L158" i="62"/>
  <c r="P224" i="62"/>
  <c r="K74" i="62"/>
  <c r="L140" i="62"/>
  <c r="L74" i="62"/>
  <c r="M65" i="62"/>
  <c r="M74" i="62" s="1"/>
  <c r="AI33" i="62"/>
  <c r="AJ33" i="62" s="1"/>
  <c r="S176" i="62"/>
  <c r="T176" i="62" s="1"/>
  <c r="Q116" i="62"/>
  <c r="R116" i="62" s="1"/>
  <c r="AQ213" i="62"/>
  <c r="AR213" i="62" s="1"/>
  <c r="O46" i="62"/>
  <c r="P46" i="62" s="1"/>
  <c r="M43" i="62"/>
  <c r="N43" i="62" s="1"/>
  <c r="P145" i="62"/>
  <c r="O145" i="62"/>
  <c r="M19" i="62"/>
  <c r="N19" i="62" s="1"/>
  <c r="M110" i="62"/>
  <c r="N110" i="62" s="1"/>
  <c r="AO208" i="62"/>
  <c r="AP208" i="62" s="1"/>
  <c r="AA195" i="62"/>
  <c r="AB195" i="62" s="1"/>
  <c r="AQ132" i="62"/>
  <c r="AR132" i="62" s="1"/>
  <c r="O172" i="62"/>
  <c r="P172" i="62" s="1"/>
  <c r="O187" i="62"/>
  <c r="P187" i="62"/>
  <c r="O42" i="62"/>
  <c r="P42" i="62" s="1"/>
  <c r="M50" i="62"/>
  <c r="N50" i="62" s="1"/>
  <c r="AC197" i="62"/>
  <c r="AD197" i="62" s="1"/>
  <c r="O44" i="62"/>
  <c r="P44" i="62" s="1"/>
  <c r="M141" i="62"/>
  <c r="N141" i="62" s="1"/>
  <c r="N17" i="62"/>
  <c r="M17" i="62"/>
  <c r="L15" i="62"/>
  <c r="K15" i="62"/>
  <c r="K37" i="62" s="1"/>
  <c r="J37" i="62"/>
  <c r="K188" i="62"/>
  <c r="K217" i="62" s="1"/>
  <c r="L188" i="62"/>
  <c r="J217" i="62"/>
  <c r="AL204" i="62"/>
  <c r="AK204" i="62"/>
  <c r="P114" i="62"/>
  <c r="O114" i="62"/>
  <c r="N107" i="62"/>
  <c r="M107" i="62"/>
  <c r="T118" i="62"/>
  <c r="S118" i="62"/>
  <c r="O168" i="62"/>
  <c r="P168" i="62" s="1"/>
  <c r="AA29" i="62"/>
  <c r="AB29" i="62" s="1"/>
  <c r="AC128" i="62"/>
  <c r="AD128" i="62" s="1"/>
  <c r="V226" i="62"/>
  <c r="U226" i="62"/>
  <c r="O191" i="62"/>
  <c r="P191" i="62" s="1"/>
  <c r="S84" i="62"/>
  <c r="T84" i="62" s="1"/>
  <c r="AA196" i="62"/>
  <c r="AB196" i="62" s="1"/>
  <c r="AC127" i="62"/>
  <c r="AD127" i="62" s="1"/>
  <c r="O79" i="62"/>
  <c r="P79" i="62" s="1"/>
  <c r="Q115" i="62"/>
  <c r="R115" i="62" s="1"/>
  <c r="L77" i="62"/>
  <c r="J154" i="62"/>
  <c r="C246" i="62"/>
  <c r="AC22" i="62" l="1"/>
  <c r="AD22" i="62" s="1"/>
  <c r="AE22" i="62" s="1"/>
  <c r="AF22" i="62" s="1"/>
  <c r="AK30" i="62"/>
  <c r="AL30" i="62" s="1"/>
  <c r="O18" i="62"/>
  <c r="P18" i="62" s="1"/>
  <c r="J163" i="62"/>
  <c r="L169" i="62"/>
  <c r="L40" i="62"/>
  <c r="K40" i="62"/>
  <c r="K59" i="62" s="1"/>
  <c r="J59" i="62"/>
  <c r="AF127" i="62"/>
  <c r="AE127" i="62"/>
  <c r="Q172" i="62"/>
  <c r="R172" i="62" s="1"/>
  <c r="AC87" i="62"/>
  <c r="AD87" i="62" s="1"/>
  <c r="Q143" i="62"/>
  <c r="R143" i="62" s="1"/>
  <c r="O52" i="62"/>
  <c r="P52" i="62" s="1"/>
  <c r="Q79" i="62"/>
  <c r="R79" i="62" s="1"/>
  <c r="AC29" i="62"/>
  <c r="AD29" i="62" s="1"/>
  <c r="O50" i="62"/>
  <c r="P50" i="62" s="1"/>
  <c r="Q46" i="62"/>
  <c r="R46" i="62" s="1"/>
  <c r="O149" i="62"/>
  <c r="P149" i="62" s="1"/>
  <c r="Q48" i="62"/>
  <c r="R48" i="62" s="1"/>
  <c r="AK90" i="62"/>
  <c r="AL90" i="62" s="1"/>
  <c r="Y124" i="62"/>
  <c r="Z124" i="62" s="1"/>
  <c r="O111" i="62"/>
  <c r="P111" i="62" s="1"/>
  <c r="Q108" i="62"/>
  <c r="R108" i="62" s="1"/>
  <c r="AO207" i="62"/>
  <c r="AP207" i="62" s="1"/>
  <c r="AE128" i="62"/>
  <c r="AF128" i="62" s="1"/>
  <c r="O141" i="62"/>
  <c r="P141" i="62" s="1"/>
  <c r="AC195" i="62"/>
  <c r="AD195" i="62" s="1"/>
  <c r="AC228" i="62"/>
  <c r="AD228" i="62" s="1"/>
  <c r="AE229" i="62"/>
  <c r="AF229" i="62" s="1"/>
  <c r="O45" i="62"/>
  <c r="P45" i="62" s="1"/>
  <c r="AI201" i="62"/>
  <c r="AJ201" i="62" s="1"/>
  <c r="AK206" i="62"/>
  <c r="AL206" i="62" s="1"/>
  <c r="W192" i="62"/>
  <c r="X192" i="62" s="1"/>
  <c r="U71" i="62"/>
  <c r="V71" i="62" s="1"/>
  <c r="AO32" i="62"/>
  <c r="AP32" i="62" s="1"/>
  <c r="O112" i="62"/>
  <c r="P112" i="62" s="1"/>
  <c r="W225" i="62"/>
  <c r="X225" i="62" s="1"/>
  <c r="Y125" i="62"/>
  <c r="Z125" i="62" s="1"/>
  <c r="O110" i="62"/>
  <c r="P110" i="62" s="1"/>
  <c r="Q82" i="62"/>
  <c r="R82" i="62" s="1"/>
  <c r="AG88" i="62"/>
  <c r="AH88" i="62" s="1"/>
  <c r="Q189" i="62"/>
  <c r="R189" i="62" s="1"/>
  <c r="O150" i="62"/>
  <c r="P150" i="62" s="1"/>
  <c r="AM35" i="62"/>
  <c r="AN35" i="62" s="1"/>
  <c r="Q191" i="62"/>
  <c r="R191" i="62" s="1"/>
  <c r="AQ208" i="62"/>
  <c r="AR208" i="62" s="1"/>
  <c r="AL33" i="62"/>
  <c r="AK33" i="62"/>
  <c r="O147" i="62"/>
  <c r="P147" i="62" s="1"/>
  <c r="AN34" i="62"/>
  <c r="AM34" i="62"/>
  <c r="AC199" i="62"/>
  <c r="AD199" i="62" s="1"/>
  <c r="AI129" i="62"/>
  <c r="AJ129" i="62" s="1"/>
  <c r="AM31" i="62"/>
  <c r="AN31" i="62" s="1"/>
  <c r="U84" i="62"/>
  <c r="V84" i="62" s="1"/>
  <c r="AE197" i="62"/>
  <c r="AF197" i="62" s="1"/>
  <c r="U176" i="62"/>
  <c r="V176" i="62" s="1"/>
  <c r="AC196" i="62"/>
  <c r="AD196" i="62" s="1"/>
  <c r="S116" i="62"/>
  <c r="T116" i="62" s="1"/>
  <c r="AE24" i="62"/>
  <c r="AF24" i="62" s="1"/>
  <c r="M152" i="62"/>
  <c r="N152" i="62" s="1"/>
  <c r="O190" i="62"/>
  <c r="P190" i="62" s="1"/>
  <c r="O80" i="62"/>
  <c r="P80" i="62" s="1"/>
  <c r="O109" i="62"/>
  <c r="P109" i="62" s="1"/>
  <c r="X178" i="62"/>
  <c r="W178" i="62"/>
  <c r="Q174" i="62"/>
  <c r="R174" i="62" s="1"/>
  <c r="AM203" i="62"/>
  <c r="AN203" i="62" s="1"/>
  <c r="AE227" i="62"/>
  <c r="AF227" i="62" s="1"/>
  <c r="Y55" i="62"/>
  <c r="Z55" i="62" s="1"/>
  <c r="U118" i="62"/>
  <c r="V118" i="62" s="1"/>
  <c r="M188" i="62"/>
  <c r="M217" i="62" s="1"/>
  <c r="L217" i="62"/>
  <c r="Q187" i="62"/>
  <c r="O19" i="62"/>
  <c r="P19" i="62" s="1"/>
  <c r="O43" i="62"/>
  <c r="P43" i="62" s="1"/>
  <c r="S120" i="62"/>
  <c r="T120" i="62" s="1"/>
  <c r="AE23" i="62"/>
  <c r="AF23" i="62" s="1"/>
  <c r="Q170" i="62"/>
  <c r="R170" i="62" s="1"/>
  <c r="O173" i="62"/>
  <c r="P173" i="62" s="1"/>
  <c r="O54" i="62"/>
  <c r="P54" i="62" s="1"/>
  <c r="AG28" i="62"/>
  <c r="AH28" i="62" s="1"/>
  <c r="O53" i="62"/>
  <c r="P53" i="62" s="1"/>
  <c r="P68" i="62"/>
  <c r="O68" i="62"/>
  <c r="AK205" i="62"/>
  <c r="AL205" i="62" s="1"/>
  <c r="W72" i="62"/>
  <c r="X72" i="62" s="1"/>
  <c r="O67" i="62"/>
  <c r="P67" i="62" s="1"/>
  <c r="AE194" i="62"/>
  <c r="AF194" i="62" s="1"/>
  <c r="Q151" i="62"/>
  <c r="R151" i="62" s="1"/>
  <c r="U83" i="62"/>
  <c r="V83" i="62" s="1"/>
  <c r="S115" i="62"/>
  <c r="T115" i="62" s="1"/>
  <c r="W226" i="62"/>
  <c r="X226" i="62" s="1"/>
  <c r="L160" i="62"/>
  <c r="M158" i="62"/>
  <c r="M160" i="62" s="1"/>
  <c r="AE25" i="62"/>
  <c r="AF25" i="62" s="1"/>
  <c r="AF20" i="62"/>
  <c r="AE20" i="62"/>
  <c r="AO92" i="62"/>
  <c r="AP92" i="62" s="1"/>
  <c r="AE27" i="62"/>
  <c r="AF27" i="62" s="1"/>
  <c r="AI200" i="62"/>
  <c r="AJ200" i="62" s="1"/>
  <c r="U117" i="62"/>
  <c r="V117" i="62" s="1"/>
  <c r="AI181" i="62"/>
  <c r="AJ181" i="62" s="1"/>
  <c r="AQ210" i="62"/>
  <c r="AR210" i="62" s="1"/>
  <c r="O69" i="62"/>
  <c r="P69" i="62"/>
  <c r="O107" i="62"/>
  <c r="P107" i="62"/>
  <c r="AM204" i="62"/>
  <c r="AN204" i="62" s="1"/>
  <c r="L37" i="62"/>
  <c r="M15" i="62"/>
  <c r="M37" i="62" s="1"/>
  <c r="R42" i="62"/>
  <c r="Q42" i="62"/>
  <c r="L154" i="62"/>
  <c r="M140" i="62"/>
  <c r="M154" i="62" s="1"/>
  <c r="P232" i="62"/>
  <c r="Q224" i="62"/>
  <c r="Q232" i="62" s="1"/>
  <c r="AK91" i="62"/>
  <c r="AL91" i="62" s="1"/>
  <c r="P47" i="62"/>
  <c r="O47" i="62"/>
  <c r="AA126" i="62"/>
  <c r="AB126" i="62" s="1"/>
  <c r="S81" i="62"/>
  <c r="T81" i="62" s="1"/>
  <c r="U175" i="62"/>
  <c r="V175" i="62" s="1"/>
  <c r="O113" i="62"/>
  <c r="P113" i="62" s="1"/>
  <c r="O146" i="62"/>
  <c r="P146" i="62" s="1"/>
  <c r="AO131" i="62"/>
  <c r="AP131" i="62" s="1"/>
  <c r="N65" i="62"/>
  <c r="L105" i="62"/>
  <c r="L101" i="62"/>
  <c r="M77" i="62"/>
  <c r="M101" i="62" s="1"/>
  <c r="Q168" i="62"/>
  <c r="Q114" i="62"/>
  <c r="R114" i="62" s="1"/>
  <c r="P17" i="62"/>
  <c r="O17" i="62"/>
  <c r="Q44" i="62"/>
  <c r="R44" i="62" s="1"/>
  <c r="R16" i="62"/>
  <c r="Q16" i="62"/>
  <c r="AE21" i="62"/>
  <c r="AF21" i="62" s="1"/>
  <c r="Q70" i="62"/>
  <c r="R70" i="62" s="1"/>
  <c r="AG26" i="62"/>
  <c r="AH26" i="62" s="1"/>
  <c r="M169" i="62"/>
  <c r="M184" i="62" s="1"/>
  <c r="M220" i="62" s="1"/>
  <c r="L184" i="62"/>
  <c r="AG179" i="62"/>
  <c r="AH179" i="62" s="1"/>
  <c r="Q51" i="62"/>
  <c r="R51" i="62" s="1"/>
  <c r="O171" i="62"/>
  <c r="P171" i="62"/>
  <c r="AH89" i="62"/>
  <c r="AG89" i="62"/>
  <c r="S49" i="62"/>
  <c r="T49" i="62"/>
  <c r="AA193" i="62"/>
  <c r="AB193" i="62" s="1"/>
  <c r="Y123" i="62"/>
  <c r="Z123" i="62"/>
  <c r="Q66" i="62"/>
  <c r="R66" i="62" s="1"/>
  <c r="Q145" i="62"/>
  <c r="R145" i="62" s="1"/>
  <c r="AK130" i="62"/>
  <c r="AL130" i="62" s="1"/>
  <c r="W122" i="62"/>
  <c r="X122" i="62" s="1"/>
  <c r="O142" i="62"/>
  <c r="P142" i="62" s="1"/>
  <c r="AA86" i="62"/>
  <c r="AB86" i="62"/>
  <c r="AE198" i="62"/>
  <c r="AF198" i="62" s="1"/>
  <c r="O78" i="62"/>
  <c r="P78" i="62"/>
  <c r="Y121" i="62"/>
  <c r="Z121" i="62" s="1"/>
  <c r="O144" i="62"/>
  <c r="P144" i="62" s="1"/>
  <c r="Q106" i="62"/>
  <c r="R106" i="62" s="1"/>
  <c r="U119" i="62"/>
  <c r="V119" i="62"/>
  <c r="AC85" i="62"/>
  <c r="AD85" i="62" s="1"/>
  <c r="AK202" i="62"/>
  <c r="AL202" i="62"/>
  <c r="O148" i="62"/>
  <c r="P148" i="62" s="1"/>
  <c r="AG180" i="62"/>
  <c r="AH180" i="62"/>
  <c r="O41" i="62"/>
  <c r="P41" i="62" s="1"/>
  <c r="U177" i="62"/>
  <c r="V177" i="62" s="1"/>
  <c r="J220" i="62"/>
  <c r="K154" i="62"/>
  <c r="K163" i="62" s="1"/>
  <c r="K220" i="62"/>
  <c r="Q18" i="62" l="1"/>
  <c r="R18" i="62" s="1"/>
  <c r="AM30" i="62"/>
  <c r="AN30" i="62" s="1"/>
  <c r="AO30" i="62" s="1"/>
  <c r="AP30" i="62" s="1"/>
  <c r="N140" i="62"/>
  <c r="N77" i="62"/>
  <c r="M40" i="62"/>
  <c r="M59" i="62" s="1"/>
  <c r="L59" i="62"/>
  <c r="N40" i="62"/>
  <c r="AM130" i="62"/>
  <c r="AN130" i="62" s="1"/>
  <c r="R146" i="62"/>
  <c r="Q146" i="62"/>
  <c r="W117" i="62"/>
  <c r="X117" i="62" s="1"/>
  <c r="Q54" i="62"/>
  <c r="R54" i="62" s="1"/>
  <c r="R80" i="62"/>
  <c r="Q80" i="62"/>
  <c r="Q150" i="62"/>
  <c r="R150" i="62" s="1"/>
  <c r="AM206" i="62"/>
  <c r="AN206" i="62" s="1"/>
  <c r="AG229" i="62"/>
  <c r="AH229" i="62" s="1"/>
  <c r="T143" i="62"/>
  <c r="S143" i="62"/>
  <c r="S66" i="62"/>
  <c r="T66" i="62" s="1"/>
  <c r="T114" i="62"/>
  <c r="S114" i="62"/>
  <c r="U81" i="62"/>
  <c r="V81" i="62" s="1"/>
  <c r="AL181" i="62"/>
  <c r="AK181" i="62"/>
  <c r="Q67" i="62"/>
  <c r="R67" i="62" s="1"/>
  <c r="AO203" i="62"/>
  <c r="AP203" i="62" s="1"/>
  <c r="AO31" i="62"/>
  <c r="AP31" i="62" s="1"/>
  <c r="Y192" i="62"/>
  <c r="Z192" i="62" s="1"/>
  <c r="AR207" i="62"/>
  <c r="AQ207" i="62"/>
  <c r="AG198" i="62"/>
  <c r="AH198" i="62" s="1"/>
  <c r="AD193" i="62"/>
  <c r="AC193" i="62"/>
  <c r="W175" i="62"/>
  <c r="X175" i="62" s="1"/>
  <c r="Z226" i="62"/>
  <c r="Y226" i="62"/>
  <c r="AG194" i="62"/>
  <c r="AH194" i="62" s="1"/>
  <c r="AM205" i="62"/>
  <c r="AN205" i="62" s="1"/>
  <c r="S170" i="62"/>
  <c r="T170" i="62" s="1"/>
  <c r="AG227" i="62"/>
  <c r="AH227" i="62" s="1"/>
  <c r="AF196" i="62"/>
  <c r="AE196" i="62"/>
  <c r="AE199" i="62"/>
  <c r="AF199" i="62" s="1"/>
  <c r="T191" i="62"/>
  <c r="S191" i="62"/>
  <c r="X71" i="62"/>
  <c r="W71" i="62"/>
  <c r="AH128" i="62"/>
  <c r="AG128" i="62"/>
  <c r="AB124" i="62"/>
  <c r="AA124" i="62"/>
  <c r="S172" i="62"/>
  <c r="T172" i="62" s="1"/>
  <c r="T106" i="62"/>
  <c r="S106" i="62"/>
  <c r="S70" i="62"/>
  <c r="T70" i="62" s="1"/>
  <c r="AD126" i="62"/>
  <c r="AC126" i="62"/>
  <c r="W83" i="62"/>
  <c r="X83" i="62" s="1"/>
  <c r="T174" i="62"/>
  <c r="S174" i="62"/>
  <c r="AG197" i="62"/>
  <c r="AH197" i="62" s="1"/>
  <c r="AB125" i="62"/>
  <c r="AA125" i="62"/>
  <c r="T108" i="62"/>
  <c r="S108" i="62"/>
  <c r="AE29" i="62"/>
  <c r="AF29" i="62" s="1"/>
  <c r="AB121" i="62"/>
  <c r="AA121" i="62"/>
  <c r="AQ131" i="62"/>
  <c r="AR131" i="62" s="1"/>
  <c r="AN91" i="62"/>
  <c r="AM91" i="62"/>
  <c r="U115" i="62"/>
  <c r="V115" i="62" s="1"/>
  <c r="X118" i="62"/>
  <c r="W118" i="62"/>
  <c r="Q109" i="62"/>
  <c r="R109" i="62" s="1"/>
  <c r="X176" i="62"/>
  <c r="W176" i="62"/>
  <c r="AO35" i="62"/>
  <c r="AP35" i="62" s="1"/>
  <c r="AM90" i="62"/>
  <c r="AN90" i="62" s="1"/>
  <c r="Q148" i="62"/>
  <c r="R148" i="62" s="1"/>
  <c r="AE85" i="62"/>
  <c r="AF85" i="62" s="1"/>
  <c r="Q142" i="62"/>
  <c r="R142" i="62" s="1"/>
  <c r="S51" i="62"/>
  <c r="T51" i="62" s="1"/>
  <c r="R113" i="62"/>
  <c r="Q113" i="62"/>
  <c r="AP204" i="62"/>
  <c r="AO204" i="62"/>
  <c r="AG22" i="62"/>
  <c r="AH22" i="62" s="1"/>
  <c r="S151" i="62"/>
  <c r="T151" i="62" s="1"/>
  <c r="Q53" i="62"/>
  <c r="R53" i="62" s="1"/>
  <c r="Q173" i="62"/>
  <c r="R173" i="62" s="1"/>
  <c r="U120" i="62"/>
  <c r="V120" i="62" s="1"/>
  <c r="Q190" i="62"/>
  <c r="R190" i="62" s="1"/>
  <c r="S189" i="62"/>
  <c r="T189" i="62" s="1"/>
  <c r="Y225" i="62"/>
  <c r="Z225" i="62" s="1"/>
  <c r="AK201" i="62"/>
  <c r="AL201" i="62" s="1"/>
  <c r="AE228" i="62"/>
  <c r="AF228" i="62" s="1"/>
  <c r="Q111" i="62"/>
  <c r="R111" i="62" s="1"/>
  <c r="S79" i="62"/>
  <c r="T79" i="62" s="1"/>
  <c r="AE87" i="62"/>
  <c r="AF87" i="62" s="1"/>
  <c r="Q41" i="62"/>
  <c r="R41" i="62" s="1"/>
  <c r="AM202" i="62"/>
  <c r="AN202" i="62" s="1"/>
  <c r="Q144" i="62"/>
  <c r="R144" i="62" s="1"/>
  <c r="AC86" i="62"/>
  <c r="AD86" i="62" s="1"/>
  <c r="S145" i="62"/>
  <c r="T145" i="62" s="1"/>
  <c r="U49" i="62"/>
  <c r="V49" i="62" s="1"/>
  <c r="AI179" i="62"/>
  <c r="AJ179" i="62" s="1"/>
  <c r="AG21" i="62"/>
  <c r="AH21" i="62" s="1"/>
  <c r="S44" i="62"/>
  <c r="T44" i="62" s="1"/>
  <c r="N101" i="62"/>
  <c r="O77" i="62"/>
  <c r="O101" i="62" s="1"/>
  <c r="O65" i="62"/>
  <c r="O74" i="62" s="1"/>
  <c r="N74" i="62"/>
  <c r="Q107" i="62"/>
  <c r="R107" i="62" s="1"/>
  <c r="Q69" i="62"/>
  <c r="R69" i="62" s="1"/>
  <c r="AK200" i="62"/>
  <c r="AL200" i="62" s="1"/>
  <c r="AQ92" i="62"/>
  <c r="AR92" i="62" s="1"/>
  <c r="R19" i="62"/>
  <c r="Q19" i="62"/>
  <c r="AH24" i="62"/>
  <c r="AG24" i="62"/>
  <c r="W84" i="62"/>
  <c r="X84" i="62" s="1"/>
  <c r="AI88" i="62"/>
  <c r="AJ88" i="62" s="1"/>
  <c r="Q110" i="62"/>
  <c r="R110" i="62" s="1"/>
  <c r="Q52" i="62"/>
  <c r="R52" i="62" s="1"/>
  <c r="AG127" i="62"/>
  <c r="AH127" i="62" s="1"/>
  <c r="AG20" i="62"/>
  <c r="AH20" i="62" s="1"/>
  <c r="Q17" i="62"/>
  <c r="R17" i="62" s="1"/>
  <c r="S42" i="62"/>
  <c r="T42" i="62" s="1"/>
  <c r="R43" i="62"/>
  <c r="Q43" i="62"/>
  <c r="AA55" i="62"/>
  <c r="AB55" i="62" s="1"/>
  <c r="Y178" i="62"/>
  <c r="Z178" i="62" s="1"/>
  <c r="O152" i="62"/>
  <c r="P152" i="62" s="1"/>
  <c r="U116" i="62"/>
  <c r="V116" i="62" s="1"/>
  <c r="Q147" i="62"/>
  <c r="R147" i="62" s="1"/>
  <c r="S82" i="62"/>
  <c r="T82" i="62" s="1"/>
  <c r="Q112" i="62"/>
  <c r="R112" i="62" s="1"/>
  <c r="Q45" i="62"/>
  <c r="R45" i="62" s="1"/>
  <c r="Q141" i="62"/>
  <c r="R141" i="62" s="1"/>
  <c r="Q149" i="62"/>
  <c r="R149" i="62" s="1"/>
  <c r="Q50" i="62"/>
  <c r="R50" i="62" s="1"/>
  <c r="N169" i="62"/>
  <c r="L220" i="62"/>
  <c r="AJ180" i="62"/>
  <c r="AI180" i="62"/>
  <c r="X119" i="62"/>
  <c r="W119" i="62"/>
  <c r="R78" i="62"/>
  <c r="Q78" i="62"/>
  <c r="Z122" i="62"/>
  <c r="Y122" i="62"/>
  <c r="AB123" i="62"/>
  <c r="AA123" i="62"/>
  <c r="Q171" i="62"/>
  <c r="R171" i="62" s="1"/>
  <c r="Q47" i="62"/>
  <c r="R47" i="62" s="1"/>
  <c r="Y72" i="62"/>
  <c r="Z72" i="62" s="1"/>
  <c r="Q68" i="62"/>
  <c r="R68" i="62" s="1"/>
  <c r="AJ28" i="62"/>
  <c r="AI28" i="62"/>
  <c r="AH23" i="62"/>
  <c r="AG23" i="62"/>
  <c r="AK129" i="62"/>
  <c r="AL129" i="62" s="1"/>
  <c r="AO34" i="62"/>
  <c r="AP34" i="62" s="1"/>
  <c r="AM33" i="62"/>
  <c r="AN33" i="62" s="1"/>
  <c r="AQ32" i="62"/>
  <c r="AR32" i="62" s="1"/>
  <c r="AE195" i="62"/>
  <c r="AF195" i="62" s="1"/>
  <c r="S48" i="62"/>
  <c r="T48" i="62" s="1"/>
  <c r="S46" i="62"/>
  <c r="T46" i="62" s="1"/>
  <c r="AI89" i="62"/>
  <c r="AJ89" i="62" s="1"/>
  <c r="N105" i="62"/>
  <c r="M105" i="62"/>
  <c r="M136" i="62" s="1"/>
  <c r="M163" i="62" s="1"/>
  <c r="L136" i="62"/>
  <c r="L163" i="62" s="1"/>
  <c r="O140" i="62"/>
  <c r="P140" i="62"/>
  <c r="N154" i="62"/>
  <c r="AG27" i="62"/>
  <c r="AH27" i="62" s="1"/>
  <c r="AG25" i="62"/>
  <c r="AH25" i="62" s="1"/>
  <c r="W177" i="62"/>
  <c r="X177" i="62" s="1"/>
  <c r="AI26" i="62"/>
  <c r="AJ26" i="62" s="1"/>
  <c r="S16" i="62"/>
  <c r="T16" i="62" s="1"/>
  <c r="R168" i="62"/>
  <c r="R224" i="62"/>
  <c r="N15" i="62"/>
  <c r="N158" i="62"/>
  <c r="R187" i="62"/>
  <c r="N188" i="62"/>
  <c r="S18" i="62" l="1"/>
  <c r="T18" i="62" s="1"/>
  <c r="N59" i="62"/>
  <c r="O40" i="62"/>
  <c r="AI27" i="62"/>
  <c r="AJ27" i="62" s="1"/>
  <c r="AM129" i="62"/>
  <c r="AN129" i="62" s="1"/>
  <c r="T147" i="62"/>
  <c r="S147" i="62"/>
  <c r="S17" i="62"/>
  <c r="T17" i="62" s="1"/>
  <c r="Y84" i="62"/>
  <c r="Z84" i="62" s="1"/>
  <c r="AI21" i="62"/>
  <c r="AJ21" i="62" s="1"/>
  <c r="S190" i="62"/>
  <c r="T190" i="62" s="1"/>
  <c r="AR35" i="62"/>
  <c r="AQ35" i="62"/>
  <c r="AI197" i="62"/>
  <c r="AJ197" i="62" s="1"/>
  <c r="AK89" i="62"/>
  <c r="AL89" i="62" s="1"/>
  <c r="S47" i="62"/>
  <c r="T47" i="62" s="1"/>
  <c r="U82" i="62"/>
  <c r="V82" i="62" s="1"/>
  <c r="U42" i="62"/>
  <c r="V42" i="62" s="1"/>
  <c r="AK88" i="62"/>
  <c r="AL88" i="62" s="1"/>
  <c r="AG228" i="62"/>
  <c r="AH228" i="62" s="1"/>
  <c r="S173" i="62"/>
  <c r="T173" i="62" s="1"/>
  <c r="AO90" i="62"/>
  <c r="AP90" i="62" s="1"/>
  <c r="U172" i="62"/>
  <c r="V172" i="62" s="1"/>
  <c r="Y177" i="62"/>
  <c r="Z177" i="62" s="1"/>
  <c r="AO33" i="62"/>
  <c r="AP33" i="62" s="1"/>
  <c r="S50" i="62"/>
  <c r="T50" i="62" s="1"/>
  <c r="S112" i="62"/>
  <c r="T112" i="62" s="1"/>
  <c r="S110" i="62"/>
  <c r="T110" i="62" s="1"/>
  <c r="AQ30" i="62"/>
  <c r="AR30" i="62" s="1"/>
  <c r="W49" i="62"/>
  <c r="X49" i="62" s="1"/>
  <c r="AO205" i="62"/>
  <c r="AP205" i="62" s="1"/>
  <c r="AQ203" i="62"/>
  <c r="AR203" i="62" s="1"/>
  <c r="S54" i="62"/>
  <c r="T54" i="62" s="1"/>
  <c r="AG195" i="62"/>
  <c r="AH195" i="62" s="1"/>
  <c r="S171" i="62"/>
  <c r="T171" i="62" s="1"/>
  <c r="S141" i="62"/>
  <c r="T141" i="62" s="1"/>
  <c r="AC55" i="62"/>
  <c r="AD55" i="62" s="1"/>
  <c r="AI127" i="62"/>
  <c r="AJ127" i="62" s="1"/>
  <c r="AM201" i="62"/>
  <c r="AN201" i="62" s="1"/>
  <c r="S53" i="62"/>
  <c r="T53" i="62" s="1"/>
  <c r="U51" i="62"/>
  <c r="V51" i="62" s="1"/>
  <c r="AG199" i="62"/>
  <c r="AH199" i="62" s="1"/>
  <c r="AI25" i="62"/>
  <c r="AJ25" i="62" s="1"/>
  <c r="AR34" i="62"/>
  <c r="AQ34" i="62"/>
  <c r="S149" i="62"/>
  <c r="T149" i="62" s="1"/>
  <c r="AA178" i="62"/>
  <c r="AB178" i="62" s="1"/>
  <c r="AI20" i="62"/>
  <c r="AJ20" i="62" s="1"/>
  <c r="U44" i="62"/>
  <c r="V44" i="62" s="1"/>
  <c r="U189" i="62"/>
  <c r="V189" i="62" s="1"/>
  <c r="AJ22" i="62"/>
  <c r="AI22" i="62"/>
  <c r="AG29" i="62"/>
  <c r="AH29" i="62" s="1"/>
  <c r="AI229" i="62"/>
  <c r="AJ229" i="62" s="1"/>
  <c r="AA72" i="62"/>
  <c r="AB72" i="62" s="1"/>
  <c r="Q152" i="62"/>
  <c r="R152" i="62" s="1"/>
  <c r="S68" i="62"/>
  <c r="T68" i="62" s="1"/>
  <c r="T45" i="62"/>
  <c r="S45" i="62"/>
  <c r="W116" i="62"/>
  <c r="X116" i="62" s="1"/>
  <c r="T52" i="62"/>
  <c r="S52" i="62"/>
  <c r="AK179" i="62"/>
  <c r="AL179" i="62" s="1"/>
  <c r="U170" i="62"/>
  <c r="V170" i="62"/>
  <c r="AQ31" i="62"/>
  <c r="AR31" i="62" s="1"/>
  <c r="N37" i="62"/>
  <c r="O15" i="62"/>
  <c r="O37" i="62" s="1"/>
  <c r="AL26" i="62"/>
  <c r="AK26" i="62"/>
  <c r="N136" i="62"/>
  <c r="O105" i="62"/>
  <c r="O136" i="62" s="1"/>
  <c r="U46" i="62"/>
  <c r="V46" i="62" s="1"/>
  <c r="Y119" i="62"/>
  <c r="Z119" i="62" s="1"/>
  <c r="AM200" i="62"/>
  <c r="AN200" i="62"/>
  <c r="S107" i="62"/>
  <c r="T107" i="62" s="1"/>
  <c r="U145" i="62"/>
  <c r="V145" i="62" s="1"/>
  <c r="U151" i="62"/>
  <c r="V151" i="62" s="1"/>
  <c r="AQ204" i="62"/>
  <c r="AR204" i="62" s="1"/>
  <c r="Y118" i="62"/>
  <c r="Z118" i="62" s="1"/>
  <c r="U70" i="62"/>
  <c r="V70" i="62" s="1"/>
  <c r="U191" i="62"/>
  <c r="V191" i="62" s="1"/>
  <c r="Y175" i="62"/>
  <c r="Z175" i="62"/>
  <c r="AI198" i="62"/>
  <c r="AJ198" i="62" s="1"/>
  <c r="AA192" i="62"/>
  <c r="AB192" i="62" s="1"/>
  <c r="AM181" i="62"/>
  <c r="AN181" i="62" s="1"/>
  <c r="U143" i="62"/>
  <c r="V143" i="62" s="1"/>
  <c r="S80" i="62"/>
  <c r="T80" i="62" s="1"/>
  <c r="Y117" i="62"/>
  <c r="Z117" i="62" s="1"/>
  <c r="O158" i="62"/>
  <c r="O160" i="62" s="1"/>
  <c r="N160" i="62"/>
  <c r="S187" i="62"/>
  <c r="T187" i="62" s="1"/>
  <c r="U16" i="62"/>
  <c r="V16" i="62" s="1"/>
  <c r="U48" i="62"/>
  <c r="V48" i="62" s="1"/>
  <c r="AI23" i="62"/>
  <c r="AJ23" i="62" s="1"/>
  <c r="S78" i="62"/>
  <c r="T78" i="62" s="1"/>
  <c r="AK180" i="62"/>
  <c r="AL180" i="62" s="1"/>
  <c r="O169" i="62"/>
  <c r="O184" i="62" s="1"/>
  <c r="N184" i="62"/>
  <c r="S43" i="62"/>
  <c r="T43" i="62" s="1"/>
  <c r="S19" i="62"/>
  <c r="T19" i="62" s="1"/>
  <c r="S69" i="62"/>
  <c r="T69" i="62" s="1"/>
  <c r="AE86" i="62"/>
  <c r="AF86" i="62" s="1"/>
  <c r="AO202" i="62"/>
  <c r="AP202" i="62" s="1"/>
  <c r="AG87" i="62"/>
  <c r="AH87" i="62" s="1"/>
  <c r="S111" i="62"/>
  <c r="T111" i="62"/>
  <c r="W120" i="62"/>
  <c r="X120" i="62" s="1"/>
  <c r="S113" i="62"/>
  <c r="T113" i="62"/>
  <c r="S142" i="62"/>
  <c r="T142" i="62" s="1"/>
  <c r="S148" i="62"/>
  <c r="T148" i="62" s="1"/>
  <c r="S109" i="62"/>
  <c r="T109" i="62" s="1"/>
  <c r="W115" i="62"/>
  <c r="X115" i="62"/>
  <c r="AC125" i="62"/>
  <c r="AD125" i="62" s="1"/>
  <c r="U174" i="62"/>
  <c r="V174" i="62"/>
  <c r="AE126" i="62"/>
  <c r="AF126" i="62" s="1"/>
  <c r="U106" i="62"/>
  <c r="V106" i="62"/>
  <c r="AC124" i="62"/>
  <c r="AD124" i="62" s="1"/>
  <c r="Y71" i="62"/>
  <c r="Z71" i="62" s="1"/>
  <c r="AI227" i="62"/>
  <c r="AJ227" i="62" s="1"/>
  <c r="AA226" i="62"/>
  <c r="AB226" i="62"/>
  <c r="AE193" i="62"/>
  <c r="AF193" i="62" s="1"/>
  <c r="S67" i="62"/>
  <c r="T67" i="62"/>
  <c r="W81" i="62"/>
  <c r="X81" i="62" s="1"/>
  <c r="U66" i="62"/>
  <c r="V66" i="62"/>
  <c r="S150" i="62"/>
  <c r="T150" i="62" s="1"/>
  <c r="S146" i="62"/>
  <c r="T146" i="62" s="1"/>
  <c r="N163" i="62"/>
  <c r="P154" i="62"/>
  <c r="Q140" i="62"/>
  <c r="Q154" i="62" s="1"/>
  <c r="AK28" i="62"/>
  <c r="AL28" i="62" s="1"/>
  <c r="AA122" i="62"/>
  <c r="AB122" i="62"/>
  <c r="AI24" i="62"/>
  <c r="AJ24" i="62" s="1"/>
  <c r="S144" i="62"/>
  <c r="T144" i="62" s="1"/>
  <c r="S41" i="62"/>
  <c r="T41" i="62" s="1"/>
  <c r="U79" i="62"/>
  <c r="V79" i="62" s="1"/>
  <c r="AA225" i="62"/>
  <c r="AB225" i="62"/>
  <c r="AG85" i="62"/>
  <c r="AH85" i="62" s="1"/>
  <c r="Y176" i="62"/>
  <c r="Z176" i="62"/>
  <c r="AP91" i="62"/>
  <c r="AO91" i="62"/>
  <c r="AC121" i="62"/>
  <c r="AD121" i="62"/>
  <c r="U108" i="62"/>
  <c r="V108" i="62" s="1"/>
  <c r="Y83" i="62"/>
  <c r="Z83" i="62"/>
  <c r="AI128" i="62"/>
  <c r="AJ128" i="62" s="1"/>
  <c r="AG196" i="62"/>
  <c r="AH196" i="62" s="1"/>
  <c r="AI194" i="62"/>
  <c r="AJ194" i="62" s="1"/>
  <c r="U114" i="62"/>
  <c r="V114" i="62"/>
  <c r="AO206" i="62"/>
  <c r="AP206" i="62" s="1"/>
  <c r="AO130" i="62"/>
  <c r="AP130" i="62"/>
  <c r="S168" i="62"/>
  <c r="T168" i="62" s="1"/>
  <c r="AC123" i="62"/>
  <c r="AD123" i="62" s="1"/>
  <c r="O188" i="62"/>
  <c r="O217" i="62" s="1"/>
  <c r="N217" i="62"/>
  <c r="R232" i="62"/>
  <c r="S224" i="62"/>
  <c r="S232" i="62" s="1"/>
  <c r="O154" i="62"/>
  <c r="P65" i="62"/>
  <c r="P77" i="62"/>
  <c r="U18" i="62" l="1"/>
  <c r="V18" i="62" s="1"/>
  <c r="W18" i="62" s="1"/>
  <c r="X18" i="62" s="1"/>
  <c r="O220" i="62"/>
  <c r="O59" i="62"/>
  <c r="P40" i="62"/>
  <c r="O163" i="62"/>
  <c r="U168" i="62"/>
  <c r="AK128" i="62"/>
  <c r="AL128" i="62" s="1"/>
  <c r="AK24" i="62"/>
  <c r="AL24" i="62" s="1"/>
  <c r="U150" i="62"/>
  <c r="V150" i="62" s="1"/>
  <c r="AE124" i="62"/>
  <c r="AF124" i="62" s="1"/>
  <c r="U142" i="62"/>
  <c r="V142" i="62" s="1"/>
  <c r="V80" i="62"/>
  <c r="U80" i="62"/>
  <c r="AK198" i="62"/>
  <c r="AL198" i="62" s="1"/>
  <c r="U107" i="62"/>
  <c r="V107" i="62" s="1"/>
  <c r="W46" i="62"/>
  <c r="X46" i="62"/>
  <c r="AC72" i="62"/>
  <c r="AD72" i="62" s="1"/>
  <c r="AK20" i="62"/>
  <c r="AL20" i="62" s="1"/>
  <c r="AI199" i="62"/>
  <c r="AJ199" i="62" s="1"/>
  <c r="AO201" i="62"/>
  <c r="AP201" i="62" s="1"/>
  <c r="U54" i="62"/>
  <c r="V54" i="62" s="1"/>
  <c r="Y49" i="62"/>
  <c r="Z49" i="62"/>
  <c r="AQ33" i="62"/>
  <c r="AR33" i="62" s="1"/>
  <c r="U173" i="62"/>
  <c r="V173" i="62" s="1"/>
  <c r="W108" i="62"/>
  <c r="X108" i="62" s="1"/>
  <c r="U144" i="62"/>
  <c r="V144" i="62" s="1"/>
  <c r="Y81" i="62"/>
  <c r="Z81" i="62" s="1"/>
  <c r="AG126" i="62"/>
  <c r="AH126" i="62" s="1"/>
  <c r="Z120" i="62"/>
  <c r="Y120" i="62"/>
  <c r="AK23" i="62"/>
  <c r="AL23" i="62" s="1"/>
  <c r="AA117" i="62"/>
  <c r="AB117" i="62" s="1"/>
  <c r="AC192" i="62"/>
  <c r="AD192" i="62" s="1"/>
  <c r="W191" i="62"/>
  <c r="X191" i="62" s="1"/>
  <c r="AA119" i="62"/>
  <c r="AB119" i="62" s="1"/>
  <c r="U53" i="62"/>
  <c r="V53" i="62"/>
  <c r="AI195" i="62"/>
  <c r="AJ195" i="62" s="1"/>
  <c r="AQ205" i="62"/>
  <c r="AR205" i="62" s="1"/>
  <c r="U50" i="62"/>
  <c r="V50" i="62" s="1"/>
  <c r="AQ90" i="62"/>
  <c r="AR90" i="62"/>
  <c r="AK197" i="62"/>
  <c r="AL197" i="62" s="1"/>
  <c r="AQ206" i="62"/>
  <c r="AR206" i="62" s="1"/>
  <c r="AI85" i="62"/>
  <c r="AJ85" i="62" s="1"/>
  <c r="U41" i="62"/>
  <c r="V41" i="62"/>
  <c r="AG193" i="62"/>
  <c r="AH193" i="62" s="1"/>
  <c r="AE125" i="62"/>
  <c r="AF125" i="62" s="1"/>
  <c r="AI87" i="62"/>
  <c r="AJ87" i="62" s="1"/>
  <c r="U43" i="62"/>
  <c r="V43" i="62" s="1"/>
  <c r="U78" i="62"/>
  <c r="V78" i="62" s="1"/>
  <c r="W16" i="62"/>
  <c r="X16" i="62" s="1"/>
  <c r="AO181" i="62"/>
  <c r="AP181" i="62" s="1"/>
  <c r="AA118" i="62"/>
  <c r="AB118" i="62" s="1"/>
  <c r="AM179" i="62"/>
  <c r="AN179" i="62" s="1"/>
  <c r="Y116" i="62"/>
  <c r="Z116" i="62"/>
  <c r="AI29" i="62"/>
  <c r="AJ29" i="62" s="1"/>
  <c r="AE55" i="62"/>
  <c r="AF55" i="62" s="1"/>
  <c r="W172" i="62"/>
  <c r="X172" i="62" s="1"/>
  <c r="AM88" i="62"/>
  <c r="AN88" i="62" s="1"/>
  <c r="U190" i="62"/>
  <c r="V190" i="62" s="1"/>
  <c r="AO129" i="62"/>
  <c r="AP129" i="62"/>
  <c r="AL194" i="62"/>
  <c r="AK194" i="62"/>
  <c r="W79" i="62"/>
  <c r="X79" i="62" s="1"/>
  <c r="AL227" i="62"/>
  <c r="AK227" i="62"/>
  <c r="U109" i="62"/>
  <c r="V109" i="62" s="1"/>
  <c r="AG86" i="62"/>
  <c r="AH86" i="62" s="1"/>
  <c r="AM180" i="62"/>
  <c r="AN180" i="62" s="1"/>
  <c r="W143" i="62"/>
  <c r="X143" i="62" s="1"/>
  <c r="W151" i="62"/>
  <c r="X151" i="62" s="1"/>
  <c r="U68" i="62"/>
  <c r="V68" i="62" s="1"/>
  <c r="AK229" i="62"/>
  <c r="AL229" i="62"/>
  <c r="W189" i="62"/>
  <c r="X189" i="62" s="1"/>
  <c r="AC178" i="62"/>
  <c r="AD178" i="62" s="1"/>
  <c r="AK127" i="62"/>
  <c r="AL127" i="62" s="1"/>
  <c r="AA177" i="62"/>
  <c r="AB177" i="62" s="1"/>
  <c r="AI228" i="62"/>
  <c r="AJ228" i="62" s="1"/>
  <c r="AA84" i="62"/>
  <c r="AB84" i="62"/>
  <c r="X114" i="62"/>
  <c r="W114" i="62"/>
  <c r="AA83" i="62"/>
  <c r="AB83" i="62" s="1"/>
  <c r="X66" i="62"/>
  <c r="W66" i="62"/>
  <c r="AC226" i="62"/>
  <c r="AD226" i="62" s="1"/>
  <c r="W106" i="62"/>
  <c r="X106" i="62" s="1"/>
  <c r="Y115" i="62"/>
  <c r="Z115" i="62" s="1"/>
  <c r="U113" i="62"/>
  <c r="V113" i="62" s="1"/>
  <c r="AQ202" i="62"/>
  <c r="AR202" i="62" s="1"/>
  <c r="V69" i="62"/>
  <c r="U69" i="62"/>
  <c r="W48" i="62"/>
  <c r="X48" i="62"/>
  <c r="U187" i="62"/>
  <c r="U45" i="62"/>
  <c r="V45" i="62" s="1"/>
  <c r="U110" i="62"/>
  <c r="V110" i="62" s="1"/>
  <c r="X42" i="62"/>
  <c r="W42" i="62"/>
  <c r="AK27" i="62"/>
  <c r="AL27" i="62" s="1"/>
  <c r="Q77" i="62"/>
  <c r="Q101" i="62" s="1"/>
  <c r="P101" i="62"/>
  <c r="U149" i="62"/>
  <c r="V149" i="62" s="1"/>
  <c r="AK25" i="62"/>
  <c r="AL25" i="62" s="1"/>
  <c r="W51" i="62"/>
  <c r="X51" i="62" s="1"/>
  <c r="U171" i="62"/>
  <c r="V171" i="62" s="1"/>
  <c r="U112" i="62"/>
  <c r="V112" i="62" s="1"/>
  <c r="W82" i="62"/>
  <c r="X82" i="62"/>
  <c r="AM89" i="62"/>
  <c r="AN89" i="62" s="1"/>
  <c r="AK21" i="62"/>
  <c r="AL21" i="62" s="1"/>
  <c r="U17" i="62"/>
  <c r="V17" i="62" s="1"/>
  <c r="P158" i="62"/>
  <c r="P105" i="62"/>
  <c r="T224" i="62"/>
  <c r="P188" i="62"/>
  <c r="N220" i="62"/>
  <c r="P15" i="62"/>
  <c r="AE123" i="62"/>
  <c r="AF123" i="62" s="1"/>
  <c r="AQ130" i="62"/>
  <c r="AR130" i="62" s="1"/>
  <c r="AI196" i="62"/>
  <c r="AJ196" i="62" s="1"/>
  <c r="AE121" i="62"/>
  <c r="AF121" i="62" s="1"/>
  <c r="AB176" i="62"/>
  <c r="AA176" i="62"/>
  <c r="AC225" i="62"/>
  <c r="AD225" i="62" s="1"/>
  <c r="AD122" i="62"/>
  <c r="AC122" i="62"/>
  <c r="U146" i="62"/>
  <c r="V146" i="62" s="1"/>
  <c r="U67" i="62"/>
  <c r="V67" i="62" s="1"/>
  <c r="AA71" i="62"/>
  <c r="AB71" i="62" s="1"/>
  <c r="W174" i="62"/>
  <c r="X174" i="62" s="1"/>
  <c r="U148" i="62"/>
  <c r="V148" i="62" s="1"/>
  <c r="V111" i="62"/>
  <c r="U111" i="62"/>
  <c r="U52" i="62"/>
  <c r="V52" i="62"/>
  <c r="S152" i="62"/>
  <c r="T152" i="62" s="1"/>
  <c r="AK22" i="62"/>
  <c r="AL22" i="62" s="1"/>
  <c r="W44" i="62"/>
  <c r="X44" i="62" s="1"/>
  <c r="U141" i="62"/>
  <c r="V141" i="62" s="1"/>
  <c r="U47" i="62"/>
  <c r="V47" i="62" s="1"/>
  <c r="U147" i="62"/>
  <c r="V147" i="62" s="1"/>
  <c r="P74" i="62"/>
  <c r="Q65" i="62"/>
  <c r="Q74" i="62" s="1"/>
  <c r="AQ91" i="62"/>
  <c r="AR91" i="62" s="1"/>
  <c r="AM28" i="62"/>
  <c r="AN28" i="62" s="1"/>
  <c r="U19" i="62"/>
  <c r="V19" i="62"/>
  <c r="AM26" i="62"/>
  <c r="AN26" i="62" s="1"/>
  <c r="AA175" i="62"/>
  <c r="AB175" i="62" s="1"/>
  <c r="W70" i="62"/>
  <c r="X70" i="62" s="1"/>
  <c r="W145" i="62"/>
  <c r="X145" i="62" s="1"/>
  <c r="AO200" i="62"/>
  <c r="AP200" i="62" s="1"/>
  <c r="W170" i="62"/>
  <c r="X170" i="62"/>
  <c r="P169" i="62"/>
  <c r="R140" i="62"/>
  <c r="R65" i="62" l="1"/>
  <c r="Q40" i="62"/>
  <c r="Q59" i="62" s="1"/>
  <c r="P59" i="62"/>
  <c r="W148" i="62"/>
  <c r="X148" i="62" s="1"/>
  <c r="AG121" i="62"/>
  <c r="AH121" i="62" s="1"/>
  <c r="W149" i="62"/>
  <c r="X149" i="62" s="1"/>
  <c r="X110" i="62"/>
  <c r="W110" i="62"/>
  <c r="Y189" i="62"/>
  <c r="Z189" i="62" s="1"/>
  <c r="Y151" i="62"/>
  <c r="Z151" i="62" s="1"/>
  <c r="AK29" i="62"/>
  <c r="AL29" i="62" s="1"/>
  <c r="AC118" i="62"/>
  <c r="AD118" i="62" s="1"/>
  <c r="AE192" i="62"/>
  <c r="AF192" i="62" s="1"/>
  <c r="AK199" i="62"/>
  <c r="AL199" i="62" s="1"/>
  <c r="Y145" i="62"/>
  <c r="Z145" i="62" s="1"/>
  <c r="AO26" i="62"/>
  <c r="AP26" i="62" s="1"/>
  <c r="U152" i="62"/>
  <c r="V152" i="62" s="1"/>
  <c r="AC71" i="62"/>
  <c r="AD71" i="62" s="1"/>
  <c r="AO89" i="62"/>
  <c r="AP89" i="62" s="1"/>
  <c r="Y18" i="62"/>
  <c r="Z18" i="62" s="1"/>
  <c r="AA115" i="62"/>
  <c r="AB115" i="62" s="1"/>
  <c r="X68" i="62"/>
  <c r="W68" i="62"/>
  <c r="AO180" i="62"/>
  <c r="AP180" i="62" s="1"/>
  <c r="AO179" i="62"/>
  <c r="AP179" i="62" s="1"/>
  <c r="AG125" i="62"/>
  <c r="AH125" i="62" s="1"/>
  <c r="AM197" i="62"/>
  <c r="AN197" i="62" s="1"/>
  <c r="AN23" i="62"/>
  <c r="AM23" i="62"/>
  <c r="AM198" i="62"/>
  <c r="AN198" i="62" s="1"/>
  <c r="AM128" i="62"/>
  <c r="AN128" i="62" s="1"/>
  <c r="AC175" i="62"/>
  <c r="AD175" i="62" s="1"/>
  <c r="AO28" i="62"/>
  <c r="AP28" i="62" s="1"/>
  <c r="AM22" i="62"/>
  <c r="AN22" i="62" s="1"/>
  <c r="W146" i="62"/>
  <c r="X146" i="62" s="1"/>
  <c r="AN21" i="62"/>
  <c r="AM21" i="62"/>
  <c r="X112" i="62"/>
  <c r="W112" i="62"/>
  <c r="AE226" i="62"/>
  <c r="AF226" i="62" s="1"/>
  <c r="AK228" i="62"/>
  <c r="AL228" i="62" s="1"/>
  <c r="W109" i="62"/>
  <c r="X109" i="62" s="1"/>
  <c r="W190" i="62"/>
  <c r="X190" i="62" s="1"/>
  <c r="W50" i="62"/>
  <c r="X50" i="62" s="1"/>
  <c r="AI126" i="62"/>
  <c r="AJ126" i="62" s="1"/>
  <c r="AE72" i="62"/>
  <c r="AF72" i="62" s="1"/>
  <c r="W142" i="62"/>
  <c r="X142" i="62" s="1"/>
  <c r="AM24" i="62"/>
  <c r="AN24" i="62" s="1"/>
  <c r="AE225" i="62"/>
  <c r="AF225" i="62" s="1"/>
  <c r="Z51" i="62"/>
  <c r="Y51" i="62"/>
  <c r="AC83" i="62"/>
  <c r="AD83" i="62" s="1"/>
  <c r="AM127" i="62"/>
  <c r="AN127" i="62" s="1"/>
  <c r="Y79" i="62"/>
  <c r="Z79" i="62" s="1"/>
  <c r="Y172" i="62"/>
  <c r="Z172" i="62" s="1"/>
  <c r="AK195" i="62"/>
  <c r="AL195" i="62" s="1"/>
  <c r="AC119" i="62"/>
  <c r="AD119" i="62" s="1"/>
  <c r="W144" i="62"/>
  <c r="X144" i="62" s="1"/>
  <c r="W54" i="62"/>
  <c r="X54" i="62" s="1"/>
  <c r="AM20" i="62"/>
  <c r="AN20" i="62" s="1"/>
  <c r="W150" i="62"/>
  <c r="X150" i="62" s="1"/>
  <c r="Y170" i="62"/>
  <c r="Z170" i="62" s="1"/>
  <c r="W19" i="62"/>
  <c r="X19" i="62" s="1"/>
  <c r="W147" i="62"/>
  <c r="X147" i="62" s="1"/>
  <c r="W141" i="62"/>
  <c r="X141" i="62" s="1"/>
  <c r="W52" i="62"/>
  <c r="X52" i="62" s="1"/>
  <c r="Q15" i="62"/>
  <c r="Q37" i="62" s="1"/>
  <c r="P37" i="62"/>
  <c r="R105" i="62"/>
  <c r="P136" i="62"/>
  <c r="Q105" i="62"/>
  <c r="Q136" i="62" s="1"/>
  <c r="Z82" i="62"/>
  <c r="Y82" i="62"/>
  <c r="W171" i="62"/>
  <c r="X171" i="62" s="1"/>
  <c r="AM25" i="62"/>
  <c r="AN25" i="62" s="1"/>
  <c r="Y42" i="62"/>
  <c r="Z42" i="62" s="1"/>
  <c r="X45" i="62"/>
  <c r="W45" i="62"/>
  <c r="Y48" i="62"/>
  <c r="Z48" i="62" s="1"/>
  <c r="AC84" i="62"/>
  <c r="AD84" i="62" s="1"/>
  <c r="AC177" i="62"/>
  <c r="AD177" i="62" s="1"/>
  <c r="AE178" i="62"/>
  <c r="AF178" i="62" s="1"/>
  <c r="AM229" i="62"/>
  <c r="AN229" i="62"/>
  <c r="AQ129" i="62"/>
  <c r="AR129" i="62" s="1"/>
  <c r="AO88" i="62"/>
  <c r="AP88" i="62" s="1"/>
  <c r="AH55" i="62"/>
  <c r="AG55" i="62"/>
  <c r="AA116" i="62"/>
  <c r="AB116" i="62" s="1"/>
  <c r="Y16" i="62"/>
  <c r="Z16" i="62" s="1"/>
  <c r="W43" i="62"/>
  <c r="X43" i="62" s="1"/>
  <c r="X41" i="62"/>
  <c r="W41" i="62"/>
  <c r="W53" i="62"/>
  <c r="X53" i="62" s="1"/>
  <c r="W173" i="62"/>
  <c r="X173" i="62" s="1"/>
  <c r="AA49" i="62"/>
  <c r="AB49" i="62"/>
  <c r="AQ201" i="62"/>
  <c r="AR201" i="62" s="1"/>
  <c r="Y46" i="62"/>
  <c r="Z46" i="62" s="1"/>
  <c r="AQ200" i="62"/>
  <c r="AR200" i="62" s="1"/>
  <c r="Y70" i="62"/>
  <c r="Z70" i="62" s="1"/>
  <c r="S65" i="62"/>
  <c r="S74" i="62" s="1"/>
  <c r="T65" i="62"/>
  <c r="R74" i="62"/>
  <c r="W47" i="62"/>
  <c r="X47" i="62" s="1"/>
  <c r="Y44" i="62"/>
  <c r="Z44" i="62" s="1"/>
  <c r="W111" i="62"/>
  <c r="X111" i="62"/>
  <c r="Y174" i="62"/>
  <c r="Z174" i="62" s="1"/>
  <c r="W67" i="62"/>
  <c r="X67" i="62" s="1"/>
  <c r="AE122" i="62"/>
  <c r="AF122" i="62" s="1"/>
  <c r="AC176" i="62"/>
  <c r="AD176" i="62" s="1"/>
  <c r="AK196" i="62"/>
  <c r="AL196" i="62" s="1"/>
  <c r="AG123" i="62"/>
  <c r="AH123" i="62" s="1"/>
  <c r="V224" i="62"/>
  <c r="T232" i="62"/>
  <c r="U224" i="62"/>
  <c r="U232" i="62" s="1"/>
  <c r="W17" i="62"/>
  <c r="X17" i="62" s="1"/>
  <c r="W69" i="62"/>
  <c r="X69" i="62" s="1"/>
  <c r="W113" i="62"/>
  <c r="X113" i="62"/>
  <c r="Y106" i="62"/>
  <c r="Z106" i="62" s="1"/>
  <c r="Y66" i="62"/>
  <c r="Z66" i="62" s="1"/>
  <c r="Y114" i="62"/>
  <c r="Z114" i="62" s="1"/>
  <c r="Y143" i="62"/>
  <c r="Z143" i="62"/>
  <c r="AI86" i="62"/>
  <c r="AJ86" i="62" s="1"/>
  <c r="AM227" i="62"/>
  <c r="AN227" i="62" s="1"/>
  <c r="AM194" i="62"/>
  <c r="AN194" i="62" s="1"/>
  <c r="AQ181" i="62"/>
  <c r="AR181" i="62"/>
  <c r="W78" i="62"/>
  <c r="X78" i="62" s="1"/>
  <c r="AK87" i="62"/>
  <c r="AL87" i="62" s="1"/>
  <c r="AI193" i="62"/>
  <c r="AJ193" i="62" s="1"/>
  <c r="AK85" i="62"/>
  <c r="AL85" i="62"/>
  <c r="Y191" i="62"/>
  <c r="Z191" i="62" s="1"/>
  <c r="AC117" i="62"/>
  <c r="AD117" i="62" s="1"/>
  <c r="AA120" i="62"/>
  <c r="AB120" i="62" s="1"/>
  <c r="AA81" i="62"/>
  <c r="AB81" i="62"/>
  <c r="Y108" i="62"/>
  <c r="Z108" i="62" s="1"/>
  <c r="W107" i="62"/>
  <c r="X107" i="62" s="1"/>
  <c r="W80" i="62"/>
  <c r="X80" i="62" s="1"/>
  <c r="AG124" i="62"/>
  <c r="AH124" i="62"/>
  <c r="Q169" i="62"/>
  <c r="Q184" i="62" s="1"/>
  <c r="P184" i="62"/>
  <c r="Q188" i="62"/>
  <c r="Q217" i="62" s="1"/>
  <c r="P217" i="62"/>
  <c r="AM27" i="62"/>
  <c r="AN27" i="62" s="1"/>
  <c r="S140" i="62"/>
  <c r="S154" i="62" s="1"/>
  <c r="R154" i="62"/>
  <c r="Q158" i="62"/>
  <c r="Q160" i="62" s="1"/>
  <c r="Q163" i="62" s="1"/>
  <c r="P160" i="62"/>
  <c r="P163" i="62"/>
  <c r="V168" i="62"/>
  <c r="R77" i="62"/>
  <c r="V187" i="62"/>
  <c r="P220" i="62" l="1"/>
  <c r="R40" i="62"/>
  <c r="AO194" i="62"/>
  <c r="AP194" i="62" s="1"/>
  <c r="AG122" i="62"/>
  <c r="AH122" i="62" s="1"/>
  <c r="Y171" i="62"/>
  <c r="Z171" i="62" s="1"/>
  <c r="AA170" i="62"/>
  <c r="AB170" i="62" s="1"/>
  <c r="Y109" i="62"/>
  <c r="Z109" i="62" s="1"/>
  <c r="AA145" i="62"/>
  <c r="AB145" i="62" s="1"/>
  <c r="Y148" i="62"/>
  <c r="Z148" i="62" s="1"/>
  <c r="AA191" i="62"/>
  <c r="AB191" i="62" s="1"/>
  <c r="AE176" i="62"/>
  <c r="AF176" i="62" s="1"/>
  <c r="AE177" i="62"/>
  <c r="AF177" i="62" s="1"/>
  <c r="AB79" i="62"/>
  <c r="AA79" i="62"/>
  <c r="AQ179" i="62"/>
  <c r="AR179" i="62" s="1"/>
  <c r="AD115" i="62"/>
  <c r="AC115" i="62"/>
  <c r="AI121" i="62"/>
  <c r="AJ121" i="62" s="1"/>
  <c r="Z80" i="62"/>
  <c r="Y80" i="62"/>
  <c r="AK193" i="62"/>
  <c r="AL193" i="62" s="1"/>
  <c r="AB114" i="62"/>
  <c r="AA114" i="62"/>
  <c r="AM196" i="62"/>
  <c r="AN196" i="62" s="1"/>
  <c r="AB46" i="62"/>
  <c r="AA46" i="62"/>
  <c r="Y173" i="62"/>
  <c r="Z173" i="62" s="1"/>
  <c r="AC116" i="62"/>
  <c r="AD116" i="62" s="1"/>
  <c r="AH178" i="62"/>
  <c r="AG178" i="62"/>
  <c r="AA48" i="62"/>
  <c r="AB48" i="62" s="1"/>
  <c r="Y144" i="62"/>
  <c r="Z144" i="62" s="1"/>
  <c r="AA172" i="62"/>
  <c r="AB172" i="62" s="1"/>
  <c r="AF83" i="62"/>
  <c r="AE83" i="62"/>
  <c r="AH226" i="62"/>
  <c r="AG226" i="62"/>
  <c r="AO198" i="62"/>
  <c r="AP198" i="62" s="1"/>
  <c r="AJ125" i="62"/>
  <c r="AI125" i="62"/>
  <c r="AQ89" i="62"/>
  <c r="AR89" i="62" s="1"/>
  <c r="AG192" i="62"/>
  <c r="AH192" i="62" s="1"/>
  <c r="AA189" i="62"/>
  <c r="AB189" i="62" s="1"/>
  <c r="AC120" i="62"/>
  <c r="AD120" i="62" s="1"/>
  <c r="Z69" i="62"/>
  <c r="Y69" i="62"/>
  <c r="Y47" i="62"/>
  <c r="Z47" i="62" s="1"/>
  <c r="Y142" i="62"/>
  <c r="Z142" i="62" s="1"/>
  <c r="AE175" i="62"/>
  <c r="AF175" i="62" s="1"/>
  <c r="AQ180" i="62"/>
  <c r="AR180" i="62" s="1"/>
  <c r="AM29" i="62"/>
  <c r="AN29" i="62" s="1"/>
  <c r="AP27" i="62"/>
  <c r="AO27" i="62"/>
  <c r="AL86" i="62"/>
  <c r="AK86" i="62"/>
  <c r="AA174" i="62"/>
  <c r="AB174" i="62" s="1"/>
  <c r="Z43" i="62"/>
  <c r="Y43" i="62"/>
  <c r="AE119" i="62"/>
  <c r="AF119" i="62" s="1"/>
  <c r="AL126" i="62"/>
  <c r="AK126" i="62"/>
  <c r="Y146" i="62"/>
  <c r="Z146" i="62" s="1"/>
  <c r="AE71" i="62"/>
  <c r="AF71" i="62" s="1"/>
  <c r="AE118" i="62"/>
  <c r="AF118" i="62" s="1"/>
  <c r="AA108" i="62"/>
  <c r="AB108" i="62" s="1"/>
  <c r="Y78" i="62"/>
  <c r="Z78" i="62" s="1"/>
  <c r="AB106" i="62"/>
  <c r="AA106" i="62"/>
  <c r="Y17" i="62"/>
  <c r="Z17" i="62" s="1"/>
  <c r="AI123" i="62"/>
  <c r="AJ123" i="62" s="1"/>
  <c r="AQ88" i="62"/>
  <c r="AR88" i="62" s="1"/>
  <c r="AA42" i="62"/>
  <c r="AB42" i="62" s="1"/>
  <c r="Y150" i="62"/>
  <c r="Z150" i="62" s="1"/>
  <c r="AG225" i="62"/>
  <c r="AH225" i="62" s="1"/>
  <c r="AM228" i="62"/>
  <c r="AN228" i="62" s="1"/>
  <c r="AO128" i="62"/>
  <c r="AP128" i="62" s="1"/>
  <c r="AO197" i="62"/>
  <c r="AP197" i="62" s="1"/>
  <c r="AM199" i="62"/>
  <c r="AN199" i="62" s="1"/>
  <c r="AA151" i="62"/>
  <c r="AB151" i="62" s="1"/>
  <c r="AJ124" i="62"/>
  <c r="AI124" i="62"/>
  <c r="AC81" i="62"/>
  <c r="AD81" i="62" s="1"/>
  <c r="AN85" i="62"/>
  <c r="AM85" i="62"/>
  <c r="AA143" i="62"/>
  <c r="AB143" i="62" s="1"/>
  <c r="AB66" i="62"/>
  <c r="AA66" i="62"/>
  <c r="Y113" i="62"/>
  <c r="Z113" i="62" s="1"/>
  <c r="V65" i="62"/>
  <c r="T74" i="62"/>
  <c r="U65" i="62"/>
  <c r="U74" i="62" s="1"/>
  <c r="Y41" i="62"/>
  <c r="Z41" i="62" s="1"/>
  <c r="AI55" i="62"/>
  <c r="AJ55" i="62" s="1"/>
  <c r="AE84" i="62"/>
  <c r="AF84" i="62" s="1"/>
  <c r="Y45" i="62"/>
  <c r="Z45" i="62" s="1"/>
  <c r="Y147" i="62"/>
  <c r="Z147" i="62" s="1"/>
  <c r="Y112" i="62"/>
  <c r="Z112" i="62" s="1"/>
  <c r="AQ28" i="62"/>
  <c r="AR28" i="62" s="1"/>
  <c r="AP23" i="62"/>
  <c r="AO23" i="62"/>
  <c r="W152" i="62"/>
  <c r="X152" i="62"/>
  <c r="W187" i="62"/>
  <c r="X187" i="62" s="1"/>
  <c r="W168" i="62"/>
  <c r="Y141" i="62"/>
  <c r="Z141" i="62"/>
  <c r="Z19" i="62"/>
  <c r="Y19" i="62"/>
  <c r="Y54" i="62"/>
  <c r="Z54" i="62"/>
  <c r="AO127" i="62"/>
  <c r="AP127" i="62" s="1"/>
  <c r="AA51" i="62"/>
  <c r="AB51" i="62" s="1"/>
  <c r="AO24" i="62"/>
  <c r="AP24" i="62" s="1"/>
  <c r="AG72" i="62"/>
  <c r="AH72" i="62" s="1"/>
  <c r="Y50" i="62"/>
  <c r="Z50" i="62" s="1"/>
  <c r="AO21" i="62"/>
  <c r="AP21" i="62"/>
  <c r="AP22" i="62"/>
  <c r="AO22" i="62"/>
  <c r="Y68" i="62"/>
  <c r="Z68" i="62"/>
  <c r="AB18" i="62"/>
  <c r="AA18" i="62"/>
  <c r="AQ26" i="62"/>
  <c r="AR26" i="62" s="1"/>
  <c r="Y110" i="62"/>
  <c r="Z110" i="62" s="1"/>
  <c r="R158" i="62"/>
  <c r="Q220" i="62"/>
  <c r="R169" i="62"/>
  <c r="R101" i="62"/>
  <c r="S77" i="62"/>
  <c r="S101" i="62" s="1"/>
  <c r="Y107" i="62"/>
  <c r="Z107" i="62" s="1"/>
  <c r="AE117" i="62"/>
  <c r="AF117" i="62" s="1"/>
  <c r="AN87" i="62"/>
  <c r="AM87" i="62"/>
  <c r="AO227" i="62"/>
  <c r="AP227" i="62" s="1"/>
  <c r="V232" i="62"/>
  <c r="W224" i="62"/>
  <c r="W232" i="62" s="1"/>
  <c r="AA44" i="62"/>
  <c r="AB44" i="62" s="1"/>
  <c r="AA16" i="62"/>
  <c r="AB16" i="62" s="1"/>
  <c r="AO25" i="62"/>
  <c r="AP25" i="62" s="1"/>
  <c r="AA82" i="62"/>
  <c r="AB82" i="62" s="1"/>
  <c r="Y52" i="62"/>
  <c r="Z52" i="62"/>
  <c r="AO20" i="62"/>
  <c r="AP20" i="62" s="1"/>
  <c r="AM195" i="62"/>
  <c r="AN195" i="62"/>
  <c r="Y190" i="62"/>
  <c r="Z190" i="62" s="1"/>
  <c r="Y149" i="62"/>
  <c r="Z149" i="62"/>
  <c r="R136" i="62"/>
  <c r="S105" i="62"/>
  <c r="S136" i="62" s="1"/>
  <c r="Y67" i="62"/>
  <c r="Z67" i="62" s="1"/>
  <c r="Z111" i="62"/>
  <c r="Y111" i="62"/>
  <c r="AA70" i="62"/>
  <c r="AB70" i="62" s="1"/>
  <c r="AD49" i="62"/>
  <c r="AC49" i="62"/>
  <c r="Y53" i="62"/>
  <c r="Z53" i="62" s="1"/>
  <c r="AO229" i="62"/>
  <c r="AP229" i="62" s="1"/>
  <c r="R188" i="62"/>
  <c r="T140" i="62"/>
  <c r="R15" i="62"/>
  <c r="S40" i="62" l="1"/>
  <c r="S59" i="62" s="1"/>
  <c r="R59" i="62"/>
  <c r="AR229" i="62"/>
  <c r="AQ229" i="62"/>
  <c r="AA41" i="62"/>
  <c r="AB41" i="62" s="1"/>
  <c r="AF116" i="62"/>
  <c r="AE116" i="62"/>
  <c r="AA171" i="62"/>
  <c r="AB171" i="62" s="1"/>
  <c r="AA110" i="62"/>
  <c r="AB110" i="62" s="1"/>
  <c r="Y187" i="62"/>
  <c r="Z187" i="62"/>
  <c r="AQ197" i="62"/>
  <c r="AR197" i="62" s="1"/>
  <c r="AA17" i="62"/>
  <c r="AB17" i="62" s="1"/>
  <c r="AA190" i="62"/>
  <c r="AB190" i="62" s="1"/>
  <c r="AO199" i="62"/>
  <c r="AP199" i="62"/>
  <c r="AO228" i="62"/>
  <c r="AP228" i="62" s="1"/>
  <c r="AA78" i="62"/>
  <c r="AB78" i="62" s="1"/>
  <c r="AO29" i="62"/>
  <c r="AP29" i="62" s="1"/>
  <c r="AC189" i="62"/>
  <c r="AD189" i="62" s="1"/>
  <c r="AC172" i="62"/>
  <c r="AD172" i="62" s="1"/>
  <c r="AQ227" i="62"/>
  <c r="AR227" i="62" s="1"/>
  <c r="AR24" i="62"/>
  <c r="AQ24" i="62"/>
  <c r="AA45" i="62"/>
  <c r="AB45" i="62" s="1"/>
  <c r="AG177" i="62"/>
  <c r="AH177" i="62" s="1"/>
  <c r="AG117" i="62"/>
  <c r="AH117" i="62" s="1"/>
  <c r="AQ127" i="62"/>
  <c r="AR127" i="62"/>
  <c r="AK55" i="62"/>
  <c r="AL55" i="62" s="1"/>
  <c r="AC42" i="62"/>
  <c r="AD42" i="62" s="1"/>
  <c r="AC170" i="62"/>
  <c r="AD170" i="62" s="1"/>
  <c r="AA53" i="62"/>
  <c r="AB53" i="62" s="1"/>
  <c r="AC82" i="62"/>
  <c r="AD82" i="62" s="1"/>
  <c r="AC44" i="62"/>
  <c r="AD44" i="62" s="1"/>
  <c r="AB50" i="62"/>
  <c r="AA50" i="62"/>
  <c r="AA112" i="62"/>
  <c r="AB112" i="62" s="1"/>
  <c r="AG118" i="62"/>
  <c r="AH118" i="62" s="1"/>
  <c r="AA47" i="62"/>
  <c r="AB47" i="62" s="1"/>
  <c r="AC48" i="62"/>
  <c r="AD48" i="62" s="1"/>
  <c r="AA173" i="62"/>
  <c r="AB173" i="62" s="1"/>
  <c r="S15" i="62"/>
  <c r="S37" i="62" s="1"/>
  <c r="R37" i="62"/>
  <c r="S188" i="62"/>
  <c r="S217" i="62" s="1"/>
  <c r="R217" i="62"/>
  <c r="AC70" i="62"/>
  <c r="AD70" i="62"/>
  <c r="AB149" i="62"/>
  <c r="AA149" i="62"/>
  <c r="AA52" i="62"/>
  <c r="AB52" i="62"/>
  <c r="AR25" i="62"/>
  <c r="AQ25" i="62"/>
  <c r="AQ21" i="62"/>
  <c r="AR21" i="62" s="1"/>
  <c r="AD51" i="62"/>
  <c r="AC51" i="62"/>
  <c r="AG84" i="62"/>
  <c r="AH84" i="62"/>
  <c r="AC66" i="62"/>
  <c r="AD66" i="62" s="1"/>
  <c r="AK124" i="62"/>
  <c r="AL124" i="62" s="1"/>
  <c r="AI225" i="62"/>
  <c r="AJ225" i="62" s="1"/>
  <c r="AK123" i="62"/>
  <c r="AL123" i="62" s="1"/>
  <c r="AC108" i="62"/>
  <c r="AD108" i="62" s="1"/>
  <c r="AM126" i="62"/>
  <c r="AN126" i="62"/>
  <c r="AB43" i="62"/>
  <c r="AA43" i="62"/>
  <c r="AM86" i="62"/>
  <c r="AN86" i="62"/>
  <c r="AG175" i="62"/>
  <c r="AH175" i="62" s="1"/>
  <c r="AI192" i="62"/>
  <c r="AJ192" i="62"/>
  <c r="AI226" i="62"/>
  <c r="AJ226" i="62" s="1"/>
  <c r="AC114" i="62"/>
  <c r="AD114" i="62" s="1"/>
  <c r="AE115" i="62"/>
  <c r="AF115" i="62" s="1"/>
  <c r="AG176" i="62"/>
  <c r="AH176" i="62" s="1"/>
  <c r="AA109" i="62"/>
  <c r="AB109" i="62" s="1"/>
  <c r="AA107" i="62"/>
  <c r="AB107" i="62"/>
  <c r="AD18" i="62"/>
  <c r="AC18" i="62"/>
  <c r="T154" i="62"/>
  <c r="V140" i="62"/>
  <c r="U140" i="62"/>
  <c r="U154" i="62" s="1"/>
  <c r="AE49" i="62"/>
  <c r="AF49" i="62" s="1"/>
  <c r="AA111" i="62"/>
  <c r="AB111" i="62" s="1"/>
  <c r="AA113" i="62"/>
  <c r="AB113" i="62" s="1"/>
  <c r="AC143" i="62"/>
  <c r="AD143" i="62" s="1"/>
  <c r="AE81" i="62"/>
  <c r="AF81" i="62" s="1"/>
  <c r="AC151" i="62"/>
  <c r="AD151" i="62" s="1"/>
  <c r="AA150" i="62"/>
  <c r="AB150" i="62" s="1"/>
  <c r="AA146" i="62"/>
  <c r="AB146" i="62" s="1"/>
  <c r="AG119" i="62"/>
  <c r="AH119" i="62" s="1"/>
  <c r="AC174" i="62"/>
  <c r="AD174" i="62" s="1"/>
  <c r="AR27" i="62"/>
  <c r="AQ27" i="62"/>
  <c r="AA142" i="62"/>
  <c r="AB142" i="62" s="1"/>
  <c r="AA69" i="62"/>
  <c r="AB69" i="62" s="1"/>
  <c r="AQ198" i="62"/>
  <c r="AR198" i="62" s="1"/>
  <c r="AG83" i="62"/>
  <c r="AH83" i="62" s="1"/>
  <c r="AA144" i="62"/>
  <c r="AB144" i="62" s="1"/>
  <c r="AI178" i="62"/>
  <c r="AJ178" i="62" s="1"/>
  <c r="AO196" i="62"/>
  <c r="AP196" i="62" s="1"/>
  <c r="AM193" i="62"/>
  <c r="AN193" i="62" s="1"/>
  <c r="AK121" i="62"/>
  <c r="AL121" i="62" s="1"/>
  <c r="AC191" i="62"/>
  <c r="AD191" i="62" s="1"/>
  <c r="AC145" i="62"/>
  <c r="AD145" i="62" s="1"/>
  <c r="AI122" i="62"/>
  <c r="AJ122" i="62" s="1"/>
  <c r="X168" i="62"/>
  <c r="AA67" i="62"/>
  <c r="AB67" i="62"/>
  <c r="AO195" i="62"/>
  <c r="AP195" i="62" s="1"/>
  <c r="AB68" i="62"/>
  <c r="AA68" i="62"/>
  <c r="AI72" i="62"/>
  <c r="AJ72" i="62" s="1"/>
  <c r="AA54" i="62"/>
  <c r="AB54" i="62" s="1"/>
  <c r="AB141" i="62"/>
  <c r="AA141" i="62"/>
  <c r="Y152" i="62"/>
  <c r="Z152" i="62" s="1"/>
  <c r="AB147" i="62"/>
  <c r="AA147" i="62"/>
  <c r="W65" i="62"/>
  <c r="W74" i="62" s="1"/>
  <c r="V74" i="62"/>
  <c r="X65" i="62"/>
  <c r="AO85" i="62"/>
  <c r="AP85" i="62" s="1"/>
  <c r="AQ128" i="62"/>
  <c r="AR128" i="62"/>
  <c r="AC106" i="62"/>
  <c r="AD106" i="62" s="1"/>
  <c r="AG71" i="62"/>
  <c r="AH71" i="62" s="1"/>
  <c r="AE120" i="62"/>
  <c r="AF120" i="62" s="1"/>
  <c r="AK125" i="62"/>
  <c r="AL125" i="62" s="1"/>
  <c r="AC46" i="62"/>
  <c r="AD46" i="62" s="1"/>
  <c r="AA80" i="62"/>
  <c r="AB80" i="62" s="1"/>
  <c r="AC79" i="62"/>
  <c r="AD79" i="62" s="1"/>
  <c r="AA148" i="62"/>
  <c r="AB148" i="62" s="1"/>
  <c r="AQ194" i="62"/>
  <c r="AR194" i="62" s="1"/>
  <c r="AQ20" i="62"/>
  <c r="AR20" i="62" s="1"/>
  <c r="AC16" i="62"/>
  <c r="AD16" i="62" s="1"/>
  <c r="AO87" i="62"/>
  <c r="AP87" i="62" s="1"/>
  <c r="S169" i="62"/>
  <c r="S184" i="62" s="1"/>
  <c r="R184" i="62"/>
  <c r="AR22" i="62"/>
  <c r="AQ22" i="62"/>
  <c r="AA19" i="62"/>
  <c r="AB19" i="62" s="1"/>
  <c r="AR23" i="62"/>
  <c r="AQ23" i="62"/>
  <c r="S158" i="62"/>
  <c r="S160" i="62" s="1"/>
  <c r="S163" i="62" s="1"/>
  <c r="R160" i="62"/>
  <c r="R163" i="62" s="1"/>
  <c r="T158" i="62"/>
  <c r="T105" i="62"/>
  <c r="X224" i="62"/>
  <c r="T77" i="62"/>
  <c r="T15" i="62" l="1"/>
  <c r="T40" i="62"/>
  <c r="AG120" i="62"/>
  <c r="AH120" i="62" s="1"/>
  <c r="AE191" i="62"/>
  <c r="AF191" i="62" s="1"/>
  <c r="AC69" i="62"/>
  <c r="AD69" i="62" s="1"/>
  <c r="AE151" i="62"/>
  <c r="AF151" i="62" s="1"/>
  <c r="AG115" i="62"/>
  <c r="AH115" i="62" s="1"/>
  <c r="AK225" i="62"/>
  <c r="AL225" i="62" s="1"/>
  <c r="AC112" i="62"/>
  <c r="AD112" i="62" s="1"/>
  <c r="AF106" i="62"/>
  <c r="AE106" i="62"/>
  <c r="AE145" i="62"/>
  <c r="AF145" i="62" s="1"/>
  <c r="AD113" i="62"/>
  <c r="AC113" i="62"/>
  <c r="AK226" i="62"/>
  <c r="AL226" i="62" s="1"/>
  <c r="AF44" i="62"/>
  <c r="AE44" i="62"/>
  <c r="AQ228" i="62"/>
  <c r="AR228" i="62" s="1"/>
  <c r="AQ85" i="62"/>
  <c r="AR85" i="62" s="1"/>
  <c r="AQ195" i="62"/>
  <c r="AR195" i="62" s="1"/>
  <c r="AK122" i="62"/>
  <c r="AL122" i="62" s="1"/>
  <c r="AO193" i="62"/>
  <c r="AP193" i="62" s="1"/>
  <c r="AI83" i="62"/>
  <c r="AJ83" i="62" s="1"/>
  <c r="AD146" i="62"/>
  <c r="AC146" i="62"/>
  <c r="AE143" i="62"/>
  <c r="AF143" i="62" s="1"/>
  <c r="AI175" i="62"/>
  <c r="AJ175" i="62" s="1"/>
  <c r="AC47" i="62"/>
  <c r="AD47" i="62" s="1"/>
  <c r="AM55" i="62"/>
  <c r="AN55" i="62" s="1"/>
  <c r="AE189" i="62"/>
  <c r="AF189" i="62"/>
  <c r="AC190" i="62"/>
  <c r="AD190" i="62" s="1"/>
  <c r="AC171" i="62"/>
  <c r="AD171" i="62" s="1"/>
  <c r="AC54" i="62"/>
  <c r="AD54" i="62" s="1"/>
  <c r="AK178" i="62"/>
  <c r="AL178" i="62"/>
  <c r="AE174" i="62"/>
  <c r="AF174" i="62" s="1"/>
  <c r="AC111" i="62"/>
  <c r="AD111" i="62" s="1"/>
  <c r="AE170" i="62"/>
  <c r="AF170" i="62" s="1"/>
  <c r="AQ196" i="62"/>
  <c r="AR196" i="62" s="1"/>
  <c r="AD150" i="62"/>
  <c r="AC150" i="62"/>
  <c r="AE66" i="62"/>
  <c r="AF66" i="62" s="1"/>
  <c r="AI118" i="62"/>
  <c r="AJ118" i="62" s="1"/>
  <c r="AC17" i="62"/>
  <c r="AD17" i="62" s="1"/>
  <c r="AF79" i="62"/>
  <c r="AE79" i="62"/>
  <c r="AK72" i="62"/>
  <c r="AL72" i="62" s="1"/>
  <c r="AN121" i="62"/>
  <c r="AM121" i="62"/>
  <c r="AC144" i="62"/>
  <c r="AD144" i="62" s="1"/>
  <c r="AC142" i="62"/>
  <c r="AD142" i="62" s="1"/>
  <c r="AI119" i="62"/>
  <c r="AJ119" i="62" s="1"/>
  <c r="AH81" i="62"/>
  <c r="AG81" i="62"/>
  <c r="AG49" i="62"/>
  <c r="AH49" i="62" s="1"/>
  <c r="AC109" i="62"/>
  <c r="AD109" i="62" s="1"/>
  <c r="AE108" i="62"/>
  <c r="AF108" i="62" s="1"/>
  <c r="AF42" i="62"/>
  <c r="AE42" i="62"/>
  <c r="AI117" i="62"/>
  <c r="AJ117" i="62" s="1"/>
  <c r="AE172" i="62"/>
  <c r="AF172" i="62" s="1"/>
  <c r="Y224" i="62"/>
  <c r="Y232" i="62" s="1"/>
  <c r="X232" i="62"/>
  <c r="AR87" i="62"/>
  <c r="AQ87" i="62"/>
  <c r="AC148" i="62"/>
  <c r="AD148" i="62" s="1"/>
  <c r="AM125" i="62"/>
  <c r="AN125" i="62" s="1"/>
  <c r="X74" i="62"/>
  <c r="Y65" i="62"/>
  <c r="Y74" i="62" s="1"/>
  <c r="AC67" i="62"/>
  <c r="AD67" i="62" s="1"/>
  <c r="W140" i="62"/>
  <c r="W154" i="62" s="1"/>
  <c r="V154" i="62"/>
  <c r="AI176" i="62"/>
  <c r="AJ176" i="62" s="1"/>
  <c r="AK192" i="62"/>
  <c r="AL192" i="62" s="1"/>
  <c r="AO126" i="62"/>
  <c r="AP126" i="62" s="1"/>
  <c r="AN124" i="62"/>
  <c r="AM124" i="62"/>
  <c r="AC53" i="62"/>
  <c r="AD53" i="62" s="1"/>
  <c r="T101" i="62"/>
  <c r="U77" i="62"/>
  <c r="U101" i="62" s="1"/>
  <c r="V77" i="62"/>
  <c r="AE16" i="62"/>
  <c r="AF16" i="62" s="1"/>
  <c r="Y168" i="62"/>
  <c r="Z168" i="62" s="1"/>
  <c r="AE18" i="62"/>
  <c r="AF18" i="62" s="1"/>
  <c r="AC43" i="62"/>
  <c r="AD43" i="62"/>
  <c r="AE51" i="62"/>
  <c r="AF51" i="62" s="1"/>
  <c r="AC149" i="62"/>
  <c r="AD149" i="62" s="1"/>
  <c r="V15" i="62"/>
  <c r="T37" i="62"/>
  <c r="U15" i="62"/>
  <c r="U37" i="62" s="1"/>
  <c r="AE48" i="62"/>
  <c r="AF48" i="62" s="1"/>
  <c r="AC50" i="62"/>
  <c r="AD50" i="62" s="1"/>
  <c r="AE82" i="62"/>
  <c r="AF82" i="62" s="1"/>
  <c r="AC45" i="62"/>
  <c r="AD45" i="62" s="1"/>
  <c r="AC110" i="62"/>
  <c r="AD110" i="62" s="1"/>
  <c r="AG116" i="62"/>
  <c r="AH116" i="62"/>
  <c r="AC19" i="62"/>
  <c r="AD19" i="62" s="1"/>
  <c r="AA152" i="62"/>
  <c r="AB152" i="62" s="1"/>
  <c r="T169" i="62"/>
  <c r="U158" i="62"/>
  <c r="U160" i="62" s="1"/>
  <c r="T160" i="62"/>
  <c r="AD80" i="62"/>
  <c r="AC80" i="62"/>
  <c r="AI71" i="62"/>
  <c r="AJ71" i="62" s="1"/>
  <c r="AC147" i="62"/>
  <c r="AD147" i="62" s="1"/>
  <c r="AC141" i="62"/>
  <c r="AD141" i="62" s="1"/>
  <c r="AD107" i="62"/>
  <c r="AC107" i="62"/>
  <c r="AE114" i="62"/>
  <c r="AF114" i="62" s="1"/>
  <c r="AO86" i="62"/>
  <c r="AP86" i="62" s="1"/>
  <c r="AM123" i="62"/>
  <c r="AN123" i="62" s="1"/>
  <c r="AI84" i="62"/>
  <c r="AJ84" i="62" s="1"/>
  <c r="AL84" i="62" s="1"/>
  <c r="AN84" i="62" s="1"/>
  <c r="AP84" i="62" s="1"/>
  <c r="AC52" i="62"/>
  <c r="AD52" i="62"/>
  <c r="AE70" i="62"/>
  <c r="AF70" i="62" s="1"/>
  <c r="AC173" i="62"/>
  <c r="AD173" i="62"/>
  <c r="AE46" i="62"/>
  <c r="AF46" i="62" s="1"/>
  <c r="AC78" i="62"/>
  <c r="AD78" i="62" s="1"/>
  <c r="AQ199" i="62"/>
  <c r="AR199" i="62" s="1"/>
  <c r="AA187" i="62"/>
  <c r="AB187" i="62" s="1"/>
  <c r="AC68" i="62"/>
  <c r="AD68" i="62" s="1"/>
  <c r="AQ29" i="62"/>
  <c r="AR29" i="62" s="1"/>
  <c r="U105" i="62"/>
  <c r="U136" i="62" s="1"/>
  <c r="T136" i="62"/>
  <c r="AC41" i="62"/>
  <c r="AD41" i="62" s="1"/>
  <c r="S220" i="62"/>
  <c r="T188" i="62"/>
  <c r="R220" i="62"/>
  <c r="AI177" i="62"/>
  <c r="AJ177" i="62" s="1"/>
  <c r="U40" i="62" l="1"/>
  <c r="U59" i="62" s="1"/>
  <c r="V40" i="62"/>
  <c r="T59" i="62"/>
  <c r="V158" i="62"/>
  <c r="AE41" i="62"/>
  <c r="AF41" i="62" s="1"/>
  <c r="AE19" i="62"/>
  <c r="AF19" i="62" s="1"/>
  <c r="AG48" i="62"/>
  <c r="AH48" i="62" s="1"/>
  <c r="AG16" i="62"/>
  <c r="AH16" i="62" s="1"/>
  <c r="AG172" i="62"/>
  <c r="AH172" i="62" s="1"/>
  <c r="AE17" i="62"/>
  <c r="AF17" i="62" s="1"/>
  <c r="AE190" i="62"/>
  <c r="AF190" i="62" s="1"/>
  <c r="AE112" i="62"/>
  <c r="AF112" i="62" s="1"/>
  <c r="AE110" i="62"/>
  <c r="AF110" i="62" s="1"/>
  <c r="AE148" i="62"/>
  <c r="AF148" i="62" s="1"/>
  <c r="AG66" i="62"/>
  <c r="AH66" i="62" s="1"/>
  <c r="AO55" i="62"/>
  <c r="AP55" i="62" s="1"/>
  <c r="AG46" i="62"/>
  <c r="AH46" i="62" s="1"/>
  <c r="AO123" i="62"/>
  <c r="AP123" i="62" s="1"/>
  <c r="AF147" i="62"/>
  <c r="AE147" i="62"/>
  <c r="AG51" i="62"/>
  <c r="AH51" i="62" s="1"/>
  <c r="AE67" i="62"/>
  <c r="AF67" i="62" s="1"/>
  <c r="AK119" i="62"/>
  <c r="AL119" i="62" s="1"/>
  <c r="AK83" i="62"/>
  <c r="AL83" i="62" s="1"/>
  <c r="AF45" i="62"/>
  <c r="AE45" i="62"/>
  <c r="AQ126" i="62"/>
  <c r="AR126" i="62" s="1"/>
  <c r="AG108" i="62"/>
  <c r="AH108" i="62" s="1"/>
  <c r="AE111" i="62"/>
  <c r="AF111" i="62" s="1"/>
  <c r="AE47" i="62"/>
  <c r="AF47" i="62" s="1"/>
  <c r="AK177" i="62"/>
  <c r="AL177" i="62" s="1"/>
  <c r="AK71" i="62"/>
  <c r="AL71" i="62" s="1"/>
  <c r="AK176" i="62"/>
  <c r="AL176" i="62" s="1"/>
  <c r="AI49" i="62"/>
  <c r="AJ49" i="62" s="1"/>
  <c r="AH170" i="62"/>
  <c r="AG170" i="62"/>
  <c r="AG143" i="62"/>
  <c r="AH143" i="62" s="1"/>
  <c r="AE78" i="62"/>
  <c r="AF78" i="62" s="1"/>
  <c r="AQ84" i="62"/>
  <c r="AR84" i="62" s="1"/>
  <c r="AG114" i="62"/>
  <c r="AH114" i="62" s="1"/>
  <c r="AH82" i="62"/>
  <c r="AG82" i="62"/>
  <c r="AH18" i="62"/>
  <c r="AG18" i="62"/>
  <c r="AK117" i="62"/>
  <c r="AL117" i="62" s="1"/>
  <c r="AE144" i="62"/>
  <c r="AF144" i="62" s="1"/>
  <c r="AE54" i="62"/>
  <c r="AF54" i="62" s="1"/>
  <c r="AM122" i="62"/>
  <c r="AN122" i="62" s="1"/>
  <c r="AC187" i="62"/>
  <c r="AD187" i="62" s="1"/>
  <c r="AE173" i="62"/>
  <c r="AF173" i="62" s="1"/>
  <c r="AE141" i="62"/>
  <c r="AF141" i="62" s="1"/>
  <c r="AF43" i="62"/>
  <c r="AE43" i="62"/>
  <c r="AE109" i="62"/>
  <c r="AF109" i="62" s="1"/>
  <c r="AE142" i="62"/>
  <c r="AF142" i="62" s="1"/>
  <c r="AG79" i="62"/>
  <c r="AH79" i="62"/>
  <c r="AE150" i="62"/>
  <c r="AF150" i="62" s="1"/>
  <c r="AK175" i="62"/>
  <c r="AL175" i="62" s="1"/>
  <c r="AM226" i="62"/>
  <c r="AN226" i="62" s="1"/>
  <c r="AI120" i="62"/>
  <c r="AJ120" i="62" s="1"/>
  <c r="AE107" i="62"/>
  <c r="AF107" i="62" s="1"/>
  <c r="AO124" i="62"/>
  <c r="AP124" i="62" s="1"/>
  <c r="AM192" i="62"/>
  <c r="AN192" i="62" s="1"/>
  <c r="AO125" i="62"/>
  <c r="AP125" i="62"/>
  <c r="AG44" i="62"/>
  <c r="AH44" i="62" s="1"/>
  <c r="AE113" i="62"/>
  <c r="AF113" i="62"/>
  <c r="AG106" i="62"/>
  <c r="AH106" i="62" s="1"/>
  <c r="AM225" i="62"/>
  <c r="AN225" i="62" s="1"/>
  <c r="AG151" i="62"/>
  <c r="AH151" i="62" s="1"/>
  <c r="AG191" i="62"/>
  <c r="AH191" i="62"/>
  <c r="T163" i="62"/>
  <c r="X140" i="62"/>
  <c r="V105" i="62"/>
  <c r="U163" i="62"/>
  <c r="Z224" i="62"/>
  <c r="U188" i="62"/>
  <c r="U217" i="62" s="1"/>
  <c r="T217" i="62"/>
  <c r="AE52" i="62"/>
  <c r="AF52" i="62" s="1"/>
  <c r="W158" i="62"/>
  <c r="W160" i="62" s="1"/>
  <c r="V160" i="62"/>
  <c r="U169" i="62"/>
  <c r="U184" i="62" s="1"/>
  <c r="V169" i="62"/>
  <c r="T184" i="62"/>
  <c r="T220" i="62" s="1"/>
  <c r="AE149" i="62"/>
  <c r="AF149" i="62" s="1"/>
  <c r="AA168" i="62"/>
  <c r="AE53" i="62"/>
  <c r="AF53" i="62" s="1"/>
  <c r="AH42" i="62"/>
  <c r="AG42" i="62"/>
  <c r="AI81" i="62"/>
  <c r="AJ81" i="62" s="1"/>
  <c r="AO121" i="62"/>
  <c r="AP121" i="62" s="1"/>
  <c r="AK118" i="62"/>
  <c r="AL118" i="62"/>
  <c r="AG174" i="62"/>
  <c r="AH174" i="62" s="1"/>
  <c r="AE146" i="62"/>
  <c r="AF146" i="62" s="1"/>
  <c r="AQ193" i="62"/>
  <c r="AR193" i="62" s="1"/>
  <c r="AG145" i="62"/>
  <c r="AH145" i="62" s="1"/>
  <c r="AI115" i="62"/>
  <c r="AJ115" i="62" s="1"/>
  <c r="AE69" i="62"/>
  <c r="AF69" i="62" s="1"/>
  <c r="AG70" i="62"/>
  <c r="AH70" i="62" s="1"/>
  <c r="AQ86" i="62"/>
  <c r="AR86" i="62"/>
  <c r="AE80" i="62"/>
  <c r="AF80" i="62" s="1"/>
  <c r="W15" i="62"/>
  <c r="W37" i="62" s="1"/>
  <c r="V37" i="62"/>
  <c r="AF68" i="62"/>
  <c r="AE68" i="62"/>
  <c r="AC152" i="62"/>
  <c r="AD152" i="62" s="1"/>
  <c r="AI116" i="62"/>
  <c r="AJ116" i="62" s="1"/>
  <c r="AE50" i="62"/>
  <c r="AF50" i="62" s="1"/>
  <c r="V101" i="62"/>
  <c r="W77" i="62"/>
  <c r="W101" i="62" s="1"/>
  <c r="AN72" i="62"/>
  <c r="AM72" i="62"/>
  <c r="AM178" i="62"/>
  <c r="AN178" i="62"/>
  <c r="AE171" i="62"/>
  <c r="AF171" i="62" s="1"/>
  <c r="AG189" i="62"/>
  <c r="AH189" i="62"/>
  <c r="Z65" i="62"/>
  <c r="V188" i="62" l="1"/>
  <c r="V59" i="62"/>
  <c r="W40" i="62"/>
  <c r="W59" i="62" s="1"/>
  <c r="U220" i="62"/>
  <c r="U235" i="62" s="1"/>
  <c r="AK115" i="62"/>
  <c r="AL115" i="62" s="1"/>
  <c r="AH144" i="62"/>
  <c r="AG144" i="62"/>
  <c r="AG78" i="62"/>
  <c r="AH78" i="62" s="1"/>
  <c r="AJ108" i="62"/>
  <c r="AI108" i="62"/>
  <c r="AI172" i="62"/>
  <c r="AJ172" i="62" s="1"/>
  <c r="AE152" i="62"/>
  <c r="AF152" i="62" s="1"/>
  <c r="AP226" i="62"/>
  <c r="AO226" i="62"/>
  <c r="AG54" i="62"/>
  <c r="AH54" i="62" s="1"/>
  <c r="AH111" i="62"/>
  <c r="AG111" i="62"/>
  <c r="AI51" i="62"/>
  <c r="AJ51" i="62" s="1"/>
  <c r="AG80" i="62"/>
  <c r="AH80" i="62" s="1"/>
  <c r="AJ174" i="62"/>
  <c r="AI174" i="62"/>
  <c r="AJ106" i="62"/>
  <c r="AI106" i="62"/>
  <c r="AH150" i="62"/>
  <c r="AG150" i="62"/>
  <c r="AG141" i="62"/>
  <c r="AH141" i="62" s="1"/>
  <c r="AO122" i="62"/>
  <c r="AP122" i="62" s="1"/>
  <c r="AI114" i="62"/>
  <c r="AJ114" i="62" s="1"/>
  <c r="AM71" i="62"/>
  <c r="AN71" i="62" s="1"/>
  <c r="AG67" i="62"/>
  <c r="AH67" i="62" s="1"/>
  <c r="AQ123" i="62"/>
  <c r="AR123" i="62" s="1"/>
  <c r="AG50" i="62"/>
  <c r="AH50" i="62" s="1"/>
  <c r="AH107" i="62"/>
  <c r="AG107" i="62"/>
  <c r="AL49" i="62"/>
  <c r="AK49" i="62"/>
  <c r="AN83" i="62"/>
  <c r="AM83" i="62"/>
  <c r="AH148" i="62"/>
  <c r="AG148" i="62"/>
  <c r="AJ151" i="62"/>
  <c r="AI151" i="62"/>
  <c r="AG173" i="62"/>
  <c r="AH173" i="62" s="1"/>
  <c r="AI66" i="62"/>
  <c r="AJ66" i="62" s="1"/>
  <c r="AG171" i="62"/>
  <c r="AH171" i="62" s="1"/>
  <c r="AJ70" i="62"/>
  <c r="AI70" i="62"/>
  <c r="AR121" i="62"/>
  <c r="AQ121" i="62"/>
  <c r="AG149" i="62"/>
  <c r="AH149" i="62" s="1"/>
  <c r="AO192" i="62"/>
  <c r="AP192" i="62" s="1"/>
  <c r="AG142" i="62"/>
  <c r="AH142" i="62" s="1"/>
  <c r="AM117" i="62"/>
  <c r="AN117" i="62" s="1"/>
  <c r="AI143" i="62"/>
  <c r="AJ143" i="62" s="1"/>
  <c r="AM176" i="62"/>
  <c r="AN176" i="62" s="1"/>
  <c r="AM119" i="62"/>
  <c r="AN119" i="62" s="1"/>
  <c r="AG190" i="62"/>
  <c r="AH190" i="62" s="1"/>
  <c r="AA65" i="62"/>
  <c r="AA74" i="62" s="1"/>
  <c r="Z74" i="62"/>
  <c r="AO72" i="62"/>
  <c r="AP72" i="62" s="1"/>
  <c r="AG69" i="62"/>
  <c r="AH69" i="62" s="1"/>
  <c r="AG146" i="62"/>
  <c r="AH146" i="62" s="1"/>
  <c r="AK81" i="62"/>
  <c r="AL81" i="62" s="1"/>
  <c r="AG53" i="62"/>
  <c r="AH53" i="62" s="1"/>
  <c r="W169" i="62"/>
  <c r="W184" i="62" s="1"/>
  <c r="X169" i="62"/>
  <c r="V184" i="62"/>
  <c r="V136" i="62"/>
  <c r="W105" i="62"/>
  <c r="W136" i="62" s="1"/>
  <c r="X105" i="62"/>
  <c r="AO225" i="62"/>
  <c r="AP225" i="62" s="1"/>
  <c r="AQ125" i="62"/>
  <c r="AR125" i="62" s="1"/>
  <c r="AR124" i="62"/>
  <c r="AQ124" i="62"/>
  <c r="AM175" i="62"/>
  <c r="AN175" i="62" s="1"/>
  <c r="AG109" i="62"/>
  <c r="AH109" i="62" s="1"/>
  <c r="AE187" i="62"/>
  <c r="AF187" i="62"/>
  <c r="AI170" i="62"/>
  <c r="AJ170" i="62" s="1"/>
  <c r="AM177" i="62"/>
  <c r="AN177" i="62" s="1"/>
  <c r="AI48" i="62"/>
  <c r="AJ48" i="62" s="1"/>
  <c r="AK116" i="62"/>
  <c r="AL116" i="62" s="1"/>
  <c r="AG68" i="62"/>
  <c r="AH68" i="62" s="1"/>
  <c r="AI42" i="62"/>
  <c r="AJ42" i="62" s="1"/>
  <c r="AG43" i="62"/>
  <c r="AH43" i="62" s="1"/>
  <c r="AG52" i="62"/>
  <c r="AH52" i="62" s="1"/>
  <c r="Z232" i="62"/>
  <c r="AA224" i="62"/>
  <c r="AA232" i="62" s="1"/>
  <c r="AB224" i="62"/>
  <c r="AI82" i="62"/>
  <c r="AJ82" i="62" s="1"/>
  <c r="AG47" i="62"/>
  <c r="AH47" i="62" s="1"/>
  <c r="AG45" i="62"/>
  <c r="AH45" i="62" s="1"/>
  <c r="AQ55" i="62"/>
  <c r="AR55" i="62" s="1"/>
  <c r="AG112" i="62"/>
  <c r="AH112" i="62" s="1"/>
  <c r="AG17" i="62"/>
  <c r="AH17" i="62" s="1"/>
  <c r="AJ16" i="62"/>
  <c r="AI16" i="62"/>
  <c r="AG19" i="62"/>
  <c r="AH19" i="62" s="1"/>
  <c r="V163" i="62"/>
  <c r="X77" i="62"/>
  <c r="AB168" i="62"/>
  <c r="X158" i="62"/>
  <c r="AI145" i="62"/>
  <c r="AJ145" i="62" s="1"/>
  <c r="AN118" i="62"/>
  <c r="AM118" i="62"/>
  <c r="W188" i="62"/>
  <c r="W217" i="62" s="1"/>
  <c r="V217" i="62"/>
  <c r="AI191" i="62"/>
  <c r="AJ191" i="62" s="1"/>
  <c r="AH113" i="62"/>
  <c r="AG113" i="62"/>
  <c r="AK120" i="62"/>
  <c r="AL120" i="62" s="1"/>
  <c r="AI79" i="62"/>
  <c r="AJ79" i="62" s="1"/>
  <c r="AI18" i="62"/>
  <c r="AJ18" i="62" s="1"/>
  <c r="AG147" i="62"/>
  <c r="AH147" i="62" s="1"/>
  <c r="AI46" i="62"/>
  <c r="AJ46" i="62" s="1"/>
  <c r="AG110" i="62"/>
  <c r="AH110" i="62" s="1"/>
  <c r="AG41" i="62"/>
  <c r="AH41" i="62" s="1"/>
  <c r="AI44" i="62"/>
  <c r="AJ44" i="62" s="1"/>
  <c r="AI189" i="62"/>
  <c r="AJ189" i="62"/>
  <c r="AO178" i="62"/>
  <c r="AP178" i="62" s="1"/>
  <c r="X154" i="62"/>
  <c r="Y140" i="62"/>
  <c r="Y154" i="62" s="1"/>
  <c r="W163" i="62"/>
  <c r="X15" i="62"/>
  <c r="X188" i="62" l="1"/>
  <c r="X40" i="62"/>
  <c r="AB65" i="62"/>
  <c r="AJ110" i="62"/>
  <c r="AI110" i="62"/>
  <c r="AI45" i="62"/>
  <c r="AJ45" i="62" s="1"/>
  <c r="AN116" i="62"/>
  <c r="AM116" i="62"/>
  <c r="AI53" i="62"/>
  <c r="AJ53" i="62" s="1"/>
  <c r="AI141" i="62"/>
  <c r="AJ141" i="62" s="1"/>
  <c r="AK172" i="62"/>
  <c r="AL172" i="62" s="1"/>
  <c r="AQ178" i="62"/>
  <c r="AR178" i="62" s="1"/>
  <c r="AK18" i="62"/>
  <c r="AL18" i="62" s="1"/>
  <c r="AL82" i="62"/>
  <c r="AK82" i="62"/>
  <c r="AI68" i="62"/>
  <c r="AJ68" i="62" s="1"/>
  <c r="AG152" i="62"/>
  <c r="AH152" i="62" s="1"/>
  <c r="AK44" i="62"/>
  <c r="AL44" i="62" s="1"/>
  <c r="AJ147" i="62"/>
  <c r="AI147" i="62"/>
  <c r="AM120" i="62"/>
  <c r="AN120" i="62" s="1"/>
  <c r="AL42" i="62"/>
  <c r="AK42" i="62"/>
  <c r="AO177" i="62"/>
  <c r="AP177" i="62" s="1"/>
  <c r="AI149" i="62"/>
  <c r="AJ149" i="62" s="1"/>
  <c r="AI173" i="62"/>
  <c r="AJ173" i="62" s="1"/>
  <c r="AI19" i="62"/>
  <c r="AJ19" i="62" s="1"/>
  <c r="AO175" i="62"/>
  <c r="AP175" i="62" s="1"/>
  <c r="AI69" i="62"/>
  <c r="AJ69" i="62" s="1"/>
  <c r="AI54" i="62"/>
  <c r="AJ54" i="62" s="1"/>
  <c r="AI41" i="62"/>
  <c r="AJ41" i="62" s="1"/>
  <c r="AK145" i="62"/>
  <c r="AL145" i="62" s="1"/>
  <c r="AJ52" i="62"/>
  <c r="AI52" i="62"/>
  <c r="AK170" i="62"/>
  <c r="AL170" i="62" s="1"/>
  <c r="AI171" i="62"/>
  <c r="AJ171" i="62" s="1"/>
  <c r="AL46" i="62"/>
  <c r="AK46" i="62"/>
  <c r="AK191" i="62"/>
  <c r="AL191" i="62" s="1"/>
  <c r="AJ112" i="62"/>
  <c r="AI112" i="62"/>
  <c r="AK48" i="62"/>
  <c r="AL48" i="62" s="1"/>
  <c r="AM81" i="62"/>
  <c r="AN81" i="62" s="1"/>
  <c r="AQ72" i="62"/>
  <c r="AR72" i="62" s="1"/>
  <c r="AI190" i="62"/>
  <c r="AJ190" i="62" s="1"/>
  <c r="AI50" i="62"/>
  <c r="AJ50" i="62" s="1"/>
  <c r="AL51" i="62"/>
  <c r="AK51" i="62"/>
  <c r="AK79" i="62"/>
  <c r="AL79" i="62" s="1"/>
  <c r="Y188" i="62"/>
  <c r="Y217" i="62" s="1"/>
  <c r="X217" i="62"/>
  <c r="Y77" i="62"/>
  <c r="Y101" i="62" s="1"/>
  <c r="X101" i="62"/>
  <c r="AI17" i="62"/>
  <c r="AJ17" i="62" s="1"/>
  <c r="AJ47" i="62"/>
  <c r="AI47" i="62"/>
  <c r="AO117" i="62"/>
  <c r="AP117" i="62" s="1"/>
  <c r="AQ192" i="62"/>
  <c r="AR192" i="62" s="1"/>
  <c r="AI148" i="62"/>
  <c r="AJ148" i="62" s="1"/>
  <c r="AK114" i="62"/>
  <c r="AL114" i="62" s="1"/>
  <c r="AK106" i="62"/>
  <c r="AL106" i="62" s="1"/>
  <c r="AI111" i="62"/>
  <c r="AJ111" i="62" s="1"/>
  <c r="AM115" i="62"/>
  <c r="AN115" i="62" s="1"/>
  <c r="AO118" i="62"/>
  <c r="AP118" i="62" s="1"/>
  <c r="AQ225" i="62"/>
  <c r="AR225" i="62" s="1"/>
  <c r="X160" i="62"/>
  <c r="Y158" i="62"/>
  <c r="Y160" i="62" s="1"/>
  <c r="AI43" i="62"/>
  <c r="AJ43" i="62" s="1"/>
  <c r="AO119" i="62"/>
  <c r="AP119" i="62" s="1"/>
  <c r="AK143" i="62"/>
  <c r="AL143" i="62" s="1"/>
  <c r="AI142" i="62"/>
  <c r="AJ142" i="62" s="1"/>
  <c r="AK70" i="62"/>
  <c r="AL70" i="62" s="1"/>
  <c r="AK66" i="62"/>
  <c r="AL66" i="62"/>
  <c r="AK151" i="62"/>
  <c r="AL151" i="62" s="1"/>
  <c r="AO83" i="62"/>
  <c r="AP83" i="62" s="1"/>
  <c r="AI107" i="62"/>
  <c r="AJ107" i="62" s="1"/>
  <c r="AO71" i="62"/>
  <c r="AP71" i="62" s="1"/>
  <c r="AQ122" i="62"/>
  <c r="AR122" i="62" s="1"/>
  <c r="AI150" i="62"/>
  <c r="AJ150" i="62" s="1"/>
  <c r="AK174" i="62"/>
  <c r="AL174" i="62" s="1"/>
  <c r="AK108" i="62"/>
  <c r="AL108" i="62"/>
  <c r="AI144" i="62"/>
  <c r="AJ144" i="62" s="1"/>
  <c r="Y15" i="62"/>
  <c r="Y37" i="62" s="1"/>
  <c r="X37" i="62"/>
  <c r="AI113" i="62"/>
  <c r="AJ113" i="62" s="1"/>
  <c r="AB232" i="62"/>
  <c r="AC224" i="62"/>
  <c r="AC232" i="62" s="1"/>
  <c r="AG187" i="62"/>
  <c r="AH187" i="62" s="1"/>
  <c r="X136" i="62"/>
  <c r="Y105" i="62"/>
  <c r="Y136" i="62" s="1"/>
  <c r="Y169" i="62"/>
  <c r="Y184" i="62" s="1"/>
  <c r="Y220" i="62" s="1"/>
  <c r="X184" i="62"/>
  <c r="X220" i="62" s="1"/>
  <c r="AB74" i="62"/>
  <c r="AC65" i="62"/>
  <c r="AC74" i="62" s="1"/>
  <c r="AO176" i="62"/>
  <c r="AP176" i="62" s="1"/>
  <c r="AM49" i="62"/>
  <c r="AN49" i="62" s="1"/>
  <c r="AI67" i="62"/>
  <c r="AJ67" i="62" s="1"/>
  <c r="AI80" i="62"/>
  <c r="AJ80" i="62" s="1"/>
  <c r="AQ226" i="62"/>
  <c r="AR226" i="62" s="1"/>
  <c r="AI78" i="62"/>
  <c r="AJ78" i="62" s="1"/>
  <c r="AC168" i="62"/>
  <c r="AD168" i="62" s="1"/>
  <c r="AK16" i="62"/>
  <c r="AL16" i="62" s="1"/>
  <c r="AI109" i="62"/>
  <c r="AJ109" i="62" s="1"/>
  <c r="AI146" i="62"/>
  <c r="AJ146" i="62" s="1"/>
  <c r="AK189" i="62"/>
  <c r="AL189" i="62" s="1"/>
  <c r="V220" i="62"/>
  <c r="V235" i="62" s="1"/>
  <c r="Z140" i="62"/>
  <c r="W220" i="62"/>
  <c r="W235" i="62" s="1"/>
  <c r="AD65" i="62" l="1"/>
  <c r="AD224" i="62"/>
  <c r="Y40" i="62"/>
  <c r="Y59" i="62" s="1"/>
  <c r="X59" i="62"/>
  <c r="AM16" i="62"/>
  <c r="AN16" i="62" s="1"/>
  <c r="AK80" i="62"/>
  <c r="AL80" i="62" s="1"/>
  <c r="AK107" i="62"/>
  <c r="AL107" i="62" s="1"/>
  <c r="AN106" i="62"/>
  <c r="AM106" i="62"/>
  <c r="AQ117" i="62"/>
  <c r="AR117" i="62" s="1"/>
  <c r="AK50" i="62"/>
  <c r="AL50" i="62" s="1"/>
  <c r="AN191" i="62"/>
  <c r="AM191" i="62"/>
  <c r="AM170" i="62"/>
  <c r="AN170" i="62" s="1"/>
  <c r="AR175" i="62"/>
  <c r="AQ175" i="62"/>
  <c r="AK109" i="62"/>
  <c r="AL109" i="62" s="1"/>
  <c r="AR176" i="62"/>
  <c r="AQ176" i="62"/>
  <c r="AI187" i="62"/>
  <c r="AL144" i="62"/>
  <c r="AK144" i="62"/>
  <c r="AM151" i="62"/>
  <c r="AN151" i="62" s="1"/>
  <c r="AK111" i="62"/>
  <c r="AL111" i="62" s="1"/>
  <c r="AO81" i="62"/>
  <c r="AP81" i="62" s="1"/>
  <c r="AK171" i="62"/>
  <c r="AL171" i="62" s="1"/>
  <c r="AM145" i="62"/>
  <c r="AN145" i="62" s="1"/>
  <c r="AK69" i="62"/>
  <c r="AL69" i="62" s="1"/>
  <c r="AK173" i="62"/>
  <c r="AL173" i="62" s="1"/>
  <c r="AM172" i="62"/>
  <c r="AN172" i="62" s="1"/>
  <c r="AK78" i="62"/>
  <c r="AL78" i="62" s="1"/>
  <c r="AO49" i="62"/>
  <c r="AP49" i="62" s="1"/>
  <c r="AM174" i="62"/>
  <c r="AN174" i="62" s="1"/>
  <c r="AM70" i="62"/>
  <c r="AN70" i="62" s="1"/>
  <c r="AO115" i="62"/>
  <c r="AP115" i="62" s="1"/>
  <c r="AK148" i="62"/>
  <c r="AL148" i="62" s="1"/>
  <c r="AK54" i="62"/>
  <c r="AL54" i="62" s="1"/>
  <c r="AQ177" i="62"/>
  <c r="AR177" i="62" s="1"/>
  <c r="AK53" i="62"/>
  <c r="AL53" i="62"/>
  <c r="AM189" i="62"/>
  <c r="AN189" i="62" s="1"/>
  <c r="AE168" i="62"/>
  <c r="AK67" i="62"/>
  <c r="AL67" i="62" s="1"/>
  <c r="AN143" i="62"/>
  <c r="AM143" i="62"/>
  <c r="AQ118" i="62"/>
  <c r="AR118" i="62" s="1"/>
  <c r="AN114" i="62"/>
  <c r="AM114" i="62"/>
  <c r="AM79" i="62"/>
  <c r="AN79" i="62" s="1"/>
  <c r="AK190" i="62"/>
  <c r="AL190" i="62" s="1"/>
  <c r="AO120" i="62"/>
  <c r="AP120" i="62" s="1"/>
  <c r="AK150" i="62"/>
  <c r="AL150" i="62" s="1"/>
  <c r="AQ83" i="62"/>
  <c r="AR83" i="62" s="1"/>
  <c r="AK142" i="62"/>
  <c r="AL142" i="62" s="1"/>
  <c r="AK17" i="62"/>
  <c r="AL17" i="62" s="1"/>
  <c r="AM48" i="62"/>
  <c r="AN48" i="62" s="1"/>
  <c r="AK52" i="62"/>
  <c r="AL52" i="62" s="1"/>
  <c r="AK149" i="62"/>
  <c r="AL149" i="62" s="1"/>
  <c r="AK147" i="62"/>
  <c r="AL147" i="62" s="1"/>
  <c r="AM82" i="62"/>
  <c r="AN82" i="62" s="1"/>
  <c r="AK110" i="62"/>
  <c r="AL110" i="62" s="1"/>
  <c r="AD232" i="62"/>
  <c r="AE224" i="62"/>
  <c r="AE232" i="62" s="1"/>
  <c r="AK43" i="62"/>
  <c r="AL43" i="62"/>
  <c r="AK47" i="62"/>
  <c r="AL47" i="62" s="1"/>
  <c r="AM51" i="62"/>
  <c r="AN51" i="62"/>
  <c r="AK112" i="62"/>
  <c r="AL112" i="62" s="1"/>
  <c r="AM46" i="62"/>
  <c r="AN46" i="62" s="1"/>
  <c r="AN44" i="62"/>
  <c r="AM44" i="62"/>
  <c r="AK68" i="62"/>
  <c r="AL68" i="62" s="1"/>
  <c r="AM18" i="62"/>
  <c r="AN18" i="62" s="1"/>
  <c r="AK45" i="62"/>
  <c r="AL45" i="62" s="1"/>
  <c r="Y235" i="62"/>
  <c r="Y163" i="62"/>
  <c r="Z77" i="62"/>
  <c r="AL146" i="62"/>
  <c r="AK146" i="62"/>
  <c r="AL113" i="62"/>
  <c r="AK113" i="62"/>
  <c r="AN108" i="62"/>
  <c r="AM108" i="62"/>
  <c r="AR71" i="62"/>
  <c r="AQ71" i="62"/>
  <c r="AN66" i="62"/>
  <c r="AM66" i="62"/>
  <c r="AR119" i="62"/>
  <c r="AQ119" i="62"/>
  <c r="AK41" i="62"/>
  <c r="AL41" i="62" s="1"/>
  <c r="AK19" i="62"/>
  <c r="AL19" i="62" s="1"/>
  <c r="AN42" i="62"/>
  <c r="AM42" i="62"/>
  <c r="AI152" i="62"/>
  <c r="AJ152" i="62" s="1"/>
  <c r="AK141" i="62"/>
  <c r="AL141" i="62" s="1"/>
  <c r="AO116" i="62"/>
  <c r="AP116" i="62" s="1"/>
  <c r="AE65" i="62"/>
  <c r="AE74" i="62" s="1"/>
  <c r="AD74" i="62"/>
  <c r="Z154" i="62"/>
  <c r="AA140" i="62"/>
  <c r="AA154" i="62" s="1"/>
  <c r="Z15" i="62"/>
  <c r="Z169" i="62"/>
  <c r="Z105" i="62"/>
  <c r="Z158" i="62"/>
  <c r="X163" i="62"/>
  <c r="X235" i="62" s="1"/>
  <c r="Z188" i="62"/>
  <c r="Z40" i="62" l="1"/>
  <c r="AK152" i="62"/>
  <c r="AL152" i="62" s="1"/>
  <c r="AN41" i="62"/>
  <c r="AM41" i="62"/>
  <c r="AM147" i="62"/>
  <c r="AN147" i="62" s="1"/>
  <c r="AO172" i="62"/>
  <c r="AP172" i="62" s="1"/>
  <c r="AO170" i="62"/>
  <c r="AP170" i="62" s="1"/>
  <c r="AO16" i="62"/>
  <c r="AP16" i="62" s="1"/>
  <c r="AN141" i="62"/>
  <c r="AM141" i="62"/>
  <c r="AM19" i="62"/>
  <c r="AN19" i="62" s="1"/>
  <c r="AO82" i="62"/>
  <c r="AP82" i="62" s="1"/>
  <c r="AO48" i="62"/>
  <c r="AP48" i="62" s="1"/>
  <c r="AM78" i="62"/>
  <c r="AN78" i="62" s="1"/>
  <c r="AQ81" i="62"/>
  <c r="AR81" i="62" s="1"/>
  <c r="AM50" i="62"/>
  <c r="AN50" i="62" s="1"/>
  <c r="AQ116" i="62"/>
  <c r="AR116" i="62" s="1"/>
  <c r="AO18" i="62"/>
  <c r="AP18" i="62" s="1"/>
  <c r="AM110" i="62"/>
  <c r="AN110" i="62" s="1"/>
  <c r="AM52" i="62"/>
  <c r="AN52" i="62" s="1"/>
  <c r="AM190" i="62"/>
  <c r="AN190" i="62" s="1"/>
  <c r="AO189" i="62"/>
  <c r="AP189" i="62" s="1"/>
  <c r="AQ115" i="62"/>
  <c r="AR115" i="62" s="1"/>
  <c r="AQ49" i="62"/>
  <c r="AR49" i="62" s="1"/>
  <c r="AM171" i="62"/>
  <c r="AN171" i="62" s="1"/>
  <c r="AO151" i="62"/>
  <c r="AP151" i="62" s="1"/>
  <c r="AN45" i="62"/>
  <c r="AM45" i="62"/>
  <c r="AM112" i="62"/>
  <c r="AN112" i="62" s="1"/>
  <c r="AN149" i="62"/>
  <c r="AM149" i="62"/>
  <c r="AO174" i="62"/>
  <c r="AP174" i="62" s="1"/>
  <c r="AO145" i="62"/>
  <c r="AP145" i="62" s="1"/>
  <c r="Z136" i="62"/>
  <c r="AA105" i="62"/>
  <c r="AA136" i="62" s="1"/>
  <c r="AM113" i="62"/>
  <c r="AN113" i="62" s="1"/>
  <c r="AM68" i="62"/>
  <c r="AN68" i="62" s="1"/>
  <c r="AP46" i="62"/>
  <c r="AO46" i="62"/>
  <c r="AP51" i="62"/>
  <c r="AO51" i="62"/>
  <c r="AN43" i="62"/>
  <c r="AM43" i="62"/>
  <c r="AM142" i="62"/>
  <c r="AN142" i="62" s="1"/>
  <c r="AM150" i="62"/>
  <c r="AN150" i="62" s="1"/>
  <c r="AO114" i="62"/>
  <c r="AP114" i="62" s="1"/>
  <c r="AO143" i="62"/>
  <c r="AP143" i="62" s="1"/>
  <c r="AM53" i="62"/>
  <c r="AN53" i="62" s="1"/>
  <c r="AM54" i="62"/>
  <c r="AN54" i="62" s="1"/>
  <c r="AM173" i="62"/>
  <c r="AN173" i="62" s="1"/>
  <c r="AO191" i="62"/>
  <c r="AP191" i="62" s="1"/>
  <c r="AM107" i="62"/>
  <c r="AN107" i="62" s="1"/>
  <c r="AA158" i="62"/>
  <c r="AA160" i="62" s="1"/>
  <c r="Z160" i="62"/>
  <c r="AB15" i="62"/>
  <c r="AA15" i="62"/>
  <c r="AA37" i="62" s="1"/>
  <c r="Z37" i="62"/>
  <c r="Z101" i="62"/>
  <c r="Z163" i="62" s="1"/>
  <c r="AB77" i="62"/>
  <c r="AA77" i="62"/>
  <c r="AA101" i="62" s="1"/>
  <c r="AO44" i="62"/>
  <c r="AP44" i="62" s="1"/>
  <c r="AN47" i="62"/>
  <c r="AM47" i="62"/>
  <c r="AM148" i="62"/>
  <c r="AN148" i="62" s="1"/>
  <c r="AO70" i="62"/>
  <c r="AP70" i="62" s="1"/>
  <c r="AM69" i="62"/>
  <c r="AN69" i="62" s="1"/>
  <c r="AM111" i="62"/>
  <c r="AN111" i="62" s="1"/>
  <c r="AM144" i="62"/>
  <c r="AN144" i="62" s="1"/>
  <c r="AO42" i="62"/>
  <c r="AP42" i="62" s="1"/>
  <c r="AO66" i="62"/>
  <c r="AP66" i="62" s="1"/>
  <c r="AO108" i="62"/>
  <c r="AP108" i="62" s="1"/>
  <c r="AM146" i="62"/>
  <c r="AN146" i="62"/>
  <c r="AM17" i="62"/>
  <c r="AN17" i="62" s="1"/>
  <c r="AQ120" i="62"/>
  <c r="AR120" i="62"/>
  <c r="AO79" i="62"/>
  <c r="AP79" i="62" s="1"/>
  <c r="AM67" i="62"/>
  <c r="AN67" i="62" s="1"/>
  <c r="AM109" i="62"/>
  <c r="AN109" i="62" s="1"/>
  <c r="AO106" i="62"/>
  <c r="AP106" i="62" s="1"/>
  <c r="AM80" i="62"/>
  <c r="AN80" i="62" s="1"/>
  <c r="AA188" i="62"/>
  <c r="AA217" i="62" s="1"/>
  <c r="Z217" i="62"/>
  <c r="AA169" i="62"/>
  <c r="AA184" i="62" s="1"/>
  <c r="Z184" i="62"/>
  <c r="Z220" i="62" s="1"/>
  <c r="AF168" i="62"/>
  <c r="AB140" i="62"/>
  <c r="AF224" i="62"/>
  <c r="AF65" i="62"/>
  <c r="AJ187" i="62"/>
  <c r="AA220" i="62" l="1"/>
  <c r="AB188" i="62"/>
  <c r="Z59" i="62"/>
  <c r="AA40" i="62"/>
  <c r="AA59" i="62" s="1"/>
  <c r="AQ79" i="62"/>
  <c r="AR79" i="62" s="1"/>
  <c r="AR191" i="62"/>
  <c r="AQ191" i="62"/>
  <c r="AQ143" i="62"/>
  <c r="AR143" i="62" s="1"/>
  <c r="AP113" i="62"/>
  <c r="AO113" i="62"/>
  <c r="AQ108" i="62"/>
  <c r="AR108" i="62" s="1"/>
  <c r="AP107" i="62"/>
  <c r="AO107" i="62"/>
  <c r="AO53" i="62"/>
  <c r="AP53" i="62" s="1"/>
  <c r="AO142" i="62"/>
  <c r="AP142" i="62" s="1"/>
  <c r="AO80" i="62"/>
  <c r="AP80" i="62" s="1"/>
  <c r="AO111" i="62"/>
  <c r="AP111" i="62" s="1"/>
  <c r="AQ44" i="62"/>
  <c r="AR44" i="62" s="1"/>
  <c r="AO54" i="62"/>
  <c r="AP54" i="62" s="1"/>
  <c r="AO150" i="62"/>
  <c r="AP150" i="62" s="1"/>
  <c r="AQ174" i="62"/>
  <c r="AR174" i="62" s="1"/>
  <c r="AO171" i="62"/>
  <c r="AP171" i="62" s="1"/>
  <c r="AO190" i="62"/>
  <c r="AP190" i="62" s="1"/>
  <c r="AO78" i="62"/>
  <c r="AP78" i="62" s="1"/>
  <c r="AQ172" i="62"/>
  <c r="AR172" i="62" s="1"/>
  <c r="AP109" i="62"/>
  <c r="AO109" i="62"/>
  <c r="AQ70" i="62"/>
  <c r="AR70" i="62" s="1"/>
  <c r="AO173" i="62"/>
  <c r="AP173" i="62" s="1"/>
  <c r="AQ114" i="62"/>
  <c r="AR114" i="62" s="1"/>
  <c r="AQ145" i="62"/>
  <c r="AR145" i="62" s="1"/>
  <c r="AQ151" i="62"/>
  <c r="AR151" i="62" s="1"/>
  <c r="AQ189" i="62"/>
  <c r="AR189" i="62" s="1"/>
  <c r="AQ170" i="62"/>
  <c r="AR170" i="62" s="1"/>
  <c r="AF74" i="62"/>
  <c r="AG65" i="62"/>
  <c r="AG74" i="62" s="1"/>
  <c r="AB154" i="62"/>
  <c r="AC140" i="62"/>
  <c r="AC154" i="62" s="1"/>
  <c r="AC188" i="62"/>
  <c r="AC217" i="62" s="1"/>
  <c r="AB217" i="62"/>
  <c r="AR106" i="62"/>
  <c r="AQ106" i="62"/>
  <c r="AO67" i="62"/>
  <c r="AP67" i="62" s="1"/>
  <c r="AP146" i="62"/>
  <c r="AO146" i="62"/>
  <c r="AQ66" i="62"/>
  <c r="AR66" i="62" s="1"/>
  <c r="AO144" i="62"/>
  <c r="AP144" i="62" s="1"/>
  <c r="AO69" i="62"/>
  <c r="AP69" i="62" s="1"/>
  <c r="AO148" i="62"/>
  <c r="AP148" i="62" s="1"/>
  <c r="AQ51" i="62"/>
  <c r="AR51" i="62" s="1"/>
  <c r="AO68" i="62"/>
  <c r="AP68" i="62" s="1"/>
  <c r="AO112" i="62"/>
  <c r="AP112" i="62"/>
  <c r="AO52" i="62"/>
  <c r="AP52" i="62" s="1"/>
  <c r="AQ18" i="62"/>
  <c r="AR18" i="62"/>
  <c r="AO50" i="62"/>
  <c r="AP50" i="62" s="1"/>
  <c r="AQ82" i="62"/>
  <c r="AR82" i="62" s="1"/>
  <c r="AO141" i="62"/>
  <c r="AP141" i="62" s="1"/>
  <c r="AO147" i="62"/>
  <c r="AP147" i="62"/>
  <c r="AM152" i="62"/>
  <c r="AN152" i="62" s="1"/>
  <c r="AK187" i="62"/>
  <c r="AO17" i="62"/>
  <c r="AP17" i="62" s="1"/>
  <c r="AQ42" i="62"/>
  <c r="AR42" i="62" s="1"/>
  <c r="AO47" i="62"/>
  <c r="AP47" i="62" s="1"/>
  <c r="AB101" i="62"/>
  <c r="AC77" i="62"/>
  <c r="AC101" i="62" s="1"/>
  <c r="AB37" i="62"/>
  <c r="AC15" i="62"/>
  <c r="AC37" i="62" s="1"/>
  <c r="AF232" i="62"/>
  <c r="AG224" i="62"/>
  <c r="AG232" i="62" s="1"/>
  <c r="AO43" i="62"/>
  <c r="AP43" i="62" s="1"/>
  <c r="AQ46" i="62"/>
  <c r="AR46" i="62" s="1"/>
  <c r="AO149" i="62"/>
  <c r="AP149" i="62" s="1"/>
  <c r="AO45" i="62"/>
  <c r="AP45" i="62" s="1"/>
  <c r="AO110" i="62"/>
  <c r="AP110" i="62" s="1"/>
  <c r="AQ48" i="62"/>
  <c r="AR48" i="62"/>
  <c r="AO19" i="62"/>
  <c r="AP19" i="62" s="1"/>
  <c r="AQ16" i="62"/>
  <c r="AR16" i="62" s="1"/>
  <c r="AO41" i="62"/>
  <c r="AP41" i="62" s="1"/>
  <c r="AG168" i="62"/>
  <c r="AA163" i="62"/>
  <c r="AA235" i="62" s="1"/>
  <c r="AB105" i="62"/>
  <c r="AB169" i="62"/>
  <c r="Z235" i="62"/>
  <c r="Z239" i="62" s="1"/>
  <c r="AB158" i="62"/>
  <c r="AH65" i="62" l="1"/>
  <c r="AB40" i="62"/>
  <c r="AQ110" i="62"/>
  <c r="AR110" i="62" s="1"/>
  <c r="AQ141" i="62"/>
  <c r="AR141" i="62" s="1"/>
  <c r="AQ54" i="62"/>
  <c r="AR54" i="62" s="1"/>
  <c r="AR41" i="62"/>
  <c r="AQ41" i="62"/>
  <c r="AQ50" i="62"/>
  <c r="AR50" i="62" s="1"/>
  <c r="AQ149" i="62"/>
  <c r="AR149" i="62" s="1"/>
  <c r="AQ52" i="62"/>
  <c r="AR52" i="62" s="1"/>
  <c r="AQ69" i="62"/>
  <c r="AR69" i="62" s="1"/>
  <c r="AQ173" i="62"/>
  <c r="AR173" i="62" s="1"/>
  <c r="AQ190" i="62"/>
  <c r="AR190" i="62" s="1"/>
  <c r="AQ43" i="62"/>
  <c r="AR43" i="62" s="1"/>
  <c r="AQ67" i="62"/>
  <c r="AR67" i="62" s="1"/>
  <c r="AQ53" i="62"/>
  <c r="AR53" i="62" s="1"/>
  <c r="AQ171" i="62"/>
  <c r="AR171" i="62" s="1"/>
  <c r="AQ19" i="62"/>
  <c r="AR19" i="62" s="1"/>
  <c r="AQ45" i="62"/>
  <c r="AR45" i="62" s="1"/>
  <c r="AO152" i="62"/>
  <c r="AP152" i="62" s="1"/>
  <c r="AQ68" i="62"/>
  <c r="AR68" i="62" s="1"/>
  <c r="AC105" i="62"/>
  <c r="AC136" i="62" s="1"/>
  <c r="AB136" i="62"/>
  <c r="AR147" i="62"/>
  <c r="AQ147" i="62"/>
  <c r="AQ112" i="62"/>
  <c r="AR112" i="62" s="1"/>
  <c r="AI65" i="62"/>
  <c r="AI74" i="62" s="1"/>
  <c r="AH74" i="62"/>
  <c r="AQ109" i="62"/>
  <c r="AR109" i="62" s="1"/>
  <c r="AQ78" i="62"/>
  <c r="AR78" i="62" s="1"/>
  <c r="AQ150" i="62"/>
  <c r="AR150" i="62" s="1"/>
  <c r="AQ80" i="62"/>
  <c r="AR80" i="62"/>
  <c r="AC169" i="62"/>
  <c r="AC184" i="62" s="1"/>
  <c r="AC220" i="62" s="1"/>
  <c r="AB184" i="62"/>
  <c r="AB220" i="62" s="1"/>
  <c r="AQ148" i="62"/>
  <c r="AR148" i="62" s="1"/>
  <c r="AQ144" i="62"/>
  <c r="AR144" i="62" s="1"/>
  <c r="AQ146" i="62"/>
  <c r="AR146" i="62" s="1"/>
  <c r="AR47" i="62"/>
  <c r="AQ47" i="62"/>
  <c r="AR17" i="62"/>
  <c r="AQ17" i="62"/>
  <c r="AQ111" i="62"/>
  <c r="AR111" i="62" s="1"/>
  <c r="AQ142" i="62"/>
  <c r="AR142" i="62" s="1"/>
  <c r="AQ107" i="62"/>
  <c r="AR107" i="62" s="1"/>
  <c r="AQ113" i="62"/>
  <c r="AR113" i="62" s="1"/>
  <c r="AC158" i="62"/>
  <c r="AC160" i="62" s="1"/>
  <c r="AB160" i="62"/>
  <c r="AH168" i="62"/>
  <c r="AL187" i="62"/>
  <c r="AH224" i="62"/>
  <c r="AD77" i="62"/>
  <c r="AD15" i="62"/>
  <c r="AD188" i="62"/>
  <c r="AD140" i="62"/>
  <c r="AB163" i="62" l="1"/>
  <c r="AJ65" i="62"/>
  <c r="AC163" i="62"/>
  <c r="AC235" i="62" s="1"/>
  <c r="AB59" i="62"/>
  <c r="AC40" i="62"/>
  <c r="AC59" i="62" s="1"/>
  <c r="AD40" i="62"/>
  <c r="AQ152" i="62"/>
  <c r="AR152" i="62" s="1"/>
  <c r="AI168" i="62"/>
  <c r="AJ168" i="62" s="1"/>
  <c r="AH232" i="62"/>
  <c r="AI224" i="62"/>
  <c r="AI232" i="62" s="1"/>
  <c r="AD169" i="62"/>
  <c r="AM187" i="62"/>
  <c r="AJ74" i="62"/>
  <c r="AK65" i="62"/>
  <c r="AK74" i="62" s="1"/>
  <c r="AE15" i="62"/>
  <c r="AE37" i="62" s="1"/>
  <c r="AD37" i="62"/>
  <c r="AE188" i="62"/>
  <c r="AE217" i="62" s="1"/>
  <c r="AD217" i="62"/>
  <c r="AD154" i="62"/>
  <c r="AE140" i="62"/>
  <c r="AE154" i="62" s="1"/>
  <c r="AD101" i="62"/>
  <c r="AF77" i="62"/>
  <c r="AE77" i="62"/>
  <c r="AE101" i="62" s="1"/>
  <c r="AD158" i="62"/>
  <c r="AD105" i="62"/>
  <c r="AF188" i="62" l="1"/>
  <c r="AD59" i="62"/>
  <c r="AE40" i="62"/>
  <c r="AE59" i="62" s="1"/>
  <c r="AF40" i="62"/>
  <c r="AL65" i="62"/>
  <c r="AB235" i="62"/>
  <c r="AB239" i="62" s="1"/>
  <c r="AM65" i="62"/>
  <c r="AM74" i="62" s="1"/>
  <c r="AL74" i="62"/>
  <c r="AK168" i="62"/>
  <c r="AG188" i="62"/>
  <c r="AG217" i="62" s="1"/>
  <c r="AF217" i="62"/>
  <c r="AN187" i="62"/>
  <c r="AJ224" i="62"/>
  <c r="AD136" i="62"/>
  <c r="AD163" i="62" s="1"/>
  <c r="AD235" i="62" s="1"/>
  <c r="AD239" i="62" s="1"/>
  <c r="AE105" i="62"/>
  <c r="AE136" i="62" s="1"/>
  <c r="AE163" i="62" s="1"/>
  <c r="AE235" i="62" s="1"/>
  <c r="AG77" i="62"/>
  <c r="AG101" i="62" s="1"/>
  <c r="AF101" i="62"/>
  <c r="AE158" i="62"/>
  <c r="AE160" i="62" s="1"/>
  <c r="AD160" i="62"/>
  <c r="AE169" i="62"/>
  <c r="AE184" i="62" s="1"/>
  <c r="AE220" i="62" s="1"/>
  <c r="AF169" i="62"/>
  <c r="AD184" i="62"/>
  <c r="AD220" i="62" s="1"/>
  <c r="AF140" i="62"/>
  <c r="AF15" i="62"/>
  <c r="AF59" i="62" l="1"/>
  <c r="AG40" i="62"/>
  <c r="AG59" i="62" s="1"/>
  <c r="AO187" i="62"/>
  <c r="AG15" i="62"/>
  <c r="AG37" i="62" s="1"/>
  <c r="AH15" i="62"/>
  <c r="AF37" i="62"/>
  <c r="AJ232" i="62"/>
  <c r="AK224" i="62"/>
  <c r="AK232" i="62" s="1"/>
  <c r="AF158" i="62"/>
  <c r="AL168" i="62"/>
  <c r="AN65" i="62"/>
  <c r="AG169" i="62"/>
  <c r="AG184" i="62" s="1"/>
  <c r="AG220" i="62" s="1"/>
  <c r="AH169" i="62"/>
  <c r="AF184" i="62"/>
  <c r="AF220" i="62" s="1"/>
  <c r="AF154" i="62"/>
  <c r="AG140" i="62"/>
  <c r="AG154" i="62" s="1"/>
  <c r="AF105" i="62"/>
  <c r="AH77" i="62"/>
  <c r="AH188" i="62"/>
  <c r="AH40" i="62" l="1"/>
  <c r="AI169" i="62"/>
  <c r="AI184" i="62" s="1"/>
  <c r="AJ169" i="62"/>
  <c r="AH184" i="62"/>
  <c r="AM168" i="62"/>
  <c r="AN168" i="62" s="1"/>
  <c r="AI15" i="62"/>
  <c r="AI37" i="62" s="1"/>
  <c r="AH37" i="62"/>
  <c r="AH101" i="62"/>
  <c r="AI77" i="62"/>
  <c r="AI101" i="62" s="1"/>
  <c r="AI188" i="62"/>
  <c r="AI217" i="62" s="1"/>
  <c r="AH217" i="62"/>
  <c r="AF136" i="62"/>
  <c r="AG105" i="62"/>
  <c r="AG136" i="62" s="1"/>
  <c r="AN74" i="62"/>
  <c r="AO65" i="62"/>
  <c r="AO74" i="62" s="1"/>
  <c r="AH140" i="62"/>
  <c r="AL224" i="62"/>
  <c r="AP187" i="62"/>
  <c r="AG158" i="62"/>
  <c r="AG160" i="62" s="1"/>
  <c r="AF160" i="62"/>
  <c r="D233" i="62"/>
  <c r="D244" i="62"/>
  <c r="AG163" i="62" l="1"/>
  <c r="AG235" i="62" s="1"/>
  <c r="AJ77" i="62"/>
  <c r="AJ15" i="62"/>
  <c r="AP65" i="62"/>
  <c r="AJ188" i="62"/>
  <c r="AI40" i="62"/>
  <c r="AI59" i="62" s="1"/>
  <c r="AH59" i="62"/>
  <c r="AJ40" i="62"/>
  <c r="AQ187" i="62"/>
  <c r="I244" i="62"/>
  <c r="U244" i="62"/>
  <c r="AJ37" i="62"/>
  <c r="AK15" i="62"/>
  <c r="AK37" i="62" s="1"/>
  <c r="AH154" i="62"/>
  <c r="AI140" i="62"/>
  <c r="AI154" i="62" s="1"/>
  <c r="D75" i="62"/>
  <c r="AH105" i="62"/>
  <c r="AK188" i="62"/>
  <c r="AK217" i="62" s="1"/>
  <c r="AJ217" i="62"/>
  <c r="D218" i="62" s="1"/>
  <c r="AO168" i="62"/>
  <c r="AK169" i="62"/>
  <c r="AK184" i="62" s="1"/>
  <c r="AJ184" i="62"/>
  <c r="AQ65" i="62"/>
  <c r="AQ74" i="62" s="1"/>
  <c r="AP74" i="62"/>
  <c r="AJ101" i="62"/>
  <c r="AK77" i="62"/>
  <c r="AK101" i="62" s="1"/>
  <c r="AL232" i="62"/>
  <c r="AM224" i="62"/>
  <c r="AM232" i="62" s="1"/>
  <c r="AH220" i="62"/>
  <c r="AH158" i="62"/>
  <c r="AF163" i="62"/>
  <c r="AF235" i="62" s="1"/>
  <c r="AF239" i="62" s="1"/>
  <c r="AI220" i="62"/>
  <c r="AJ59" i="62" l="1"/>
  <c r="D61" i="62" s="1"/>
  <c r="AK40" i="62"/>
  <c r="AK59" i="62" s="1"/>
  <c r="AL15" i="62"/>
  <c r="AM15" i="62" s="1"/>
  <c r="D102" i="62"/>
  <c r="AJ220" i="62"/>
  <c r="D221" i="62" s="1"/>
  <c r="D185" i="62"/>
  <c r="AH136" i="62"/>
  <c r="AI105" i="62"/>
  <c r="AI136" i="62" s="1"/>
  <c r="AN224" i="62"/>
  <c r="AJ140" i="62"/>
  <c r="AL77" i="62"/>
  <c r="D38" i="62"/>
  <c r="AI158" i="62"/>
  <c r="AI160" i="62" s="1"/>
  <c r="AH160" i="62"/>
  <c r="AP168" i="62"/>
  <c r="AL188" i="62"/>
  <c r="AR187" i="62"/>
  <c r="AK220" i="62"/>
  <c r="AR65" i="62"/>
  <c r="AR74" i="62" s="1"/>
  <c r="AL169" i="62"/>
  <c r="AM37" i="62" l="1"/>
  <c r="AN15" i="62"/>
  <c r="AN37" i="62" s="1"/>
  <c r="AL37" i="62"/>
  <c r="AL40" i="62"/>
  <c r="AO224" i="62"/>
  <c r="AO232" i="62" s="1"/>
  <c r="AN232" i="62"/>
  <c r="AO15" i="62"/>
  <c r="AO37" i="62" s="1"/>
  <c r="AJ154" i="62"/>
  <c r="D155" i="62" s="1"/>
  <c r="AK140" i="62"/>
  <c r="AK154" i="62" s="1"/>
  <c r="AJ105" i="62"/>
  <c r="AQ168" i="62"/>
  <c r="AR168" i="62" s="1"/>
  <c r="AM169" i="62"/>
  <c r="AM184" i="62" s="1"/>
  <c r="AL184" i="62"/>
  <c r="AM188" i="62"/>
  <c r="AM217" i="62" s="1"/>
  <c r="AL217" i="62"/>
  <c r="AL101" i="62"/>
  <c r="AN77" i="62"/>
  <c r="AM77" i="62"/>
  <c r="AM101" i="62" s="1"/>
  <c r="AI163" i="62"/>
  <c r="AI235" i="62" s="1"/>
  <c r="AJ158" i="62"/>
  <c r="AH163" i="62"/>
  <c r="AH235" i="62" s="1"/>
  <c r="AH239" i="62" s="1"/>
  <c r="AL59" i="62" l="1"/>
  <c r="AM40" i="62"/>
  <c r="AM59" i="62" s="1"/>
  <c r="AN169" i="62"/>
  <c r="AN184" i="62" s="1"/>
  <c r="AP224" i="62"/>
  <c r="AO77" i="62"/>
  <c r="AO101" i="62" s="1"/>
  <c r="AN101" i="62"/>
  <c r="AL220" i="62"/>
  <c r="AL140" i="62"/>
  <c r="AO169" i="62"/>
  <c r="AO184" i="62" s="1"/>
  <c r="AP232" i="62"/>
  <c r="AQ224" i="62"/>
  <c r="AQ232" i="62" s="1"/>
  <c r="AJ136" i="62"/>
  <c r="AK105" i="62"/>
  <c r="AK136" i="62" s="1"/>
  <c r="AK158" i="62"/>
  <c r="AK160" i="62" s="1"/>
  <c r="AJ160" i="62"/>
  <c r="D161" i="62" s="1"/>
  <c r="AN188" i="62"/>
  <c r="AM220" i="62"/>
  <c r="AP15" i="62"/>
  <c r="AK163" i="62" l="1"/>
  <c r="AK235" i="62" s="1"/>
  <c r="AN40" i="62"/>
  <c r="AQ15" i="62"/>
  <c r="AQ37" i="62" s="1"/>
  <c r="AP37" i="62"/>
  <c r="AO188" i="62"/>
  <c r="AO217" i="62" s="1"/>
  <c r="AO220" i="62" s="1"/>
  <c r="AN217" i="62"/>
  <c r="AN220" i="62" s="1"/>
  <c r="D137" i="62"/>
  <c r="AJ163" i="62"/>
  <c r="AL154" i="62"/>
  <c r="AM140" i="62"/>
  <c r="AM154" i="62" s="1"/>
  <c r="AR224" i="62"/>
  <c r="AR232" i="62" s="1"/>
  <c r="AP169" i="62"/>
  <c r="AL105" i="62"/>
  <c r="AP77" i="62"/>
  <c r="AL158" i="62"/>
  <c r="AP188" i="62" l="1"/>
  <c r="AR15" i="62"/>
  <c r="AR37" i="62" s="1"/>
  <c r="AO40" i="62"/>
  <c r="AO59" i="62" s="1"/>
  <c r="AN59" i="62"/>
  <c r="AP101" i="62"/>
  <c r="AQ77" i="62"/>
  <c r="AQ101" i="62" s="1"/>
  <c r="AQ169" i="62"/>
  <c r="AQ184" i="62" s="1"/>
  <c r="AR169" i="62"/>
  <c r="AR184" i="62" s="1"/>
  <c r="AP184" i="62"/>
  <c r="AP220" i="62" s="1"/>
  <c r="D243" i="62" s="1"/>
  <c r="AM158" i="62"/>
  <c r="AM160" i="62" s="1"/>
  <c r="AL160" i="62"/>
  <c r="D240" i="62"/>
  <c r="AN140" i="62"/>
  <c r="AQ188" i="62"/>
  <c r="AQ217" i="62" s="1"/>
  <c r="AP217" i="62"/>
  <c r="AL136" i="62"/>
  <c r="AL163" i="62" s="1"/>
  <c r="AL235" i="62" s="1"/>
  <c r="AL239" i="62" s="1"/>
  <c r="AM105" i="62"/>
  <c r="AM136" i="62" s="1"/>
  <c r="AM163" i="62" s="1"/>
  <c r="AM235" i="62" s="1"/>
  <c r="D164" i="62"/>
  <c r="AJ235" i="62"/>
  <c r="AJ239" i="62" s="1"/>
  <c r="AR77" i="62" l="1"/>
  <c r="AR101" i="62" s="1"/>
  <c r="AP40" i="62"/>
  <c r="AN154" i="62"/>
  <c r="AP140" i="62"/>
  <c r="AO140" i="62"/>
  <c r="AO154" i="62" s="1"/>
  <c r="AN105" i="62"/>
  <c r="I243" i="62"/>
  <c r="U243" i="62"/>
  <c r="I240" i="62"/>
  <c r="U240" i="62"/>
  <c r="AR188" i="62"/>
  <c r="AR217" i="62" s="1"/>
  <c r="AR220" i="62" s="1"/>
  <c r="AN158" i="62"/>
  <c r="AQ220" i="62"/>
  <c r="AP59" i="62" l="1"/>
  <c r="D241" i="62" s="1"/>
  <c r="AQ40" i="62"/>
  <c r="AQ59" i="62" s="1"/>
  <c r="AP105" i="62"/>
  <c r="AN136" i="62"/>
  <c r="AO105" i="62"/>
  <c r="AO136" i="62" s="1"/>
  <c r="AP154" i="62"/>
  <c r="AQ140" i="62"/>
  <c r="AQ154" i="62" s="1"/>
  <c r="AN160" i="62"/>
  <c r="AO158" i="62"/>
  <c r="AO160" i="62" s="1"/>
  <c r="AR40" i="62" l="1"/>
  <c r="AR59" i="62" s="1"/>
  <c r="AN163" i="62"/>
  <c r="AN235" i="62" s="1"/>
  <c r="AN239" i="62" s="1"/>
  <c r="U241" i="62"/>
  <c r="I241" i="62"/>
  <c r="AP136" i="62"/>
  <c r="AQ105" i="62"/>
  <c r="AQ136" i="62" s="1"/>
  <c r="AR140" i="62"/>
  <c r="AR154" i="62" s="1"/>
  <c r="AO163" i="62"/>
  <c r="AO235" i="62" s="1"/>
  <c r="AP158" i="62"/>
  <c r="AQ158" i="62" l="1"/>
  <c r="AQ160" i="62" s="1"/>
  <c r="AP160" i="62"/>
  <c r="AP163" i="62" s="1"/>
  <c r="AQ163" i="62"/>
  <c r="AQ235" i="62" s="1"/>
  <c r="AR105" i="62"/>
  <c r="AR136" i="62" s="1"/>
  <c r="D242" i="62" l="1"/>
  <c r="AP235" i="62"/>
  <c r="AP239" i="62" s="1"/>
  <c r="AR158" i="62"/>
  <c r="AR160" i="62" s="1"/>
  <c r="AR163" i="62" s="1"/>
  <c r="AR235" i="62" s="1"/>
  <c r="AR239" i="62" s="1"/>
  <c r="U242" i="62" l="1"/>
  <c r="I242" i="62"/>
  <c r="I246" i="62" s="1"/>
  <c r="D246" i="62"/>
  <c r="D248" i="62" l="1"/>
  <c r="U246" i="62"/>
  <c r="G15" i="51" l="1"/>
  <c r="G11" i="51"/>
  <c r="C11" i="51"/>
  <c r="B11" i="51"/>
  <c r="B15" i="51"/>
  <c r="N82" i="61" l="1"/>
  <c r="N83" i="61"/>
  <c r="N84" i="61"/>
  <c r="N85" i="61"/>
  <c r="N86" i="61"/>
  <c r="N87" i="61"/>
  <c r="N88" i="61"/>
  <c r="N89" i="61"/>
  <c r="N90" i="61"/>
  <c r="N91" i="61"/>
  <c r="N92" i="61"/>
  <c r="N93" i="61"/>
  <c r="N94" i="61"/>
  <c r="N95" i="61"/>
  <c r="N96" i="61"/>
  <c r="N97" i="61"/>
  <c r="B11" i="78" s="1"/>
  <c r="N98" i="61"/>
  <c r="N99" i="61"/>
  <c r="N100" i="61"/>
  <c r="N101" i="61"/>
  <c r="N102" i="61"/>
  <c r="N103" i="61"/>
  <c r="N104" i="61"/>
  <c r="N105" i="61"/>
  <c r="N106" i="61"/>
  <c r="N107" i="61"/>
  <c r="N108" i="61"/>
  <c r="N109" i="61"/>
  <c r="N112" i="61"/>
  <c r="N113" i="61"/>
  <c r="N114" i="61"/>
  <c r="B30" i="39" s="1"/>
  <c r="N115" i="61"/>
  <c r="B44" i="39" l="1"/>
  <c r="F32" i="39"/>
  <c r="B32" i="39"/>
  <c r="F27" i="39"/>
  <c r="B27" i="39"/>
  <c r="C27" i="39" s="1"/>
  <c r="B43" i="39"/>
  <c r="F23" i="39" l="1"/>
  <c r="E64" i="78" l="1"/>
  <c r="C32" i="19" l="1"/>
  <c r="B32" i="19"/>
  <c r="D35" i="19" s="1"/>
  <c r="C27" i="19"/>
  <c r="B27" i="19"/>
  <c r="D27" i="19" l="1"/>
  <c r="D32" i="19"/>
  <c r="B64" i="78" s="1"/>
  <c r="F64" i="78" l="1"/>
  <c r="B10" i="78" s="1"/>
  <c r="C28" i="39" l="1"/>
  <c r="F11" i="51"/>
  <c r="D11" i="51"/>
  <c r="N141" i="61" l="1"/>
  <c r="L24" i="39" l="1"/>
  <c r="L18" i="39"/>
  <c r="L35" i="39"/>
  <c r="M14" i="39"/>
  <c r="C21" i="71" l="1"/>
  <c r="C20" i="71" l="1"/>
  <c r="D65" i="39" l="1"/>
  <c r="C65" i="39"/>
  <c r="D58" i="39"/>
  <c r="D57" i="39"/>
  <c r="D34" i="39"/>
  <c r="M155" i="61" l="1"/>
  <c r="L155" i="61"/>
  <c r="K155" i="61"/>
  <c r="J155" i="61"/>
  <c r="I155" i="61"/>
  <c r="H155" i="61"/>
  <c r="G155" i="61"/>
  <c r="F155" i="61"/>
  <c r="E155" i="61"/>
  <c r="D155" i="61"/>
  <c r="C155" i="61"/>
  <c r="B155" i="61"/>
  <c r="N153" i="61"/>
  <c r="B48" i="39" s="1"/>
  <c r="C48" i="39" s="1"/>
  <c r="N152" i="61"/>
  <c r="B38" i="39" s="1"/>
  <c r="N151" i="61"/>
  <c r="N150" i="61"/>
  <c r="N149" i="61"/>
  <c r="B41" i="39" s="1"/>
  <c r="C41" i="39" s="1"/>
  <c r="N148" i="61"/>
  <c r="N147" i="61"/>
  <c r="N146" i="61"/>
  <c r="N145" i="61"/>
  <c r="N144" i="61"/>
  <c r="N143" i="61"/>
  <c r="N142" i="61"/>
  <c r="N140" i="61"/>
  <c r="N139" i="61"/>
  <c r="N137" i="61"/>
  <c r="N136" i="61"/>
  <c r="N135" i="61"/>
  <c r="N134" i="61"/>
  <c r="N133" i="61"/>
  <c r="N81" i="61"/>
  <c r="N80" i="61"/>
  <c r="N79" i="61"/>
  <c r="N78" i="61"/>
  <c r="N77" i="61"/>
  <c r="B23" i="39" s="1"/>
  <c r="N76" i="61"/>
  <c r="N75" i="61"/>
  <c r="N74" i="61"/>
  <c r="N73" i="61"/>
  <c r="N72" i="61"/>
  <c r="N71" i="61"/>
  <c r="N70" i="61"/>
  <c r="N69" i="61"/>
  <c r="B29" i="39" s="1"/>
  <c r="N68" i="61"/>
  <c r="N67" i="61"/>
  <c r="C15" i="39" s="1"/>
  <c r="N66" i="61"/>
  <c r="N65" i="61"/>
  <c r="N64" i="61"/>
  <c r="N63" i="61"/>
  <c r="N62" i="61"/>
  <c r="N61" i="61"/>
  <c r="N60" i="61"/>
  <c r="N59" i="61"/>
  <c r="N58" i="61"/>
  <c r="N57" i="61"/>
  <c r="N56" i="61"/>
  <c r="C16" i="39" s="1"/>
  <c r="N55" i="61"/>
  <c r="N54" i="61"/>
  <c r="N53" i="61"/>
  <c r="N51" i="61"/>
  <c r="N50" i="61"/>
  <c r="N49" i="61"/>
  <c r="N48" i="61"/>
  <c r="N47" i="61"/>
  <c r="N46" i="61"/>
  <c r="N45" i="61"/>
  <c r="M40" i="61"/>
  <c r="L40" i="61"/>
  <c r="K40" i="61"/>
  <c r="J40" i="61"/>
  <c r="I40" i="61"/>
  <c r="H40" i="61"/>
  <c r="G40" i="61"/>
  <c r="F40" i="61"/>
  <c r="E40" i="61"/>
  <c r="D40" i="61"/>
  <c r="C40" i="61"/>
  <c r="B40" i="61"/>
  <c r="N38" i="61"/>
  <c r="N37" i="61"/>
  <c r="N36" i="61"/>
  <c r="N35" i="61"/>
  <c r="N34" i="61"/>
  <c r="N29" i="61"/>
  <c r="N28" i="61"/>
  <c r="N27" i="61"/>
  <c r="N26" i="61"/>
  <c r="N25" i="61"/>
  <c r="N24" i="61"/>
  <c r="N23" i="61"/>
  <c r="B6" i="78" s="1"/>
  <c r="N22" i="61"/>
  <c r="B5" i="78" s="1"/>
  <c r="N21" i="61"/>
  <c r="B4" i="78" s="1"/>
  <c r="N20" i="61"/>
  <c r="N19" i="61"/>
  <c r="N18" i="61"/>
  <c r="N17" i="61"/>
  <c r="N16" i="61"/>
  <c r="N15" i="61"/>
  <c r="N14" i="61"/>
  <c r="B5" i="52" s="1"/>
  <c r="D5" i="52" s="1"/>
  <c r="N13" i="61"/>
  <c r="N12" i="61"/>
  <c r="N11" i="61"/>
  <c r="N10" i="61"/>
  <c r="N9" i="61"/>
  <c r="N8" i="61"/>
  <c r="N7" i="61"/>
  <c r="N6" i="61"/>
  <c r="N5" i="61"/>
  <c r="B22" i="39" l="1"/>
  <c r="B25" i="10"/>
  <c r="B26" i="10" s="1"/>
  <c r="I21" i="39" s="1"/>
  <c r="B4" i="52"/>
  <c r="O40" i="61"/>
  <c r="O157" i="61" s="1"/>
  <c r="O159" i="61" s="1"/>
  <c r="Q64" i="61"/>
  <c r="B46" i="39"/>
  <c r="B7" i="78"/>
  <c r="B9" i="78"/>
  <c r="B13" i="78" s="1"/>
  <c r="Q38" i="61"/>
  <c r="Q63" i="61"/>
  <c r="F28" i="39"/>
  <c r="B28" i="39"/>
  <c r="D28" i="39" s="1"/>
  <c r="D36" i="19"/>
  <c r="D38" i="19" s="1"/>
  <c r="D23" i="39"/>
  <c r="B21" i="39"/>
  <c r="B10" i="39"/>
  <c r="D29" i="39"/>
  <c r="G29" i="39" s="1"/>
  <c r="B42" i="39"/>
  <c r="B56" i="39"/>
  <c r="C56" i="39" s="1"/>
  <c r="D56" i="39" s="1"/>
  <c r="G56" i="39" s="1"/>
  <c r="B45" i="39"/>
  <c r="D38" i="39"/>
  <c r="G38" i="39" s="1"/>
  <c r="B55" i="39"/>
  <c r="C55" i="39" s="1"/>
  <c r="D55" i="39" s="1"/>
  <c r="G55" i="39" s="1"/>
  <c r="C9" i="39"/>
  <c r="B9" i="39"/>
  <c r="B31" i="39"/>
  <c r="D30" i="39"/>
  <c r="G30" i="39" s="1"/>
  <c r="B47" i="39"/>
  <c r="B39" i="39"/>
  <c r="B14" i="10" s="1"/>
  <c r="B30" i="10" s="1"/>
  <c r="B40" i="39"/>
  <c r="B8" i="39"/>
  <c r="D42" i="61"/>
  <c r="H42" i="61"/>
  <c r="H157" i="61" s="1"/>
  <c r="C42" i="61"/>
  <c r="C157" i="61" s="1"/>
  <c r="G42" i="61"/>
  <c r="G157" i="61" s="1"/>
  <c r="K42" i="61"/>
  <c r="K157" i="61" s="1"/>
  <c r="N40" i="61"/>
  <c r="L42" i="61"/>
  <c r="L157" i="61" s="1"/>
  <c r="F42" i="61"/>
  <c r="F157" i="61" s="1"/>
  <c r="D157" i="61"/>
  <c r="N31" i="61"/>
  <c r="J42" i="61"/>
  <c r="J157" i="61" s="1"/>
  <c r="E42" i="61"/>
  <c r="E157" i="61" s="1"/>
  <c r="I42" i="61"/>
  <c r="I157" i="61" s="1"/>
  <c r="M42" i="61"/>
  <c r="M157" i="61" s="1"/>
  <c r="N155" i="61"/>
  <c r="B42" i="61"/>
  <c r="D4" i="52" l="1"/>
  <c r="D6" i="52" s="1"/>
  <c r="B6" i="52"/>
  <c r="I45" i="39"/>
  <c r="B15" i="78"/>
  <c r="Q65" i="61"/>
  <c r="R64" i="61" s="1"/>
  <c r="D8" i="39"/>
  <c r="G8" i="39" s="1"/>
  <c r="C10" i="39"/>
  <c r="C11" i="39" s="1"/>
  <c r="C68" i="39" s="1"/>
  <c r="D9" i="39"/>
  <c r="G9" i="39" s="1"/>
  <c r="C31" i="39"/>
  <c r="D31" i="39" s="1"/>
  <c r="G31" i="39" s="1"/>
  <c r="N42" i="61"/>
  <c r="B157" i="61"/>
  <c r="H162" i="61" s="1"/>
  <c r="Q68" i="61" l="1"/>
  <c r="B17" i="39" s="1"/>
  <c r="D17" i="39" s="1"/>
  <c r="G17" i="39" s="1"/>
  <c r="R63" i="61"/>
  <c r="Q67" i="61" s="1"/>
  <c r="N157" i="61"/>
  <c r="B160" i="61"/>
  <c r="C160" i="61" s="1"/>
  <c r="D160" i="61" s="1"/>
  <c r="E160" i="61" s="1"/>
  <c r="F160" i="61" s="1"/>
  <c r="G160" i="61" s="1"/>
  <c r="H160" i="61" s="1"/>
  <c r="I160" i="61" s="1"/>
  <c r="J160" i="61" s="1"/>
  <c r="K160" i="61" s="1"/>
  <c r="L160" i="61" s="1"/>
  <c r="M160" i="61" s="1"/>
  <c r="M162" i="61" s="1"/>
  <c r="D10" i="39"/>
  <c r="G10" i="39" s="1"/>
  <c r="D11" i="39" l="1"/>
  <c r="D68" i="39" s="1"/>
  <c r="Q69" i="61"/>
  <c r="B16" i="39"/>
  <c r="D16" i="39" s="1"/>
  <c r="G16" i="39" s="1"/>
  <c r="D15" i="51" l="1"/>
  <c r="F15" i="51"/>
  <c r="E11" i="51"/>
  <c r="F46" i="39" l="1"/>
  <c r="G28" i="39"/>
  <c r="N35" i="39" l="1"/>
  <c r="B35" i="39"/>
  <c r="G34" i="39" l="1"/>
  <c r="J56" i="39"/>
  <c r="M56" i="39" s="1"/>
  <c r="J55" i="39"/>
  <c r="M55" i="39" s="1"/>
  <c r="B49" i="39"/>
  <c r="T49" i="39" s="1"/>
  <c r="J38" i="39"/>
  <c r="M38" i="39" s="1"/>
  <c r="T35" i="39"/>
  <c r="J31" i="39"/>
  <c r="M31" i="39" s="1"/>
  <c r="J29" i="39"/>
  <c r="M29" i="39" s="1"/>
  <c r="B24" i="39"/>
  <c r="F18" i="39"/>
  <c r="B18" i="39"/>
  <c r="T23" i="39" s="1"/>
  <c r="B11" i="39"/>
  <c r="J10" i="39"/>
  <c r="J9" i="39"/>
  <c r="T10" i="39" l="1"/>
  <c r="T9" i="39"/>
  <c r="F57" i="39" s="1"/>
  <c r="T8" i="39"/>
  <c r="P10" i="39"/>
  <c r="M10" i="39"/>
  <c r="I35" i="39"/>
  <c r="O9" i="39"/>
  <c r="P9" i="39" s="1"/>
  <c r="J34" i="39"/>
  <c r="M34" i="39" s="1"/>
  <c r="T11" i="39"/>
  <c r="B68" i="39"/>
  <c r="F11" i="39"/>
  <c r="T21" i="39"/>
  <c r="T24" i="39"/>
  <c r="G23" i="39"/>
  <c r="B51" i="39"/>
  <c r="T18" i="39"/>
  <c r="T22" i="39"/>
  <c r="B62" i="39" l="1"/>
  <c r="G57" i="39"/>
  <c r="J57" i="39" s="1"/>
  <c r="M57" i="39" s="1"/>
  <c r="B78" i="39"/>
  <c r="G11" i="39"/>
  <c r="B67" i="39"/>
  <c r="B69" i="39" s="1"/>
  <c r="B71" i="39" s="1"/>
  <c r="F58" i="39"/>
  <c r="O11" i="39"/>
  <c r="O68" i="39" s="1"/>
  <c r="B53" i="39"/>
  <c r="B60" i="39" s="1"/>
  <c r="G58" i="39" l="1"/>
  <c r="J58" i="39" s="1"/>
  <c r="M58" i="39" s="1"/>
  <c r="G68" i="39"/>
  <c r="G78" i="39" s="1"/>
  <c r="O78" i="39"/>
  <c r="B79" i="39"/>
  <c r="B80" i="39" s="1"/>
  <c r="I11" i="39" l="1"/>
  <c r="J8" i="39"/>
  <c r="P8" i="39" l="1"/>
  <c r="P11" i="39" s="1"/>
  <c r="P68" i="39" s="1"/>
  <c r="J11" i="39"/>
  <c r="W9" i="39" l="1"/>
  <c r="O55" i="39" s="1"/>
  <c r="P55" i="39" s="1"/>
  <c r="W8" i="39"/>
  <c r="P78" i="39"/>
  <c r="J68" i="39"/>
  <c r="O31" i="39" l="1"/>
  <c r="P31" i="39" s="1"/>
  <c r="W11" i="39"/>
  <c r="O34" i="39"/>
  <c r="P34" i="39" s="1"/>
  <c r="O29" i="39"/>
  <c r="P29" i="39" s="1"/>
  <c r="O38" i="39"/>
  <c r="P38" i="39" s="1"/>
  <c r="O56" i="39"/>
  <c r="P56" i="39" s="1"/>
  <c r="J78" i="39"/>
  <c r="F33" i="39" l="1"/>
  <c r="F35" i="39" l="1"/>
  <c r="F45" i="39" l="1"/>
  <c r="F49" i="39" l="1"/>
  <c r="J30" i="39" l="1"/>
  <c r="O30" i="39" l="1"/>
  <c r="P30" i="39" s="1"/>
  <c r="M30" i="39"/>
  <c r="J23" i="39"/>
  <c r="M23" i="39" s="1"/>
  <c r="O23" i="39" l="1"/>
  <c r="P23" i="39" s="1"/>
  <c r="I49" i="39"/>
  <c r="J28" i="39"/>
  <c r="O28" i="39" l="1"/>
  <c r="M28" i="39"/>
  <c r="P28" i="39" l="1"/>
  <c r="F24" i="39" l="1"/>
  <c r="F51" i="39" s="1"/>
  <c r="F53" i="39" l="1"/>
  <c r="F60" i="39" s="1"/>
  <c r="J16" i="39"/>
  <c r="O16" i="39" l="1"/>
  <c r="P16" i="39" s="1"/>
  <c r="M16" i="39"/>
  <c r="I18" i="39" l="1"/>
  <c r="J17" i="39" l="1"/>
  <c r="O17" i="39" l="1"/>
  <c r="M17" i="39"/>
  <c r="P17" i="39" l="1"/>
  <c r="I24" i="39" l="1"/>
  <c r="I51" i="39" l="1"/>
  <c r="B31" i="10" l="1"/>
  <c r="I53" i="39"/>
  <c r="B32" i="10" l="1"/>
  <c r="I60" i="39"/>
  <c r="C43" i="39" l="1"/>
  <c r="D43" i="39" s="1"/>
  <c r="G43" i="39" s="1"/>
  <c r="J43" i="39" s="1"/>
  <c r="C45" i="39"/>
  <c r="D45" i="39" s="1"/>
  <c r="G45" i="39" s="1"/>
  <c r="J45" i="39" s="1"/>
  <c r="D41" i="39"/>
  <c r="G41" i="39" s="1"/>
  <c r="J41" i="39" s="1"/>
  <c r="C44" i="39"/>
  <c r="D44" i="39" s="1"/>
  <c r="G44" i="39" s="1"/>
  <c r="J44" i="39" s="1"/>
  <c r="C42" i="39"/>
  <c r="D42" i="39" s="1"/>
  <c r="G42" i="39" s="1"/>
  <c r="J42" i="39" s="1"/>
  <c r="D33" i="39"/>
  <c r="G33" i="39" s="1"/>
  <c r="J33" i="39" s="1"/>
  <c r="C46" i="39"/>
  <c r="D46" i="39" s="1"/>
  <c r="G46" i="39" s="1"/>
  <c r="J46" i="39" s="1"/>
  <c r="C39" i="39"/>
  <c r="C47" i="39"/>
  <c r="D47" i="39" s="1"/>
  <c r="G47" i="39" s="1"/>
  <c r="J47" i="39" s="1"/>
  <c r="D48" i="39"/>
  <c r="G48" i="39" s="1"/>
  <c r="J48" i="39" s="1"/>
  <c r="C40" i="39"/>
  <c r="D40" i="39" s="1"/>
  <c r="G40" i="39" s="1"/>
  <c r="J40" i="39" s="1"/>
  <c r="C32" i="39"/>
  <c r="D32" i="39" s="1"/>
  <c r="G32" i="39" s="1"/>
  <c r="J32" i="39" s="1"/>
  <c r="M40" i="39" l="1"/>
  <c r="O40" i="39"/>
  <c r="P40" i="39" s="1"/>
  <c r="T47" i="39"/>
  <c r="O47" i="39"/>
  <c r="P47" i="39" s="1"/>
  <c r="M46" i="39"/>
  <c r="O46" i="39"/>
  <c r="P46" i="39" s="1"/>
  <c r="O42" i="39"/>
  <c r="P42" i="39" s="1"/>
  <c r="M41" i="39"/>
  <c r="O41" i="39"/>
  <c r="P41" i="39" s="1"/>
  <c r="M43" i="39"/>
  <c r="O43" i="39"/>
  <c r="P43" i="39" s="1"/>
  <c r="O32" i="39"/>
  <c r="P32" i="39" s="1"/>
  <c r="M32" i="39"/>
  <c r="M48" i="39"/>
  <c r="O48" i="39"/>
  <c r="P48" i="39" s="1"/>
  <c r="C49" i="39"/>
  <c r="D39" i="39"/>
  <c r="M33" i="39"/>
  <c r="O33" i="39"/>
  <c r="P33" i="39" s="1"/>
  <c r="M44" i="39"/>
  <c r="O44" i="39"/>
  <c r="P44" i="39" s="1"/>
  <c r="M45" i="39"/>
  <c r="O45" i="39"/>
  <c r="P45" i="39" s="1"/>
  <c r="D27" i="39"/>
  <c r="C35" i="39"/>
  <c r="D35" i="39" l="1"/>
  <c r="G27" i="39"/>
  <c r="G39" i="39"/>
  <c r="D49" i="39"/>
  <c r="J39" i="39" l="1"/>
  <c r="G49" i="39"/>
  <c r="J27" i="39"/>
  <c r="G35" i="39"/>
  <c r="T38" i="39" l="1"/>
  <c r="T40" i="39"/>
  <c r="T42" i="39"/>
  <c r="T43" i="39"/>
  <c r="T48" i="39"/>
  <c r="T44" i="39"/>
  <c r="T46" i="39"/>
  <c r="T41" i="39"/>
  <c r="T45" i="39"/>
  <c r="M27" i="39"/>
  <c r="M35" i="39" s="1"/>
  <c r="O27" i="39"/>
  <c r="J35" i="39"/>
  <c r="M39" i="39"/>
  <c r="O39" i="39"/>
  <c r="T39" i="39"/>
  <c r="T33" i="39" l="1"/>
  <c r="T28" i="39"/>
  <c r="T29" i="39"/>
  <c r="T30" i="39"/>
  <c r="T34" i="39"/>
  <c r="T31" i="39"/>
  <c r="T32" i="39"/>
  <c r="P39" i="39"/>
  <c r="P49" i="39" s="1"/>
  <c r="O49" i="39"/>
  <c r="T27" i="39"/>
  <c r="P27" i="39"/>
  <c r="P35" i="39" s="1"/>
  <c r="O35" i="39"/>
  <c r="C18" i="39" l="1"/>
  <c r="D15" i="39"/>
  <c r="G15" i="39" s="1"/>
  <c r="D21" i="39" l="1"/>
  <c r="G18" i="39"/>
  <c r="J15" i="39"/>
  <c r="D18" i="39"/>
  <c r="D22" i="39"/>
  <c r="G22" i="39" s="1"/>
  <c r="J22" i="39" s="1"/>
  <c r="C24" i="39" l="1"/>
  <c r="C51" i="39" s="1"/>
  <c r="C62" i="39" s="1"/>
  <c r="D24" i="39"/>
  <c r="D51" i="39" s="1"/>
  <c r="G21" i="39"/>
  <c r="O22" i="39"/>
  <c r="P22" i="39" s="1"/>
  <c r="M22" i="39"/>
  <c r="M15" i="39"/>
  <c r="M18" i="39" s="1"/>
  <c r="O15" i="39"/>
  <c r="O18" i="39" s="1"/>
  <c r="C53" i="39" l="1"/>
  <c r="C60" i="39" s="1"/>
  <c r="P15" i="39"/>
  <c r="P18" i="39" s="1"/>
  <c r="C67" i="39"/>
  <c r="C69" i="39" s="1"/>
  <c r="D67" i="39"/>
  <c r="D69" i="39" s="1"/>
  <c r="D71" i="39" s="1"/>
  <c r="D53" i="39"/>
  <c r="D60" i="39" s="1"/>
  <c r="D62" i="39"/>
  <c r="T16" i="39"/>
  <c r="T17" i="39"/>
  <c r="J21" i="39"/>
  <c r="G24" i="39"/>
  <c r="T15" i="39"/>
  <c r="M21" i="39" l="1"/>
  <c r="M24" i="39" s="1"/>
  <c r="O21" i="39"/>
  <c r="O24" i="39" s="1"/>
  <c r="O51" i="39" s="1"/>
  <c r="J51" i="39"/>
  <c r="G51" i="39"/>
  <c r="P21" i="39" l="1"/>
  <c r="P24" i="39" s="1"/>
  <c r="P51" i="39" s="1"/>
  <c r="P67" i="39" s="1"/>
  <c r="P69" i="39" s="1"/>
  <c r="P71" i="39" s="1"/>
  <c r="G53" i="39"/>
  <c r="G60" i="39" s="1"/>
  <c r="G67" i="39"/>
  <c r="G69" i="39" s="1"/>
  <c r="G71" i="39" s="1"/>
  <c r="G62" i="39"/>
  <c r="O67" i="39"/>
  <c r="O69" i="39" s="1"/>
  <c r="O53" i="39"/>
  <c r="J53" i="39"/>
  <c r="J60" i="39" s="1"/>
  <c r="J67" i="39"/>
  <c r="J69" i="39" s="1"/>
  <c r="J71" i="39" s="1"/>
  <c r="J74" i="39" s="1"/>
  <c r="J62" i="39"/>
  <c r="L8" i="39" l="1"/>
  <c r="M8" i="39" s="1"/>
  <c r="P53" i="39"/>
  <c r="P60" i="39" s="1"/>
  <c r="G75" i="39"/>
  <c r="G74" i="39"/>
  <c r="G79" i="39"/>
  <c r="G80" i="39" s="1"/>
  <c r="O60" i="39"/>
  <c r="R53" i="39"/>
  <c r="P74" i="39"/>
  <c r="R74" i="39" s="1"/>
  <c r="P75" i="39"/>
  <c r="R75" i="39" s="1"/>
  <c r="P79" i="39"/>
  <c r="P80" i="39" s="1"/>
  <c r="J75" i="39"/>
  <c r="J79" i="39"/>
  <c r="J80" i="39" s="1"/>
  <c r="O71" i="39"/>
  <c r="B30" i="81" s="1"/>
  <c r="C34" i="81" l="1"/>
  <c r="B6" i="81"/>
  <c r="D35" i="81"/>
  <c r="D11" i="81" s="1"/>
  <c r="D37" i="81"/>
  <c r="D13" i="81" s="1"/>
  <c r="C35" i="81"/>
  <c r="C11" i="81" s="1"/>
  <c r="C37" i="81"/>
  <c r="D36" i="81"/>
  <c r="D12" i="81" s="1"/>
  <c r="C36" i="81"/>
  <c r="C12" i="81" s="1"/>
  <c r="D34" i="81"/>
  <c r="D10" i="81" s="1"/>
  <c r="A30" i="81"/>
  <c r="B42" i="81"/>
  <c r="C44" i="81"/>
  <c r="C20" i="81" s="1"/>
  <c r="D47" i="81"/>
  <c r="D23" i="81" s="1"/>
  <c r="D46" i="81"/>
  <c r="D22" i="81" s="1"/>
  <c r="C47" i="81"/>
  <c r="C23" i="81" s="1"/>
  <c r="D45" i="81"/>
  <c r="D21" i="81" s="1"/>
  <c r="C46" i="81"/>
  <c r="C22" i="81" s="1"/>
  <c r="D44" i="81"/>
  <c r="D20" i="81" s="1"/>
  <c r="C45" i="81"/>
  <c r="C21" i="81" s="1"/>
  <c r="O79" i="39"/>
  <c r="O80" i="39" s="1"/>
  <c r="T53" i="39"/>
  <c r="C10" i="81" l="1"/>
  <c r="E37" i="81"/>
  <c r="C13" i="81"/>
  <c r="E13" i="81" s="1"/>
  <c r="B18" i="81"/>
  <c r="A6" i="81"/>
  <c r="A18" i="81" s="1"/>
  <c r="A42" i="81"/>
  <c r="F4" i="52"/>
  <c r="F6" i="52" s="1"/>
  <c r="L9" i="39" s="1"/>
  <c r="M9" i="39" l="1"/>
  <c r="M11" i="39" s="1"/>
  <c r="M68" i="39" s="1"/>
  <c r="L11" i="39"/>
  <c r="L47" i="39" l="1"/>
  <c r="M47" i="39" s="1"/>
  <c r="L42" i="39"/>
  <c r="M42" i="39" l="1"/>
  <c r="M49" i="39" s="1"/>
  <c r="M51" i="39" s="1"/>
  <c r="L49" i="39"/>
  <c r="L51" i="39" s="1"/>
  <c r="L53" i="39" s="1"/>
  <c r="L60" i="39" s="1"/>
  <c r="M67" i="39" l="1"/>
  <c r="M69" i="39" s="1"/>
  <c r="M71" i="39" s="1"/>
  <c r="M62" i="39"/>
  <c r="M53" i="39"/>
  <c r="M60" i="39" s="1"/>
</calcChain>
</file>

<file path=xl/comments1.xml><?xml version="1.0" encoding="utf-8"?>
<comments xmlns="http://schemas.openxmlformats.org/spreadsheetml/2006/main">
  <authors>
    <author>Mike Young</author>
    <author>Cindy</author>
  </authors>
  <commentList>
    <comment ref="C9" authorId="0" shapeId="0">
      <text>
        <r>
          <rPr>
            <b/>
            <sz val="9"/>
            <color indexed="81"/>
            <rFont val="Tahoma"/>
            <family val="2"/>
          </rPr>
          <t>Mike Young:</t>
        </r>
        <r>
          <rPr>
            <sz val="9"/>
            <color indexed="81"/>
            <rFont val="Tahoma"/>
            <family val="2"/>
          </rPr>
          <t xml:space="preserve">
mail contract
</t>
        </r>
      </text>
    </comment>
    <comment ref="C10" authorId="0" shapeId="0">
      <text>
        <r>
          <rPr>
            <b/>
            <sz val="9"/>
            <color indexed="81"/>
            <rFont val="Tahoma"/>
            <family val="2"/>
          </rPr>
          <t>Mike Young:</t>
        </r>
        <r>
          <rPr>
            <sz val="9"/>
            <color indexed="81"/>
            <rFont val="Tahoma"/>
            <family val="2"/>
          </rPr>
          <t xml:space="preserve">
includes charter revenue</t>
        </r>
      </text>
    </comment>
    <comment ref="C15" authorId="0" shapeId="0">
      <text>
        <r>
          <rPr>
            <b/>
            <sz val="9"/>
            <color indexed="81"/>
            <rFont val="Tahoma"/>
            <family val="2"/>
          </rPr>
          <t>Mike Young:</t>
        </r>
        <r>
          <rPr>
            <sz val="9"/>
            <color indexed="81"/>
            <rFont val="Tahoma"/>
            <family val="2"/>
          </rPr>
          <t xml:space="preserve">
per previous rate case (took out 20,000)
</t>
        </r>
        <r>
          <rPr>
            <b/>
            <sz val="9"/>
            <color indexed="81"/>
            <rFont val="Tahoma"/>
            <family val="2"/>
          </rPr>
          <t>Company Disagrees</t>
        </r>
        <r>
          <rPr>
            <sz val="9"/>
            <color indexed="81"/>
            <rFont val="Tahoma"/>
            <family val="2"/>
          </rPr>
          <t xml:space="preserve">
The officer wages have  been 100,000 since 2011.  Inflation alone equates that to 113,000 in 2019. </t>
        </r>
      </text>
    </comment>
    <comment ref="C16" authorId="0" shapeId="0">
      <text>
        <r>
          <rPr>
            <b/>
            <sz val="9"/>
            <color indexed="81"/>
            <rFont val="Tahoma"/>
            <family val="2"/>
          </rPr>
          <t>Mike Young:</t>
        </r>
        <r>
          <rPr>
            <sz val="9"/>
            <color indexed="81"/>
            <rFont val="Tahoma"/>
            <family val="2"/>
          </rPr>
          <t xml:space="preserve">
wages for food service@40%
and charters@100%
</t>
        </r>
        <r>
          <rPr>
            <b/>
            <sz val="9"/>
            <color indexed="81"/>
            <rFont val="Tahoma"/>
            <family val="2"/>
          </rPr>
          <t xml:space="preserve">Company disagrees with removing Food Service wages.
</t>
        </r>
        <r>
          <rPr>
            <sz val="9"/>
            <color indexed="81"/>
            <rFont val="Tahoma"/>
            <family val="2"/>
          </rPr>
          <t xml:space="preserve">
The Lady II license requires 3 crew.  The food service person fills that requirement and performs crew duties. As of 2019, we no longer have 2 food service workers as in the past.  We only have the 3 required crew. Company believes all Food/Crew person wages for the Lady II should be allowed.
The Lady Express license requires just 2 crew, but for crowd control, safety and freight handling the food service person is 3rd crew person.
They would be needed on board regardless of food service.
However, we are calculating 50% of LX Food/Crew wages  from the regulated expenses.</t>
        </r>
      </text>
    </comment>
    <comment ref="C27" authorId="1" shapeId="0">
      <text>
        <r>
          <rPr>
            <b/>
            <sz val="9"/>
            <color indexed="81"/>
            <rFont val="Tahoma"/>
            <family val="2"/>
          </rPr>
          <t>Cindy:</t>
        </r>
        <r>
          <rPr>
            <sz val="9"/>
            <color indexed="81"/>
            <rFont val="Tahoma"/>
            <family val="2"/>
          </rPr>
          <t xml:space="preserve">
Charter portion of line B27</t>
        </r>
      </text>
    </comment>
    <comment ref="C28" authorId="1" shapeId="0">
      <text>
        <r>
          <rPr>
            <b/>
            <sz val="9"/>
            <color indexed="81"/>
            <rFont val="Tahoma"/>
            <family val="2"/>
          </rPr>
          <t>Cindy:</t>
        </r>
        <r>
          <rPr>
            <sz val="9"/>
            <color indexed="81"/>
            <rFont val="Tahoma"/>
            <family val="2"/>
          </rPr>
          <t xml:space="preserve">
Charter portion of line B27</t>
        </r>
      </text>
    </comment>
    <comment ref="C30" authorId="0" shapeId="0">
      <text>
        <r>
          <rPr>
            <b/>
            <sz val="9"/>
            <color indexed="81"/>
            <rFont val="Tahoma"/>
            <family val="2"/>
          </rPr>
          <t>Mike Young:</t>
        </r>
        <r>
          <rPr>
            <sz val="9"/>
            <color indexed="81"/>
            <rFont val="Tahoma"/>
            <family val="2"/>
          </rPr>
          <t xml:space="preserve">
These fees associated with regulated activity only</t>
        </r>
      </text>
    </comment>
    <comment ref="C32" authorId="1" shapeId="0">
      <text>
        <r>
          <rPr>
            <b/>
            <sz val="9"/>
            <color indexed="81"/>
            <rFont val="Tahoma"/>
            <family val="2"/>
          </rPr>
          <t>Cindy:</t>
        </r>
        <r>
          <rPr>
            <sz val="9"/>
            <color indexed="81"/>
            <rFont val="Tahoma"/>
            <family val="2"/>
          </rPr>
          <t xml:space="preserve">
Charter portion of line B27</t>
        </r>
      </text>
    </comment>
    <comment ref="C33" authorId="1" shapeId="0">
      <text>
        <r>
          <rPr>
            <b/>
            <sz val="9"/>
            <color indexed="81"/>
            <rFont val="Tahoma"/>
            <family val="2"/>
          </rPr>
          <t>Cindy:</t>
        </r>
        <r>
          <rPr>
            <sz val="9"/>
            <color indexed="81"/>
            <rFont val="Tahoma"/>
            <family val="2"/>
          </rPr>
          <t xml:space="preserve">
Charter portion of line B27</t>
        </r>
      </text>
    </comment>
    <comment ref="C39" authorId="1" shapeId="0">
      <text>
        <r>
          <rPr>
            <b/>
            <sz val="9"/>
            <color indexed="81"/>
            <rFont val="Tahoma"/>
            <family val="2"/>
          </rPr>
          <t>Cindy:</t>
        </r>
        <r>
          <rPr>
            <sz val="9"/>
            <color indexed="81"/>
            <rFont val="Tahoma"/>
            <family val="2"/>
          </rPr>
          <t xml:space="preserve">
Charter portion of line B27</t>
        </r>
      </text>
    </comment>
    <comment ref="C40" authorId="1" shapeId="0">
      <text>
        <r>
          <rPr>
            <b/>
            <sz val="9"/>
            <color indexed="81"/>
            <rFont val="Tahoma"/>
            <family val="2"/>
          </rPr>
          <t>Cindy:</t>
        </r>
        <r>
          <rPr>
            <sz val="9"/>
            <color indexed="81"/>
            <rFont val="Tahoma"/>
            <family val="2"/>
          </rPr>
          <t xml:space="preserve">
Charter portion of line B27</t>
        </r>
      </text>
    </comment>
    <comment ref="C41" authorId="1" shapeId="0">
      <text>
        <r>
          <rPr>
            <b/>
            <sz val="9"/>
            <color indexed="81"/>
            <rFont val="Tahoma"/>
            <family val="2"/>
          </rPr>
          <t>Cindy:</t>
        </r>
        <r>
          <rPr>
            <sz val="9"/>
            <color indexed="81"/>
            <rFont val="Tahoma"/>
            <family val="2"/>
          </rPr>
          <t xml:space="preserve">
Charter portion of line B27</t>
        </r>
      </text>
    </comment>
    <comment ref="C42" authorId="1" shapeId="0">
      <text>
        <r>
          <rPr>
            <b/>
            <sz val="9"/>
            <color indexed="81"/>
            <rFont val="Tahoma"/>
            <family val="2"/>
          </rPr>
          <t>Cindy:</t>
        </r>
        <r>
          <rPr>
            <sz val="9"/>
            <color indexed="81"/>
            <rFont val="Tahoma"/>
            <family val="2"/>
          </rPr>
          <t xml:space="preserve">
Charter portion of line B27</t>
        </r>
      </text>
    </comment>
    <comment ref="A43" authorId="0" shapeId="0">
      <text>
        <r>
          <rPr>
            <b/>
            <sz val="9"/>
            <color indexed="81"/>
            <rFont val="Tahoma"/>
            <family val="2"/>
          </rPr>
          <t>Mike Young:</t>
        </r>
        <r>
          <rPr>
            <sz val="9"/>
            <color indexed="81"/>
            <rFont val="Tahoma"/>
            <family val="2"/>
          </rPr>
          <t xml:space="preserve">
Jack Raines office lease;
Office located at Darnell's-no office available on Boat
location</t>
        </r>
      </text>
    </comment>
    <comment ref="C43" authorId="1" shapeId="0">
      <text>
        <r>
          <rPr>
            <b/>
            <sz val="9"/>
            <color indexed="81"/>
            <rFont val="Tahoma"/>
            <family val="2"/>
          </rPr>
          <t>Cindy:</t>
        </r>
        <r>
          <rPr>
            <sz val="9"/>
            <color indexed="81"/>
            <rFont val="Tahoma"/>
            <family val="2"/>
          </rPr>
          <t xml:space="preserve">
Charter portion of line B27</t>
        </r>
      </text>
    </comment>
    <comment ref="C44" authorId="1" shapeId="0">
      <text>
        <r>
          <rPr>
            <b/>
            <sz val="9"/>
            <color indexed="81"/>
            <rFont val="Tahoma"/>
            <family val="2"/>
          </rPr>
          <t>Cindy:</t>
        </r>
        <r>
          <rPr>
            <sz val="9"/>
            <color indexed="81"/>
            <rFont val="Tahoma"/>
            <family val="2"/>
          </rPr>
          <t xml:space="preserve">
Charter portion of line B27</t>
        </r>
      </text>
    </comment>
    <comment ref="C45" authorId="1" shapeId="0">
      <text>
        <r>
          <rPr>
            <b/>
            <sz val="9"/>
            <color indexed="81"/>
            <rFont val="Tahoma"/>
            <family val="2"/>
          </rPr>
          <t>Cindy:</t>
        </r>
        <r>
          <rPr>
            <sz val="9"/>
            <color indexed="81"/>
            <rFont val="Tahoma"/>
            <family val="2"/>
          </rPr>
          <t xml:space="preserve">
Charter portion of line B27</t>
        </r>
      </text>
    </comment>
    <comment ref="C46" authorId="1" shapeId="0">
      <text>
        <r>
          <rPr>
            <b/>
            <sz val="9"/>
            <color indexed="81"/>
            <rFont val="Tahoma"/>
            <family val="2"/>
          </rPr>
          <t>Cindy:</t>
        </r>
        <r>
          <rPr>
            <sz val="9"/>
            <color indexed="81"/>
            <rFont val="Tahoma"/>
            <family val="2"/>
          </rPr>
          <t xml:space="preserve">
Charter portion of line B27</t>
        </r>
      </text>
    </comment>
    <comment ref="C47" authorId="1" shapeId="0">
      <text>
        <r>
          <rPr>
            <b/>
            <sz val="9"/>
            <color indexed="81"/>
            <rFont val="Tahoma"/>
            <family val="2"/>
          </rPr>
          <t>Cindy:</t>
        </r>
        <r>
          <rPr>
            <sz val="9"/>
            <color indexed="81"/>
            <rFont val="Tahoma"/>
            <family val="2"/>
          </rPr>
          <t xml:space="preserve">
Charter portion of line B27</t>
        </r>
      </text>
    </comment>
    <comment ref="C48" authorId="1" shapeId="0">
      <text>
        <r>
          <rPr>
            <b/>
            <sz val="9"/>
            <color indexed="81"/>
            <rFont val="Tahoma"/>
            <family val="2"/>
          </rPr>
          <t>Cindy:</t>
        </r>
        <r>
          <rPr>
            <sz val="9"/>
            <color indexed="81"/>
            <rFont val="Tahoma"/>
            <family val="2"/>
          </rPr>
          <t xml:space="preserve">
This number should not include a percentage of the credit card fees on Regulated Ticket Sales so the formula now takes that out before calculating fee relating to Charters.
</t>
        </r>
      </text>
    </comment>
  </commentList>
</comments>
</file>

<file path=xl/comments2.xml><?xml version="1.0" encoding="utf-8"?>
<comments xmlns="http://schemas.openxmlformats.org/spreadsheetml/2006/main">
  <authors>
    <author>Mike Young</author>
  </authors>
  <commentList>
    <comment ref="J47" authorId="0" shapeId="0">
      <text>
        <r>
          <rPr>
            <b/>
            <sz val="9"/>
            <color indexed="81"/>
            <rFont val="Tahoma"/>
            <family val="2"/>
          </rPr>
          <t>Mike Young:</t>
        </r>
        <r>
          <rPr>
            <sz val="9"/>
            <color indexed="81"/>
            <rFont val="Tahoma"/>
            <family val="2"/>
          </rPr>
          <t xml:space="preserve">
$243 was miscoded to LII charter wages per company</t>
        </r>
      </text>
    </comment>
  </commentList>
</comments>
</file>

<file path=xl/comments3.xml><?xml version="1.0" encoding="utf-8"?>
<comments xmlns="http://schemas.openxmlformats.org/spreadsheetml/2006/main">
  <authors>
    <author>Mike Young</author>
    <author>Christopher Mickelson</author>
  </authors>
  <commentList>
    <comment ref="B23" authorId="0" shapeId="0">
      <text>
        <r>
          <rPr>
            <b/>
            <sz val="9"/>
            <color indexed="81"/>
            <rFont val="Tahoma"/>
            <family val="2"/>
          </rPr>
          <t>Mike Young:</t>
        </r>
        <r>
          <rPr>
            <sz val="9"/>
            <color indexed="81"/>
            <rFont val="Tahoma"/>
            <family val="2"/>
          </rPr>
          <t xml:space="preserve">
per company this building was torn down years ago.</t>
        </r>
      </text>
    </comment>
    <comment ref="E24" authorId="1" shapeId="0">
      <text>
        <r>
          <rPr>
            <b/>
            <sz val="8"/>
            <color indexed="81"/>
            <rFont val="Tahoma"/>
            <family val="2"/>
          </rPr>
          <t>Christopher Mickelson:</t>
        </r>
        <r>
          <rPr>
            <sz val="8"/>
            <color indexed="81"/>
            <rFont val="Tahoma"/>
            <family val="2"/>
          </rPr>
          <t xml:space="preserve">
$11,079</t>
        </r>
      </text>
    </comment>
    <comment ref="E25" authorId="1" shapeId="0">
      <text>
        <r>
          <rPr>
            <b/>
            <sz val="8"/>
            <color indexed="81"/>
            <rFont val="Tahoma"/>
            <family val="2"/>
          </rPr>
          <t>Christopher Mickelson:</t>
        </r>
        <r>
          <rPr>
            <sz val="8"/>
            <color indexed="81"/>
            <rFont val="Tahoma"/>
            <family val="2"/>
          </rPr>
          <t xml:space="preserve">
$20,000</t>
        </r>
      </text>
    </comment>
    <comment ref="E30" authorId="1" shapeId="0">
      <text>
        <r>
          <rPr>
            <b/>
            <sz val="8"/>
            <color indexed="81"/>
            <rFont val="Tahoma"/>
            <family val="2"/>
          </rPr>
          <t>Christopher Mickelson:</t>
        </r>
        <r>
          <rPr>
            <sz val="8"/>
            <color indexed="81"/>
            <rFont val="Tahoma"/>
            <family val="2"/>
          </rPr>
          <t xml:space="preserve">
Not used and useful - was $668,632</t>
        </r>
      </text>
    </comment>
    <comment ref="E31" authorId="1" shapeId="0">
      <text>
        <r>
          <rPr>
            <b/>
            <sz val="8"/>
            <color indexed="81"/>
            <rFont val="Tahoma"/>
            <family val="2"/>
          </rPr>
          <t>Christopher Mickelson:</t>
        </r>
        <r>
          <rPr>
            <sz val="8"/>
            <color indexed="81"/>
            <rFont val="Tahoma"/>
            <family val="2"/>
          </rPr>
          <t xml:space="preserve">
Not used and useful - was $67,751</t>
        </r>
      </text>
    </comment>
    <comment ref="E32" authorId="1" shapeId="0">
      <text>
        <r>
          <rPr>
            <b/>
            <sz val="8"/>
            <color indexed="81"/>
            <rFont val="Tahoma"/>
            <family val="2"/>
          </rPr>
          <t>Christopher Mickelson:</t>
        </r>
        <r>
          <rPr>
            <sz val="8"/>
            <color indexed="81"/>
            <rFont val="Tahoma"/>
            <family val="2"/>
          </rPr>
          <t xml:space="preserve">
Not used and useful - was $9,998</t>
        </r>
      </text>
    </comment>
    <comment ref="G69" authorId="1" shapeId="0">
      <text>
        <r>
          <rPr>
            <b/>
            <sz val="8"/>
            <color indexed="81"/>
            <rFont val="Tahoma"/>
            <family val="2"/>
          </rPr>
          <t>Christopher Mickelson:</t>
        </r>
        <r>
          <rPr>
            <sz val="8"/>
            <color indexed="81"/>
            <rFont val="Tahoma"/>
            <family val="2"/>
          </rPr>
          <t xml:space="preserve">
extended life from rate case TS-070506, since it wasn't used much.</t>
        </r>
      </text>
    </comment>
    <comment ref="N129" authorId="0" shapeId="0">
      <text>
        <r>
          <rPr>
            <b/>
            <sz val="9"/>
            <color indexed="81"/>
            <rFont val="Tahoma"/>
            <family val="2"/>
          </rPr>
          <t>Mike Young:</t>
        </r>
        <r>
          <rPr>
            <sz val="9"/>
            <color indexed="81"/>
            <rFont val="Tahoma"/>
            <family val="2"/>
          </rPr>
          <t xml:space="preserve">
exclude L Cat and Little Lady: not used and useful</t>
        </r>
      </text>
    </comment>
  </commentList>
</comments>
</file>

<file path=xl/sharedStrings.xml><?xml version="1.0" encoding="utf-8"?>
<sst xmlns="http://schemas.openxmlformats.org/spreadsheetml/2006/main" count="1578" uniqueCount="911">
  <si>
    <t>Operating Revenues</t>
  </si>
  <si>
    <t>Passenger</t>
  </si>
  <si>
    <t>Freight</t>
  </si>
  <si>
    <t>Total Revenue</t>
  </si>
  <si>
    <t>Operating Expenses</t>
  </si>
  <si>
    <t>Direct Payroll</t>
  </si>
  <si>
    <t>Officers, Owners &amp; Spouses</t>
  </si>
  <si>
    <t>Crew (Full &amp; Part Time)</t>
  </si>
  <si>
    <t>Other</t>
  </si>
  <si>
    <t>Total Payroll</t>
  </si>
  <si>
    <t>Fringe Benefits</t>
  </si>
  <si>
    <t>Employee Benefits</t>
  </si>
  <si>
    <t xml:space="preserve">Payroll Taxes </t>
  </si>
  <si>
    <t>Total Fringe Benefits</t>
  </si>
  <si>
    <t>Transportation</t>
  </si>
  <si>
    <t>Vessel Repair &amp; Maintenance</t>
  </si>
  <si>
    <t>Fuel &amp; Oil</t>
  </si>
  <si>
    <t>Stores, Supplies &amp; Equipment</t>
  </si>
  <si>
    <t>Port, Warfage, &amp; Dockage</t>
  </si>
  <si>
    <t>COGS-Food/Souv.</t>
  </si>
  <si>
    <t>Vessel Insurance</t>
  </si>
  <si>
    <t>Vessel Depreciation</t>
  </si>
  <si>
    <t>Total Transportation</t>
  </si>
  <si>
    <t>General</t>
  </si>
  <si>
    <t>Office Supplies &amp; Postage</t>
  </si>
  <si>
    <t>Legal &amp; Accounting</t>
  </si>
  <si>
    <t>Utilities &amp; Communication</t>
  </si>
  <si>
    <t>Traffic &amp; Advertising</t>
  </si>
  <si>
    <t>Agency Fees &amp; Commissions</t>
  </si>
  <si>
    <t>Operating Rents (Other than Vessel)</t>
  </si>
  <si>
    <t>Insurance (Other than Vessel)</t>
  </si>
  <si>
    <t>Property Taxes (R.E., P.P. &amp; Wtrcrft)</t>
  </si>
  <si>
    <t>Business Taxes</t>
  </si>
  <si>
    <t>Total General</t>
  </si>
  <si>
    <t xml:space="preserve">Total Operating Expenses </t>
  </si>
  <si>
    <t>Net Operating Income</t>
  </si>
  <si>
    <t>Other Income</t>
  </si>
  <si>
    <t>Interest Expense</t>
  </si>
  <si>
    <t>Other Deductions</t>
  </si>
  <si>
    <t>Federal Income Taxes</t>
  </si>
  <si>
    <t xml:space="preserve">Net Income </t>
  </si>
  <si>
    <t>(1)</t>
  </si>
  <si>
    <t>Other - General Repairs, CC Discount</t>
  </si>
  <si>
    <t>(2)</t>
  </si>
  <si>
    <t>Total</t>
  </si>
  <si>
    <t/>
  </si>
  <si>
    <t>Straight-Line Depreciation Schedule</t>
  </si>
  <si>
    <t>First Year</t>
  </si>
  <si>
    <t>Second Year</t>
  </si>
  <si>
    <t>Mo</t>
  </si>
  <si>
    <t>Yr</t>
  </si>
  <si>
    <t>Asset Description</t>
  </si>
  <si>
    <t>Date in Service</t>
  </si>
  <si>
    <t>Original Asset Cost</t>
  </si>
  <si>
    <t>Salvage Value</t>
  </si>
  <si>
    <t>Service Life</t>
  </si>
  <si>
    <t>Fully Depreciated</t>
  </si>
  <si>
    <t>Depreciable Cost</t>
  </si>
  <si>
    <t>Test Year Depreciation</t>
  </si>
  <si>
    <t>Accumulated Depreciation</t>
  </si>
  <si>
    <t>Average Investment</t>
  </si>
  <si>
    <t>Asset Disposal</t>
  </si>
  <si>
    <t>List</t>
  </si>
  <si>
    <t>$</t>
  </si>
  <si>
    <t>%</t>
  </si>
  <si>
    <t>Yrs</t>
  </si>
  <si>
    <t>Monthly</t>
  </si>
  <si>
    <t>Yearly</t>
  </si>
  <si>
    <t>Beginning</t>
  </si>
  <si>
    <t>Ending</t>
  </si>
  <si>
    <t xml:space="preserve"> Mo.</t>
  </si>
  <si>
    <t xml:space="preserve">  Yr.</t>
  </si>
  <si>
    <t>Total Other Buildings</t>
  </si>
  <si>
    <t>Office Equipment</t>
  </si>
  <si>
    <t>Total Office Equipment</t>
  </si>
  <si>
    <t>Total Assets</t>
  </si>
  <si>
    <t>Office &amp; Shop</t>
  </si>
  <si>
    <t>Office Improvements</t>
  </si>
  <si>
    <t>Shop Steel Doors</t>
  </si>
  <si>
    <t>Docks</t>
  </si>
  <si>
    <t>Total Docks</t>
  </si>
  <si>
    <t>Concrete Ways Car</t>
  </si>
  <si>
    <t>Steel Floating Dock</t>
  </si>
  <si>
    <t>Floating Dock</t>
  </si>
  <si>
    <t>Piling Main Dock</t>
  </si>
  <si>
    <t>Total Floating Equipment (Lady Cat)</t>
  </si>
  <si>
    <t>Floating Equipment (Lady II)</t>
  </si>
  <si>
    <t>Total Floating Equipment (Lady II)</t>
  </si>
  <si>
    <t>Floating Equipment (Lady Express)</t>
  </si>
  <si>
    <t>Total Floating Equipment (Lady Express)</t>
  </si>
  <si>
    <t>Lady Express</t>
  </si>
  <si>
    <t>Radios</t>
  </si>
  <si>
    <t>Life Jackets</t>
  </si>
  <si>
    <t>Service Vehicles</t>
  </si>
  <si>
    <t>Total Service Vehicles</t>
  </si>
  <si>
    <t>Silver Nissan Pickup</t>
  </si>
  <si>
    <t>Radio Phone System</t>
  </si>
  <si>
    <t>Laser Printer</t>
  </si>
  <si>
    <t>Ice Machine</t>
  </si>
  <si>
    <t>Shop Equipment</t>
  </si>
  <si>
    <t>Total Shop Equipment</t>
  </si>
  <si>
    <t>Prop Puller</t>
  </si>
  <si>
    <t>Ways Car</t>
  </si>
  <si>
    <t>Welder Add On</t>
  </si>
  <si>
    <t>Ways Car Additions</t>
  </si>
  <si>
    <t>Total Floating Equipment (Little Lady)</t>
  </si>
  <si>
    <t>Thunderjet Boat</t>
  </si>
  <si>
    <t>Total Floating Equipment (Bayliner)</t>
  </si>
  <si>
    <t>Floating Equipment (Barge)</t>
  </si>
  <si>
    <t>Total Floating Equipment (Barge)</t>
  </si>
  <si>
    <t>32 Adult Life Jackets</t>
  </si>
  <si>
    <t>Allen Stone-Barge</t>
  </si>
  <si>
    <t>Barge Loading Ramp</t>
  </si>
  <si>
    <t>Vessel Depn</t>
  </si>
  <si>
    <t>Non Vessel Depn</t>
  </si>
  <si>
    <t>Restated Results</t>
  </si>
  <si>
    <t>Proforma Adjustment</t>
  </si>
  <si>
    <t>Restating Adjustment</t>
  </si>
  <si>
    <t>Proforma Proposed</t>
  </si>
  <si>
    <t>Loading Dock Improvments</t>
  </si>
  <si>
    <t>Warehouse Bldg Improvements</t>
  </si>
  <si>
    <t>Warehouse Rain Gutters</t>
  </si>
  <si>
    <t>Concrete walkways</t>
  </si>
  <si>
    <t>Warehouse Roll Doors</t>
  </si>
  <si>
    <t>Warehouse office carpet</t>
  </si>
  <si>
    <t>Warehouse lighting</t>
  </si>
  <si>
    <t>Main Building Remodel</t>
  </si>
  <si>
    <t>Main Building Rain Gutters</t>
  </si>
  <si>
    <t>New Furnace for Shop Building</t>
  </si>
  <si>
    <t>2003 Ford F350</t>
  </si>
  <si>
    <t>Additional to F350-added in 1/03</t>
  </si>
  <si>
    <t>2003 Ford F350-addition</t>
  </si>
  <si>
    <t>2001 Ford 250-White freight truck</t>
  </si>
  <si>
    <t>2001 Ford - added flatbed</t>
  </si>
  <si>
    <t xml:space="preserve">Lady Cat </t>
  </si>
  <si>
    <t>Extra Engine - Lady Cat</t>
  </si>
  <si>
    <t>Lady Cat Improvements</t>
  </si>
  <si>
    <t>Foam Insulation - Lady Cat</t>
  </si>
  <si>
    <t>Prop - L-Cat</t>
  </si>
  <si>
    <t>Engine Rebuild WNW0020936</t>
  </si>
  <si>
    <t>Lady of the Lake II</t>
  </si>
  <si>
    <t>Improvements - Lady II</t>
  </si>
  <si>
    <t>Remodel - Lady II</t>
  </si>
  <si>
    <t>Pumps - Lady II</t>
  </si>
  <si>
    <t>Carpet - Lady II</t>
  </si>
  <si>
    <t>Prop - L-II</t>
  </si>
  <si>
    <t>Perkins Engine - Lady II</t>
  </si>
  <si>
    <t>Toilets - 4 - Lady II</t>
  </si>
  <si>
    <t xml:space="preserve">Hatch </t>
  </si>
  <si>
    <t>Shafts - Lady II</t>
  </si>
  <si>
    <t>LX Carpet</t>
  </si>
  <si>
    <t>LX Fire Suppression System-Engine Rm</t>
  </si>
  <si>
    <t>20KW Perkins Gen Set - LX</t>
  </si>
  <si>
    <t>New Seating - inside cabin</t>
  </si>
  <si>
    <t>Canopy - Lady Exp.</t>
  </si>
  <si>
    <t>Heating - Lady Exp.</t>
  </si>
  <si>
    <t>Stainless Steel Prop - Lady Exp.</t>
  </si>
  <si>
    <t>Trim Tabs - Lady Exp.</t>
  </si>
  <si>
    <t>Genset Mounts - L Exp</t>
  </si>
  <si>
    <t>Prop &amp; Shaft - Lady Exp.</t>
  </si>
  <si>
    <t>Toilets - 2 - Lady Exp</t>
  </si>
  <si>
    <t>Carpet - Upper Cabin</t>
  </si>
  <si>
    <t>Gen Set - Lady Exp. (put in Lady II)</t>
  </si>
  <si>
    <t>Engine Room Insullation - Lady Exp.</t>
  </si>
  <si>
    <t>LX Catepillar Engine 2nd - Rebate</t>
  </si>
  <si>
    <t>15 KQ Perkins Diesel Gen-Set L-X</t>
  </si>
  <si>
    <t>Welder</t>
  </si>
  <si>
    <t>Fuel Pump</t>
  </si>
  <si>
    <t>Parts Washer</t>
  </si>
  <si>
    <t>Air Compressor</t>
  </si>
  <si>
    <t>Plasma Cutter</t>
  </si>
  <si>
    <t xml:space="preserve">Forklift </t>
  </si>
  <si>
    <t>Fox Tiltbed Trailer</t>
  </si>
  <si>
    <t>Snow Plow Blade for Truck</t>
  </si>
  <si>
    <t>File Cabinet</t>
  </si>
  <si>
    <t>Freezer</t>
  </si>
  <si>
    <t>Room Divider</t>
  </si>
  <si>
    <t>Desks - Accounting Office</t>
  </si>
  <si>
    <t>Copier Mita - Admin Office</t>
  </si>
  <si>
    <t>Telephone System - Front Office</t>
  </si>
  <si>
    <t>3 Dell Computers-Acctg, 2 LCBC office</t>
  </si>
  <si>
    <t>1 Dell Computer-Acctg</t>
  </si>
  <si>
    <t>HP LaserJet 2840-Cindy printer</t>
  </si>
  <si>
    <t>Room Dividers</t>
  </si>
  <si>
    <t>2 ticket printers</t>
  </si>
  <si>
    <t>Ticketing software</t>
  </si>
  <si>
    <t>2 CC receipt printers</t>
  </si>
  <si>
    <t>Purser Laptop for ticket sales</t>
  </si>
  <si>
    <t>Security Survelience Camera System</t>
  </si>
  <si>
    <t>File Server Computer</t>
  </si>
  <si>
    <t>January</t>
  </si>
  <si>
    <t>February</t>
  </si>
  <si>
    <t>March</t>
  </si>
  <si>
    <t>April</t>
  </si>
  <si>
    <t>May</t>
  </si>
  <si>
    <t>June</t>
  </si>
  <si>
    <t>July</t>
  </si>
  <si>
    <t>August</t>
  </si>
  <si>
    <t>September</t>
  </si>
  <si>
    <t>October</t>
  </si>
  <si>
    <t>November</t>
  </si>
  <si>
    <t>December</t>
  </si>
  <si>
    <t>Year</t>
  </si>
  <si>
    <t>Percentage</t>
  </si>
  <si>
    <t>% of Payroll</t>
  </si>
  <si>
    <t>Methods</t>
  </si>
  <si>
    <t>Revenue/Actual</t>
  </si>
  <si>
    <t>Actual</t>
  </si>
  <si>
    <t>Payroll %</t>
  </si>
  <si>
    <t>Revenue</t>
  </si>
  <si>
    <t xml:space="preserve">Revenue </t>
  </si>
  <si>
    <t>1995 Nissan Pickup - Food</t>
  </si>
  <si>
    <t>A.</t>
  </si>
  <si>
    <t>Purchase date</t>
  </si>
  <si>
    <t>B.</t>
  </si>
  <si>
    <t>End of Test Period</t>
  </si>
  <si>
    <t>C</t>
  </si>
  <si>
    <t>Date fully Depr</t>
  </si>
  <si>
    <t>D.</t>
  </si>
  <si>
    <t>Beg of Test Period</t>
  </si>
  <si>
    <t>Allocated</t>
  </si>
  <si>
    <t>E.</t>
  </si>
  <si>
    <t>Disposition Date</t>
  </si>
  <si>
    <t>Disposal</t>
  </si>
  <si>
    <t>Accumulated</t>
  </si>
  <si>
    <t>Branch</t>
  </si>
  <si>
    <t>Accum.</t>
  </si>
  <si>
    <t>Test year</t>
  </si>
  <si>
    <t>Test yr.</t>
  </si>
  <si>
    <t>Depreciation</t>
  </si>
  <si>
    <t>Allo.</t>
  </si>
  <si>
    <t>Depr.</t>
  </si>
  <si>
    <t>Depn</t>
  </si>
  <si>
    <t>Depn.</t>
  </si>
  <si>
    <t>01/01/1999</t>
  </si>
  <si>
    <t>B</t>
  </si>
  <si>
    <t>C.</t>
  </si>
  <si>
    <t>Buildings</t>
  </si>
  <si>
    <t>Total Buildings</t>
  </si>
  <si>
    <t>Gallons</t>
  </si>
  <si>
    <t>Passenger Count</t>
  </si>
  <si>
    <t>12 Month Test Period</t>
  </si>
  <si>
    <t>Passengers Count</t>
  </si>
  <si>
    <t>Average</t>
  </si>
  <si>
    <t>Lucerne</t>
  </si>
  <si>
    <t>Stehekin</t>
  </si>
  <si>
    <t>Freight Results</t>
  </si>
  <si>
    <t>Passenger Results</t>
  </si>
  <si>
    <t>2012 P&amp;L Company</t>
  </si>
  <si>
    <t xml:space="preserve">Take out </t>
  </si>
  <si>
    <t>Known</t>
  </si>
  <si>
    <t>Changes</t>
  </si>
  <si>
    <t xml:space="preserve">Way we have known to calculate </t>
  </si>
  <si>
    <t>Total Expenses divided by .93 = allowed income</t>
  </si>
  <si>
    <t>Income on Proforma</t>
  </si>
  <si>
    <t>Basic Round trip rates</t>
  </si>
  <si>
    <t>Lady II Summer or Lady Express Off-season</t>
  </si>
  <si>
    <t>Lady Express Summer Season</t>
  </si>
  <si>
    <t>Double-Check</t>
  </si>
  <si>
    <t>Times %</t>
  </si>
  <si>
    <t>Restated</t>
  </si>
  <si>
    <t>Proforma</t>
  </si>
  <si>
    <t>Total $ of</t>
  </si>
  <si>
    <t>Price</t>
  </si>
  <si>
    <t>Invoice</t>
  </si>
  <si>
    <t>per Gallon</t>
  </si>
  <si>
    <t>Average price per gallon</t>
  </si>
  <si>
    <t>(3)</t>
  </si>
  <si>
    <t>Increase for R/T</t>
  </si>
  <si>
    <t>Lady II - SUMMER  &amp; Lady Express - WINTER/SPRING</t>
  </si>
  <si>
    <t>Calculate Rates at % Increase of Rate Case</t>
  </si>
  <si>
    <t>Adult Rates - Children 2 - 11 Half Fare, Children under 2 Free</t>
  </si>
  <si>
    <t>Chelan</t>
  </si>
  <si>
    <t>Manson</t>
  </si>
  <si>
    <t>Field's Pt</t>
  </si>
  <si>
    <t>Gold Crk</t>
  </si>
  <si>
    <t>Deer Pt</t>
  </si>
  <si>
    <t>Canoe Crk</t>
  </si>
  <si>
    <t>Prince Crk</t>
  </si>
  <si>
    <t>Meadow Crk</t>
  </si>
  <si>
    <t>Moore Pt.</t>
  </si>
  <si>
    <t>One Way</t>
  </si>
  <si>
    <t>Main Ports</t>
  </si>
  <si>
    <t>Round Trip</t>
  </si>
  <si>
    <t>All other Stops are Flag Stops</t>
  </si>
  <si>
    <t>Gold Creek</t>
  </si>
  <si>
    <t>Deer Point</t>
  </si>
  <si>
    <t>Moore Pt</t>
  </si>
  <si>
    <t>Commuter Rates:</t>
  </si>
  <si>
    <t>Book</t>
  </si>
  <si>
    <t>Ticket</t>
  </si>
  <si>
    <t>Commuter all boats: Based on 5 R/T's</t>
  </si>
  <si>
    <t>CHE/FP to STE</t>
  </si>
  <si>
    <t>divided by 10 O/W's</t>
  </si>
  <si>
    <t>CHE/FP to LUC</t>
  </si>
  <si>
    <t>LUC to STE</t>
  </si>
  <si>
    <r>
      <t xml:space="preserve">Lady Express - SUMMER </t>
    </r>
    <r>
      <rPr>
        <b/>
        <sz val="12"/>
        <rFont val="Arial"/>
        <family val="2"/>
      </rPr>
      <t>(June-Sept)</t>
    </r>
  </si>
  <si>
    <t>N.A.</t>
  </si>
  <si>
    <t>Difference</t>
  </si>
  <si>
    <t>Other - Food Service, Souvenirs</t>
  </si>
  <si>
    <t>Office Carpet</t>
  </si>
  <si>
    <t>Office Glass Door</t>
  </si>
  <si>
    <t>Insulation for Office</t>
  </si>
  <si>
    <t>Office Remodel Building</t>
  </si>
  <si>
    <t>Lady II New Seating</t>
  </si>
  <si>
    <t>Food Cooler-LII</t>
  </si>
  <si>
    <t>LX rebuild top engine WNW00036836</t>
  </si>
  <si>
    <t>LX rebuild top engine WNW00037322</t>
  </si>
  <si>
    <t>Fuel Tank Monitor/improvements</t>
  </si>
  <si>
    <t>Ticket printer for pursing station</t>
  </si>
  <si>
    <t>Dell Computer</t>
  </si>
  <si>
    <t>Ipad</t>
  </si>
  <si>
    <t>Luggage Carts</t>
  </si>
  <si>
    <t>Computer for Server</t>
  </si>
  <si>
    <t>Security Survelience Camera Systems</t>
  </si>
  <si>
    <t>Reception Desk</t>
  </si>
  <si>
    <t>Hypercom Credit Card Machines -2</t>
  </si>
  <si>
    <t>ours</t>
  </si>
  <si>
    <t>Adjust</t>
  </si>
  <si>
    <t>L-Cat &amp; Fuel Surcharge</t>
  </si>
  <si>
    <t>% of</t>
  </si>
  <si>
    <t xml:space="preserve">% of </t>
  </si>
  <si>
    <t>2013 Pro Forma Income Statement - in WUTC Annual Report  Format</t>
  </si>
  <si>
    <t>(A)</t>
  </si>
  <si>
    <t>Wages-Rep/Maint - L-Cat</t>
  </si>
  <si>
    <t>Fuel - L-Cat</t>
  </si>
  <si>
    <t>Rep &amp; Maint - L-Cat</t>
  </si>
  <si>
    <t>Insurance - L-Cat</t>
  </si>
  <si>
    <t>Lic/Insp - L-Cat</t>
  </si>
  <si>
    <t>Wtrcrft Prop Tax - L-Cat</t>
  </si>
  <si>
    <t xml:space="preserve">Income on Proforma  </t>
  </si>
  <si>
    <t>TOTAL</t>
  </si>
  <si>
    <t>Income</t>
  </si>
  <si>
    <t>Runs</t>
  </si>
  <si>
    <t>Lady II</t>
  </si>
  <si>
    <t>Both Boats</t>
  </si>
  <si>
    <t>Hours</t>
  </si>
  <si>
    <t>Lady Express Only</t>
  </si>
  <si>
    <t>Lady of the Lake II Only</t>
  </si>
  <si>
    <t xml:space="preserve"> LX</t>
  </si>
  <si>
    <t>LX</t>
  </si>
  <si>
    <t xml:space="preserve"> LII</t>
  </si>
  <si>
    <t>S</t>
  </si>
  <si>
    <t>M</t>
  </si>
  <si>
    <t>T</t>
  </si>
  <si>
    <t>W</t>
  </si>
  <si>
    <t>F</t>
  </si>
  <si>
    <t>TOTAL Runs</t>
  </si>
  <si>
    <t>Freight/Shipping Charges</t>
  </si>
  <si>
    <t>USPS</t>
  </si>
  <si>
    <t>Fed Ex</t>
  </si>
  <si>
    <t>UPS</t>
  </si>
  <si>
    <t>WPX</t>
  </si>
  <si>
    <t>Barge</t>
  </si>
  <si>
    <t>Brett &amp; Son</t>
  </si>
  <si>
    <t>25lb Box Size (30x16x12) CHE-STE</t>
  </si>
  <si>
    <t>25lb Box Size (30x16x12) CHE-WEN</t>
  </si>
  <si>
    <t>50lbs Box Size (30x16x12) CHE-STE</t>
  </si>
  <si>
    <t>50lbs Box Size (30x16x12) CHE-WEN</t>
  </si>
  <si>
    <t>Average cost per lb (up to 50 lbs)</t>
  </si>
  <si>
    <t>75lbs Box Size (30x16x12) CHE-STE</t>
  </si>
  <si>
    <t>-</t>
  </si>
  <si>
    <t>75lbs Box Size (30x16x12) CHE-WEN</t>
  </si>
  <si>
    <t>Average cost per lb (75 lbs)</t>
  </si>
  <si>
    <t>*no item over 70 lbs</t>
  </si>
  <si>
    <t>charge per square foot</t>
  </si>
  <si>
    <t>Increase</t>
  </si>
  <si>
    <t>2012</t>
  </si>
  <si>
    <t>Psngr Current Rates</t>
  </si>
  <si>
    <t>% Increase to recover income allowed</t>
  </si>
  <si>
    <r>
      <t xml:space="preserve">US Mail Contract - </t>
    </r>
    <r>
      <rPr>
        <b/>
        <sz val="10"/>
        <rFont val="Arial"/>
        <family val="2"/>
      </rPr>
      <t>set by USPS</t>
    </r>
  </si>
  <si>
    <t>Test Year 2012</t>
  </si>
  <si>
    <t>Date</t>
  </si>
  <si>
    <t>Bank Charges</t>
  </si>
  <si>
    <t>Bank Card Discount</t>
  </si>
  <si>
    <t>Passenger Fares - LII</t>
  </si>
  <si>
    <t>Passenger Fares - L-Exp Winter</t>
  </si>
  <si>
    <t>Passenger Fares-LX Summer</t>
  </si>
  <si>
    <t>Fuel Surcharge LX</t>
  </si>
  <si>
    <t>Fuel Surcharge LII</t>
  </si>
  <si>
    <t>Freight - LII</t>
  </si>
  <si>
    <t>Freight - L-Exp</t>
  </si>
  <si>
    <t>Mail Contract - LII</t>
  </si>
  <si>
    <t>Mail Contract - L-Exp</t>
  </si>
  <si>
    <t>Food - LII</t>
  </si>
  <si>
    <t>Food - L-Exp</t>
  </si>
  <si>
    <t>Beer &amp; Wine - LII</t>
  </si>
  <si>
    <t>Souvenirs Sold - Boat Office</t>
  </si>
  <si>
    <t>Souvenirs Sold - LII &amp; LX</t>
  </si>
  <si>
    <t>Charter - LII</t>
  </si>
  <si>
    <t>Charter - L-Exp</t>
  </si>
  <si>
    <t>Ticketing Service for C.P.,LLC</t>
  </si>
  <si>
    <t>Interest Income</t>
  </si>
  <si>
    <t>Finance Charge Income</t>
  </si>
  <si>
    <t>Radio Telephone Service</t>
  </si>
  <si>
    <t>Cash Over / (Short)</t>
  </si>
  <si>
    <t>Wages-Pilots/Crew - LII</t>
  </si>
  <si>
    <t>Wages-Pilots/Crew - L-Exp</t>
  </si>
  <si>
    <t>Wages-Rep/Maint - LII</t>
  </si>
  <si>
    <t>Wages-Rep/Maint - L-Exp</t>
  </si>
  <si>
    <t>Wages-Rep/Maint - Barge</t>
  </si>
  <si>
    <t>Wages-Purser</t>
  </si>
  <si>
    <t>Wages-Chrtr Crew - LII</t>
  </si>
  <si>
    <t>Wages-Chrtr Crew - L-Exp</t>
  </si>
  <si>
    <t>Wages-Cleaning - LII</t>
  </si>
  <si>
    <t>Wages-Cleaning - L-Exp</t>
  </si>
  <si>
    <t>Wages-Dock/Grounds</t>
  </si>
  <si>
    <t>Wages-Tour/Group</t>
  </si>
  <si>
    <t>Wages-Charter Dept.</t>
  </si>
  <si>
    <t>Wages-Accounting</t>
  </si>
  <si>
    <t>Wages-Management</t>
  </si>
  <si>
    <t>Wages-Officer Salary</t>
  </si>
  <si>
    <t>Travel Reimbursement</t>
  </si>
  <si>
    <t>Health/Life Ins - Admin.</t>
  </si>
  <si>
    <t>Health/Life Ins - Oper.</t>
  </si>
  <si>
    <t>Health/Life Ins - Officer</t>
  </si>
  <si>
    <t>FICA Tax - Employer</t>
  </si>
  <si>
    <t>SUTA Tax</t>
  </si>
  <si>
    <t>FUTA Tax</t>
  </si>
  <si>
    <t>L &amp; I Insurance</t>
  </si>
  <si>
    <t>Personnel Expense</t>
  </si>
  <si>
    <t>COGS - Food</t>
  </si>
  <si>
    <t>COGS - Beer</t>
  </si>
  <si>
    <t>COGS - Wine</t>
  </si>
  <si>
    <t>COGS - Souvenirs</t>
  </si>
  <si>
    <t>Fuel - LII</t>
  </si>
  <si>
    <t>Fuel - L-Exp</t>
  </si>
  <si>
    <t>Fuel - Barge</t>
  </si>
  <si>
    <t>Fuel - Oil &amp; Supplies</t>
  </si>
  <si>
    <t>Fuel - Vehicles &amp; Equipment</t>
  </si>
  <si>
    <t>Rep &amp; Maint - LII</t>
  </si>
  <si>
    <t>Rep &amp; Maint - L-Exp</t>
  </si>
  <si>
    <t>Rep &amp; Maint - Barge</t>
  </si>
  <si>
    <t>Rep &amp; Maint - Dock/Grounds</t>
  </si>
  <si>
    <t>Rep &amp; Maint - Bldgs/Offices</t>
  </si>
  <si>
    <t>Rep &amp; Maint - Vehicles</t>
  </si>
  <si>
    <t>Rep &amp; Maint - Equipment</t>
  </si>
  <si>
    <t>R &amp; M - Computers &amp; Supplies</t>
  </si>
  <si>
    <t>Supplies - LII</t>
  </si>
  <si>
    <t>Supplies - L-Exp</t>
  </si>
  <si>
    <t>Supplies - Barge</t>
  </si>
  <si>
    <t>Supplies - Shop &amp; Small Tools</t>
  </si>
  <si>
    <t>Supplies - Charter</t>
  </si>
  <si>
    <t>Supplies - Cleaning</t>
  </si>
  <si>
    <t>Office Supplies</t>
  </si>
  <si>
    <t>Postage</t>
  </si>
  <si>
    <t>Memberships/Subscriptions</t>
  </si>
  <si>
    <t>Uniforms - Crew</t>
  </si>
  <si>
    <t>Insurance - LII</t>
  </si>
  <si>
    <t>Insurance - L-Exp</t>
  </si>
  <si>
    <t>Insurance - Barge</t>
  </si>
  <si>
    <t>Insurance - Dock/Bldg/Liab</t>
  </si>
  <si>
    <t>Insurance - Employee Liability</t>
  </si>
  <si>
    <t>Lease - Admin Office</t>
  </si>
  <si>
    <t>Lease - DNR Land</t>
  </si>
  <si>
    <t>NPS Commercial Use Fee</t>
  </si>
  <si>
    <t>Lease - FP/Luc Dock</t>
  </si>
  <si>
    <t>Lic/Insp - LII</t>
  </si>
  <si>
    <t>Lic/Insp - L-Exp</t>
  </si>
  <si>
    <t>Lic/Insp - Barge</t>
  </si>
  <si>
    <t>License &amp; Permits</t>
  </si>
  <si>
    <t>WUTC Fee</t>
  </si>
  <si>
    <t>Depreciation - Buildings</t>
  </si>
  <si>
    <t>Depreciation - Docks</t>
  </si>
  <si>
    <t>Depreciation - L-Cat</t>
  </si>
  <si>
    <t>Depreciation - LII</t>
  </si>
  <si>
    <t>Depreciation - L-Exp</t>
  </si>
  <si>
    <t>Depreciation - Barge</t>
  </si>
  <si>
    <t>Depreciation - Shop Equip</t>
  </si>
  <si>
    <t>Depreciation - Office Equip</t>
  </si>
  <si>
    <t>Depreciation - Vehicles</t>
  </si>
  <si>
    <t>Wtrcrft Prop Tax - LII</t>
  </si>
  <si>
    <t>Wtrcrft Prop Tax -  L-Exp</t>
  </si>
  <si>
    <t>Wtrcrft Prop Tax - Barge</t>
  </si>
  <si>
    <t>Wtrcrft Prop Tax - Oth Vessels</t>
  </si>
  <si>
    <t>Prop Tax - Boat Co/Offices</t>
  </si>
  <si>
    <t>Excise Tax</t>
  </si>
  <si>
    <t>Leasehold Excise Tax</t>
  </si>
  <si>
    <t>Accounting Fees</t>
  </si>
  <si>
    <t>Legal Fees</t>
  </si>
  <si>
    <t>Telephone</t>
  </si>
  <si>
    <t>Cellular Phone</t>
  </si>
  <si>
    <t>Electricity</t>
  </si>
  <si>
    <t>Wtr/Swr/Garb</t>
  </si>
  <si>
    <t>Period 1</t>
  </si>
  <si>
    <t>Period 2</t>
  </si>
  <si>
    <t>Period 3</t>
  </si>
  <si>
    <t>Period 4</t>
  </si>
  <si>
    <t>Period 5</t>
  </si>
  <si>
    <t>Period 6</t>
  </si>
  <si>
    <t>Period 7</t>
  </si>
  <si>
    <t>Period 8</t>
  </si>
  <si>
    <t>Period 9</t>
  </si>
  <si>
    <t>Period 10</t>
  </si>
  <si>
    <t>Period 11</t>
  </si>
  <si>
    <t>Period 12</t>
  </si>
  <si>
    <t>P/L</t>
  </si>
  <si>
    <t>Revenues</t>
  </si>
  <si>
    <t>Passenger Fares - L-Cat</t>
  </si>
  <si>
    <t>Charter - L-Cat</t>
  </si>
  <si>
    <t>Gain/(Loss)-Disposal of Assets</t>
  </si>
  <si>
    <t>Total Revenues</t>
  </si>
  <si>
    <t>Cost of Sales</t>
  </si>
  <si>
    <t>Food - COGS Charter Food</t>
  </si>
  <si>
    <t>Total Cost of Sales</t>
  </si>
  <si>
    <t>Gross Profit</t>
  </si>
  <si>
    <t>Expenses</t>
  </si>
  <si>
    <t>Wages-Pilots/Crew - L-Cat</t>
  </si>
  <si>
    <t>Forms/Tickets - Vessels</t>
  </si>
  <si>
    <t>Insurance - Other Vessels</t>
  </si>
  <si>
    <t>Total Expenses</t>
  </si>
  <si>
    <t>Net Income</t>
  </si>
  <si>
    <t>Lake Chelan Boat Company</t>
  </si>
  <si>
    <t>Lake Chelan Rec, Inc - Lake Chelan Boat Company Assets</t>
  </si>
  <si>
    <t>New 2008</t>
  </si>
  <si>
    <t>Fixed Asset Schedule</t>
  </si>
  <si>
    <t>Disposed of</t>
  </si>
  <si>
    <t>Moved to LCBC, Inc. 6/1/08</t>
  </si>
  <si>
    <t>Not LCBC operations-leased to CP, LLC</t>
  </si>
  <si>
    <t>Sold</t>
  </si>
  <si>
    <t xml:space="preserve">Useful </t>
  </si>
  <si>
    <t>Accum Depr</t>
  </si>
  <si>
    <t>Depr Exp</t>
  </si>
  <si>
    <t>Description of Asset:</t>
  </si>
  <si>
    <t>Aquired</t>
  </si>
  <si>
    <t xml:space="preserve">Cost   </t>
  </si>
  <si>
    <t xml:space="preserve">Life  </t>
  </si>
  <si>
    <t>2009</t>
  </si>
  <si>
    <t>2010</t>
  </si>
  <si>
    <t>2011</t>
  </si>
  <si>
    <t>2013</t>
  </si>
  <si>
    <t>Land:  15000BL</t>
  </si>
  <si>
    <t>LCBC Lands-original purchase-1418</t>
  </si>
  <si>
    <t>7/15/83</t>
  </si>
  <si>
    <t>n/a</t>
  </si>
  <si>
    <t>Land</t>
  </si>
  <si>
    <t>Buildings:  15100BL</t>
  </si>
  <si>
    <t>Laundry Building/Cindy Office</t>
  </si>
  <si>
    <t>Heating/Cooling System addtion</t>
  </si>
  <si>
    <t>Office Remodel fixtures</t>
  </si>
  <si>
    <t>Remove Assets disposed of or sold</t>
  </si>
  <si>
    <t>Docks:  15200BL</t>
  </si>
  <si>
    <t>Dock Improvement</t>
  </si>
  <si>
    <t>Dock Electrical Improvement</t>
  </si>
  <si>
    <t>Wharf Equipment</t>
  </si>
  <si>
    <t>*</t>
  </si>
  <si>
    <t>The Ways Car here was disposed in 2001 when the new Ways Car was built. It is a small portion of the original cost of 89,000.</t>
  </si>
  <si>
    <t>Floating Equipment:  15500BL</t>
  </si>
  <si>
    <t>Lady Cat:</t>
  </si>
  <si>
    <t>7/31/98</t>
  </si>
  <si>
    <t>8/31/98</t>
  </si>
  <si>
    <t>8/31/99</t>
  </si>
  <si>
    <t>5/9/00</t>
  </si>
  <si>
    <t>6/26/00</t>
  </si>
  <si>
    <t>6/30/00</t>
  </si>
  <si>
    <t>1/21/03</t>
  </si>
  <si>
    <t>5/21/04</t>
  </si>
  <si>
    <t xml:space="preserve">  Subtotal - Lady Cat</t>
  </si>
  <si>
    <t>Lady II:</t>
  </si>
  <si>
    <t>.</t>
  </si>
  <si>
    <t>Radios - LX and LII</t>
  </si>
  <si>
    <t>Lady II New Seating - Upper</t>
  </si>
  <si>
    <t>New Food Cooler</t>
  </si>
  <si>
    <t xml:space="preserve">  Subtotal - Lady II</t>
  </si>
  <si>
    <t>Lady Express:</t>
  </si>
  <si>
    <t>Radar for Lady Express</t>
  </si>
  <si>
    <r>
      <t xml:space="preserve">LX Catepillar Engine - </t>
    </r>
    <r>
      <rPr>
        <sz val="8"/>
        <rFont val="Arial"/>
        <family val="2"/>
      </rPr>
      <t>2nd (Adj by Ins CK)</t>
    </r>
  </si>
  <si>
    <t xml:space="preserve">  Subtotal Lady Express</t>
  </si>
  <si>
    <t>Barge:</t>
  </si>
  <si>
    <t>Allen Stone - Barge</t>
  </si>
  <si>
    <t>Improvements - Allen Stone</t>
  </si>
  <si>
    <t>Overhaul - Allen Stone</t>
  </si>
  <si>
    <t>Hanging Scale - Allen Stone</t>
  </si>
  <si>
    <t>Barge Floats - Allen Stone</t>
  </si>
  <si>
    <t>Crane - Allen Stone</t>
  </si>
  <si>
    <t>Crane Improvements - Allen Stone</t>
  </si>
  <si>
    <t>Gen-Set - Barge</t>
  </si>
  <si>
    <t>Anti-2 Block - Allen Stone</t>
  </si>
  <si>
    <t>Shaft - Allen Stone</t>
  </si>
  <si>
    <t xml:space="preserve">  Subtotal Allen Stone</t>
  </si>
  <si>
    <t>Little Lady</t>
  </si>
  <si>
    <t xml:space="preserve">  Subtotal - Little Lady</t>
  </si>
  <si>
    <t>Total Floating Equipment</t>
  </si>
  <si>
    <t>Equipment:  15700BL</t>
  </si>
  <si>
    <t>Shop Equipment:</t>
  </si>
  <si>
    <t>Fuel Tank - 7000 gallon above ground</t>
  </si>
  <si>
    <t xml:space="preserve">  Subtotal Shop Equipment</t>
  </si>
  <si>
    <t>take in 2003 not in total</t>
  </si>
  <si>
    <t>Office Equipment:</t>
  </si>
  <si>
    <t>1 ticket printer for pursing station</t>
  </si>
  <si>
    <t>1 Dell Computer - Cindy's</t>
  </si>
  <si>
    <t>Ipad - Jack</t>
  </si>
  <si>
    <t>Luggage Carts for freight-8</t>
  </si>
  <si>
    <t xml:space="preserve">  Subtotal Office Equipment</t>
  </si>
  <si>
    <t>Total Equipment</t>
  </si>
  <si>
    <t>Vehicles:  15900BL</t>
  </si>
  <si>
    <t>Total Vehicles</t>
  </si>
  <si>
    <t>GRAND TOTAL</t>
  </si>
  <si>
    <t>LCRI Assets</t>
  </si>
  <si>
    <t xml:space="preserve">Original </t>
  </si>
  <si>
    <t>Book Value</t>
  </si>
  <si>
    <t xml:space="preserve">Value  </t>
  </si>
  <si>
    <t>12/31/08</t>
  </si>
  <si>
    <t>Floating Equipment</t>
  </si>
  <si>
    <t>Equipment</t>
  </si>
  <si>
    <t>Vehicles</t>
  </si>
  <si>
    <t>Disposed of 2012</t>
  </si>
  <si>
    <t>New Assets 2012</t>
  </si>
  <si>
    <t>Acc Depr</t>
  </si>
  <si>
    <t>Sources</t>
  </si>
  <si>
    <t>http://postcalc.usps.com/</t>
  </si>
  <si>
    <t>Freight by lb or each (all except USPS Mail)</t>
  </si>
  <si>
    <r>
      <t xml:space="preserve">Calculate Rates at % Increase of Rate Case </t>
    </r>
    <r>
      <rPr>
        <b/>
        <sz val="12"/>
        <color rgb="FFFF0000"/>
        <rFont val="Arial"/>
        <family val="2"/>
      </rPr>
      <t>(ROUNDED TO .25 CENTS)</t>
    </r>
  </si>
  <si>
    <t>Crew</t>
  </si>
  <si>
    <t>Total Crew Wages</t>
  </si>
  <si>
    <t>Total Other Wages</t>
  </si>
  <si>
    <t>Breakdown of Holiday/Vac/Bonus</t>
  </si>
  <si>
    <t xml:space="preserve">Must equal </t>
  </si>
  <si>
    <r>
      <t xml:space="preserve">Revenue Requirement </t>
    </r>
    <r>
      <rPr>
        <sz val="10"/>
        <color rgb="FFFF0000"/>
        <rFont val="Arial"/>
        <family val="2"/>
      </rPr>
      <t>(Revenue Deficiency)</t>
    </r>
  </si>
  <si>
    <t>75 lbs</t>
  </si>
  <si>
    <t>Non Regulated</t>
  </si>
  <si>
    <t>Regulated</t>
  </si>
  <si>
    <t>Operating Ratio</t>
  </si>
  <si>
    <t>company</t>
  </si>
  <si>
    <t xml:space="preserve">add: L.Cat </t>
  </si>
  <si>
    <t>Add: Land</t>
  </si>
  <si>
    <t>Less: Rental House</t>
  </si>
  <si>
    <t>UTC</t>
  </si>
  <si>
    <t>Impact of Proposed Fares</t>
  </si>
  <si>
    <t>Pro Forma with Proposed Fares</t>
  </si>
  <si>
    <t>Revenue Based</t>
  </si>
  <si>
    <t>Test year gallons</t>
  </si>
  <si>
    <t>Company fuel cost</t>
  </si>
  <si>
    <t>Pro Forma adjustment</t>
  </si>
  <si>
    <t>Unredeemed Income LX</t>
  </si>
  <si>
    <t>Wages-Crew/Snack Bar - LII</t>
  </si>
  <si>
    <t>Wages-Crew/Snack Bar - L-Exp</t>
  </si>
  <si>
    <t>Customer Claims</t>
  </si>
  <si>
    <t>2014</t>
  </si>
  <si>
    <t>2015</t>
  </si>
  <si>
    <t>2016</t>
  </si>
  <si>
    <t>2017</t>
  </si>
  <si>
    <t>2018</t>
  </si>
  <si>
    <t>Depr Value</t>
  </si>
  <si>
    <t>Home Dock &amp; Ways Car *2001</t>
  </si>
  <si>
    <t>Engine Rebuild - Lady Cat</t>
  </si>
  <si>
    <t>Engine Rebuild - Lady II - starboard</t>
  </si>
  <si>
    <t>Lady II New Seating - Lower Cabin</t>
  </si>
  <si>
    <t>Gear Box Rebuild - Lady II #1</t>
  </si>
  <si>
    <t>Gear Box Rebuild - Lady II #2</t>
  </si>
  <si>
    <t>Gear Box Rebuild - Lady II #3</t>
  </si>
  <si>
    <t>LII Engine Rebuild</t>
  </si>
  <si>
    <t>Lady II - New Rudders (2)</t>
  </si>
  <si>
    <t>Engine Rebuild 12VA044698</t>
  </si>
  <si>
    <t>LX Perkins Generator Motor</t>
  </si>
  <si>
    <t>2 Rebuilt Gear Boxes - LX</t>
  </si>
  <si>
    <t>LX new engine (for 3rd engine)</t>
  </si>
  <si>
    <t>LX engine rebuild</t>
  </si>
  <si>
    <t>LX engine rebuild addt'l billing</t>
  </si>
  <si>
    <t>(off last year)</t>
  </si>
  <si>
    <t>Purser Laptop (now on front counter)</t>
  </si>
  <si>
    <t>Computer-Server (become Bevs)</t>
  </si>
  <si>
    <t>Hot Water Tank - shop</t>
  </si>
  <si>
    <t>Acct'g Computer - Julie Station</t>
  </si>
  <si>
    <t>Main Reservation Computer</t>
  </si>
  <si>
    <t>Laptop - Jack</t>
  </si>
  <si>
    <t>Main Computer - Jack</t>
  </si>
  <si>
    <t>Server for files-forced upgrade Acctg</t>
  </si>
  <si>
    <t>Acct'g Computer - Bev new Station</t>
  </si>
  <si>
    <t>2 desks - Jack office</t>
  </si>
  <si>
    <t>https://wwwapps.ups.com/ctc/</t>
  </si>
  <si>
    <t>https://www.brettandsonwenatchee.com/routes-and-rates</t>
  </si>
  <si>
    <t>https://www.fedex.com/ratefinder</t>
  </si>
  <si>
    <t>http://www.wpx.com/quote/index.php</t>
  </si>
  <si>
    <t>(509) 662-6329</t>
  </si>
  <si>
    <t>Claims</t>
  </si>
  <si>
    <t>DATE OF</t>
  </si>
  <si>
    <t>INCOME</t>
  </si>
  <si>
    <t>NAME OF CHARTER</t>
  </si>
  <si>
    <t>CHARTER</t>
  </si>
  <si>
    <t>LX CHARTER</t>
  </si>
  <si>
    <t>LII CHARTER</t>
  </si>
  <si>
    <t>HOURS</t>
  </si>
  <si>
    <t>Wages</t>
  </si>
  <si>
    <t>Fuel</t>
  </si>
  <si>
    <t>Net</t>
  </si>
  <si>
    <t>Fuel - Charters run at idle speed around lower end of the lake.</t>
  </si>
  <si>
    <t xml:space="preserve">Fuel </t>
  </si>
  <si>
    <t>Charter</t>
  </si>
  <si>
    <t>burned</t>
  </si>
  <si>
    <t>Fuel Cost</t>
  </si>
  <si>
    <t>per hour</t>
  </si>
  <si>
    <t>Total Fuel Cost</t>
  </si>
  <si>
    <t>5</t>
  </si>
  <si>
    <t>Pirate Fest</t>
  </si>
  <si>
    <t>Total Proforma Company Adjustments</t>
  </si>
  <si>
    <t>Wages-Chrtr Crew - L-Cat</t>
  </si>
  <si>
    <t>2018 Deisel Fuel Purchases for Vessels</t>
  </si>
  <si>
    <t>Warren at Barge 682-2493</t>
  </si>
  <si>
    <t>For comparison</t>
  </si>
  <si>
    <t>LCBC</t>
  </si>
  <si>
    <t>pallet=$50.00, 1/2 pallet $25.00</t>
  </si>
  <si>
    <t>Lake Chelan Boat Company carries the US Mail.  That income is included in the freight income.  This income is not part of the rate case.</t>
  </si>
  <si>
    <t>Lake Chelan Boat Company freight rates are so far below normal shipping rates (see Freight Rate comparables),</t>
  </si>
  <si>
    <t>FACTS:</t>
  </si>
  <si>
    <t>LCBC Freight rates need to be brought closer to other shippers.</t>
  </si>
  <si>
    <t>New 2018</t>
  </si>
  <si>
    <t>Dock Improvement-piling</t>
  </si>
  <si>
    <t>Dock Improvement-install</t>
  </si>
  <si>
    <t>Hose Crimper</t>
  </si>
  <si>
    <t>2005 Ford Escape</t>
  </si>
  <si>
    <t>This is LCRI's what will DiscoverLC be?</t>
  </si>
  <si>
    <t>Pro forma fuel cost</t>
  </si>
  <si>
    <t>Holiday/Vacation</t>
  </si>
  <si>
    <t>Insurance - Vehicles</t>
  </si>
  <si>
    <t>Insurance - Fuel Tank</t>
  </si>
  <si>
    <t>Personal Property Tax</t>
  </si>
  <si>
    <t>Radio Telephone Expense</t>
  </si>
  <si>
    <t>Advertising - Periodical Print</t>
  </si>
  <si>
    <t>Advertising</t>
  </si>
  <si>
    <t>Lady Cat</t>
  </si>
  <si>
    <t>Chelan Senior Center</t>
  </si>
  <si>
    <t>Witt Rehearsal Dinner</t>
  </si>
  <si>
    <t>Linderman Rehearsal</t>
  </si>
  <si>
    <t>Rio Tinto</t>
  </si>
  <si>
    <t>Buckley Rehearsal Dinner</t>
  </si>
  <si>
    <t>Pitmar Tours</t>
  </si>
  <si>
    <t>Snohomish Senior Center</t>
  </si>
  <si>
    <t>All boats use about 5 gallons of fuel per charter hour, 2.5 gallons of fuel per hour per engine (2 engines).</t>
  </si>
  <si>
    <t>Supplies</t>
  </si>
  <si>
    <t>Cleaning after Charters</t>
  </si>
  <si>
    <t>Lcat</t>
  </si>
  <si>
    <t>LII</t>
  </si>
  <si>
    <t>Cost per clean</t>
  </si>
  <si>
    <t>Cleaning - All boats</t>
  </si>
  <si>
    <t>Total Cleaning Wages</t>
  </si>
  <si>
    <t>2019/2018 Monthly Inc Statement</t>
  </si>
  <si>
    <t>Reconciliation of advanced fares</t>
  </si>
  <si>
    <t>Wages - CONTRACT</t>
  </si>
  <si>
    <t>ADDed in 2019 and 2020</t>
  </si>
  <si>
    <r>
      <rPr>
        <b/>
        <sz val="14"/>
        <color rgb="FFFF0000"/>
        <rFont val="Arial"/>
        <family val="2"/>
      </rPr>
      <t>Submitting</t>
    </r>
    <r>
      <rPr>
        <b/>
        <sz val="14"/>
        <rFont val="Arial"/>
        <family val="2"/>
      </rPr>
      <t xml:space="preserve"> - 2020 Sailing Schedule</t>
    </r>
  </si>
  <si>
    <t>Winter</t>
  </si>
  <si>
    <t>Sum</t>
  </si>
  <si>
    <t>Lady Express Summer</t>
  </si>
  <si>
    <t>Lady II Summer</t>
  </si>
  <si>
    <t>Lady Express Winter</t>
  </si>
  <si>
    <t>Minimum wage</t>
  </si>
  <si>
    <t>1996</t>
  </si>
  <si>
    <t>1997</t>
  </si>
  <si>
    <t>1998</t>
  </si>
  <si>
    <t>1999</t>
  </si>
  <si>
    <t>2000</t>
  </si>
  <si>
    <t>2001</t>
  </si>
  <si>
    <t>2002</t>
  </si>
  <si>
    <t>2003</t>
  </si>
  <si>
    <t>2004</t>
  </si>
  <si>
    <t>2005</t>
  </si>
  <si>
    <t>7.85?</t>
  </si>
  <si>
    <t>no change</t>
  </si>
  <si>
    <t>% of increase since last rate case</t>
  </si>
  <si>
    <t>Wages-Office/Ticket Sales</t>
  </si>
  <si>
    <t>Property Lease - Land and Buildings to operate off of</t>
  </si>
  <si>
    <t>Floating Equipment (Other)</t>
  </si>
  <si>
    <t>Discover Lake Chelan, LLC - Lake Chelan Boat Company Assets</t>
  </si>
  <si>
    <t>New 2019</t>
  </si>
  <si>
    <t>Accum Dep</t>
  </si>
  <si>
    <t>Dep Exp</t>
  </si>
  <si>
    <t>2019</t>
  </si>
  <si>
    <t>2020</t>
  </si>
  <si>
    <t>LX engine WNW00036836</t>
  </si>
  <si>
    <t>LX engine WNW00037322</t>
  </si>
  <si>
    <t>7000 gal. Fuel Tank w/ Veeder-Root Monitor</t>
  </si>
  <si>
    <t>Office furniture &amp; Equipment</t>
  </si>
  <si>
    <t>2001 Ford 250-White freight truck w/plow</t>
  </si>
  <si>
    <t>GRAND TOTAL Depreciation</t>
  </si>
  <si>
    <t>AMORTIZATION</t>
  </si>
  <si>
    <t>Goodwill:</t>
  </si>
  <si>
    <t>Goodwill (# of years 10 or 15?)</t>
  </si>
  <si>
    <t>8/1/19</t>
  </si>
  <si>
    <t>Total Goodwill</t>
  </si>
  <si>
    <t>Amortization</t>
  </si>
  <si>
    <t>GRAND TOTAL Depreciation and Amortization</t>
  </si>
  <si>
    <t>12/31/19</t>
  </si>
  <si>
    <t>Goodwill</t>
  </si>
  <si>
    <t>NEW Assets</t>
  </si>
  <si>
    <t>FUTURE Aquisitions:</t>
  </si>
  <si>
    <t>LCBC Lands-1418 W. Woodin</t>
  </si>
  <si>
    <t>Future</t>
  </si>
  <si>
    <t>Total Land</t>
  </si>
  <si>
    <t>Office &amp; Shop (future)</t>
  </si>
  <si>
    <t>Dock (future)</t>
  </si>
  <si>
    <t>Discover Lake Chelan LLC (Lake Chelan Boat Company)</t>
  </si>
  <si>
    <t>Other Buildings</t>
  </si>
  <si>
    <t>Floating Equipment (Lady Cat)-WUTC not recognized in the past - but this is the back up boat that is used during boat breakdowns</t>
  </si>
  <si>
    <t>7000 gal fuel tank w/Veeder Root Monitoring</t>
  </si>
  <si>
    <t>Land/Building Lease</t>
  </si>
  <si>
    <t>(4)</t>
  </si>
  <si>
    <t>Take out attorney fees incurred in selling company</t>
  </si>
  <si>
    <t>Goodwill Amortizaton - 500,000 over 10 years</t>
  </si>
  <si>
    <t>12 month depreciation taken out (LCRI)-Vessel</t>
  </si>
  <si>
    <t>12 month depreciation taken out (LCRI) - Dock &amp; Bldg (leased)</t>
  </si>
  <si>
    <t>(5)</t>
  </si>
  <si>
    <t>LCBC 2020 Depreciation - Vessel</t>
  </si>
  <si>
    <t>Depreciation (Other than Vessel) &amp; Amortization</t>
  </si>
  <si>
    <t>2018/2019 Charter Income / Expenses</t>
  </si>
  <si>
    <t>Charters 8/1/18 thru 7/31/19</t>
  </si>
  <si>
    <t>2018/2019</t>
  </si>
  <si>
    <t>Columbia High School</t>
  </si>
  <si>
    <t>Othello High School</t>
  </si>
  <si>
    <t>Liberty High School</t>
  </si>
  <si>
    <t>Highland High School</t>
  </si>
  <si>
    <t>Southbend High School</t>
  </si>
  <si>
    <t>Wilbur High School</t>
  </si>
  <si>
    <t>NW Christian</t>
  </si>
  <si>
    <t>Chelan High School</t>
  </si>
  <si>
    <t>Kittatas High School</t>
  </si>
  <si>
    <t>Cle Elum High School</t>
  </si>
  <si>
    <t xml:space="preserve">Petersen Rehearsal </t>
  </si>
  <si>
    <t>Luke Clan Memorial</t>
  </si>
  <si>
    <t>Image Source</t>
  </si>
  <si>
    <t>Williams Rehearsal</t>
  </si>
  <si>
    <t>4th of July Fireworks Charter</t>
  </si>
  <si>
    <t>Nefarious Winery</t>
  </si>
  <si>
    <t>Eastmont H.S. Class Reunion</t>
  </si>
  <si>
    <t>Sailing Schedule-Lady Express Runs</t>
  </si>
  <si>
    <t>Sailing Schedule-Lady of the Lake II Runs</t>
  </si>
  <si>
    <t>Total runs (407)</t>
  </si>
  <si>
    <t>Operating</t>
  </si>
  <si>
    <t>Scheduled</t>
  </si>
  <si>
    <t>Runs per</t>
  </si>
  <si>
    <t>Hours per</t>
  </si>
  <si>
    <t>Run</t>
  </si>
  <si>
    <t>Charter percentage of operating hours</t>
  </si>
  <si>
    <t>(from 12 month Income Statement)</t>
  </si>
  <si>
    <t>(from Fuel expense F67)</t>
  </si>
  <si>
    <t>(from Cleaning expense F59)</t>
  </si>
  <si>
    <t>Lady Express - SUMMER (May-Oct 15)</t>
  </si>
  <si>
    <t>Current Rates</t>
  </si>
  <si>
    <t>Calculate Rates at % Increase of Rate Case (ROUNDED TO .25 CENTS)</t>
  </si>
  <si>
    <t>Miltonberger Family Reunion</t>
  </si>
  <si>
    <t>Note:  Discontinuing charters would not decrease the expenses of depreciation, insurance, maintenance, licenses or fees.</t>
  </si>
  <si>
    <t>Average price per gallon 2018/2019</t>
  </si>
  <si>
    <t>2018/2019 Total Freight Income</t>
  </si>
  <si>
    <t>LCBC/DLC  2020 Depreciation - Other</t>
  </si>
  <si>
    <t>(6)</t>
  </si>
  <si>
    <t>Passenger Luggage Allowance-ticket holders traveling on day with belongings</t>
  </si>
  <si>
    <t>RATE</t>
  </si>
  <si>
    <t>Parcel Max Weight</t>
  </si>
  <si>
    <t>Adult</t>
  </si>
  <si>
    <t>2 bags (no bag over 75 lbs)</t>
  </si>
  <si>
    <t>FREE with ticket</t>
  </si>
  <si>
    <t>Child</t>
  </si>
  <si>
    <t>1 bag (no bag over 50 lbs)</t>
  </si>
  <si>
    <t>Additional items</t>
  </si>
  <si>
    <t>$5 per parcel</t>
  </si>
  <si>
    <t>50 lbs</t>
  </si>
  <si>
    <t>Unaccompanied Freight - not with a passenger</t>
  </si>
  <si>
    <t>Minimum Charge</t>
  </si>
  <si>
    <t>25.00 minimum (100 lb)</t>
  </si>
  <si>
    <t>(or .25 cents lb)</t>
  </si>
  <si>
    <t>If to a stop other than Lucerne or Stehekin - Freight charge plus price of OW ticket</t>
  </si>
  <si>
    <t>Unaccompanied Commercial Freight Shipments (examples: UPS, FSA, Sysco etc)</t>
  </si>
  <si>
    <t>(or .10 cents lb)</t>
  </si>
  <si>
    <t>Bikes</t>
  </si>
  <si>
    <t>Pets - All but summer LX</t>
  </si>
  <si>
    <t>Owner's Cage</t>
  </si>
  <si>
    <t>LCBC Cage</t>
  </si>
  <si>
    <t>Pets - LX in summer</t>
  </si>
  <si>
    <t>minimal #, Owner's Cage</t>
  </si>
  <si>
    <t>up to 12 feet</t>
  </si>
  <si>
    <t>Kayaks - Large</t>
  </si>
  <si>
    <t>over 12 feet to 16 feet</t>
  </si>
  <si>
    <t>Game Animals</t>
  </si>
  <si>
    <t>Bagged correctly</t>
  </si>
  <si>
    <t>Currrent Minimum Freight Rate per 75 lbs</t>
  </si>
  <si>
    <t>Proposed Minimum Freight Rate per 75 lbs</t>
  </si>
  <si>
    <t>Rate Increase</t>
  </si>
  <si>
    <t>Rate of Increase to calculate increased income</t>
  </si>
  <si>
    <t>To 2020</t>
  </si>
  <si>
    <t>Pro Forma</t>
  </si>
  <si>
    <t>Statement</t>
  </si>
  <si>
    <t>Freight Income  12 month period</t>
  </si>
  <si>
    <t>Freight Analysis</t>
  </si>
  <si>
    <t>Proposed Freight Rates</t>
  </si>
  <si>
    <t>Per Each</t>
  </si>
  <si>
    <r>
      <t xml:space="preserve">Kayaks - Small </t>
    </r>
    <r>
      <rPr>
        <sz val="8"/>
        <rFont val="Arial"/>
        <family val="2"/>
      </rPr>
      <t>(including LX summer)</t>
    </r>
  </si>
  <si>
    <t>Proforma Income Stmt Amount</t>
  </si>
  <si>
    <t>(Market Appraisal is $237,900 Annual, 5% of 3.5 million value = 175,000.)</t>
  </si>
  <si>
    <t>(Rate increases by10% annually)</t>
  </si>
  <si>
    <t>Marketing - need budget</t>
  </si>
  <si>
    <t>2018/2019 P&amp;L Company</t>
  </si>
  <si>
    <t>Computed non-regulated Charter % based on boat hours</t>
  </si>
  <si>
    <t>(7)</t>
  </si>
  <si>
    <t>Medical/Dental in 12 month Income Statement</t>
  </si>
  <si>
    <t>Medical/Dental based on current billings</t>
  </si>
  <si>
    <t>Increase in expense</t>
  </si>
  <si>
    <t>The balance of the attorney fees have to do with protesting Back Country ferry service application</t>
  </si>
  <si>
    <t>2018.2019 P&amp;L Company</t>
  </si>
  <si>
    <t>2020 Pro-Forma Income Statement Adjustments, known changes</t>
  </si>
  <si>
    <t>FOR Information purposes only - no calculations generate from this page.</t>
  </si>
  <si>
    <t>Calculate Rates at % Increase of Rate Case (Before Rounding)</t>
  </si>
  <si>
    <t>(not used as Lady Express does not stop on up lake leg</t>
  </si>
  <si>
    <t>New Rates being applied for after Rounding</t>
  </si>
  <si>
    <t>New Rates being applied for before Rounding</t>
  </si>
  <si>
    <t>Adjusting to keep the rates at what LCBC believes market should be, this represents costs not covered.</t>
  </si>
  <si>
    <t>Equates to</t>
  </si>
  <si>
    <t>per lb</t>
  </si>
  <si>
    <t>This is a worksheet format produced by the UTC, I do not know if this is useful during this rate case due to the sale</t>
  </si>
  <si>
    <t>but I left it in so it can be adjusted and used if needed.  (GOODWILL amortization is not in this worksheet)</t>
  </si>
  <si>
    <t>Averages</t>
  </si>
  <si>
    <t>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</si>
</sst>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41" formatCode="_(* #,##0_);_(* \(#,##0\);_(* &quot;-&quot;_);_(@_)"/>
    <numFmt numFmtId="44" formatCode="_(&quot;$&quot;* #,##0.00_);_(&quot;$&quot;* \(#,##0.00\);_(&quot;$&quot;* &quot;-&quot;??_);_(@_)"/>
    <numFmt numFmtId="43" formatCode="_(* #,##0.00_);_(* \(#,##0.00\);_(* &quot;-&quot;??_);_(@_)"/>
    <numFmt numFmtId="164" formatCode="#,##0.000_);[Red]\(#,##0.000\)"/>
    <numFmt numFmtId="165" formatCode="_(&quot;$&quot;* #,##0_);_(&quot;$&quot;* \(#,##0\);_(&quot;$&quot;* &quot;-&quot;??_);_(@_)"/>
    <numFmt numFmtId="166" formatCode="0.0%"/>
    <numFmt numFmtId="167" formatCode="_(* #,##0_);_(* \(#,##0\);_(* &quot;-&quot;??_);_(@_)"/>
    <numFmt numFmtId="168" formatCode="mm/dd/yy;@"/>
    <numFmt numFmtId="169" formatCode="0.00_);[Red]\(0.00\)"/>
    <numFmt numFmtId="170" formatCode="d"/>
    <numFmt numFmtId="171" formatCode="0_);[Red]\(0\)"/>
    <numFmt numFmtId="172" formatCode="0.000"/>
    <numFmt numFmtId="173" formatCode="m/d/yy"/>
    <numFmt numFmtId="174" formatCode="#,##0.00;\(#,##0.00\)"/>
    <numFmt numFmtId="175" formatCode="mmmm\ d\,\ yyyy"/>
    <numFmt numFmtId="176" formatCode="mm/dd/yy"/>
    <numFmt numFmtId="177" formatCode="#,##0.0_);[Red]\(#,##0.0\)"/>
    <numFmt numFmtId="178" formatCode="&quot;$&quot;#,##0.00"/>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b/>
      <sz val="12"/>
      <name val="Arial"/>
      <family val="2"/>
    </font>
    <font>
      <u/>
      <sz val="10"/>
      <name val="Arial"/>
      <family val="2"/>
    </font>
    <font>
      <b/>
      <u/>
      <sz val="10"/>
      <name val="Arial"/>
      <family val="2"/>
    </font>
    <font>
      <sz val="10"/>
      <color theme="3" tint="0.39997558519241921"/>
      <name val="Arial"/>
      <family val="2"/>
    </font>
    <font>
      <sz val="10"/>
      <name val="Arial"/>
      <family val="2"/>
    </font>
    <font>
      <i/>
      <sz val="10"/>
      <name val="Arial"/>
      <family val="2"/>
    </font>
    <font>
      <sz val="10"/>
      <name val="Arial"/>
      <family val="2"/>
    </font>
    <font>
      <b/>
      <i/>
      <sz val="10"/>
      <name val="Arial"/>
      <family val="2"/>
    </font>
    <font>
      <b/>
      <sz val="10"/>
      <color rgb="FF00B050"/>
      <name val="Arial"/>
      <family val="2"/>
    </font>
    <font>
      <sz val="10"/>
      <color rgb="FF00B050"/>
      <name val="Arial"/>
      <family val="2"/>
    </font>
    <font>
      <b/>
      <i/>
      <sz val="10"/>
      <color rgb="FF00B050"/>
      <name val="Arial"/>
      <family val="2"/>
    </font>
    <font>
      <b/>
      <sz val="10"/>
      <color theme="3" tint="0.39997558519241921"/>
      <name val="Arial"/>
      <family val="2"/>
    </font>
    <font>
      <b/>
      <i/>
      <sz val="10"/>
      <color theme="3" tint="0.39997558519241921"/>
      <name val="Arial"/>
      <family val="2"/>
    </font>
    <font>
      <b/>
      <sz val="10"/>
      <color theme="9" tint="-0.249977111117893"/>
      <name val="Arial"/>
      <family val="2"/>
    </font>
    <font>
      <sz val="10"/>
      <color theme="9" tint="-0.249977111117893"/>
      <name val="Arial"/>
      <family val="2"/>
    </font>
    <font>
      <b/>
      <i/>
      <sz val="10"/>
      <color theme="9" tint="-0.249977111117893"/>
      <name val="Arial"/>
      <family val="2"/>
    </font>
    <font>
      <sz val="12"/>
      <name val="Helv"/>
    </font>
    <font>
      <sz val="11"/>
      <name val="Cambria"/>
      <family val="1"/>
      <scheme val="major"/>
    </font>
    <font>
      <sz val="10"/>
      <name val="Times New Roman"/>
      <family val="1"/>
    </font>
    <font>
      <sz val="11"/>
      <color rgb="FFFF0000"/>
      <name val="Cambria"/>
      <family val="1"/>
      <scheme val="major"/>
    </font>
    <font>
      <sz val="11"/>
      <color indexed="10"/>
      <name val="Cambria"/>
      <family val="1"/>
      <scheme val="major"/>
    </font>
    <font>
      <sz val="11"/>
      <color indexed="12"/>
      <name val="Cambria"/>
      <family val="1"/>
      <scheme val="major"/>
    </font>
    <font>
      <sz val="11"/>
      <color rgb="FFE6AF00"/>
      <name val="Cambria"/>
      <family val="1"/>
      <scheme val="major"/>
    </font>
    <font>
      <sz val="11"/>
      <color rgb="FF0070C0"/>
      <name val="Cambria"/>
      <family val="1"/>
      <scheme val="major"/>
    </font>
    <font>
      <sz val="12"/>
      <name val="Times New Roman"/>
      <family val="1"/>
    </font>
    <font>
      <b/>
      <sz val="10"/>
      <color rgb="FFC00000"/>
      <name val="Arial"/>
      <family val="2"/>
    </font>
    <font>
      <sz val="10"/>
      <color rgb="FFC00000"/>
      <name val="Arial"/>
      <family val="2"/>
    </font>
    <font>
      <b/>
      <i/>
      <sz val="10"/>
      <color rgb="FFC00000"/>
      <name val="Arial"/>
      <family val="2"/>
    </font>
    <font>
      <b/>
      <sz val="12"/>
      <color rgb="FFC00000"/>
      <name val="Arial"/>
      <family val="2"/>
    </font>
    <font>
      <sz val="11"/>
      <color theme="1" tint="0.34998626667073579"/>
      <name val="Cambria"/>
      <family val="1"/>
      <scheme val="major"/>
    </font>
    <font>
      <sz val="8"/>
      <color indexed="81"/>
      <name val="Tahoma"/>
      <family val="2"/>
    </font>
    <font>
      <b/>
      <sz val="8"/>
      <color indexed="81"/>
      <name val="Tahoma"/>
      <family val="2"/>
    </font>
    <font>
      <sz val="11"/>
      <name val="Arial"/>
      <family val="2"/>
    </font>
    <font>
      <b/>
      <sz val="11"/>
      <name val="Cambria"/>
      <family val="1"/>
      <scheme val="major"/>
    </font>
    <font>
      <sz val="11"/>
      <color indexed="10"/>
      <name val="Calibri"/>
      <family val="2"/>
      <scheme val="minor"/>
    </font>
    <font>
      <sz val="11"/>
      <color indexed="12"/>
      <name val="Calibri"/>
      <family val="2"/>
      <scheme val="minor"/>
    </font>
    <font>
      <sz val="11"/>
      <color rgb="FF0070C0"/>
      <name val="Calibri"/>
      <family val="2"/>
      <scheme val="minor"/>
    </font>
    <font>
      <sz val="11"/>
      <name val="Calibri"/>
      <family val="2"/>
      <scheme val="minor"/>
    </font>
    <font>
      <sz val="11"/>
      <color rgb="FF0000FF"/>
      <name val="Calibri"/>
      <family val="2"/>
      <scheme val="minor"/>
    </font>
    <font>
      <b/>
      <sz val="11"/>
      <name val="Calibri"/>
      <family val="2"/>
      <scheme val="minor"/>
    </font>
    <font>
      <sz val="11"/>
      <color rgb="FFE6AF00"/>
      <name val="Calibri"/>
      <family val="2"/>
      <scheme val="minor"/>
    </font>
    <font>
      <b/>
      <sz val="14"/>
      <name val="Arial"/>
      <family val="2"/>
    </font>
    <font>
      <sz val="13"/>
      <name val="Arial"/>
      <family val="2"/>
    </font>
    <font>
      <sz val="10"/>
      <color rgb="FFFF0000"/>
      <name val="Arial"/>
      <family val="2"/>
    </font>
    <font>
      <b/>
      <sz val="12"/>
      <color theme="9" tint="-0.249977111117893"/>
      <name val="Arial"/>
      <family val="2"/>
    </font>
    <font>
      <sz val="8"/>
      <color rgb="FFFF0000"/>
      <name val="Arial"/>
      <family val="2"/>
    </font>
    <font>
      <b/>
      <u/>
      <sz val="10"/>
      <color rgb="FF00B050"/>
      <name val="Arial"/>
      <family val="2"/>
    </font>
    <font>
      <b/>
      <u/>
      <sz val="10"/>
      <color rgb="FFFF0000"/>
      <name val="Arial"/>
      <family val="2"/>
    </font>
    <font>
      <b/>
      <i/>
      <sz val="10"/>
      <color rgb="FFFF0000"/>
      <name val="Arial"/>
      <family val="2"/>
    </font>
    <font>
      <sz val="14"/>
      <name val="Arial"/>
      <family val="2"/>
    </font>
    <font>
      <sz val="10"/>
      <color theme="3" tint="-0.249977111117893"/>
      <name val="Arial"/>
      <family val="2"/>
    </font>
    <font>
      <b/>
      <sz val="10"/>
      <color theme="3" tint="-0.249977111117893"/>
      <name val="Arial"/>
      <family val="2"/>
    </font>
    <font>
      <b/>
      <sz val="10"/>
      <color indexed="16"/>
      <name val="Arial"/>
      <family val="2"/>
    </font>
    <font>
      <sz val="26"/>
      <name val="Arial"/>
      <family val="2"/>
    </font>
    <font>
      <u/>
      <sz val="10"/>
      <color indexed="18"/>
      <name val="Arial"/>
      <family val="2"/>
    </font>
    <font>
      <sz val="10"/>
      <color indexed="18"/>
      <name val="Arial"/>
      <family val="2"/>
    </font>
    <font>
      <sz val="10"/>
      <color indexed="10"/>
      <name val="Arial"/>
      <family val="2"/>
    </font>
    <font>
      <i/>
      <sz val="10"/>
      <color rgb="FFFF0000"/>
      <name val="Arial"/>
      <family val="2"/>
    </font>
    <font>
      <sz val="11"/>
      <color rgb="FF7030A0"/>
      <name val="Cambria"/>
      <family val="1"/>
      <scheme val="major"/>
    </font>
    <font>
      <b/>
      <sz val="12"/>
      <color rgb="FFFF0000"/>
      <name val="Arial"/>
      <family val="2"/>
    </font>
    <font>
      <b/>
      <sz val="8"/>
      <color theme="8" tint="-0.249977111117893"/>
      <name val="Arial"/>
      <family val="2"/>
    </font>
    <font>
      <sz val="10"/>
      <color theme="3"/>
      <name val="Arial"/>
      <family val="2"/>
    </font>
    <font>
      <b/>
      <sz val="10"/>
      <color theme="3"/>
      <name val="Arial"/>
      <family val="2"/>
    </font>
    <font>
      <b/>
      <sz val="12"/>
      <color theme="3"/>
      <name val="Arial"/>
      <family val="2"/>
    </font>
    <font>
      <b/>
      <i/>
      <sz val="10"/>
      <color theme="3"/>
      <name val="Arial"/>
      <family val="2"/>
    </font>
    <font>
      <b/>
      <sz val="10"/>
      <color theme="5" tint="-0.249977111117893"/>
      <name val="Arial"/>
      <family val="2"/>
    </font>
    <font>
      <b/>
      <sz val="12"/>
      <color theme="5" tint="-0.249977111117893"/>
      <name val="Arial"/>
      <family val="2"/>
    </font>
    <font>
      <b/>
      <i/>
      <sz val="10"/>
      <color theme="5" tint="-0.249977111117893"/>
      <name val="Arial"/>
      <family val="2"/>
    </font>
    <font>
      <b/>
      <u/>
      <sz val="10"/>
      <color indexed="18"/>
      <name val="Arial"/>
      <family val="2"/>
    </font>
    <font>
      <b/>
      <sz val="10"/>
      <color indexed="18"/>
      <name val="Arial"/>
      <family val="2"/>
    </font>
    <font>
      <sz val="9"/>
      <name val="Arial"/>
      <family val="2"/>
    </font>
    <font>
      <b/>
      <sz val="28"/>
      <color theme="0" tint="-0.14999847407452621"/>
      <name val="Cambria"/>
      <family val="1"/>
      <scheme val="major"/>
    </font>
    <font>
      <b/>
      <sz val="10"/>
      <color theme="0"/>
      <name val="Arial"/>
      <family val="2"/>
    </font>
    <font>
      <sz val="10"/>
      <color rgb="FF002060"/>
      <name val="Arial"/>
      <family val="2"/>
    </font>
    <font>
      <u/>
      <sz val="14"/>
      <color theme="1"/>
      <name val="Calibri"/>
      <family val="2"/>
      <scheme val="minor"/>
    </font>
    <font>
      <b/>
      <u/>
      <sz val="10"/>
      <color theme="3" tint="0.39997558519241921"/>
      <name val="Arial"/>
      <family val="2"/>
    </font>
    <font>
      <b/>
      <u/>
      <sz val="10"/>
      <color theme="9" tint="-0.249977111117893"/>
      <name val="Arial"/>
      <family val="2"/>
    </font>
    <font>
      <sz val="10"/>
      <color theme="1"/>
      <name val="Calibri"/>
      <family val="2"/>
      <scheme val="minor"/>
    </font>
    <font>
      <b/>
      <u/>
      <sz val="11"/>
      <color theme="1"/>
      <name val="Calibri"/>
      <family val="2"/>
      <scheme val="minor"/>
    </font>
    <font>
      <b/>
      <sz val="11"/>
      <name val="Arial"/>
      <family val="2"/>
    </font>
    <font>
      <sz val="10"/>
      <name val="Arial"/>
      <family val="2"/>
    </font>
    <font>
      <sz val="10"/>
      <color rgb="FF000000"/>
      <name val="Times New Roman"/>
      <family val="1"/>
    </font>
    <font>
      <b/>
      <sz val="10"/>
      <color rgb="FF000000"/>
      <name val="Times New Roman"/>
      <family val="1"/>
    </font>
    <font>
      <sz val="8"/>
      <name val="Arial"/>
      <family val="2"/>
    </font>
    <font>
      <sz val="10"/>
      <color theme="4" tint="-0.499984740745262"/>
      <name val="Arial"/>
      <family val="2"/>
    </font>
    <font>
      <b/>
      <sz val="10"/>
      <color theme="4" tint="-0.499984740745262"/>
      <name val="Arial"/>
      <family val="2"/>
    </font>
    <font>
      <u/>
      <sz val="10"/>
      <color rgb="FF000000"/>
      <name val="Times New Roman"/>
      <family val="1"/>
    </font>
    <font>
      <sz val="9"/>
      <color indexed="81"/>
      <name val="Tahoma"/>
      <family val="2"/>
    </font>
    <font>
      <b/>
      <sz val="9"/>
      <color indexed="81"/>
      <name val="Tahoma"/>
      <family val="2"/>
    </font>
    <font>
      <b/>
      <sz val="10"/>
      <color theme="9" tint="-0.499984740745262"/>
      <name val="Arial"/>
      <family val="2"/>
    </font>
    <font>
      <b/>
      <sz val="10"/>
      <color rgb="FFFF0000"/>
      <name val="Arial"/>
      <family val="2"/>
    </font>
    <font>
      <sz val="10"/>
      <name val="Calibri"/>
      <family val="2"/>
      <scheme val="minor"/>
    </font>
    <font>
      <u/>
      <sz val="10"/>
      <color theme="10"/>
      <name val="Arial"/>
      <family val="2"/>
    </font>
    <font>
      <u/>
      <sz val="10"/>
      <color theme="10"/>
      <name val="Arial"/>
      <family val="2"/>
    </font>
    <font>
      <b/>
      <sz val="11"/>
      <color rgb="FF000000"/>
      <name val="Arial"/>
      <family val="2"/>
    </font>
    <font>
      <sz val="11"/>
      <color rgb="FF000000"/>
      <name val="Arial"/>
      <family val="2"/>
    </font>
    <font>
      <b/>
      <sz val="11"/>
      <color rgb="FFFF0000"/>
      <name val="Arial"/>
      <family val="2"/>
    </font>
    <font>
      <sz val="11"/>
      <color rgb="FFFF0000"/>
      <name val="Arial"/>
      <family val="2"/>
    </font>
    <font>
      <u/>
      <sz val="11"/>
      <color rgb="FF000000"/>
      <name val="Arial"/>
      <family val="2"/>
    </font>
    <font>
      <u/>
      <sz val="11"/>
      <color theme="1"/>
      <name val="Arial"/>
      <family val="2"/>
    </font>
    <font>
      <sz val="11"/>
      <color theme="1"/>
      <name val="Arial"/>
      <family val="2"/>
    </font>
    <font>
      <sz val="8"/>
      <color theme="1"/>
      <name val="Arial"/>
      <family val="2"/>
    </font>
    <font>
      <b/>
      <u/>
      <sz val="11"/>
      <color rgb="FFFF0000"/>
      <name val="Arial"/>
      <family val="2"/>
    </font>
    <font>
      <b/>
      <i/>
      <sz val="10"/>
      <color rgb="FF000000"/>
      <name val="Times New Roman"/>
      <family val="1"/>
    </font>
    <font>
      <b/>
      <u/>
      <sz val="11"/>
      <name val="Arial"/>
      <family val="2"/>
    </font>
    <font>
      <b/>
      <sz val="14"/>
      <color rgb="FFFF0000"/>
      <name val="Arial"/>
      <family val="2"/>
    </font>
    <font>
      <sz val="10"/>
      <color rgb="FF00B0F0"/>
      <name val="Arial"/>
      <family val="2"/>
    </font>
    <font>
      <sz val="11"/>
      <color rgb="FFFF0000"/>
      <name val="Calibri"/>
      <family val="2"/>
      <scheme val="minor"/>
    </font>
    <font>
      <sz val="10"/>
      <color rgb="FF000000"/>
      <name val="Arial"/>
      <family val="2"/>
    </font>
    <font>
      <b/>
      <u/>
      <sz val="14"/>
      <name val="Arial"/>
      <family val="2"/>
    </font>
    <font>
      <b/>
      <u/>
      <sz val="12"/>
      <color theme="1"/>
      <name val="Calibri"/>
      <family val="2"/>
      <scheme val="minor"/>
    </font>
    <font>
      <b/>
      <u/>
      <sz val="11"/>
      <color rgb="FFC00000"/>
      <name val="Calibri"/>
      <family val="2"/>
      <scheme val="minor"/>
    </font>
    <font>
      <i/>
      <sz val="10"/>
      <color theme="1"/>
      <name val="Calibri"/>
      <family val="2"/>
      <scheme val="minor"/>
    </font>
  </fonts>
  <fills count="60">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EAF1DD"/>
        <bgColor indexed="64"/>
      </patternFill>
    </fill>
    <fill>
      <patternFill patternType="solid">
        <fgColor rgb="FFFF0000"/>
        <bgColor indexed="64"/>
      </patternFill>
    </fill>
    <fill>
      <patternFill patternType="solid">
        <fgColor rgb="FFFFFF99"/>
        <bgColor indexed="64"/>
      </patternFill>
    </fill>
    <fill>
      <patternFill patternType="solid">
        <fgColor indexed="9"/>
        <bgColor indexed="64"/>
      </patternFill>
    </fill>
    <fill>
      <patternFill patternType="solid">
        <fgColor indexed="44"/>
        <bgColor indexed="64"/>
      </patternFill>
    </fill>
    <fill>
      <patternFill patternType="solid">
        <fgColor rgb="FFFF99CC"/>
        <bgColor indexed="64"/>
      </patternFill>
    </fill>
    <fill>
      <patternFill patternType="solid">
        <fgColor rgb="FFFFFF00"/>
        <bgColor indexed="64"/>
      </patternFill>
    </fill>
    <fill>
      <patternFill patternType="solid">
        <fgColor indexed="47"/>
        <bgColor indexed="64"/>
      </patternFill>
    </fill>
    <fill>
      <patternFill patternType="solid">
        <fgColor indexed="41"/>
        <bgColor indexed="64"/>
      </patternFill>
    </fill>
    <fill>
      <patternFill patternType="solid">
        <fgColor indexed="46"/>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6600"/>
        <bgColor indexed="64"/>
      </patternFill>
    </fill>
    <fill>
      <patternFill patternType="solid">
        <fgColor rgb="FFCCFFFF"/>
        <bgColor indexed="64"/>
      </patternFill>
    </fill>
    <fill>
      <patternFill patternType="solid">
        <fgColor rgb="FF00FFFF"/>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indexed="43"/>
        <bgColor indexed="64"/>
      </patternFill>
    </fill>
    <fill>
      <patternFill patternType="solid">
        <fgColor indexed="42"/>
        <bgColor indexed="64"/>
      </patternFill>
    </fill>
    <fill>
      <patternFill patternType="solid">
        <fgColor rgb="FFFFCC99"/>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99FF99"/>
        <bgColor indexed="64"/>
      </patternFill>
    </fill>
    <fill>
      <patternFill patternType="solid">
        <fgColor rgb="FF66FFFF"/>
        <bgColor indexed="64"/>
      </patternFill>
    </fill>
    <fill>
      <patternFill patternType="solid">
        <fgColor rgb="FF9966FF"/>
        <bgColor indexed="64"/>
      </patternFill>
    </fill>
    <fill>
      <patternFill patternType="solid">
        <fgColor rgb="FFCC9900"/>
        <bgColor indexed="64"/>
      </patternFill>
    </fill>
    <fill>
      <patternFill patternType="solid">
        <fgColor rgb="FFFFCCCC"/>
        <bgColor indexed="64"/>
      </patternFill>
    </fill>
    <fill>
      <patternFill patternType="solid">
        <fgColor rgb="FFCCFF99"/>
        <bgColor indexed="64"/>
      </patternFill>
    </fill>
    <fill>
      <patternFill patternType="solid">
        <fgColor rgb="FFFF5050"/>
        <bgColor indexed="64"/>
      </patternFill>
    </fill>
    <fill>
      <patternFill patternType="solid">
        <fgColor theme="0" tint="-0.34998626667073579"/>
        <bgColor indexed="64"/>
      </patternFill>
    </fill>
    <fill>
      <patternFill patternType="solid">
        <fgColor rgb="FF99CCFF"/>
        <bgColor indexed="64"/>
      </patternFill>
    </fill>
    <fill>
      <patternFill patternType="solid">
        <fgColor rgb="FFFFFFCC"/>
        <bgColor indexed="64"/>
      </patternFill>
    </fill>
    <fill>
      <patternFill patternType="solid">
        <fgColor rgb="FFFF66CC"/>
        <bgColor indexed="64"/>
      </patternFill>
    </fill>
    <fill>
      <patternFill patternType="solid">
        <fgColor rgb="FF00FF99"/>
        <bgColor indexed="64"/>
      </patternFill>
    </fill>
    <fill>
      <patternFill patternType="solid">
        <fgColor rgb="FF33CCCC"/>
        <bgColor indexed="64"/>
      </patternFill>
    </fill>
    <fill>
      <patternFill patternType="solid">
        <fgColor rgb="FFFF9966"/>
        <bgColor indexed="64"/>
      </patternFill>
    </fill>
    <fill>
      <patternFill patternType="solid">
        <fgColor theme="0" tint="-0.499984740745262"/>
        <bgColor indexed="64"/>
      </patternFill>
    </fill>
    <fill>
      <patternFill patternType="solid">
        <fgColor rgb="FF00B050"/>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FFFF66"/>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C000"/>
        <bgColor indexed="64"/>
      </patternFill>
    </fill>
  </fills>
  <borders count="60">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top/>
      <bottom style="double">
        <color indexed="64"/>
      </bottom>
      <diagonal/>
    </border>
    <border>
      <left/>
      <right/>
      <top style="thin">
        <color indexed="64"/>
      </top>
      <bottom style="medium">
        <color indexed="64"/>
      </bottom>
      <diagonal/>
    </border>
    <border>
      <left/>
      <right/>
      <top/>
      <bottom style="thick">
        <color theme="2" tint="-0.24994659260841701"/>
      </bottom>
      <diagonal/>
    </border>
    <border>
      <left style="thick">
        <color theme="2" tint="-0.24994659260841701"/>
      </left>
      <right/>
      <top style="thick">
        <color theme="2" tint="-0.24994659260841701"/>
      </top>
      <bottom/>
      <diagonal/>
    </border>
    <border>
      <left/>
      <right/>
      <top style="thick">
        <color theme="2" tint="-0.24994659260841701"/>
      </top>
      <bottom/>
      <diagonal/>
    </border>
    <border>
      <left/>
      <right style="thick">
        <color theme="2" tint="-0.24994659260841701"/>
      </right>
      <top style="thick">
        <color theme="2" tint="-0.24994659260841701"/>
      </top>
      <bottom/>
      <diagonal/>
    </border>
    <border>
      <left style="thick">
        <color theme="2" tint="-0.24994659260841701"/>
      </left>
      <right/>
      <top/>
      <bottom/>
      <diagonal/>
    </border>
    <border>
      <left/>
      <right style="thick">
        <color theme="2" tint="-0.24994659260841701"/>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theme="2" tint="-0.24994659260841701"/>
      </left>
      <right/>
      <top/>
      <bottom style="thick">
        <color theme="2" tint="-0.24994659260841701"/>
      </bottom>
      <diagonal/>
    </border>
    <border>
      <left/>
      <right style="thick">
        <color theme="2" tint="-0.24994659260841701"/>
      </right>
      <top/>
      <bottom style="thick">
        <color theme="2" tint="-0.24994659260841701"/>
      </bottom>
      <diagonal/>
    </border>
    <border>
      <left/>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diagonal/>
    </border>
    <border>
      <left style="thin">
        <color indexed="64"/>
      </left>
      <right style="thin">
        <color indexed="64"/>
      </right>
      <top/>
      <bottom style="double">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medium">
        <color indexed="64"/>
      </left>
      <right style="medium">
        <color indexed="64"/>
      </right>
      <top style="medium">
        <color indexed="64"/>
      </top>
      <bottom style="medium">
        <color indexed="64"/>
      </bottom>
      <diagonal/>
    </border>
    <border>
      <left/>
      <right style="thin">
        <color theme="0" tint="-0.499984740745262"/>
      </right>
      <top style="thin">
        <color theme="0" tint="-0.499984740745262"/>
      </top>
      <bottom style="thin">
        <color theme="0" tint="-0.499984740745262"/>
      </bottom>
      <diagonal/>
    </border>
    <border>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s>
  <cellStyleXfs count="1213">
    <xf numFmtId="0" fontId="0" fillId="0" borderId="0"/>
    <xf numFmtId="9" fontId="27" fillId="0" borderId="0" applyFont="0" applyFill="0" applyBorder="0" applyAlignment="0" applyProtection="0"/>
    <xf numFmtId="44" fontId="29" fillId="0" borderId="0" applyFont="0" applyFill="0" applyBorder="0" applyAlignment="0" applyProtection="0"/>
    <xf numFmtId="0" fontId="39" fillId="0" borderId="0"/>
    <xf numFmtId="0" fontId="41" fillId="0" borderId="0"/>
    <xf numFmtId="44" fontId="41" fillId="0" borderId="0" applyFont="0" applyFill="0" applyBorder="0" applyAlignment="0" applyProtection="0"/>
    <xf numFmtId="43" fontId="21" fillId="0" borderId="0" applyFont="0" applyFill="0" applyBorder="0" applyAlignment="0" applyProtection="0"/>
    <xf numFmtId="44" fontId="41" fillId="0" borderId="0" applyFont="0" applyFill="0" applyBorder="0" applyAlignment="0" applyProtection="0"/>
    <xf numFmtId="44" fontId="22" fillId="0" borderId="0" applyFont="0" applyFill="0" applyBorder="0" applyAlignment="0" applyProtection="0"/>
    <xf numFmtId="44" fontId="41" fillId="0" borderId="0" applyFont="0" applyFill="0" applyBorder="0" applyAlignment="0" applyProtection="0"/>
    <xf numFmtId="0" fontId="41" fillId="0" borderId="0"/>
    <xf numFmtId="0" fontId="39" fillId="0" borderId="0"/>
    <xf numFmtId="0" fontId="41" fillId="0" borderId="0"/>
    <xf numFmtId="0" fontId="22" fillId="0" borderId="0"/>
    <xf numFmtId="9" fontId="41" fillId="0" borderId="0" applyFont="0" applyFill="0" applyBorder="0" applyAlignment="0" applyProtection="0"/>
    <xf numFmtId="9" fontId="47" fillId="0" borderId="0" applyFont="0" applyFill="0" applyBorder="0" applyAlignment="0" applyProtection="0"/>
    <xf numFmtId="0" fontId="21" fillId="0" borderId="0"/>
    <xf numFmtId="9" fontId="21" fillId="0" borderId="0" applyFont="0" applyFill="0" applyBorder="0" applyAlignment="0" applyProtection="0"/>
    <xf numFmtId="44" fontId="21" fillId="0" borderId="0" applyFont="0" applyFill="0" applyBorder="0" applyAlignment="0" applyProtection="0"/>
    <xf numFmtId="0" fontId="19" fillId="0" borderId="0"/>
    <xf numFmtId="44" fontId="19" fillId="0" borderId="0" applyFont="0" applyFill="0" applyBorder="0" applyAlignment="0" applyProtection="0"/>
    <xf numFmtId="9" fontId="19" fillId="0" borderId="0" applyFont="0" applyFill="0" applyBorder="0" applyAlignment="0" applyProtection="0"/>
    <xf numFmtId="0" fontId="18" fillId="0" borderId="0"/>
    <xf numFmtId="44" fontId="18"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164" fontId="39" fillId="0" borderId="0"/>
    <xf numFmtId="43" fontId="103" fillId="0" borderId="0" applyFont="0" applyFill="0" applyBorder="0" applyAlignment="0" applyProtection="0"/>
    <xf numFmtId="0" fontId="16" fillId="0" borderId="0"/>
    <xf numFmtId="44" fontId="16" fillId="0" borderId="0" applyFont="0" applyFill="0" applyBorder="0" applyAlignment="0" applyProtection="0"/>
    <xf numFmtId="9" fontId="16" fillId="0" borderId="0" applyFont="0" applyFill="0" applyBorder="0" applyAlignment="0" applyProtection="0"/>
    <xf numFmtId="0" fontId="16" fillId="0" borderId="0"/>
    <xf numFmtId="44" fontId="16" fillId="0" borderId="0" applyFont="0" applyFill="0" applyBorder="0" applyAlignment="0" applyProtection="0"/>
    <xf numFmtId="0" fontId="16" fillId="0" borderId="0"/>
    <xf numFmtId="43" fontId="16" fillId="0" borderId="0" applyFont="0" applyFill="0" applyBorder="0" applyAlignment="0" applyProtection="0"/>
    <xf numFmtId="9"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5" fillId="0" borderId="0"/>
    <xf numFmtId="44" fontId="15" fillId="0" borderId="0" applyFont="0" applyFill="0" applyBorder="0" applyAlignment="0" applyProtection="0"/>
    <xf numFmtId="43" fontId="15" fillId="0" borderId="0" applyFont="0" applyFill="0" applyBorder="0" applyAlignment="0" applyProtection="0"/>
    <xf numFmtId="0" fontId="14" fillId="0" borderId="0"/>
    <xf numFmtId="0" fontId="13" fillId="0" borderId="0"/>
    <xf numFmtId="44" fontId="13" fillId="0" borderId="0" applyFont="0" applyFill="0" applyBorder="0" applyAlignment="0" applyProtection="0"/>
    <xf numFmtId="9" fontId="13" fillId="0" borderId="0" applyFont="0" applyFill="0" applyBorder="0" applyAlignment="0" applyProtection="0"/>
    <xf numFmtId="0" fontId="13" fillId="0" borderId="0"/>
    <xf numFmtId="44" fontId="13"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0" fontId="13" fillId="0" borderId="0"/>
    <xf numFmtId="44" fontId="13" fillId="0" borderId="0" applyFont="0" applyFill="0" applyBorder="0" applyAlignment="0" applyProtection="0"/>
    <xf numFmtId="9" fontId="13" fillId="0" borderId="0" applyFont="0" applyFill="0" applyBorder="0" applyAlignment="0" applyProtection="0"/>
    <xf numFmtId="0" fontId="13" fillId="0" borderId="0"/>
    <xf numFmtId="44" fontId="13"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0" fontId="13" fillId="0" borderId="0"/>
    <xf numFmtId="44" fontId="13" fillId="0" borderId="0" applyFont="0" applyFill="0" applyBorder="0" applyAlignment="0" applyProtection="0"/>
    <xf numFmtId="43" fontId="13" fillId="0" borderId="0" applyFont="0" applyFill="0" applyBorder="0" applyAlignment="0" applyProtection="0"/>
    <xf numFmtId="0" fontId="115" fillId="0" borderId="0" applyNumberFormat="0" applyFill="0" applyBorder="0" applyAlignment="0" applyProtection="0">
      <alignment vertical="top"/>
      <protection locked="0"/>
    </xf>
    <xf numFmtId="0" fontId="12" fillId="0" borderId="0"/>
    <xf numFmtId="44" fontId="12"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0" fontId="11"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0" fontId="11"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44"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44" fontId="11" fillId="0" borderId="0" applyFont="0" applyFill="0" applyBorder="0" applyAlignment="0" applyProtection="0"/>
    <xf numFmtId="9" fontId="11" fillId="0" borderId="0" applyFont="0" applyFill="0" applyBorder="0" applyAlignment="0" applyProtection="0"/>
    <xf numFmtId="0" fontId="11"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0" fontId="11"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44" fontId="11" fillId="0" borderId="0" applyFont="0" applyFill="0" applyBorder="0" applyAlignment="0" applyProtection="0"/>
    <xf numFmtId="43" fontId="11" fillId="0" borderId="0" applyFont="0" applyFill="0" applyBorder="0" applyAlignment="0" applyProtection="0"/>
    <xf numFmtId="0" fontId="116" fillId="0" borderId="0" applyNumberFormat="0" applyFill="0" applyBorder="0" applyAlignment="0" applyProtection="0">
      <alignment vertical="top"/>
      <protection locked="0"/>
    </xf>
    <xf numFmtId="0" fontId="11" fillId="0" borderId="0"/>
    <xf numFmtId="0" fontId="11" fillId="0" borderId="0"/>
    <xf numFmtId="44" fontId="11" fillId="0" borderId="0" applyFont="0" applyFill="0" applyBorder="0" applyAlignment="0" applyProtection="0"/>
    <xf numFmtId="9" fontId="11" fillId="0" borderId="0" applyFont="0" applyFill="0" applyBorder="0" applyAlignment="0" applyProtection="0"/>
    <xf numFmtId="0" fontId="11"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0" fontId="11"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44"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44" fontId="11" fillId="0" borderId="0" applyFont="0" applyFill="0" applyBorder="0" applyAlignment="0" applyProtection="0"/>
    <xf numFmtId="9" fontId="11" fillId="0" borderId="0" applyFont="0" applyFill="0" applyBorder="0" applyAlignment="0" applyProtection="0"/>
    <xf numFmtId="0" fontId="11"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0" fontId="11"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44" fontId="11" fillId="0" borderId="0" applyFont="0" applyFill="0" applyBorder="0" applyAlignment="0" applyProtection="0"/>
    <xf numFmtId="43" fontId="11" fillId="0" borderId="0" applyFont="0" applyFill="0" applyBorder="0" applyAlignment="0" applyProtection="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9"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4" fontId="8" fillId="0" borderId="0" applyFont="0" applyFill="0" applyBorder="0" applyAlignment="0" applyProtection="0"/>
    <xf numFmtId="9" fontId="8" fillId="0" borderId="0" applyFont="0" applyFill="0" applyBorder="0" applyAlignment="0" applyProtection="0"/>
    <xf numFmtId="0" fontId="8"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2" fillId="0" borderId="0"/>
    <xf numFmtId="0" fontId="2" fillId="0" borderId="0"/>
    <xf numFmtId="0" fontId="1" fillId="0" borderId="0"/>
    <xf numFmtId="0" fontId="21" fillId="0" borderId="0"/>
    <xf numFmtId="9" fontId="21" fillId="0" borderId="0" applyFont="0" applyFill="0" applyBorder="0" applyAlignment="0" applyProtection="0"/>
    <xf numFmtId="44" fontId="2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2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15"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1276">
    <xf numFmtId="0" fontId="0" fillId="0" borderId="0" xfId="0"/>
    <xf numFmtId="0" fontId="21" fillId="0" borderId="0" xfId="0" applyFont="1"/>
    <xf numFmtId="38" fontId="0" fillId="0" borderId="0" xfId="0" applyNumberFormat="1" applyFill="1"/>
    <xf numFmtId="0" fontId="21" fillId="0" borderId="0" xfId="0" applyFont="1" applyAlignment="1">
      <alignment horizontal="center"/>
    </xf>
    <xf numFmtId="0" fontId="0" fillId="0" borderId="7" xfId="0" applyBorder="1"/>
    <xf numFmtId="0" fontId="0" fillId="0" borderId="0" xfId="0" applyBorder="1"/>
    <xf numFmtId="0" fontId="20" fillId="0" borderId="7" xfId="0" applyFont="1" applyBorder="1"/>
    <xf numFmtId="0" fontId="21" fillId="0" borderId="7" xfId="0" applyFont="1" applyBorder="1"/>
    <xf numFmtId="0" fontId="0" fillId="0" borderId="7" xfId="0" applyFill="1" applyBorder="1"/>
    <xf numFmtId="0" fontId="21" fillId="0" borderId="7" xfId="0" applyFont="1" applyFill="1" applyBorder="1"/>
    <xf numFmtId="0" fontId="28" fillId="0" borderId="7" xfId="0" applyFont="1" applyBorder="1"/>
    <xf numFmtId="0" fontId="30" fillId="0" borderId="7" xfId="0" applyFont="1" applyBorder="1"/>
    <xf numFmtId="0" fontId="28" fillId="0" borderId="7" xfId="0" applyFont="1" applyFill="1" applyBorder="1"/>
    <xf numFmtId="38" fontId="32" fillId="0" borderId="4" xfId="0" applyNumberFormat="1" applyFont="1" applyFill="1" applyBorder="1"/>
    <xf numFmtId="165" fontId="32" fillId="0" borderId="7" xfId="2" applyNumberFormat="1" applyFont="1" applyFill="1" applyBorder="1"/>
    <xf numFmtId="165" fontId="31" fillId="0" borderId="13" xfId="2" applyNumberFormat="1" applyFont="1" applyFill="1" applyBorder="1"/>
    <xf numFmtId="165" fontId="33" fillId="0" borderId="11" xfId="2" applyNumberFormat="1" applyFont="1" applyFill="1" applyBorder="1"/>
    <xf numFmtId="165" fontId="32" fillId="0" borderId="9" xfId="2" applyNumberFormat="1" applyFont="1" applyFill="1" applyBorder="1" applyAlignment="1">
      <alignment horizontal="right"/>
    </xf>
    <xf numFmtId="38" fontId="32" fillId="0" borderId="7" xfId="0" applyNumberFormat="1" applyFont="1" applyFill="1" applyBorder="1"/>
    <xf numFmtId="38" fontId="32" fillId="0" borderId="6" xfId="0" applyNumberFormat="1" applyFont="1" applyFill="1" applyBorder="1"/>
    <xf numFmtId="0" fontId="40" fillId="0" borderId="16" xfId="3" applyFont="1" applyBorder="1" applyAlignment="1">
      <alignment horizontal="center"/>
    </xf>
    <xf numFmtId="0" fontId="40" fillId="0" borderId="16" xfId="3" applyFont="1" applyFill="1" applyBorder="1" applyAlignment="1">
      <alignment horizontal="center"/>
    </xf>
    <xf numFmtId="0" fontId="43" fillId="2" borderId="16" xfId="3" applyFont="1" applyFill="1" applyBorder="1" applyAlignment="1">
      <alignment horizontal="center"/>
    </xf>
    <xf numFmtId="0" fontId="43" fillId="2" borderId="0" xfId="3" applyFont="1" applyFill="1" applyAlignment="1">
      <alignment horizontal="left"/>
    </xf>
    <xf numFmtId="0" fontId="43" fillId="2" borderId="0" xfId="3" applyFont="1" applyFill="1" applyAlignment="1">
      <alignment horizontal="center"/>
    </xf>
    <xf numFmtId="9" fontId="43" fillId="2" borderId="0" xfId="3" applyNumberFormat="1" applyFont="1" applyFill="1" applyAlignment="1">
      <alignment horizontal="center"/>
    </xf>
    <xf numFmtId="165" fontId="49" fillId="0" borderId="8" xfId="2" applyNumberFormat="1" applyFont="1" applyBorder="1"/>
    <xf numFmtId="165" fontId="48" fillId="0" borderId="15" xfId="2" applyNumberFormat="1" applyFont="1" applyFill="1" applyBorder="1"/>
    <xf numFmtId="165" fontId="49" fillId="0" borderId="10" xfId="2" applyNumberFormat="1" applyFont="1" applyBorder="1"/>
    <xf numFmtId="165" fontId="49" fillId="0" borderId="8" xfId="2" applyNumberFormat="1" applyFont="1" applyFill="1" applyBorder="1"/>
    <xf numFmtId="165" fontId="51" fillId="0" borderId="8" xfId="2" applyNumberFormat="1" applyFont="1" applyBorder="1" applyAlignment="1">
      <alignment horizontal="right"/>
    </xf>
    <xf numFmtId="165" fontId="50" fillId="0" borderId="12" xfId="2" applyNumberFormat="1" applyFont="1" applyFill="1" applyBorder="1"/>
    <xf numFmtId="165" fontId="49" fillId="0" borderId="8" xfId="2" applyNumberFormat="1" applyFont="1" applyBorder="1" applyAlignment="1">
      <alignment horizontal="right"/>
    </xf>
    <xf numFmtId="0" fontId="21" fillId="0" borderId="0" xfId="16"/>
    <xf numFmtId="0" fontId="21" fillId="0" borderId="0" xfId="16" applyBorder="1"/>
    <xf numFmtId="165" fontId="20" fillId="0" borderId="13" xfId="2" applyNumberFormat="1" applyFont="1" applyFill="1" applyBorder="1"/>
    <xf numFmtId="38" fontId="0" fillId="0" borderId="4" xfId="0" applyNumberFormat="1" applyFill="1" applyBorder="1"/>
    <xf numFmtId="165" fontId="0" fillId="0" borderId="7" xfId="2" applyNumberFormat="1" applyFont="1" applyFill="1" applyBorder="1"/>
    <xf numFmtId="165" fontId="0" fillId="0" borderId="9" xfId="2" applyNumberFormat="1" applyFont="1" applyFill="1" applyBorder="1"/>
    <xf numFmtId="165" fontId="30" fillId="0" borderId="11" xfId="2" applyNumberFormat="1" applyFont="1" applyFill="1" applyBorder="1"/>
    <xf numFmtId="0" fontId="21" fillId="0" borderId="9" xfId="0" applyFont="1" applyBorder="1"/>
    <xf numFmtId="0" fontId="21" fillId="0" borderId="18" xfId="0" applyFont="1" applyFill="1" applyBorder="1"/>
    <xf numFmtId="0" fontId="0" fillId="0" borderId="9" xfId="0" applyFill="1" applyBorder="1"/>
    <xf numFmtId="0" fontId="20" fillId="0" borderId="0" xfId="0" applyFont="1"/>
    <xf numFmtId="166" fontId="21" fillId="0" borderId="0" xfId="1" applyNumberFormat="1" applyFont="1" applyAlignment="1">
      <alignment horizontal="center"/>
    </xf>
    <xf numFmtId="10" fontId="0" fillId="0" borderId="0" xfId="1" applyNumberFormat="1" applyFont="1"/>
    <xf numFmtId="10" fontId="21" fillId="0" borderId="0" xfId="1" applyNumberFormat="1" applyFont="1" applyAlignment="1">
      <alignment horizontal="center"/>
    </xf>
    <xf numFmtId="0" fontId="23" fillId="0" borderId="0" xfId="0" applyFont="1" applyBorder="1" applyAlignment="1">
      <alignment horizontal="center"/>
    </xf>
    <xf numFmtId="0" fontId="22" fillId="0" borderId="0" xfId="0" applyFont="1" applyBorder="1" applyAlignment="1">
      <alignment horizontal="center"/>
    </xf>
    <xf numFmtId="10" fontId="0" fillId="0" borderId="7" xfId="1" applyNumberFormat="1" applyFont="1" applyFill="1" applyBorder="1"/>
    <xf numFmtId="0" fontId="57" fillId="2" borderId="0" xfId="3" applyFont="1" applyFill="1" applyAlignment="1">
      <alignment horizontal="left"/>
    </xf>
    <xf numFmtId="0" fontId="60" fillId="0" borderId="0" xfId="3" applyFont="1" applyAlignment="1">
      <alignment horizontal="left"/>
    </xf>
    <xf numFmtId="0" fontId="60" fillId="0" borderId="0" xfId="3" applyFont="1" applyAlignment="1">
      <alignment horizontal="center"/>
    </xf>
    <xf numFmtId="9" fontId="57" fillId="0" borderId="0" xfId="3" applyNumberFormat="1" applyFont="1" applyFill="1"/>
    <xf numFmtId="0" fontId="57" fillId="0" borderId="0" xfId="3" applyFont="1" applyFill="1" applyAlignment="1">
      <alignment horizontal="left"/>
    </xf>
    <xf numFmtId="0" fontId="57" fillId="0" borderId="0" xfId="3" applyFont="1" applyFill="1"/>
    <xf numFmtId="41" fontId="60" fillId="0" borderId="0" xfId="3" applyNumberFormat="1" applyFont="1" applyFill="1"/>
    <xf numFmtId="0" fontId="60" fillId="0" borderId="0" xfId="3" quotePrefix="1" applyFont="1" applyAlignment="1"/>
    <xf numFmtId="0" fontId="62" fillId="0" borderId="0" xfId="0" applyFont="1" applyFill="1" applyAlignment="1" applyProtection="1">
      <alignment horizontal="left" vertical="center"/>
    </xf>
    <xf numFmtId="0" fontId="60" fillId="0" borderId="0" xfId="3" applyFont="1" applyAlignment="1">
      <alignment wrapText="1"/>
    </xf>
    <xf numFmtId="0" fontId="60" fillId="0" borderId="17" xfId="3" applyFont="1" applyBorder="1" applyAlignment="1">
      <alignment horizontal="center"/>
    </xf>
    <xf numFmtId="0" fontId="60" fillId="0" borderId="16" xfId="3" applyFont="1" applyBorder="1" applyAlignment="1">
      <alignment horizontal="center"/>
    </xf>
    <xf numFmtId="0" fontId="63" fillId="3" borderId="0" xfId="3" applyFont="1" applyFill="1" applyAlignment="1">
      <alignment horizontal="center"/>
    </xf>
    <xf numFmtId="0" fontId="60" fillId="0" borderId="0" xfId="3" applyFont="1" applyFill="1" applyAlignment="1">
      <alignment horizontal="center"/>
    </xf>
    <xf numFmtId="0" fontId="58" fillId="0" borderId="0" xfId="3" applyFont="1" applyFill="1" applyAlignment="1">
      <alignment horizontal="left"/>
    </xf>
    <xf numFmtId="0" fontId="60" fillId="0" borderId="0" xfId="3" applyFont="1" applyFill="1" applyAlignment="1">
      <alignment horizontal="left"/>
    </xf>
    <xf numFmtId="10" fontId="60" fillId="0" borderId="0" xfId="3" applyNumberFormat="1" applyFont="1" applyFill="1"/>
    <xf numFmtId="1" fontId="60" fillId="0" borderId="0" xfId="3" applyNumberFormat="1" applyFont="1" applyFill="1"/>
    <xf numFmtId="0" fontId="61" fillId="0" borderId="0" xfId="3" applyFont="1" applyFill="1" applyAlignment="1">
      <alignment horizontal="left"/>
    </xf>
    <xf numFmtId="0" fontId="61" fillId="0" borderId="0" xfId="3" applyFont="1" applyFill="1"/>
    <xf numFmtId="9" fontId="61" fillId="0" borderId="0" xfId="3" applyNumberFormat="1" applyFont="1" applyFill="1"/>
    <xf numFmtId="41" fontId="61" fillId="0" borderId="0" xfId="3" applyNumberFormat="1" applyFont="1" applyFill="1"/>
    <xf numFmtId="1" fontId="61" fillId="0" borderId="0" xfId="3" applyNumberFormat="1" applyFont="1" applyFill="1"/>
    <xf numFmtId="0" fontId="59" fillId="0" borderId="0" xfId="3" applyFont="1" applyFill="1" applyBorder="1" applyAlignment="1">
      <alignment horizontal="left"/>
    </xf>
    <xf numFmtId="41" fontId="57" fillId="0" borderId="0" xfId="3" applyNumberFormat="1" applyFont="1" applyFill="1"/>
    <xf numFmtId="0" fontId="44" fillId="0" borderId="0" xfId="3" applyFont="1" applyFill="1" applyAlignment="1">
      <alignment horizontal="left"/>
    </xf>
    <xf numFmtId="0" fontId="46" fillId="0" borderId="0" xfId="3" applyFont="1" applyFill="1" applyBorder="1" applyAlignment="1">
      <alignment horizontal="left"/>
    </xf>
    <xf numFmtId="0" fontId="40" fillId="0" borderId="0" xfId="3" applyFont="1" applyFill="1"/>
    <xf numFmtId="0" fontId="58" fillId="0" borderId="0" xfId="3" applyFont="1" applyFill="1"/>
    <xf numFmtId="9" fontId="58" fillId="0" borderId="0" xfId="3" applyNumberFormat="1" applyFont="1" applyFill="1"/>
    <xf numFmtId="41" fontId="58" fillId="0" borderId="0" xfId="3" applyNumberFormat="1" applyFont="1" applyFill="1"/>
    <xf numFmtId="1" fontId="58" fillId="0" borderId="0" xfId="3" applyNumberFormat="1" applyFont="1" applyFill="1"/>
    <xf numFmtId="0" fontId="63" fillId="5" borderId="0" xfId="3" applyFont="1" applyFill="1" applyAlignment="1">
      <alignment horizontal="center"/>
    </xf>
    <xf numFmtId="0" fontId="60" fillId="5" borderId="16" xfId="3" applyFont="1" applyFill="1" applyBorder="1" applyAlignment="1">
      <alignment horizontal="center"/>
    </xf>
    <xf numFmtId="0" fontId="60" fillId="2" borderId="16" xfId="3" applyFont="1" applyFill="1" applyBorder="1" applyAlignment="1">
      <alignment horizontal="center"/>
    </xf>
    <xf numFmtId="0" fontId="60" fillId="2" borderId="16" xfId="3" applyFont="1" applyFill="1" applyBorder="1" applyAlignment="1">
      <alignment horizontal="center" wrapText="1"/>
    </xf>
    <xf numFmtId="0" fontId="64" fillId="0" borderId="22" xfId="16" applyFont="1" applyBorder="1" applyAlignment="1">
      <alignment horizontal="left"/>
    </xf>
    <xf numFmtId="0" fontId="21" fillId="0" borderId="23" xfId="16" applyBorder="1"/>
    <xf numFmtId="0" fontId="21" fillId="0" borderId="24" xfId="16" applyBorder="1"/>
    <xf numFmtId="0" fontId="65" fillId="0" borderId="25" xfId="16" applyFont="1" applyBorder="1" applyAlignment="1">
      <alignment horizontal="left"/>
    </xf>
    <xf numFmtId="0" fontId="21" fillId="0" borderId="26" xfId="16" applyBorder="1"/>
    <xf numFmtId="0" fontId="21" fillId="0" borderId="25" xfId="16" applyBorder="1" applyAlignment="1">
      <alignment horizontal="center"/>
    </xf>
    <xf numFmtId="0" fontId="21" fillId="0" borderId="25" xfId="16" applyBorder="1"/>
    <xf numFmtId="0" fontId="21" fillId="0" borderId="0" xfId="16" applyFont="1" applyBorder="1" applyAlignment="1">
      <alignment horizontal="center" vertical="justify" wrapText="1"/>
    </xf>
    <xf numFmtId="0" fontId="21" fillId="0" borderId="26" xfId="16" applyFont="1" applyBorder="1" applyAlignment="1">
      <alignment horizontal="center"/>
    </xf>
    <xf numFmtId="0" fontId="21" fillId="0" borderId="25" xfId="16" applyBorder="1" applyAlignment="1">
      <alignment horizontal="right"/>
    </xf>
    <xf numFmtId="167" fontId="0" fillId="0" borderId="0" xfId="6" applyNumberFormat="1" applyFont="1" applyBorder="1"/>
    <xf numFmtId="0" fontId="21" fillId="0" borderId="25" xfId="16" applyFont="1" applyFill="1" applyBorder="1" applyAlignment="1">
      <alignment horizontal="right"/>
    </xf>
    <xf numFmtId="0" fontId="21" fillId="0" borderId="28" xfId="16" applyFont="1" applyFill="1" applyBorder="1" applyAlignment="1">
      <alignment horizontal="right"/>
    </xf>
    <xf numFmtId="167" fontId="0" fillId="0" borderId="20" xfId="6" applyNumberFormat="1" applyFont="1" applyBorder="1"/>
    <xf numFmtId="0" fontId="21" fillId="0" borderId="29" xfId="16" applyBorder="1"/>
    <xf numFmtId="0" fontId="0" fillId="0" borderId="0" xfId="0" applyFill="1"/>
    <xf numFmtId="166" fontId="20" fillId="0" borderId="0" xfId="1" applyNumberFormat="1" applyFont="1"/>
    <xf numFmtId="5" fontId="20" fillId="0" borderId="0" xfId="0" applyNumberFormat="1" applyFont="1"/>
    <xf numFmtId="0" fontId="20" fillId="0" borderId="0" xfId="0" applyFont="1" applyAlignment="1">
      <alignment horizontal="right"/>
    </xf>
    <xf numFmtId="38" fontId="48" fillId="0" borderId="6" xfId="0" applyNumberFormat="1" applyFont="1" applyFill="1" applyBorder="1" applyAlignment="1">
      <alignment horizontal="center" wrapText="1"/>
    </xf>
    <xf numFmtId="0" fontId="68" fillId="0" borderId="0" xfId="0" applyFont="1" applyBorder="1" applyAlignment="1">
      <alignment horizontal="center"/>
    </xf>
    <xf numFmtId="0" fontId="0" fillId="0" borderId="26" xfId="0" applyBorder="1"/>
    <xf numFmtId="0" fontId="0" fillId="0" borderId="20" xfId="0" applyBorder="1"/>
    <xf numFmtId="38" fontId="48" fillId="0" borderId="8" xfId="0" quotePrefix="1" applyNumberFormat="1" applyFont="1" applyFill="1" applyBorder="1" applyAlignment="1">
      <alignment horizontal="center" wrapText="1"/>
    </xf>
    <xf numFmtId="0" fontId="0" fillId="0" borderId="0" xfId="0" applyFill="1" applyBorder="1"/>
    <xf numFmtId="0" fontId="71" fillId="0" borderId="0" xfId="0" applyFont="1"/>
    <xf numFmtId="0" fontId="72" fillId="0" borderId="0" xfId="0" applyFont="1"/>
    <xf numFmtId="40" fontId="0" fillId="0" borderId="0" xfId="0" applyNumberFormat="1" applyAlignment="1">
      <alignment horizontal="center"/>
    </xf>
    <xf numFmtId="0" fontId="0" fillId="0" borderId="1" xfId="0" applyBorder="1"/>
    <xf numFmtId="0" fontId="21" fillId="0" borderId="1" xfId="0" applyFont="1" applyFill="1" applyBorder="1"/>
    <xf numFmtId="0" fontId="0" fillId="0" borderId="29" xfId="0" applyBorder="1"/>
    <xf numFmtId="2" fontId="0" fillId="0" borderId="0" xfId="0" applyNumberFormat="1"/>
    <xf numFmtId="40" fontId="25" fillId="0" borderId="0" xfId="0" applyNumberFormat="1" applyFont="1" applyFill="1"/>
    <xf numFmtId="49" fontId="77" fillId="0" borderId="0" xfId="0" applyNumberFormat="1" applyFont="1" applyAlignment="1">
      <alignment horizontal="right"/>
    </xf>
    <xf numFmtId="40" fontId="25" fillId="0" borderId="0" xfId="0" applyNumberFormat="1" applyFont="1" applyFill="1" applyAlignment="1">
      <alignment horizontal="right"/>
    </xf>
    <xf numFmtId="0" fontId="25" fillId="0" borderId="0" xfId="0" applyFont="1"/>
    <xf numFmtId="40" fontId="21" fillId="0" borderId="0" xfId="0" applyNumberFormat="1" applyFont="1" applyFill="1" applyBorder="1" applyAlignment="1">
      <alignment horizontal="right"/>
    </xf>
    <xf numFmtId="49" fontId="78" fillId="0" borderId="0" xfId="0" applyNumberFormat="1" applyFont="1" applyFill="1" applyAlignment="1">
      <alignment horizontal="right"/>
    </xf>
    <xf numFmtId="40" fontId="21" fillId="0" borderId="0" xfId="0" applyNumberFormat="1" applyFont="1" applyAlignment="1">
      <alignment horizontal="right"/>
    </xf>
    <xf numFmtId="40" fontId="21" fillId="0" borderId="0" xfId="0" applyNumberFormat="1" applyFont="1" applyFill="1" applyAlignment="1">
      <alignment horizontal="right"/>
    </xf>
    <xf numFmtId="49" fontId="78" fillId="0" borderId="0" xfId="0" applyNumberFormat="1" applyFont="1" applyAlignment="1">
      <alignment horizontal="right"/>
    </xf>
    <xf numFmtId="40" fontId="21" fillId="0" borderId="0" xfId="0" applyNumberFormat="1" applyFont="1" applyFill="1"/>
    <xf numFmtId="40" fontId="21" fillId="0" borderId="1" xfId="0" applyNumberFormat="1" applyFont="1" applyFill="1" applyBorder="1" applyAlignment="1">
      <alignment horizontal="right"/>
    </xf>
    <xf numFmtId="164" fontId="21" fillId="0" borderId="0" xfId="0" applyNumberFormat="1" applyFont="1" applyFill="1" applyAlignment="1">
      <alignment horizontal="right"/>
    </xf>
    <xf numFmtId="0" fontId="21" fillId="0" borderId="0" xfId="0" applyFont="1" applyFill="1"/>
    <xf numFmtId="0" fontId="81" fillId="2" borderId="0" xfId="3" applyFont="1" applyFill="1" applyAlignment="1">
      <alignment horizontal="center"/>
    </xf>
    <xf numFmtId="0" fontId="23" fillId="2" borderId="0" xfId="0" applyFont="1" applyFill="1" applyBorder="1" applyAlignment="1">
      <alignment horizontal="center"/>
    </xf>
    <xf numFmtId="0" fontId="22" fillId="2" borderId="0" xfId="0" applyFont="1" applyFill="1" applyBorder="1" applyAlignment="1">
      <alignment horizontal="center"/>
    </xf>
    <xf numFmtId="0" fontId="21" fillId="2" borderId="0" xfId="0" applyFont="1" applyFill="1" applyAlignment="1">
      <alignment horizontal="center"/>
    </xf>
    <xf numFmtId="10" fontId="21" fillId="2" borderId="0" xfId="1" applyNumberFormat="1" applyFont="1" applyFill="1" applyAlignment="1">
      <alignment horizontal="center"/>
    </xf>
    <xf numFmtId="166" fontId="21" fillId="2" borderId="0" xfId="1" applyNumberFormat="1" applyFont="1" applyFill="1" applyAlignment="1">
      <alignment horizontal="center"/>
    </xf>
    <xf numFmtId="38" fontId="48" fillId="2" borderId="6" xfId="0" applyNumberFormat="1" applyFont="1" applyFill="1" applyBorder="1" applyAlignment="1">
      <alignment horizontal="center" wrapText="1"/>
    </xf>
    <xf numFmtId="38" fontId="48" fillId="2" borderId="0" xfId="0" applyNumberFormat="1" applyFont="1" applyFill="1" applyBorder="1" applyAlignment="1">
      <alignment horizontal="center" wrapText="1"/>
    </xf>
    <xf numFmtId="38" fontId="21" fillId="2" borderId="0" xfId="0" applyNumberFormat="1" applyFont="1" applyFill="1" applyBorder="1" applyAlignment="1">
      <alignment horizontal="center" wrapText="1"/>
    </xf>
    <xf numFmtId="38" fontId="48" fillId="2" borderId="10" xfId="0" quotePrefix="1" applyNumberFormat="1" applyFont="1" applyFill="1" applyBorder="1" applyAlignment="1">
      <alignment horizontal="center" wrapText="1"/>
    </xf>
    <xf numFmtId="38" fontId="48" fillId="2" borderId="0" xfId="0" quotePrefix="1" applyNumberFormat="1" applyFont="1" applyFill="1" applyBorder="1" applyAlignment="1">
      <alignment horizontal="center" wrapText="1"/>
    </xf>
    <xf numFmtId="38" fontId="32" fillId="2" borderId="6" xfId="0" applyNumberFormat="1" applyFont="1" applyFill="1" applyBorder="1"/>
    <xf numFmtId="38" fontId="49" fillId="2" borderId="21" xfId="0" applyNumberFormat="1" applyFont="1" applyFill="1" applyBorder="1"/>
    <xf numFmtId="38" fontId="37" fillId="2" borderId="6" xfId="0" applyNumberFormat="1" applyFont="1" applyFill="1" applyBorder="1"/>
    <xf numFmtId="38" fontId="49" fillId="2" borderId="0" xfId="0" applyNumberFormat="1" applyFont="1" applyFill="1" applyBorder="1"/>
    <xf numFmtId="38" fontId="21" fillId="2" borderId="0" xfId="0" applyNumberFormat="1" applyFont="1" applyFill="1" applyBorder="1" applyAlignment="1">
      <alignment horizontal="center"/>
    </xf>
    <xf numFmtId="165" fontId="49" fillId="2" borderId="0" xfId="2" applyNumberFormat="1" applyFont="1" applyFill="1" applyBorder="1"/>
    <xf numFmtId="165" fontId="26" fillId="2" borderId="17" xfId="2" applyNumberFormat="1" applyFont="1" applyFill="1" applyBorder="1"/>
    <xf numFmtId="165" fontId="37" fillId="2" borderId="8" xfId="2" applyNumberFormat="1" applyFont="1" applyFill="1" applyBorder="1"/>
    <xf numFmtId="165" fontId="21" fillId="2" borderId="0" xfId="2" applyNumberFormat="1" applyFont="1" applyFill="1" applyBorder="1" applyAlignment="1">
      <alignment horizontal="center"/>
    </xf>
    <xf numFmtId="165" fontId="48" fillId="2" borderId="14" xfId="2" applyNumberFormat="1" applyFont="1" applyFill="1" applyBorder="1"/>
    <xf numFmtId="165" fontId="34" fillId="2" borderId="16" xfId="2" applyNumberFormat="1" applyFont="1" applyFill="1" applyBorder="1"/>
    <xf numFmtId="165" fontId="36" fillId="2" borderId="15" xfId="2" applyNumberFormat="1" applyFont="1" applyFill="1" applyBorder="1"/>
    <xf numFmtId="165" fontId="48" fillId="2" borderId="0" xfId="2" applyNumberFormat="1" applyFont="1" applyFill="1" applyBorder="1"/>
    <xf numFmtId="165" fontId="49" fillId="2" borderId="1" xfId="2" applyNumberFormat="1" applyFont="1" applyFill="1" applyBorder="1"/>
    <xf numFmtId="165" fontId="26" fillId="2" borderId="18" xfId="2" applyNumberFormat="1" applyFont="1" applyFill="1" applyBorder="1"/>
    <xf numFmtId="165" fontId="37" fillId="2" borderId="10" xfId="2" applyNumberFormat="1" applyFont="1" applyFill="1" applyBorder="1"/>
    <xf numFmtId="10" fontId="26" fillId="2" borderId="17" xfId="1" applyNumberFormat="1" applyFont="1" applyFill="1" applyBorder="1"/>
    <xf numFmtId="165" fontId="32" fillId="2" borderId="7" xfId="2" applyNumberFormat="1" applyFont="1" applyFill="1" applyBorder="1"/>
    <xf numFmtId="165" fontId="51" fillId="2" borderId="0" xfId="2" applyNumberFormat="1" applyFont="1" applyFill="1" applyBorder="1" applyAlignment="1">
      <alignment horizontal="right"/>
    </xf>
    <xf numFmtId="165" fontId="67" fillId="2" borderId="8" xfId="2" applyNumberFormat="1" applyFont="1" applyFill="1" applyBorder="1" applyAlignment="1">
      <alignment horizontal="right"/>
    </xf>
    <xf numFmtId="165" fontId="22" fillId="2" borderId="0" xfId="2" applyNumberFormat="1" applyFont="1" applyFill="1" applyBorder="1" applyAlignment="1">
      <alignment horizontal="center"/>
    </xf>
    <xf numFmtId="165" fontId="50" fillId="2" borderId="2" xfId="2" applyNumberFormat="1" applyFont="1" applyFill="1" applyBorder="1"/>
    <xf numFmtId="165" fontId="35" fillId="2" borderId="19" xfId="2" applyNumberFormat="1" applyFont="1" applyFill="1" applyBorder="1"/>
    <xf numFmtId="165" fontId="38" fillId="2" borderId="12" xfId="2" applyNumberFormat="1" applyFont="1" applyFill="1" applyBorder="1"/>
    <xf numFmtId="165" fontId="50" fillId="2" borderId="0" xfId="2" applyNumberFormat="1" applyFont="1" applyFill="1" applyBorder="1"/>
    <xf numFmtId="165" fontId="28" fillId="2" borderId="0" xfId="2" applyNumberFormat="1" applyFont="1" applyFill="1" applyBorder="1" applyAlignment="1">
      <alignment horizontal="center"/>
    </xf>
    <xf numFmtId="165" fontId="49" fillId="2" borderId="8" xfId="2" applyNumberFormat="1" applyFont="1" applyFill="1" applyBorder="1" applyAlignment="1">
      <alignment horizontal="right"/>
    </xf>
    <xf numFmtId="165" fontId="37" fillId="2" borderId="8" xfId="2" applyNumberFormat="1" applyFont="1" applyFill="1" applyBorder="1" applyAlignment="1">
      <alignment horizontal="right"/>
    </xf>
    <xf numFmtId="165" fontId="49" fillId="2" borderId="0" xfId="2" applyNumberFormat="1" applyFont="1" applyFill="1" applyBorder="1" applyAlignment="1">
      <alignment horizontal="right"/>
    </xf>
    <xf numFmtId="165" fontId="50" fillId="2" borderId="12" xfId="2" applyNumberFormat="1" applyFont="1" applyFill="1" applyBorder="1"/>
    <xf numFmtId="0" fontId="24" fillId="0" borderId="0" xfId="0" applyFont="1" applyFill="1"/>
    <xf numFmtId="38" fontId="69" fillId="16" borderId="0" xfId="0" applyNumberFormat="1" applyFont="1" applyFill="1" applyBorder="1" applyAlignment="1">
      <alignment horizontal="center"/>
    </xf>
    <xf numFmtId="40" fontId="20" fillId="16" borderId="0" xfId="0" applyNumberFormat="1" applyFont="1" applyFill="1" applyBorder="1"/>
    <xf numFmtId="0" fontId="82" fillId="0" borderId="0" xfId="0" applyFont="1" applyFill="1" applyBorder="1" applyAlignment="1">
      <alignment horizontal="left"/>
    </xf>
    <xf numFmtId="0" fontId="82" fillId="0" borderId="0" xfId="0" applyFont="1" applyFill="1" applyBorder="1" applyAlignment="1">
      <alignment horizontal="center"/>
    </xf>
    <xf numFmtId="0" fontId="23" fillId="0" borderId="0" xfId="0" applyFont="1" applyFill="1" applyBorder="1" applyAlignment="1">
      <alignment horizontal="center"/>
    </xf>
    <xf numFmtId="0" fontId="68" fillId="0" borderId="0" xfId="0" applyFont="1" applyFill="1" applyBorder="1" applyAlignment="1">
      <alignment horizontal="center"/>
    </xf>
    <xf numFmtId="38" fontId="48" fillId="0" borderId="5" xfId="0" applyNumberFormat="1" applyFont="1" applyFill="1" applyBorder="1" applyAlignment="1">
      <alignment horizontal="center" wrapText="1"/>
    </xf>
    <xf numFmtId="38" fontId="48" fillId="0" borderId="0" xfId="0" quotePrefix="1" applyNumberFormat="1" applyFont="1" applyFill="1" applyBorder="1" applyAlignment="1">
      <alignment horizontal="center" wrapText="1"/>
    </xf>
    <xf numFmtId="165" fontId="20" fillId="0" borderId="14" xfId="2" applyNumberFormat="1" applyFont="1" applyFill="1" applyBorder="1"/>
    <xf numFmtId="165" fontId="30" fillId="0" borderId="2" xfId="2" applyNumberFormat="1" applyFont="1" applyFill="1" applyBorder="1"/>
    <xf numFmtId="165" fontId="21" fillId="7" borderId="0" xfId="2" applyNumberFormat="1" applyFont="1" applyFill="1" applyBorder="1" applyAlignment="1">
      <alignment horizontal="center"/>
    </xf>
    <xf numFmtId="0" fontId="21" fillId="7" borderId="0" xfId="0" applyFont="1" applyFill="1" applyAlignment="1">
      <alignment horizontal="center"/>
    </xf>
    <xf numFmtId="10" fontId="21" fillId="7" borderId="0" xfId="1" applyNumberFormat="1" applyFont="1" applyFill="1" applyAlignment="1">
      <alignment horizontal="center"/>
    </xf>
    <xf numFmtId="166" fontId="21" fillId="7" borderId="0" xfId="1" applyNumberFormat="1" applyFont="1" applyFill="1" applyAlignment="1">
      <alignment horizontal="center"/>
    </xf>
    <xf numFmtId="10" fontId="21" fillId="7" borderId="1" xfId="1" applyNumberFormat="1" applyFont="1" applyFill="1" applyBorder="1" applyAlignment="1">
      <alignment horizontal="center"/>
    </xf>
    <xf numFmtId="166" fontId="21" fillId="7" borderId="0" xfId="1" applyNumberFormat="1" applyFont="1" applyFill="1" applyBorder="1" applyAlignment="1">
      <alignment horizontal="center"/>
    </xf>
    <xf numFmtId="165" fontId="21" fillId="3" borderId="0" xfId="2" applyNumberFormat="1" applyFont="1" applyFill="1" applyBorder="1" applyAlignment="1">
      <alignment horizontal="center"/>
    </xf>
    <xf numFmtId="0" fontId="21" fillId="3" borderId="0" xfId="0" applyFont="1" applyFill="1" applyAlignment="1">
      <alignment horizontal="center"/>
    </xf>
    <xf numFmtId="10" fontId="21" fillId="3" borderId="0" xfId="1" applyNumberFormat="1" applyFont="1" applyFill="1" applyAlignment="1">
      <alignment horizontal="center"/>
    </xf>
    <xf numFmtId="166" fontId="21" fillId="3" borderId="0" xfId="1" applyNumberFormat="1" applyFont="1" applyFill="1" applyAlignment="1">
      <alignment horizontal="center"/>
    </xf>
    <xf numFmtId="10" fontId="21" fillId="3" borderId="1" xfId="1" applyNumberFormat="1" applyFont="1" applyFill="1" applyBorder="1" applyAlignment="1">
      <alignment horizontal="center"/>
    </xf>
    <xf numFmtId="166" fontId="21" fillId="3" borderId="0" xfId="1" applyNumberFormat="1" applyFont="1" applyFill="1" applyBorder="1" applyAlignment="1">
      <alignment horizontal="center"/>
    </xf>
    <xf numFmtId="165" fontId="21" fillId="5" borderId="0" xfId="2" applyNumberFormat="1" applyFont="1" applyFill="1" applyBorder="1" applyAlignment="1">
      <alignment horizontal="center"/>
    </xf>
    <xf numFmtId="0" fontId="21" fillId="5" borderId="0" xfId="0" applyFont="1" applyFill="1" applyAlignment="1">
      <alignment horizontal="center"/>
    </xf>
    <xf numFmtId="10" fontId="21" fillId="5" borderId="0" xfId="1" applyNumberFormat="1" applyFont="1" applyFill="1" applyAlignment="1">
      <alignment horizontal="center"/>
    </xf>
    <xf numFmtId="166" fontId="21" fillId="5" borderId="0" xfId="1" applyNumberFormat="1" applyFont="1" applyFill="1" applyAlignment="1">
      <alignment horizontal="center"/>
    </xf>
    <xf numFmtId="10" fontId="21" fillId="5" borderId="1" xfId="1" applyNumberFormat="1" applyFont="1" applyFill="1" applyBorder="1" applyAlignment="1">
      <alignment horizontal="center"/>
    </xf>
    <xf numFmtId="166" fontId="21" fillId="5" borderId="0" xfId="1" applyNumberFormat="1" applyFont="1" applyFill="1" applyAlignment="1">
      <alignment horizontal="left"/>
    </xf>
    <xf numFmtId="166" fontId="21" fillId="0" borderId="0" xfId="1" applyNumberFormat="1" applyFont="1" applyFill="1" applyAlignment="1">
      <alignment horizontal="center"/>
    </xf>
    <xf numFmtId="10" fontId="66" fillId="0" borderId="0" xfId="1" applyNumberFormat="1" applyFont="1" applyFill="1" applyAlignment="1">
      <alignment horizontal="center"/>
    </xf>
    <xf numFmtId="0" fontId="25" fillId="0" borderId="4" xfId="0" applyFont="1" applyFill="1" applyBorder="1"/>
    <xf numFmtId="38" fontId="0" fillId="0" borderId="5" xfId="0" applyNumberFormat="1" applyFill="1" applyBorder="1"/>
    <xf numFmtId="0" fontId="21" fillId="0" borderId="9" xfId="0" applyFont="1" applyFill="1" applyBorder="1" applyAlignment="1">
      <alignment horizontal="right"/>
    </xf>
    <xf numFmtId="0" fontId="21" fillId="0" borderId="7" xfId="0" applyFont="1" applyFill="1" applyBorder="1" applyAlignment="1">
      <alignment horizontal="right"/>
    </xf>
    <xf numFmtId="0" fontId="24" fillId="0" borderId="7" xfId="0" applyFont="1" applyFill="1" applyBorder="1"/>
    <xf numFmtId="0" fontId="21" fillId="0" borderId="9" xfId="0" applyFont="1" applyFill="1" applyBorder="1"/>
    <xf numFmtId="40" fontId="20" fillId="16" borderId="1" xfId="0" applyNumberFormat="1" applyFont="1" applyFill="1" applyBorder="1"/>
    <xf numFmtId="38" fontId="49" fillId="0" borderId="0" xfId="0" applyNumberFormat="1" applyFont="1" applyFill="1" applyBorder="1"/>
    <xf numFmtId="38" fontId="21" fillId="0" borderId="0" xfId="0" applyNumberFormat="1" applyFont="1" applyFill="1" applyBorder="1" applyAlignment="1">
      <alignment horizontal="center"/>
    </xf>
    <xf numFmtId="0" fontId="21" fillId="0" borderId="0" xfId="0" applyFont="1" applyFill="1" applyAlignment="1">
      <alignment horizontal="center"/>
    </xf>
    <xf numFmtId="0" fontId="23" fillId="0" borderId="1" xfId="0" applyFont="1" applyBorder="1" applyAlignment="1">
      <alignment horizontal="center"/>
    </xf>
    <xf numFmtId="40" fontId="24" fillId="0" borderId="0" xfId="0" applyNumberFormat="1" applyFont="1" applyFill="1" applyBorder="1" applyAlignment="1">
      <alignment horizontal="right"/>
    </xf>
    <xf numFmtId="165" fontId="56" fillId="17" borderId="1" xfId="3" applyNumberFormat="1" applyFont="1" applyFill="1" applyBorder="1"/>
    <xf numFmtId="38" fontId="31" fillId="0" borderId="4" xfId="0" quotePrefix="1" applyNumberFormat="1" applyFont="1" applyFill="1" applyBorder="1" applyAlignment="1">
      <alignment horizontal="center" wrapText="1"/>
    </xf>
    <xf numFmtId="38" fontId="31" fillId="0" borderId="7" xfId="0" quotePrefix="1" applyNumberFormat="1" applyFont="1" applyFill="1" applyBorder="1" applyAlignment="1">
      <alignment horizontal="center" wrapText="1"/>
    </xf>
    <xf numFmtId="38" fontId="26" fillId="0" borderId="5" xfId="0" applyNumberFormat="1" applyFont="1" applyFill="1" applyBorder="1"/>
    <xf numFmtId="165" fontId="49" fillId="0" borderId="0" xfId="2" applyNumberFormat="1" applyFont="1" applyBorder="1"/>
    <xf numFmtId="165" fontId="48" fillId="0" borderId="14" xfId="2" applyNumberFormat="1" applyFont="1" applyFill="1" applyBorder="1"/>
    <xf numFmtId="165" fontId="49" fillId="0" borderId="1" xfId="2" applyNumberFormat="1" applyFont="1" applyBorder="1"/>
    <xf numFmtId="165" fontId="49" fillId="0" borderId="0" xfId="2" applyNumberFormat="1" applyFont="1" applyFill="1" applyBorder="1"/>
    <xf numFmtId="165" fontId="51" fillId="0" borderId="0" xfId="2" applyNumberFormat="1" applyFont="1" applyBorder="1" applyAlignment="1">
      <alignment horizontal="right"/>
    </xf>
    <xf numFmtId="165" fontId="50" fillId="0" borderId="2" xfId="2" applyNumberFormat="1" applyFont="1" applyFill="1" applyBorder="1"/>
    <xf numFmtId="165" fontId="49" fillId="0" borderId="0" xfId="2" applyNumberFormat="1" applyFont="1" applyBorder="1" applyAlignment="1">
      <alignment horizontal="right"/>
    </xf>
    <xf numFmtId="165" fontId="0" fillId="0" borderId="0" xfId="2" applyNumberFormat="1" applyFont="1" applyFill="1" applyBorder="1"/>
    <xf numFmtId="165" fontId="0" fillId="0" borderId="1" xfId="2" applyNumberFormat="1" applyFont="1" applyFill="1" applyBorder="1"/>
    <xf numFmtId="10" fontId="0" fillId="0" borderId="0" xfId="1" applyNumberFormat="1" applyFont="1" applyFill="1" applyBorder="1"/>
    <xf numFmtId="165" fontId="32" fillId="0" borderId="0" xfId="2" applyNumberFormat="1" applyFont="1" applyFill="1" applyBorder="1"/>
    <xf numFmtId="38" fontId="85" fillId="0" borderId="7" xfId="0" applyNumberFormat="1" applyFont="1" applyFill="1" applyBorder="1" applyAlignment="1">
      <alignment horizontal="center" wrapText="1"/>
    </xf>
    <xf numFmtId="38" fontId="85" fillId="0" borderId="7" xfId="0" quotePrefix="1" applyNumberFormat="1" applyFont="1" applyFill="1" applyBorder="1" applyAlignment="1">
      <alignment horizontal="center" wrapText="1"/>
    </xf>
    <xf numFmtId="49" fontId="91" fillId="0" borderId="0" xfId="0" applyNumberFormat="1" applyFont="1" applyBorder="1" applyAlignment="1">
      <alignment horizontal="right"/>
    </xf>
    <xf numFmtId="40" fontId="25" fillId="0" borderId="0" xfId="0" applyNumberFormat="1" applyFont="1" applyFill="1" applyAlignment="1">
      <alignment horizontal="left"/>
    </xf>
    <xf numFmtId="40" fontId="21" fillId="0" borderId="0" xfId="0" applyNumberFormat="1" applyFont="1"/>
    <xf numFmtId="40" fontId="21" fillId="0" borderId="1" xfId="0" applyNumberFormat="1" applyFont="1" applyBorder="1"/>
    <xf numFmtId="49" fontId="92" fillId="0" borderId="0" xfId="0" applyNumberFormat="1" applyFont="1" applyBorder="1" applyAlignment="1">
      <alignment horizontal="right"/>
    </xf>
    <xf numFmtId="49" fontId="92" fillId="0" borderId="0" xfId="0" applyNumberFormat="1" applyFont="1" applyFill="1" applyBorder="1" applyAlignment="1">
      <alignment horizontal="right"/>
    </xf>
    <xf numFmtId="0" fontId="93" fillId="0" borderId="7" xfId="0" applyFont="1" applyFill="1" applyBorder="1"/>
    <xf numFmtId="0" fontId="21" fillId="0" borderId="1" xfId="0" applyFont="1" applyBorder="1" applyAlignment="1">
      <alignment horizontal="center"/>
    </xf>
    <xf numFmtId="40" fontId="21" fillId="0" borderId="1" xfId="0" applyNumberFormat="1" applyFont="1" applyBorder="1" applyAlignment="1">
      <alignment horizontal="center"/>
    </xf>
    <xf numFmtId="0" fontId="0" fillId="0" borderId="1" xfId="0" applyBorder="1" applyAlignment="1">
      <alignment horizontal="center"/>
    </xf>
    <xf numFmtId="38" fontId="0" fillId="0" borderId="0" xfId="0" applyNumberFormat="1"/>
    <xf numFmtId="38" fontId="0" fillId="0" borderId="1" xfId="0" applyNumberFormat="1" applyBorder="1"/>
    <xf numFmtId="0" fontId="0" fillId="0" borderId="0" xfId="0" applyAlignment="1">
      <alignment vertical="top" wrapText="1"/>
    </xf>
    <xf numFmtId="0" fontId="97" fillId="0" borderId="0" xfId="0" applyFont="1"/>
    <xf numFmtId="0" fontId="0" fillId="24" borderId="0" xfId="0" applyFill="1" applyAlignment="1">
      <alignment vertical="top" wrapText="1"/>
    </xf>
    <xf numFmtId="44" fontId="0" fillId="24" borderId="0" xfId="2" applyFont="1" applyFill="1"/>
    <xf numFmtId="0" fontId="0" fillId="0" borderId="4" xfId="0" applyFill="1" applyBorder="1"/>
    <xf numFmtId="38" fontId="0" fillId="24" borderId="4" xfId="0" applyNumberFormat="1" applyFill="1" applyBorder="1"/>
    <xf numFmtId="0" fontId="0" fillId="24" borderId="5" xfId="0" applyFill="1" applyBorder="1"/>
    <xf numFmtId="0" fontId="21" fillId="24" borderId="6" xfId="0" applyFont="1" applyFill="1" applyBorder="1" applyAlignment="1">
      <alignment horizontal="center"/>
    </xf>
    <xf numFmtId="0" fontId="0" fillId="24" borderId="7" xfId="0" applyFill="1" applyBorder="1"/>
    <xf numFmtId="0" fontId="21" fillId="24" borderId="8" xfId="0" applyFont="1" applyFill="1" applyBorder="1" applyAlignment="1">
      <alignment horizontal="center"/>
    </xf>
    <xf numFmtId="10" fontId="20" fillId="24" borderId="7" xfId="0" applyNumberFormat="1" applyFont="1" applyFill="1" applyBorder="1"/>
    <xf numFmtId="0" fontId="69" fillId="24" borderId="8" xfId="0" applyFont="1" applyFill="1" applyBorder="1" applyAlignment="1">
      <alignment horizontal="center"/>
    </xf>
    <xf numFmtId="40" fontId="20" fillId="24" borderId="8" xfId="0" applyNumberFormat="1" applyFont="1" applyFill="1" applyBorder="1"/>
    <xf numFmtId="0" fontId="0" fillId="24" borderId="9" xfId="0" applyFill="1" applyBorder="1"/>
    <xf numFmtId="40" fontId="20" fillId="24" borderId="10" xfId="0" applyNumberFormat="1" applyFont="1" applyFill="1" applyBorder="1"/>
    <xf numFmtId="10" fontId="80" fillId="2" borderId="0" xfId="2" applyNumberFormat="1" applyFont="1" applyFill="1" applyBorder="1" applyAlignment="1">
      <alignment horizontal="center"/>
    </xf>
    <xf numFmtId="10" fontId="66" fillId="2" borderId="0" xfId="0" applyNumberFormat="1" applyFont="1" applyFill="1" applyAlignment="1">
      <alignment horizontal="center"/>
    </xf>
    <xf numFmtId="10" fontId="66" fillId="2" borderId="0" xfId="1" applyNumberFormat="1" applyFont="1" applyFill="1" applyAlignment="1">
      <alignment horizontal="center"/>
    </xf>
    <xf numFmtId="40" fontId="100" fillId="0" borderId="0" xfId="0" applyNumberFormat="1" applyFont="1"/>
    <xf numFmtId="40" fontId="100" fillId="0" borderId="2" xfId="0" applyNumberFormat="1" applyFont="1" applyBorder="1"/>
    <xf numFmtId="0" fontId="21" fillId="0" borderId="0" xfId="0" applyFont="1" applyFill="1" applyBorder="1"/>
    <xf numFmtId="40" fontId="20" fillId="0" borderId="0" xfId="0" applyNumberFormat="1" applyFont="1"/>
    <xf numFmtId="0" fontId="20" fillId="0" borderId="1" xfId="0" applyFont="1" applyBorder="1" applyAlignment="1">
      <alignment horizontal="center"/>
    </xf>
    <xf numFmtId="40" fontId="20" fillId="0" borderId="1" xfId="0" applyNumberFormat="1" applyFont="1" applyBorder="1"/>
    <xf numFmtId="172" fontId="21" fillId="0" borderId="0" xfId="0" applyNumberFormat="1" applyFont="1"/>
    <xf numFmtId="0" fontId="24" fillId="0" borderId="0" xfId="13" applyFont="1"/>
    <xf numFmtId="0" fontId="21" fillId="0" borderId="0" xfId="13" applyFont="1"/>
    <xf numFmtId="168" fontId="100" fillId="0" borderId="0" xfId="0" applyNumberFormat="1" applyFont="1" applyAlignment="1">
      <alignment horizontal="center"/>
    </xf>
    <xf numFmtId="40" fontId="100" fillId="0" borderId="0" xfId="0" applyNumberFormat="1" applyFont="1" applyAlignment="1">
      <alignment horizontal="center"/>
    </xf>
    <xf numFmtId="0" fontId="100" fillId="0" borderId="0" xfId="0" applyFont="1" applyAlignment="1">
      <alignment horizontal="center"/>
    </xf>
    <xf numFmtId="0" fontId="100" fillId="0" borderId="0" xfId="0" applyFont="1"/>
    <xf numFmtId="40" fontId="100" fillId="0" borderId="1" xfId="0" applyNumberFormat="1" applyFont="1" applyBorder="1" applyAlignment="1">
      <alignment horizontal="center"/>
    </xf>
    <xf numFmtId="168" fontId="100" fillId="0" borderId="0" xfId="0" applyNumberFormat="1" applyFont="1"/>
    <xf numFmtId="2" fontId="21" fillId="0" borderId="0" xfId="0" applyNumberFormat="1" applyFont="1"/>
    <xf numFmtId="14" fontId="21" fillId="0" borderId="0" xfId="0" applyNumberFormat="1" applyFont="1"/>
    <xf numFmtId="40" fontId="100" fillId="7" borderId="2" xfId="0" applyNumberFormat="1" applyFont="1" applyFill="1" applyBorder="1"/>
    <xf numFmtId="0" fontId="100" fillId="7" borderId="2" xfId="0" applyFont="1" applyFill="1" applyBorder="1"/>
    <xf numFmtId="38" fontId="0" fillId="0" borderId="7" xfId="0" applyNumberFormat="1" applyFill="1" applyBorder="1"/>
    <xf numFmtId="38" fontId="0" fillId="0" borderId="9" xfId="0" applyNumberFormat="1" applyFill="1" applyBorder="1"/>
    <xf numFmtId="10" fontId="0" fillId="0" borderId="7" xfId="0" applyNumberFormat="1" applyFill="1" applyBorder="1"/>
    <xf numFmtId="38" fontId="69" fillId="16" borderId="7" xfId="0" applyNumberFormat="1" applyFont="1" applyFill="1" applyBorder="1" applyAlignment="1">
      <alignment horizontal="left"/>
    </xf>
    <xf numFmtId="40" fontId="20" fillId="16" borderId="7" xfId="0" applyNumberFormat="1" applyFont="1" applyFill="1" applyBorder="1"/>
    <xf numFmtId="40" fontId="20" fillId="16" borderId="9" xfId="0" applyNumberFormat="1" applyFont="1" applyFill="1" applyBorder="1"/>
    <xf numFmtId="40" fontId="0" fillId="0" borderId="7" xfId="0" applyNumberFormat="1" applyFill="1" applyBorder="1"/>
    <xf numFmtId="10" fontId="0" fillId="0" borderId="9" xfId="0" applyNumberFormat="1" applyFill="1" applyBorder="1"/>
    <xf numFmtId="0" fontId="20" fillId="0" borderId="7" xfId="0" applyFont="1" applyFill="1" applyBorder="1" applyAlignment="1">
      <alignment horizontal="center"/>
    </xf>
    <xf numFmtId="0" fontId="70" fillId="0" borderId="7" xfId="0" applyFont="1" applyFill="1" applyBorder="1" applyAlignment="1">
      <alignment horizontal="center"/>
    </xf>
    <xf numFmtId="40" fontId="0" fillId="0" borderId="9" xfId="0" applyNumberFormat="1" applyFill="1" applyBorder="1"/>
    <xf numFmtId="0" fontId="70" fillId="16" borderId="7" xfId="0" applyFont="1" applyFill="1" applyBorder="1" applyAlignment="1">
      <alignment horizontal="center"/>
    </xf>
    <xf numFmtId="0" fontId="83" fillId="0" borderId="4" xfId="0" applyFont="1" applyFill="1" applyBorder="1" applyAlignment="1">
      <alignment horizontal="center"/>
    </xf>
    <xf numFmtId="0" fontId="0" fillId="0" borderId="21" xfId="0" applyFill="1" applyBorder="1"/>
    <xf numFmtId="38" fontId="0" fillId="0" borderId="17" xfId="0" applyNumberFormat="1" applyFill="1" applyBorder="1"/>
    <xf numFmtId="38" fontId="0" fillId="24" borderId="21" xfId="0" applyNumberFormat="1" applyFill="1" applyBorder="1"/>
    <xf numFmtId="0" fontId="0" fillId="24" borderId="17" xfId="0" applyFill="1" applyBorder="1"/>
    <xf numFmtId="10" fontId="20" fillId="24" borderId="17" xfId="0" applyNumberFormat="1" applyFont="1" applyFill="1" applyBorder="1"/>
    <xf numFmtId="40" fontId="20" fillId="24" borderId="17" xfId="0" applyNumberFormat="1" applyFont="1" applyFill="1" applyBorder="1"/>
    <xf numFmtId="40" fontId="20" fillId="24" borderId="18" xfId="0" applyNumberFormat="1" applyFont="1" applyFill="1" applyBorder="1"/>
    <xf numFmtId="40" fontId="0" fillId="0" borderId="17" xfId="0" applyNumberFormat="1" applyFill="1" applyBorder="1"/>
    <xf numFmtId="0" fontId="0" fillId="0" borderId="17" xfId="0" applyFill="1" applyBorder="1"/>
    <xf numFmtId="10" fontId="0" fillId="0" borderId="18" xfId="0" applyNumberFormat="1" applyFill="1" applyBorder="1"/>
    <xf numFmtId="38" fontId="0" fillId="0" borderId="18" xfId="0" applyNumberFormat="1" applyFill="1" applyBorder="1"/>
    <xf numFmtId="10" fontId="0" fillId="0" borderId="17" xfId="0" applyNumberFormat="1" applyFill="1" applyBorder="1"/>
    <xf numFmtId="0" fontId="20" fillId="0" borderId="17" xfId="0" applyFont="1" applyFill="1" applyBorder="1" applyAlignment="1">
      <alignment horizontal="center"/>
    </xf>
    <xf numFmtId="40" fontId="0" fillId="0" borderId="21" xfId="0" applyNumberFormat="1" applyFill="1" applyBorder="1"/>
    <xf numFmtId="0" fontId="23" fillId="0" borderId="0" xfId="0" applyFont="1" applyFill="1" applyBorder="1" applyAlignment="1">
      <alignment horizontal="left"/>
    </xf>
    <xf numFmtId="0" fontId="104" fillId="0" borderId="0" xfId="0" applyFont="1"/>
    <xf numFmtId="40" fontId="104" fillId="0" borderId="0" xfId="0" applyNumberFormat="1" applyFont="1"/>
    <xf numFmtId="0" fontId="102" fillId="0" borderId="0" xfId="0" applyFont="1" applyFill="1" applyAlignment="1" applyProtection="1">
      <alignment horizontal="left" vertical="center"/>
    </xf>
    <xf numFmtId="0" fontId="21" fillId="0" borderId="0" xfId="0" applyFont="1" applyFill="1" applyAlignment="1">
      <alignment vertical="center"/>
    </xf>
    <xf numFmtId="49" fontId="21" fillId="0" borderId="0" xfId="0" applyNumberFormat="1" applyFont="1" applyAlignment="1">
      <alignment horizontal="center" vertical="center"/>
    </xf>
    <xf numFmtId="38" fontId="21" fillId="0" borderId="0" xfId="0" applyNumberFormat="1" applyFont="1" applyAlignment="1">
      <alignment vertical="center"/>
    </xf>
    <xf numFmtId="38" fontId="21" fillId="0" borderId="0" xfId="0" applyNumberFormat="1" applyFont="1" applyFill="1" applyAlignment="1">
      <alignment vertical="center"/>
    </xf>
    <xf numFmtId="38" fontId="0" fillId="30" borderId="0" xfId="0" applyNumberFormat="1" applyFill="1"/>
    <xf numFmtId="0" fontId="55" fillId="0" borderId="0" xfId="0" applyFont="1" applyAlignment="1" applyProtection="1">
      <alignment horizontal="left" vertical="center"/>
    </xf>
    <xf numFmtId="0" fontId="21" fillId="0" borderId="0" xfId="0" applyFont="1" applyAlignment="1">
      <alignment vertical="center"/>
    </xf>
    <xf numFmtId="0" fontId="93" fillId="12" borderId="0" xfId="0" applyFont="1" applyFill="1" applyAlignment="1" applyProtection="1">
      <alignment horizontal="left" vertical="center"/>
    </xf>
    <xf numFmtId="38" fontId="0" fillId="31" borderId="0" xfId="0" applyNumberFormat="1" applyFill="1"/>
    <xf numFmtId="38" fontId="0" fillId="23" borderId="0" xfId="0" applyNumberFormat="1" applyFill="1"/>
    <xf numFmtId="38" fontId="21" fillId="9" borderId="0" xfId="0" applyNumberFormat="1" applyFont="1" applyFill="1" applyAlignment="1">
      <alignment horizontal="left" vertical="center"/>
    </xf>
    <xf numFmtId="49" fontId="21" fillId="0" borderId="0" xfId="0" applyNumberFormat="1" applyFont="1" applyAlignment="1" applyProtection="1">
      <alignment horizontal="center" vertical="center"/>
    </xf>
    <xf numFmtId="38" fontId="21" fillId="0" borderId="0" xfId="0" applyNumberFormat="1" applyFont="1" applyAlignment="1" applyProtection="1">
      <alignment vertical="center"/>
    </xf>
    <xf numFmtId="38" fontId="21" fillId="0" borderId="0" xfId="0" applyNumberFormat="1" applyFont="1" applyAlignment="1" applyProtection="1">
      <alignment horizontal="right" vertical="center"/>
    </xf>
    <xf numFmtId="38" fontId="21" fillId="0" borderId="0" xfId="0" applyNumberFormat="1" applyFont="1" applyAlignment="1" applyProtection="1">
      <alignment horizontal="center" vertical="center"/>
    </xf>
    <xf numFmtId="38" fontId="21" fillId="0" borderId="0" xfId="0" applyNumberFormat="1" applyFont="1" applyAlignment="1">
      <alignment horizontal="center" vertical="center"/>
    </xf>
    <xf numFmtId="38" fontId="21" fillId="0" borderId="0" xfId="0" applyNumberFormat="1" applyFont="1" applyFill="1" applyAlignment="1">
      <alignment horizontal="center" vertical="center"/>
    </xf>
    <xf numFmtId="38" fontId="21" fillId="0" borderId="0" xfId="0" applyNumberFormat="1" applyFont="1" applyFill="1" applyAlignment="1" applyProtection="1">
      <alignment horizontal="center" vertical="center"/>
    </xf>
    <xf numFmtId="0" fontId="21" fillId="0" borderId="1" xfId="0" applyFont="1" applyBorder="1" applyAlignment="1">
      <alignment vertical="center"/>
    </xf>
    <xf numFmtId="0" fontId="21" fillId="0" borderId="1" xfId="0" applyFont="1" applyBorder="1" applyAlignment="1" applyProtection="1">
      <alignment horizontal="center" vertical="center"/>
    </xf>
    <xf numFmtId="49" fontId="21" fillId="0" borderId="1" xfId="0" applyNumberFormat="1" applyFont="1" applyBorder="1" applyAlignment="1" applyProtection="1">
      <alignment horizontal="center" vertical="center"/>
    </xf>
    <xf numFmtId="38" fontId="21" fillId="0" borderId="1" xfId="0" applyNumberFormat="1" applyFont="1" applyBorder="1" applyAlignment="1" applyProtection="1">
      <alignment horizontal="right" vertical="center"/>
    </xf>
    <xf numFmtId="38" fontId="21" fillId="0" borderId="1" xfId="0" applyNumberFormat="1" applyFont="1" applyBorder="1" applyAlignment="1">
      <alignment horizontal="center" vertical="center"/>
    </xf>
    <xf numFmtId="38" fontId="0" fillId="0" borderId="1" xfId="0" applyNumberFormat="1" applyBorder="1" applyAlignment="1">
      <alignment horizontal="center"/>
    </xf>
    <xf numFmtId="49" fontId="0" fillId="0" borderId="1" xfId="0" applyNumberFormat="1" applyBorder="1" applyAlignment="1">
      <alignment horizontal="center"/>
    </xf>
    <xf numFmtId="49" fontId="0" fillId="0" borderId="1" xfId="0" applyNumberFormat="1" applyFill="1" applyBorder="1" applyAlignment="1">
      <alignment horizontal="center"/>
    </xf>
    <xf numFmtId="49" fontId="21" fillId="0" borderId="1" xfId="0" applyNumberFormat="1" applyFont="1" applyBorder="1" applyAlignment="1">
      <alignment horizontal="center"/>
    </xf>
    <xf numFmtId="0" fontId="20" fillId="0" borderId="0" xfId="0" applyFont="1" applyAlignment="1" applyProtection="1">
      <alignment horizontal="left" vertical="center"/>
    </xf>
    <xf numFmtId="49" fontId="79" fillId="0" borderId="0" xfId="0" applyNumberFormat="1" applyFont="1" applyAlignment="1">
      <alignment horizontal="center" vertical="center"/>
    </xf>
    <xf numFmtId="49" fontId="21" fillId="0" borderId="0" xfId="0" applyNumberFormat="1" applyFont="1" applyFill="1" applyAlignment="1" applyProtection="1">
      <alignment horizontal="center" vertical="center"/>
    </xf>
    <xf numFmtId="38" fontId="21" fillId="0" borderId="0" xfId="0" applyNumberFormat="1" applyFont="1" applyFill="1" applyBorder="1" applyAlignment="1" applyProtection="1">
      <alignment vertical="center"/>
    </xf>
    <xf numFmtId="38" fontId="21" fillId="0" borderId="1" xfId="0" applyNumberFormat="1" applyFont="1" applyFill="1" applyBorder="1" applyAlignment="1" applyProtection="1">
      <alignment vertical="center"/>
    </xf>
    <xf numFmtId="0" fontId="20" fillId="0" borderId="0" xfId="0" applyFont="1" applyAlignment="1">
      <alignment vertical="center"/>
    </xf>
    <xf numFmtId="38" fontId="21" fillId="0" borderId="2" xfId="0" applyNumberFormat="1" applyFont="1" applyFill="1" applyBorder="1" applyAlignment="1" applyProtection="1">
      <alignment vertical="center"/>
    </xf>
    <xf numFmtId="176" fontId="21" fillId="0" borderId="0" xfId="0" applyNumberFormat="1" applyFont="1" applyAlignment="1" applyProtection="1">
      <alignment horizontal="center" vertical="center"/>
    </xf>
    <xf numFmtId="176" fontId="21" fillId="0" borderId="0" xfId="0" quotePrefix="1" applyNumberFormat="1" applyFont="1" applyFill="1" applyAlignment="1" applyProtection="1">
      <alignment horizontal="center" vertical="center"/>
    </xf>
    <xf numFmtId="38" fontId="21" fillId="0" borderId="0" xfId="0" applyNumberFormat="1" applyFont="1" applyFill="1" applyAlignment="1" applyProtection="1">
      <alignment vertical="center"/>
    </xf>
    <xf numFmtId="0" fontId="21" fillId="0" borderId="0" xfId="0" applyFont="1" applyFill="1" applyAlignment="1" applyProtection="1">
      <alignment horizontal="left" vertical="center"/>
    </xf>
    <xf numFmtId="176" fontId="21" fillId="0" borderId="0" xfId="0" applyNumberFormat="1" applyFont="1" applyFill="1" applyAlignment="1" applyProtection="1">
      <alignment horizontal="center" vertical="center"/>
    </xf>
    <xf numFmtId="0" fontId="21" fillId="2" borderId="0" xfId="0" applyFont="1" applyFill="1" applyBorder="1" applyAlignment="1" applyProtection="1">
      <alignment horizontal="left" vertical="center"/>
    </xf>
    <xf numFmtId="176" fontId="21" fillId="2" borderId="0" xfId="0" quotePrefix="1" applyNumberFormat="1" applyFont="1" applyFill="1" applyAlignment="1" applyProtection="1">
      <alignment horizontal="center" vertical="center"/>
    </xf>
    <xf numFmtId="38" fontId="21" fillId="2" borderId="0" xfId="0" applyNumberFormat="1" applyFont="1" applyFill="1" applyBorder="1" applyAlignment="1" applyProtection="1">
      <alignment vertical="center"/>
    </xf>
    <xf numFmtId="38" fontId="21" fillId="2" borderId="0" xfId="0" applyNumberFormat="1" applyFont="1" applyFill="1" applyAlignment="1" applyProtection="1">
      <alignment vertical="center"/>
    </xf>
    <xf numFmtId="38" fontId="21" fillId="0" borderId="2" xfId="0" applyNumberFormat="1" applyFont="1" applyBorder="1" applyAlignment="1" applyProtection="1">
      <alignment vertical="center"/>
    </xf>
    <xf numFmtId="176" fontId="21" fillId="2" borderId="0" xfId="0" applyNumberFormat="1" applyFont="1" applyFill="1" applyAlignment="1" applyProtection="1">
      <alignment horizontal="center" vertical="center"/>
    </xf>
    <xf numFmtId="38" fontId="21" fillId="2" borderId="0" xfId="0" applyNumberFormat="1" applyFont="1" applyFill="1" applyAlignment="1">
      <alignment vertical="center"/>
    </xf>
    <xf numFmtId="0" fontId="21" fillId="0" borderId="0" xfId="0" applyFont="1" applyAlignment="1">
      <alignment horizontal="right" vertical="center"/>
    </xf>
    <xf numFmtId="49" fontId="21" fillId="0" borderId="0" xfId="0" applyNumberFormat="1" applyFont="1" applyFill="1" applyAlignment="1">
      <alignment horizontal="center" vertical="center"/>
    </xf>
    <xf numFmtId="49" fontId="21" fillId="2" borderId="0" xfId="0" applyNumberFormat="1" applyFont="1" applyFill="1" applyAlignment="1">
      <alignment horizontal="center" vertical="center"/>
    </xf>
    <xf numFmtId="38" fontId="0" fillId="2" borderId="0" xfId="0" applyNumberFormat="1" applyFill="1"/>
    <xf numFmtId="38" fontId="21" fillId="0" borderId="14" xfId="0" applyNumberFormat="1" applyFont="1" applyBorder="1" applyAlignment="1">
      <alignment vertical="center"/>
    </xf>
    <xf numFmtId="38" fontId="21" fillId="0" borderId="14" xfId="0" applyNumberFormat="1" applyFont="1" applyFill="1" applyBorder="1" applyAlignment="1">
      <alignment vertical="center"/>
    </xf>
    <xf numFmtId="176" fontId="21" fillId="0" borderId="0" xfId="0" applyNumberFormat="1" applyFont="1" applyAlignment="1">
      <alignment horizontal="center" vertical="center"/>
    </xf>
    <xf numFmtId="176" fontId="21" fillId="0" borderId="0" xfId="0" applyNumberFormat="1" applyFont="1" applyFill="1" applyAlignment="1">
      <alignment horizontal="center" vertical="center"/>
    </xf>
    <xf numFmtId="38" fontId="21" fillId="0" borderId="0" xfId="0" applyNumberFormat="1" applyFont="1" applyBorder="1" applyAlignment="1" applyProtection="1">
      <alignment vertical="center"/>
    </xf>
    <xf numFmtId="0" fontId="21" fillId="0" borderId="0" xfId="0" applyFont="1" applyFill="1" applyBorder="1" applyAlignment="1" applyProtection="1">
      <alignment horizontal="left" vertical="center"/>
    </xf>
    <xf numFmtId="0" fontId="21" fillId="12" borderId="0" xfId="0" applyFont="1" applyFill="1" applyBorder="1" applyAlignment="1" applyProtection="1">
      <alignment horizontal="left" vertical="center"/>
    </xf>
    <xf numFmtId="176" fontId="21" fillId="12" borderId="0" xfId="0" applyNumberFormat="1" applyFont="1" applyFill="1" applyAlignment="1" applyProtection="1">
      <alignment horizontal="center" vertical="center"/>
    </xf>
    <xf numFmtId="38" fontId="21" fillId="12" borderId="0" xfId="0" applyNumberFormat="1" applyFont="1" applyFill="1" applyBorder="1" applyAlignment="1" applyProtection="1">
      <alignment vertical="center"/>
    </xf>
    <xf numFmtId="38" fontId="21" fillId="12" borderId="0" xfId="0" applyNumberFormat="1" applyFont="1" applyFill="1" applyAlignment="1" applyProtection="1">
      <alignment vertical="center"/>
    </xf>
    <xf numFmtId="0" fontId="0" fillId="0" borderId="0" xfId="0" applyAlignment="1">
      <alignment vertical="center"/>
    </xf>
    <xf numFmtId="38" fontId="21" fillId="0" borderId="14" xfId="0" applyNumberFormat="1" applyFont="1" applyBorder="1" applyAlignment="1" applyProtection="1">
      <alignment vertical="center"/>
    </xf>
    <xf numFmtId="38" fontId="21" fillId="0" borderId="14" xfId="0" applyNumberFormat="1" applyFont="1" applyFill="1" applyBorder="1" applyAlignment="1" applyProtection="1">
      <alignment vertical="center"/>
    </xf>
    <xf numFmtId="38" fontId="21" fillId="12" borderId="0" xfId="0" applyNumberFormat="1" applyFont="1" applyFill="1" applyAlignment="1">
      <alignment vertical="center"/>
    </xf>
    <xf numFmtId="0" fontId="21" fillId="0" borderId="0" xfId="0" applyFont="1" applyAlignment="1" applyProtection="1">
      <alignment horizontal="left" vertical="center"/>
    </xf>
    <xf numFmtId="0" fontId="0" fillId="0" borderId="0" xfId="0" applyFill="1" applyBorder="1" applyAlignment="1">
      <alignment vertical="center"/>
    </xf>
    <xf numFmtId="176" fontId="21" fillId="0" borderId="0" xfId="0" applyNumberFormat="1" applyFont="1" applyFill="1" applyBorder="1" applyAlignment="1" applyProtection="1">
      <alignment horizontal="center" vertical="center"/>
    </xf>
    <xf numFmtId="0" fontId="21" fillId="0" borderId="0" xfId="0" quotePrefix="1" applyFont="1" applyAlignment="1" applyProtection="1">
      <alignment horizontal="left" vertical="center"/>
    </xf>
    <xf numFmtId="38" fontId="21" fillId="0" borderId="1" xfId="0" applyNumberFormat="1" applyFont="1" applyBorder="1" applyAlignment="1">
      <alignment vertical="center"/>
    </xf>
    <xf numFmtId="38" fontId="21" fillId="0" borderId="2" xfId="0" applyNumberFormat="1" applyFont="1" applyBorder="1" applyAlignment="1" applyProtection="1">
      <alignment horizontal="right" vertical="center"/>
    </xf>
    <xf numFmtId="38" fontId="21" fillId="0" borderId="2" xfId="0" applyNumberFormat="1" applyFont="1" applyFill="1" applyBorder="1" applyAlignment="1" applyProtection="1">
      <alignment horizontal="right" vertical="center"/>
    </xf>
    <xf numFmtId="0" fontId="21" fillId="0" borderId="0" xfId="0" applyFont="1" applyFill="1" applyBorder="1" applyAlignment="1">
      <alignment vertical="center"/>
    </xf>
    <xf numFmtId="38" fontId="21" fillId="0" borderId="20" xfId="0" applyNumberFormat="1" applyFont="1" applyBorder="1" applyAlignment="1">
      <alignment vertical="center"/>
    </xf>
    <xf numFmtId="38" fontId="21" fillId="0" borderId="20" xfId="0" applyNumberFormat="1" applyFont="1" applyFill="1" applyBorder="1" applyAlignment="1">
      <alignment vertical="center"/>
    </xf>
    <xf numFmtId="38" fontId="21" fillId="15" borderId="2" xfId="0" applyNumberFormat="1" applyFont="1" applyFill="1" applyBorder="1" applyAlignment="1">
      <alignment vertical="center"/>
    </xf>
    <xf numFmtId="38" fontId="21" fillId="0" borderId="2" xfId="0" applyNumberFormat="1" applyFont="1" applyBorder="1" applyAlignment="1">
      <alignment vertical="center"/>
    </xf>
    <xf numFmtId="38" fontId="21" fillId="0" borderId="2" xfId="0" applyNumberFormat="1" applyFont="1" applyFill="1" applyBorder="1" applyAlignment="1">
      <alignment vertical="center"/>
    </xf>
    <xf numFmtId="38" fontId="21" fillId="0" borderId="0" xfId="0" applyNumberFormat="1" applyFont="1" applyAlignment="1" applyProtection="1">
      <alignment horizontal="fill" vertical="center"/>
    </xf>
    <xf numFmtId="49" fontId="25" fillId="0" borderId="0" xfId="0" applyNumberFormat="1" applyFont="1" applyAlignment="1">
      <alignment horizontal="right" vertical="center"/>
    </xf>
    <xf numFmtId="38" fontId="25" fillId="0" borderId="0" xfId="0" applyNumberFormat="1" applyFont="1" applyAlignment="1" applyProtection="1">
      <alignment horizontal="right" vertical="center"/>
    </xf>
    <xf numFmtId="38" fontId="0" fillId="0" borderId="0" xfId="0" applyNumberFormat="1" applyFill="1" applyAlignment="1">
      <alignment horizontal="center"/>
    </xf>
    <xf numFmtId="49" fontId="25" fillId="0" borderId="0" xfId="0" applyNumberFormat="1" applyFont="1" applyAlignment="1" applyProtection="1">
      <alignment horizontal="right" vertical="center"/>
    </xf>
    <xf numFmtId="168" fontId="25" fillId="0" borderId="0" xfId="0" applyNumberFormat="1" applyFont="1" applyAlignment="1" applyProtection="1">
      <alignment horizontal="right" vertical="center"/>
    </xf>
    <xf numFmtId="38" fontId="79" fillId="0" borderId="0" xfId="0" applyNumberFormat="1" applyFont="1" applyFill="1"/>
    <xf numFmtId="37" fontId="21" fillId="0" borderId="0" xfId="0" applyNumberFormat="1" applyFont="1" applyFill="1" applyAlignment="1" applyProtection="1">
      <alignment vertical="center"/>
    </xf>
    <xf numFmtId="37" fontId="0" fillId="15" borderId="0" xfId="0" applyNumberFormat="1" applyFill="1"/>
    <xf numFmtId="38" fontId="21" fillId="28" borderId="0" xfId="0" applyNumberFormat="1" applyFont="1" applyFill="1" applyAlignment="1">
      <alignment vertical="center"/>
    </xf>
    <xf numFmtId="38" fontId="21" fillId="0" borderId="0" xfId="0" applyNumberFormat="1" applyFont="1" applyFill="1"/>
    <xf numFmtId="38" fontId="0" fillId="0" borderId="2" xfId="0" applyNumberFormat="1" applyFill="1" applyBorder="1"/>
    <xf numFmtId="38" fontId="21" fillId="0" borderId="0" xfId="0" applyNumberFormat="1" applyFont="1"/>
    <xf numFmtId="38" fontId="21" fillId="2" borderId="0" xfId="0" applyNumberFormat="1" applyFont="1" applyFill="1"/>
    <xf numFmtId="37" fontId="21" fillId="15" borderId="0" xfId="0" applyNumberFormat="1" applyFont="1" applyFill="1"/>
    <xf numFmtId="0" fontId="0" fillId="0" borderId="50" xfId="0" applyBorder="1"/>
    <xf numFmtId="0" fontId="0" fillId="0" borderId="51" xfId="0" applyBorder="1"/>
    <xf numFmtId="0" fontId="0" fillId="0" borderId="25" xfId="0" applyBorder="1" applyAlignment="1">
      <alignment horizontal="center"/>
    </xf>
    <xf numFmtId="0" fontId="0" fillId="0" borderId="28" xfId="0" applyBorder="1" applyAlignment="1">
      <alignment horizontal="center"/>
    </xf>
    <xf numFmtId="0" fontId="101" fillId="0" borderId="22" xfId="0" applyFont="1" applyBorder="1" applyAlignment="1">
      <alignment horizontal="center"/>
    </xf>
    <xf numFmtId="2" fontId="21" fillId="0" borderId="0" xfId="1" applyNumberFormat="1" applyFont="1" applyAlignment="1">
      <alignment horizontal="center"/>
    </xf>
    <xf numFmtId="167" fontId="66" fillId="7" borderId="16" xfId="6" applyNumberFormat="1" applyFont="1" applyFill="1" applyBorder="1" applyAlignment="1">
      <alignment horizontal="center"/>
    </xf>
    <xf numFmtId="0" fontId="21" fillId="0" borderId="0" xfId="0" applyFont="1" applyAlignment="1">
      <alignment horizontal="left"/>
    </xf>
    <xf numFmtId="10" fontId="107" fillId="0" borderId="0" xfId="0" applyNumberFormat="1" applyFont="1"/>
    <xf numFmtId="4" fontId="21" fillId="0" borderId="0" xfId="0" applyNumberFormat="1" applyFont="1" applyAlignment="1">
      <alignment horizontal="right"/>
    </xf>
    <xf numFmtId="40" fontId="104" fillId="29" borderId="0" xfId="0" applyNumberFormat="1" applyFont="1" applyFill="1"/>
    <xf numFmtId="0" fontId="104" fillId="0" borderId="1" xfId="0" applyFont="1" applyBorder="1"/>
    <xf numFmtId="0" fontId="104" fillId="0" borderId="5" xfId="0" applyFont="1" applyBorder="1"/>
    <xf numFmtId="0" fontId="104" fillId="0" borderId="0" xfId="0" applyFont="1" applyBorder="1" applyAlignment="1">
      <alignment horizontal="right"/>
    </xf>
    <xf numFmtId="0" fontId="104" fillId="0" borderId="0" xfId="0" applyFont="1" applyBorder="1"/>
    <xf numFmtId="40" fontId="104" fillId="0" borderId="0" xfId="0" applyNumberFormat="1" applyFont="1" applyFill="1"/>
    <xf numFmtId="40" fontId="104" fillId="0" borderId="35" xfId="0" applyNumberFormat="1" applyFont="1" applyFill="1" applyBorder="1" applyAlignment="1">
      <alignment horizontal="center"/>
    </xf>
    <xf numFmtId="40" fontId="104" fillId="0" borderId="1" xfId="0" applyNumberFormat="1" applyFont="1" applyFill="1" applyBorder="1"/>
    <xf numFmtId="40" fontId="104" fillId="0" borderId="3" xfId="0" applyNumberFormat="1" applyFont="1" applyFill="1" applyBorder="1"/>
    <xf numFmtId="40" fontId="105" fillId="0" borderId="49" xfId="0" applyNumberFormat="1" applyFont="1" applyFill="1" applyBorder="1" applyAlignment="1">
      <alignment horizontal="right"/>
    </xf>
    <xf numFmtId="0" fontId="104" fillId="0" borderId="0" xfId="0" applyFont="1" applyAlignment="1"/>
    <xf numFmtId="10" fontId="0" fillId="0" borderId="0" xfId="0" applyNumberFormat="1"/>
    <xf numFmtId="0" fontId="21" fillId="0" borderId="7" xfId="0" applyFont="1" applyFill="1" applyBorder="1" applyAlignment="1">
      <alignment horizontal="center"/>
    </xf>
    <xf numFmtId="40" fontId="104" fillId="33" borderId="0" xfId="0" applyNumberFormat="1" applyFont="1" applyFill="1"/>
    <xf numFmtId="40" fontId="104" fillId="23" borderId="0" xfId="0" applyNumberFormat="1" applyFont="1" applyFill="1"/>
    <xf numFmtId="40" fontId="104" fillId="34" borderId="0" xfId="0" applyNumberFormat="1" applyFont="1" applyFill="1"/>
    <xf numFmtId="40" fontId="104" fillId="4" borderId="0" xfId="0" applyNumberFormat="1" applyFont="1" applyFill="1"/>
    <xf numFmtId="40" fontId="104" fillId="25" borderId="0" xfId="0" applyNumberFormat="1" applyFont="1" applyFill="1"/>
    <xf numFmtId="40" fontId="104" fillId="24" borderId="0" xfId="0" applyNumberFormat="1" applyFont="1" applyFill="1"/>
    <xf numFmtId="40" fontId="104" fillId="7" borderId="0" xfId="0" applyNumberFormat="1" applyFont="1" applyFill="1"/>
    <xf numFmtId="40" fontId="104" fillId="36" borderId="0" xfId="0" applyNumberFormat="1" applyFont="1" applyFill="1"/>
    <xf numFmtId="40" fontId="104" fillId="37" borderId="0" xfId="0" applyNumberFormat="1" applyFont="1" applyFill="1"/>
    <xf numFmtId="40" fontId="104" fillId="38" borderId="0" xfId="0" applyNumberFormat="1" applyFont="1" applyFill="1"/>
    <xf numFmtId="40" fontId="104" fillId="38" borderId="1" xfId="0" applyNumberFormat="1" applyFont="1" applyFill="1" applyBorder="1"/>
    <xf numFmtId="40" fontId="104" fillId="39" borderId="0" xfId="0" applyNumberFormat="1" applyFont="1" applyFill="1"/>
    <xf numFmtId="165" fontId="21" fillId="2" borderId="7" xfId="2" applyNumberFormat="1" applyFont="1" applyFill="1" applyBorder="1"/>
    <xf numFmtId="40" fontId="104" fillId="41" borderId="0" xfId="0" applyNumberFormat="1" applyFont="1" applyFill="1"/>
    <xf numFmtId="40" fontId="104" fillId="42" borderId="0" xfId="0" applyNumberFormat="1" applyFont="1" applyFill="1"/>
    <xf numFmtId="40" fontId="104" fillId="43" borderId="0" xfId="0" applyNumberFormat="1" applyFont="1" applyFill="1"/>
    <xf numFmtId="40" fontId="104" fillId="44" borderId="0" xfId="0" applyNumberFormat="1" applyFont="1" applyFill="1"/>
    <xf numFmtId="40" fontId="104" fillId="46" borderId="0" xfId="0" applyNumberFormat="1" applyFont="1" applyFill="1"/>
    <xf numFmtId="40" fontId="104" fillId="47" borderId="0" xfId="0" applyNumberFormat="1" applyFont="1" applyFill="1"/>
    <xf numFmtId="40" fontId="104" fillId="48" borderId="0" xfId="0" applyNumberFormat="1" applyFont="1" applyFill="1"/>
    <xf numFmtId="40" fontId="104" fillId="49" borderId="1" xfId="0" applyNumberFormat="1" applyFont="1" applyFill="1" applyBorder="1"/>
    <xf numFmtId="40" fontId="104" fillId="49" borderId="0" xfId="0" applyNumberFormat="1" applyFont="1" applyFill="1"/>
    <xf numFmtId="40" fontId="104" fillId="50" borderId="0" xfId="0" applyNumberFormat="1" applyFont="1" applyFill="1"/>
    <xf numFmtId="40" fontId="104" fillId="32" borderId="0" xfId="0" applyNumberFormat="1" applyFont="1" applyFill="1"/>
    <xf numFmtId="40" fontId="104" fillId="35" borderId="0" xfId="0" applyNumberFormat="1" applyFont="1" applyFill="1"/>
    <xf numFmtId="40" fontId="104" fillId="35" borderId="1" xfId="0" applyNumberFormat="1" applyFont="1" applyFill="1" applyBorder="1"/>
    <xf numFmtId="40" fontId="104" fillId="51" borderId="0" xfId="0" applyNumberFormat="1" applyFont="1" applyFill="1"/>
    <xf numFmtId="165" fontId="21" fillId="51" borderId="7" xfId="2" applyNumberFormat="1" applyFont="1" applyFill="1" applyBorder="1"/>
    <xf numFmtId="165" fontId="21" fillId="38" borderId="7" xfId="2" applyNumberFormat="1" applyFont="1" applyFill="1" applyBorder="1"/>
    <xf numFmtId="38" fontId="31" fillId="0" borderId="18" xfId="0" quotePrefix="1" applyNumberFormat="1" applyFont="1" applyFill="1" applyBorder="1" applyAlignment="1">
      <alignment horizontal="center" wrapText="1"/>
    </xf>
    <xf numFmtId="38" fontId="69" fillId="16" borderId="0" xfId="0" applyNumberFormat="1" applyFont="1" applyFill="1" applyBorder="1" applyAlignment="1">
      <alignment horizontal="left"/>
    </xf>
    <xf numFmtId="38" fontId="112" fillId="0" borderId="9" xfId="0" quotePrefix="1" applyNumberFormat="1" applyFont="1" applyFill="1" applyBorder="1" applyAlignment="1">
      <alignment horizontal="center" wrapText="1"/>
    </xf>
    <xf numFmtId="165" fontId="21" fillId="0" borderId="7" xfId="2" applyNumberFormat="1" applyFont="1" applyFill="1" applyBorder="1"/>
    <xf numFmtId="165" fontId="21" fillId="0" borderId="18" xfId="2" applyNumberFormat="1" applyFont="1" applyFill="1" applyBorder="1"/>
    <xf numFmtId="0" fontId="20" fillId="0" borderId="7" xfId="0" applyFont="1" applyFill="1" applyBorder="1"/>
    <xf numFmtId="10" fontId="20" fillId="0" borderId="14" xfId="1" applyNumberFormat="1" applyFont="1" applyFill="1" applyBorder="1"/>
    <xf numFmtId="0" fontId="0" fillId="0" borderId="14" xfId="0" applyBorder="1"/>
    <xf numFmtId="38" fontId="21" fillId="0" borderId="7" xfId="0" applyNumberFormat="1" applyFont="1" applyFill="1" applyBorder="1"/>
    <xf numFmtId="165" fontId="21" fillId="0" borderId="9" xfId="2" applyNumberFormat="1" applyFont="1" applyFill="1" applyBorder="1"/>
    <xf numFmtId="165" fontId="21" fillId="0" borderId="9" xfId="2" applyNumberFormat="1" applyFont="1" applyFill="1" applyBorder="1" applyAlignment="1">
      <alignment horizontal="right"/>
    </xf>
    <xf numFmtId="0" fontId="81" fillId="2" borderId="0" xfId="3" applyFont="1" applyFill="1" applyAlignment="1">
      <alignment horizontal="left"/>
    </xf>
    <xf numFmtId="0" fontId="60" fillId="0" borderId="0" xfId="3" applyFont="1" applyFill="1" applyAlignment="1"/>
    <xf numFmtId="165" fontId="21" fillId="43" borderId="7" xfId="2" applyNumberFormat="1" applyFont="1" applyFill="1" applyBorder="1"/>
    <xf numFmtId="165" fontId="21" fillId="48" borderId="7" xfId="2" applyNumberFormat="1" applyFont="1" applyFill="1" applyBorder="1"/>
    <xf numFmtId="165" fontId="21" fillId="23" borderId="7" xfId="2" applyNumberFormat="1" applyFont="1" applyFill="1" applyBorder="1"/>
    <xf numFmtId="165" fontId="21" fillId="34" borderId="7" xfId="2" applyNumberFormat="1" applyFont="1" applyFill="1" applyBorder="1"/>
    <xf numFmtId="165" fontId="21" fillId="4" borderId="7" xfId="2" applyNumberFormat="1" applyFont="1" applyFill="1" applyBorder="1"/>
    <xf numFmtId="165" fontId="21" fillId="25" borderId="9" xfId="2" applyNumberFormat="1" applyFont="1" applyFill="1" applyBorder="1"/>
    <xf numFmtId="165" fontId="21" fillId="24" borderId="7" xfId="2" applyNumberFormat="1" applyFont="1" applyFill="1" applyBorder="1"/>
    <xf numFmtId="165" fontId="21" fillId="24" borderId="9" xfId="2" applyNumberFormat="1" applyFont="1" applyFill="1" applyBorder="1"/>
    <xf numFmtId="165" fontId="21" fillId="7" borderId="7" xfId="2" applyNumberFormat="1" applyFont="1" applyFill="1" applyBorder="1"/>
    <xf numFmtId="165" fontId="21" fillId="10" borderId="7" xfId="2" applyNumberFormat="1" applyFont="1" applyFill="1" applyBorder="1"/>
    <xf numFmtId="165" fontId="21" fillId="36" borderId="7" xfId="2" applyNumberFormat="1" applyFont="1" applyFill="1" applyBorder="1"/>
    <xf numFmtId="165" fontId="21" fillId="37" borderId="7" xfId="2" applyNumberFormat="1" applyFont="1" applyFill="1" applyBorder="1"/>
    <xf numFmtId="165" fontId="21" fillId="39" borderId="7" xfId="2" applyNumberFormat="1" applyFont="1" applyFill="1" applyBorder="1"/>
    <xf numFmtId="165" fontId="21" fillId="40" borderId="7" xfId="2" applyNumberFormat="1" applyFont="1" applyFill="1" applyBorder="1"/>
    <xf numFmtId="165" fontId="21" fillId="41" borderId="7" xfId="2" applyNumberFormat="1" applyFont="1" applyFill="1" applyBorder="1"/>
    <xf numFmtId="165" fontId="21" fillId="42" borderId="7" xfId="2" applyNumberFormat="1" applyFont="1" applyFill="1" applyBorder="1"/>
    <xf numFmtId="165" fontId="21" fillId="44" borderId="7" xfId="2" applyNumberFormat="1" applyFont="1" applyFill="1" applyBorder="1"/>
    <xf numFmtId="165" fontId="21" fillId="45" borderId="7" xfId="2" applyNumberFormat="1" applyFont="1" applyFill="1" applyBorder="1"/>
    <xf numFmtId="165" fontId="21" fillId="32" borderId="7" xfId="2" applyNumberFormat="1" applyFont="1" applyFill="1" applyBorder="1"/>
    <xf numFmtId="165" fontId="21" fillId="46" borderId="7" xfId="2" applyNumberFormat="1" applyFont="1" applyFill="1" applyBorder="1"/>
    <xf numFmtId="165" fontId="21" fillId="49" borderId="9" xfId="2" applyNumberFormat="1" applyFont="1" applyFill="1" applyBorder="1"/>
    <xf numFmtId="165" fontId="21" fillId="35" borderId="7" xfId="2" applyNumberFormat="1" applyFont="1" applyFill="1" applyBorder="1"/>
    <xf numFmtId="165" fontId="21" fillId="50" borderId="7" xfId="2" applyNumberFormat="1" applyFont="1" applyFill="1" applyBorder="1"/>
    <xf numFmtId="38" fontId="48" fillId="0" borderId="6" xfId="0" applyNumberFormat="1" applyFont="1" applyFill="1" applyBorder="1" applyAlignment="1">
      <alignment horizontal="center" wrapText="1"/>
    </xf>
    <xf numFmtId="38" fontId="48" fillId="0" borderId="10" xfId="0" quotePrefix="1" applyNumberFormat="1" applyFont="1" applyFill="1" applyBorder="1" applyAlignment="1">
      <alignment horizontal="center" wrapText="1"/>
    </xf>
    <xf numFmtId="38" fontId="48" fillId="0" borderId="8" xfId="0" quotePrefix="1" applyNumberFormat="1" applyFont="1" applyFill="1" applyBorder="1" applyAlignment="1">
      <alignment horizontal="center" wrapText="1"/>
    </xf>
    <xf numFmtId="38" fontId="21" fillId="47" borderId="7" xfId="2" applyNumberFormat="1" applyFont="1" applyFill="1" applyBorder="1"/>
    <xf numFmtId="38" fontId="88" fillId="0" borderId="7" xfId="0" applyNumberFormat="1" applyFont="1" applyFill="1" applyBorder="1" applyAlignment="1">
      <alignment horizontal="center"/>
    </xf>
    <xf numFmtId="165" fontId="88" fillId="0" borderId="7" xfId="2" applyNumberFormat="1" applyFont="1" applyBorder="1" applyAlignment="1">
      <alignment horizontal="center"/>
    </xf>
    <xf numFmtId="165" fontId="88" fillId="0" borderId="9" xfId="2" applyNumberFormat="1" applyFont="1" applyBorder="1" applyAlignment="1">
      <alignment horizontal="center"/>
    </xf>
    <xf numFmtId="165" fontId="88" fillId="0" borderId="13" xfId="2" applyNumberFormat="1" applyFont="1" applyFill="1" applyBorder="1" applyAlignment="1">
      <alignment horizontal="center"/>
    </xf>
    <xf numFmtId="165" fontId="88" fillId="0" borderId="7" xfId="2" applyNumberFormat="1" applyFont="1" applyFill="1" applyBorder="1" applyAlignment="1">
      <alignment horizontal="center"/>
    </xf>
    <xf numFmtId="165" fontId="89" fillId="0" borderId="7" xfId="2" applyNumberFormat="1" applyFont="1" applyBorder="1" applyAlignment="1">
      <alignment horizontal="center"/>
    </xf>
    <xf numFmtId="165" fontId="88" fillId="0" borderId="18" xfId="2" applyNumberFormat="1" applyFont="1" applyBorder="1" applyAlignment="1">
      <alignment horizontal="center"/>
    </xf>
    <xf numFmtId="165" fontId="90" fillId="0" borderId="34" xfId="2" applyNumberFormat="1" applyFont="1" applyFill="1" applyBorder="1" applyAlignment="1">
      <alignment horizontal="center"/>
    </xf>
    <xf numFmtId="165" fontId="88" fillId="0" borderId="13" xfId="2" applyNumberFormat="1" applyFont="1" applyBorder="1" applyAlignment="1">
      <alignment horizontal="center"/>
    </xf>
    <xf numFmtId="165" fontId="90" fillId="0" borderId="11" xfId="2" applyNumberFormat="1" applyFont="1" applyFill="1" applyBorder="1" applyAlignment="1">
      <alignment horizontal="center"/>
    </xf>
    <xf numFmtId="38" fontId="0" fillId="0" borderId="14" xfId="0" applyNumberFormat="1" applyFill="1" applyBorder="1" applyAlignment="1">
      <alignment horizontal="center"/>
    </xf>
    <xf numFmtId="38" fontId="0" fillId="0" borderId="21" xfId="0" applyNumberFormat="1" applyFill="1" applyBorder="1" applyAlignment="1">
      <alignment horizontal="center"/>
    </xf>
    <xf numFmtId="38" fontId="0" fillId="0" borderId="17" xfId="0" applyNumberFormat="1" applyFill="1" applyBorder="1" applyAlignment="1">
      <alignment horizontal="center"/>
    </xf>
    <xf numFmtId="38" fontId="0" fillId="0" borderId="18" xfId="0" applyNumberFormat="1" applyFill="1" applyBorder="1" applyAlignment="1">
      <alignment horizontal="center"/>
    </xf>
    <xf numFmtId="10" fontId="0" fillId="0" borderId="17" xfId="0" applyNumberFormat="1" applyFill="1" applyBorder="1" applyAlignment="1">
      <alignment horizontal="center"/>
    </xf>
    <xf numFmtId="0" fontId="0" fillId="0" borderId="14" xfId="0" applyNumberFormat="1" applyBorder="1" applyAlignment="1"/>
    <xf numFmtId="165" fontId="21" fillId="0" borderId="0" xfId="2" applyNumberFormat="1" applyFont="1" applyFill="1" applyBorder="1"/>
    <xf numFmtId="0" fontId="85" fillId="0" borderId="17" xfId="2" applyNumberFormat="1" applyFont="1" applyBorder="1" applyAlignment="1"/>
    <xf numFmtId="0" fontId="85" fillId="0" borderId="18" xfId="2" applyNumberFormat="1" applyFont="1" applyBorder="1" applyAlignment="1"/>
    <xf numFmtId="0" fontId="85" fillId="0" borderId="16" xfId="2" applyNumberFormat="1" applyFont="1" applyFill="1" applyBorder="1" applyAlignment="1"/>
    <xf numFmtId="0" fontId="85" fillId="0" borderId="17" xfId="2" applyNumberFormat="1" applyFont="1" applyFill="1" applyBorder="1" applyAlignment="1"/>
    <xf numFmtId="0" fontId="86" fillId="0" borderId="17" xfId="2" applyNumberFormat="1" applyFont="1" applyBorder="1" applyAlignment="1"/>
    <xf numFmtId="0" fontId="85" fillId="0" borderId="17" xfId="130" applyNumberFormat="1" applyFont="1" applyBorder="1" applyAlignment="1"/>
    <xf numFmtId="49" fontId="85" fillId="0" borderId="17" xfId="130" applyNumberFormat="1" applyFont="1" applyBorder="1" applyAlignment="1"/>
    <xf numFmtId="0" fontId="87" fillId="0" borderId="53" xfId="2" applyNumberFormat="1" applyFont="1" applyFill="1" applyBorder="1" applyAlignment="1"/>
    <xf numFmtId="0" fontId="85" fillId="0" borderId="16" xfId="2" applyNumberFormat="1" applyFont="1" applyBorder="1" applyAlignment="1"/>
    <xf numFmtId="0" fontId="87" fillId="0" borderId="19" xfId="2" applyNumberFormat="1" applyFont="1" applyFill="1" applyBorder="1" applyAlignment="1"/>
    <xf numFmtId="38" fontId="32" fillId="0" borderId="5" xfId="0" applyNumberFormat="1" applyFont="1" applyFill="1" applyBorder="1"/>
    <xf numFmtId="38" fontId="32" fillId="0" borderId="21" xfId="0" applyNumberFormat="1" applyFont="1" applyFill="1" applyBorder="1"/>
    <xf numFmtId="165" fontId="48" fillId="0" borderId="16" xfId="2" applyNumberFormat="1" applyFont="1" applyFill="1" applyBorder="1"/>
    <xf numFmtId="165" fontId="49" fillId="0" borderId="17" xfId="2" applyNumberFormat="1" applyFont="1" applyFill="1" applyBorder="1"/>
    <xf numFmtId="165" fontId="50" fillId="0" borderId="19" xfId="2" applyNumberFormat="1" applyFont="1" applyFill="1" applyBorder="1"/>
    <xf numFmtId="165" fontId="49" fillId="0" borderId="17" xfId="2" applyNumberFormat="1" applyFont="1" applyBorder="1"/>
    <xf numFmtId="165" fontId="49" fillId="0" borderId="18" xfId="2" applyNumberFormat="1" applyFont="1" applyBorder="1"/>
    <xf numFmtId="165" fontId="32" fillId="0" borderId="17" xfId="2" applyNumberFormat="1" applyFont="1" applyFill="1" applyBorder="1"/>
    <xf numFmtId="165" fontId="51" fillId="0" borderId="17" xfId="2" applyNumberFormat="1" applyFont="1" applyBorder="1" applyAlignment="1">
      <alignment horizontal="right"/>
    </xf>
    <xf numFmtId="165" fontId="32" fillId="2" borderId="0" xfId="2" applyNumberFormat="1" applyFont="1" applyFill="1" applyBorder="1"/>
    <xf numFmtId="0" fontId="85" fillId="0" borderId="17" xfId="0" applyNumberFormat="1" applyFont="1" applyFill="1" applyBorder="1" applyAlignment="1"/>
    <xf numFmtId="38" fontId="84" fillId="0" borderId="21" xfId="0" applyNumberFormat="1" applyFont="1" applyFill="1" applyBorder="1" applyAlignment="1">
      <alignment horizontal="center" wrapText="1"/>
    </xf>
    <xf numFmtId="38" fontId="84" fillId="0" borderId="17" xfId="0" quotePrefix="1" applyNumberFormat="1" applyFont="1" applyFill="1" applyBorder="1" applyAlignment="1">
      <alignment horizontal="center" wrapText="1"/>
    </xf>
    <xf numFmtId="165" fontId="32" fillId="0" borderId="4" xfId="2" applyNumberFormat="1" applyFont="1" applyFill="1" applyBorder="1"/>
    <xf numFmtId="38" fontId="32" fillId="0" borderId="52" xfId="0" applyNumberFormat="1" applyFont="1" applyFill="1" applyBorder="1"/>
    <xf numFmtId="38" fontId="32" fillId="0" borderId="52" xfId="0" applyNumberFormat="1" applyFont="1" applyFill="1" applyBorder="1" applyAlignment="1">
      <alignment horizontal="center"/>
    </xf>
    <xf numFmtId="0" fontId="32" fillId="0" borderId="52" xfId="0" applyNumberFormat="1" applyFont="1" applyFill="1" applyBorder="1" applyAlignment="1"/>
    <xf numFmtId="0" fontId="26" fillId="0" borderId="52" xfId="0" applyFont="1" applyBorder="1"/>
    <xf numFmtId="38" fontId="49" fillId="0" borderId="52" xfId="0" applyNumberFormat="1" applyFont="1" applyBorder="1"/>
    <xf numFmtId="168" fontId="100" fillId="0" borderId="0" xfId="0" applyNumberFormat="1" applyFont="1" applyBorder="1"/>
    <xf numFmtId="40" fontId="100" fillId="0" borderId="0" xfId="0" applyNumberFormat="1" applyFont="1" applyBorder="1"/>
    <xf numFmtId="43" fontId="21" fillId="15" borderId="2" xfId="13" applyNumberFormat="1" applyFont="1" applyFill="1" applyBorder="1"/>
    <xf numFmtId="0" fontId="21" fillId="0" borderId="0" xfId="13" applyFont="1" applyFill="1" applyBorder="1"/>
    <xf numFmtId="43" fontId="21" fillId="0" borderId="0" xfId="13" applyNumberFormat="1" applyFont="1" applyFill="1" applyBorder="1"/>
    <xf numFmtId="0" fontId="80" fillId="0" borderId="0" xfId="36" applyFont="1" applyFill="1" applyBorder="1" applyAlignment="1">
      <alignment horizontal="left"/>
    </xf>
    <xf numFmtId="0" fontId="21" fillId="0" borderId="0" xfId="36"/>
    <xf numFmtId="40" fontId="21" fillId="0" borderId="0" xfId="36" applyNumberFormat="1" applyFont="1" applyFill="1" applyBorder="1" applyAlignment="1">
      <alignment horizontal="right"/>
    </xf>
    <xf numFmtId="40" fontId="21" fillId="0" borderId="0" xfId="36" applyNumberFormat="1" applyFont="1" applyFill="1" applyAlignment="1">
      <alignment horizontal="right"/>
    </xf>
    <xf numFmtId="40" fontId="21" fillId="0" borderId="0" xfId="36" applyNumberFormat="1" applyFont="1" applyFill="1"/>
    <xf numFmtId="40" fontId="21" fillId="0" borderId="0" xfId="13" applyNumberFormat="1" applyFont="1" applyFill="1" applyBorder="1"/>
    <xf numFmtId="166" fontId="21" fillId="0" borderId="0" xfId="1" applyNumberFormat="1" applyFont="1"/>
    <xf numFmtId="38" fontId="48" fillId="0" borderId="10" xfId="0" quotePrefix="1" applyNumberFormat="1" applyFont="1" applyFill="1" applyBorder="1" applyAlignment="1">
      <alignment horizontal="center" wrapText="1"/>
    </xf>
    <xf numFmtId="0" fontId="104" fillId="0" borderId="0" xfId="0" applyFont="1" applyFill="1"/>
    <xf numFmtId="49" fontId="104" fillId="0" borderId="35" xfId="0" applyNumberFormat="1" applyFont="1" applyFill="1" applyBorder="1" applyAlignment="1">
      <alignment horizontal="center"/>
    </xf>
    <xf numFmtId="40" fontId="0" fillId="0" borderId="5" xfId="0" applyNumberFormat="1" applyFill="1" applyBorder="1" applyAlignment="1">
      <alignment horizontal="right"/>
    </xf>
    <xf numFmtId="174" fontId="0" fillId="0" borderId="49" xfId="0" applyNumberFormat="1" applyFill="1" applyBorder="1" applyAlignment="1">
      <alignment horizontal="right"/>
    </xf>
    <xf numFmtId="40" fontId="0" fillId="0" borderId="49" xfId="0" applyNumberFormat="1" applyFill="1" applyBorder="1" applyAlignment="1">
      <alignment horizontal="right"/>
    </xf>
    <xf numFmtId="38" fontId="31" fillId="0" borderId="0" xfId="0" quotePrefix="1" applyNumberFormat="1" applyFont="1" applyFill="1" applyBorder="1" applyAlignment="1">
      <alignment horizontal="center"/>
    </xf>
    <xf numFmtId="0" fontId="22" fillId="0" borderId="0" xfId="0" applyFont="1" applyFill="1" applyBorder="1" applyAlignment="1"/>
    <xf numFmtId="0" fontId="104" fillId="0" borderId="0" xfId="0" applyFont="1" applyFill="1" applyBorder="1" applyAlignment="1"/>
    <xf numFmtId="0" fontId="104" fillId="0" borderId="0" xfId="0" applyFont="1" applyFill="1" applyBorder="1"/>
    <xf numFmtId="0" fontId="0" fillId="0" borderId="0" xfId="0" applyFill="1" applyBorder="1" applyAlignment="1"/>
    <xf numFmtId="38" fontId="32" fillId="0" borderId="0" xfId="0" applyNumberFormat="1" applyFont="1" applyFill="1" applyBorder="1" applyAlignment="1"/>
    <xf numFmtId="0" fontId="20" fillId="0" borderId="0" xfId="0" applyFont="1" applyFill="1" applyBorder="1" applyAlignment="1"/>
    <xf numFmtId="40" fontId="104" fillId="0" borderId="0" xfId="0" applyNumberFormat="1" applyFont="1" applyFill="1" applyBorder="1"/>
    <xf numFmtId="165" fontId="32" fillId="0" borderId="0" xfId="18" applyNumberFormat="1" applyFont="1" applyFill="1" applyBorder="1" applyAlignment="1"/>
    <xf numFmtId="0" fontId="21" fillId="0" borderId="0" xfId="0" applyFont="1" applyFill="1" applyBorder="1" applyAlignment="1"/>
    <xf numFmtId="165" fontId="31" fillId="0" borderId="0" xfId="18" applyNumberFormat="1" applyFont="1" applyFill="1" applyBorder="1" applyAlignment="1"/>
    <xf numFmtId="0" fontId="28" fillId="0" borderId="0" xfId="0" applyFont="1" applyFill="1" applyBorder="1" applyAlignment="1"/>
    <xf numFmtId="165" fontId="32" fillId="0" borderId="0" xfId="18" applyNumberFormat="1" applyFont="1" applyFill="1" applyBorder="1"/>
    <xf numFmtId="0" fontId="28" fillId="0" borderId="0" xfId="0" applyFont="1" applyFill="1" applyBorder="1"/>
    <xf numFmtId="10" fontId="104" fillId="0" borderId="0" xfId="17" applyNumberFormat="1" applyFont="1"/>
    <xf numFmtId="44" fontId="104" fillId="0" borderId="0" xfId="0" applyNumberFormat="1" applyFont="1" applyFill="1" applyBorder="1"/>
    <xf numFmtId="165" fontId="31" fillId="0" borderId="0" xfId="18" applyNumberFormat="1" applyFont="1" applyFill="1" applyBorder="1"/>
    <xf numFmtId="0" fontId="20" fillId="0" borderId="0" xfId="0" applyFont="1" applyFill="1" applyBorder="1"/>
    <xf numFmtId="165" fontId="33" fillId="0" borderId="0" xfId="18" applyNumberFormat="1" applyFont="1" applyFill="1" applyBorder="1"/>
    <xf numFmtId="0" fontId="30" fillId="0" borderId="0" xfId="0" applyFont="1" applyFill="1" applyBorder="1"/>
    <xf numFmtId="165" fontId="32" fillId="0" borderId="0" xfId="18" applyNumberFormat="1" applyFont="1" applyFill="1" applyBorder="1" applyAlignment="1">
      <alignment horizontal="right"/>
    </xf>
    <xf numFmtId="0" fontId="104" fillId="0" borderId="6" xfId="0" applyFont="1" applyBorder="1"/>
    <xf numFmtId="40" fontId="104" fillId="0" borderId="0" xfId="0" applyNumberFormat="1" applyFont="1" applyBorder="1"/>
    <xf numFmtId="10" fontId="104" fillId="0" borderId="8" xfId="0" applyNumberFormat="1" applyFont="1" applyBorder="1"/>
    <xf numFmtId="40" fontId="104" fillId="0" borderId="1" xfId="0" applyNumberFormat="1" applyFont="1" applyBorder="1"/>
    <xf numFmtId="0" fontId="104" fillId="0" borderId="8" xfId="0" applyFont="1" applyBorder="1"/>
    <xf numFmtId="40" fontId="104" fillId="4" borderId="0" xfId="0" applyNumberFormat="1" applyFont="1" applyFill="1" applyBorder="1"/>
    <xf numFmtId="40" fontId="104" fillId="25" borderId="1" xfId="0" applyNumberFormat="1" applyFont="1" applyFill="1" applyBorder="1"/>
    <xf numFmtId="40" fontId="104" fillId="29" borderId="0" xfId="0" applyNumberFormat="1" applyFont="1" applyFill="1" applyBorder="1"/>
    <xf numFmtId="0" fontId="104" fillId="0" borderId="10" xfId="0" applyFont="1" applyBorder="1"/>
    <xf numFmtId="38" fontId="21" fillId="30" borderId="0" xfId="0" applyNumberFormat="1" applyFont="1" applyFill="1" applyAlignment="1">
      <alignment horizontal="left"/>
    </xf>
    <xf numFmtId="38" fontId="66" fillId="0" borderId="0" xfId="0" applyNumberFormat="1" applyFont="1"/>
    <xf numFmtId="38" fontId="113" fillId="0" borderId="0" xfId="0" applyNumberFormat="1" applyFont="1"/>
    <xf numFmtId="38" fontId="66" fillId="0" borderId="0" xfId="0" applyNumberFormat="1" applyFont="1" applyFill="1"/>
    <xf numFmtId="38" fontId="20" fillId="0" borderId="0" xfId="0" applyNumberFormat="1" applyFont="1"/>
    <xf numFmtId="49" fontId="21" fillId="0" borderId="1" xfId="0" applyNumberFormat="1" applyFont="1" applyFill="1" applyBorder="1" applyAlignment="1">
      <alignment horizontal="center"/>
    </xf>
    <xf numFmtId="38" fontId="21" fillId="0" borderId="0" xfId="6" applyNumberFormat="1" applyFont="1" applyFill="1" applyAlignment="1">
      <alignment vertical="center"/>
    </xf>
    <xf numFmtId="38" fontId="20" fillId="0" borderId="0" xfId="6" applyNumberFormat="1" applyFont="1" applyFill="1" applyAlignment="1">
      <alignment vertical="center"/>
    </xf>
    <xf numFmtId="38" fontId="21" fillId="0" borderId="0" xfId="6" applyNumberFormat="1" applyFont="1" applyAlignment="1">
      <alignment vertical="center"/>
    </xf>
    <xf numFmtId="38" fontId="20" fillId="0" borderId="0" xfId="6" applyNumberFormat="1" applyFont="1" applyAlignment="1">
      <alignment vertical="center"/>
    </xf>
    <xf numFmtId="38" fontId="20" fillId="0" borderId="2" xfId="0" applyNumberFormat="1" applyFont="1" applyFill="1" applyBorder="1" applyAlignment="1" applyProtection="1">
      <alignment vertical="center"/>
    </xf>
    <xf numFmtId="38" fontId="21" fillId="2" borderId="0" xfId="6" applyNumberFormat="1" applyFont="1" applyFill="1" applyAlignment="1">
      <alignment vertical="center"/>
    </xf>
    <xf numFmtId="38" fontId="20" fillId="2" borderId="0" xfId="0" applyNumberFormat="1" applyFont="1" applyFill="1" applyBorder="1" applyAlignment="1" applyProtection="1">
      <alignment vertical="center"/>
    </xf>
    <xf numFmtId="38" fontId="20" fillId="2" borderId="0" xfId="6" applyNumberFormat="1" applyFont="1" applyFill="1" applyAlignment="1">
      <alignment vertical="center"/>
    </xf>
    <xf numFmtId="40" fontId="21" fillId="0" borderId="2" xfId="0" applyNumberFormat="1" applyFont="1" applyFill="1" applyBorder="1" applyAlignment="1" applyProtection="1">
      <alignment vertical="center"/>
    </xf>
    <xf numFmtId="38" fontId="20" fillId="0" borderId="2" xfId="0" applyNumberFormat="1" applyFont="1" applyBorder="1" applyAlignment="1" applyProtection="1">
      <alignment vertical="center"/>
    </xf>
    <xf numFmtId="38" fontId="106" fillId="0" borderId="0" xfId="0" applyNumberFormat="1" applyFont="1" applyAlignment="1" applyProtection="1">
      <alignment vertical="center"/>
    </xf>
    <xf numFmtId="38" fontId="21" fillId="0" borderId="0" xfId="6" applyNumberFormat="1" applyFont="1" applyAlignment="1" applyProtection="1">
      <alignment vertical="center"/>
    </xf>
    <xf numFmtId="38" fontId="21" fillId="0" borderId="0" xfId="6" applyNumberFormat="1" applyFont="1" applyBorder="1" applyAlignment="1" applyProtection="1">
      <alignment vertical="center"/>
    </xf>
    <xf numFmtId="38" fontId="21" fillId="2" borderId="0" xfId="6" applyNumberFormat="1" applyFont="1" applyFill="1" applyAlignment="1" applyProtection="1">
      <alignment vertical="center"/>
    </xf>
    <xf numFmtId="38" fontId="20" fillId="2" borderId="0" xfId="0" applyNumberFormat="1" applyFont="1" applyFill="1" applyAlignment="1">
      <alignment vertical="center"/>
    </xf>
    <xf numFmtId="38" fontId="21" fillId="0" borderId="0" xfId="6" applyNumberFormat="1" applyFont="1" applyFill="1" applyAlignment="1" applyProtection="1">
      <alignment vertical="center"/>
    </xf>
    <xf numFmtId="38" fontId="20" fillId="0" borderId="0" xfId="0" applyNumberFormat="1" applyFont="1" applyAlignment="1">
      <alignment vertical="center"/>
    </xf>
    <xf numFmtId="38" fontId="106" fillId="0" borderId="2" xfId="0" applyNumberFormat="1" applyFont="1" applyFill="1" applyBorder="1" applyAlignment="1" applyProtection="1">
      <alignment vertical="center"/>
    </xf>
    <xf numFmtId="38" fontId="20" fillId="2" borderId="0" xfId="0" applyNumberFormat="1" applyFont="1" applyFill="1"/>
    <xf numFmtId="40" fontId="21" fillId="0" borderId="14" xfId="0" applyNumberFormat="1" applyFont="1" applyBorder="1" applyAlignment="1">
      <alignment vertical="center"/>
    </xf>
    <xf numFmtId="38" fontId="20" fillId="0" borderId="14" xfId="0" applyNumberFormat="1" applyFont="1" applyBorder="1" applyAlignment="1">
      <alignment vertical="center"/>
    </xf>
    <xf numFmtId="38" fontId="106" fillId="0" borderId="0" xfId="0" applyNumberFormat="1" applyFont="1" applyAlignment="1">
      <alignment vertical="center"/>
    </xf>
    <xf numFmtId="40" fontId="21" fillId="0" borderId="14" xfId="0" applyNumberFormat="1" applyFont="1" applyBorder="1" applyAlignment="1" applyProtection="1">
      <alignment vertical="center"/>
    </xf>
    <xf numFmtId="38" fontId="20" fillId="0" borderId="14" xfId="0" applyNumberFormat="1" applyFont="1" applyBorder="1" applyAlignment="1" applyProtection="1">
      <alignment vertical="center"/>
    </xf>
    <xf numFmtId="38" fontId="106" fillId="0" borderId="0" xfId="0" applyNumberFormat="1" applyFont="1" applyBorder="1" applyAlignment="1" applyProtection="1">
      <alignment vertical="center"/>
    </xf>
    <xf numFmtId="38" fontId="20" fillId="0" borderId="0" xfId="0" applyNumberFormat="1" applyFont="1" applyBorder="1" applyAlignment="1" applyProtection="1">
      <alignment vertical="center"/>
    </xf>
    <xf numFmtId="0" fontId="21" fillId="28" borderId="0" xfId="0" applyFont="1" applyFill="1" applyBorder="1" applyAlignment="1" applyProtection="1">
      <alignment horizontal="left" vertical="center"/>
    </xf>
    <xf numFmtId="176" fontId="21" fillId="28" borderId="0" xfId="0" applyNumberFormat="1" applyFont="1" applyFill="1" applyAlignment="1" applyProtection="1">
      <alignment horizontal="center" vertical="center"/>
    </xf>
    <xf numFmtId="38" fontId="21" fillId="28" borderId="0" xfId="0" applyNumberFormat="1" applyFont="1" applyFill="1" applyBorder="1" applyAlignment="1" applyProtection="1">
      <alignment vertical="center"/>
    </xf>
    <xf numFmtId="38" fontId="0" fillId="28" borderId="0" xfId="0" applyNumberFormat="1" applyFill="1"/>
    <xf numFmtId="38" fontId="21" fillId="28" borderId="0" xfId="0" applyNumberFormat="1" applyFont="1" applyFill="1"/>
    <xf numFmtId="38" fontId="20" fillId="28" borderId="0" xfId="0" applyNumberFormat="1" applyFont="1" applyFill="1"/>
    <xf numFmtId="38" fontId="20" fillId="28" borderId="0" xfId="6" applyNumberFormat="1" applyFont="1" applyFill="1" applyAlignment="1">
      <alignment vertical="center"/>
    </xf>
    <xf numFmtId="38" fontId="21" fillId="28" borderId="0" xfId="6" applyNumberFormat="1" applyFont="1" applyFill="1" applyAlignment="1">
      <alignment vertical="center"/>
    </xf>
    <xf numFmtId="40" fontId="21" fillId="0" borderId="5" xfId="0" applyNumberFormat="1" applyFont="1" applyBorder="1" applyAlignment="1" applyProtection="1">
      <alignment vertical="center"/>
    </xf>
    <xf numFmtId="38" fontId="106" fillId="0" borderId="0" xfId="0" applyNumberFormat="1" applyFont="1" applyFill="1" applyBorder="1" applyAlignment="1" applyProtection="1">
      <alignment vertical="center"/>
    </xf>
    <xf numFmtId="38" fontId="21" fillId="0" borderId="0" xfId="6" applyNumberFormat="1" applyFont="1" applyBorder="1" applyAlignment="1">
      <alignment vertical="center"/>
    </xf>
    <xf numFmtId="38" fontId="21" fillId="0" borderId="0" xfId="6" applyNumberFormat="1" applyFont="1" applyFill="1" applyBorder="1" applyAlignment="1">
      <alignment vertical="center"/>
    </xf>
    <xf numFmtId="38" fontId="20" fillId="0" borderId="0" xfId="6" applyNumberFormat="1" applyFont="1" applyBorder="1" applyAlignment="1">
      <alignment vertical="center"/>
    </xf>
    <xf numFmtId="38" fontId="21" fillId="2" borderId="0" xfId="6" applyNumberFormat="1" applyFont="1" applyFill="1" applyBorder="1" applyAlignment="1">
      <alignment vertical="center"/>
    </xf>
    <xf numFmtId="38" fontId="20" fillId="2" borderId="0" xfId="6" applyNumberFormat="1" applyFont="1" applyFill="1" applyBorder="1" applyAlignment="1">
      <alignment vertical="center"/>
    </xf>
    <xf numFmtId="40" fontId="21" fillId="0" borderId="2" xfId="0" applyNumberFormat="1" applyFont="1" applyBorder="1" applyAlignment="1" applyProtection="1">
      <alignment horizontal="right" vertical="center"/>
    </xf>
    <xf numFmtId="38" fontId="20" fillId="0" borderId="2" xfId="0" applyNumberFormat="1" applyFont="1" applyBorder="1" applyAlignment="1" applyProtection="1">
      <alignment horizontal="right" vertical="center"/>
    </xf>
    <xf numFmtId="38" fontId="106" fillId="0" borderId="0" xfId="6" applyNumberFormat="1" applyFont="1" applyAlignment="1" applyProtection="1">
      <alignment horizontal="right" vertical="center"/>
    </xf>
    <xf numFmtId="38" fontId="21" fillId="12" borderId="0" xfId="6" applyNumberFormat="1" applyFont="1" applyFill="1" applyAlignment="1">
      <alignment vertical="center"/>
    </xf>
    <xf numFmtId="38" fontId="20" fillId="12" borderId="0" xfId="6" applyNumberFormat="1" applyFont="1" applyFill="1" applyAlignment="1">
      <alignment vertical="center"/>
    </xf>
    <xf numFmtId="176" fontId="21" fillId="0" borderId="0" xfId="0" applyNumberFormat="1" applyFont="1" applyAlignment="1" applyProtection="1">
      <alignment horizontal="right" vertical="center"/>
    </xf>
    <xf numFmtId="40" fontId="21" fillId="0" borderId="2" xfId="0" applyNumberFormat="1" applyFont="1" applyBorder="1" applyAlignment="1" applyProtection="1">
      <alignment vertical="center"/>
    </xf>
    <xf numFmtId="38" fontId="106" fillId="0" borderId="0" xfId="6" applyNumberFormat="1" applyFont="1" applyAlignment="1" applyProtection="1">
      <alignment vertical="center"/>
    </xf>
    <xf numFmtId="38" fontId="106" fillId="0" borderId="0" xfId="6" applyNumberFormat="1" applyFont="1" applyAlignment="1">
      <alignment vertical="center"/>
    </xf>
    <xf numFmtId="38" fontId="20" fillId="0" borderId="20" xfId="0" applyNumberFormat="1" applyFont="1" applyBorder="1" applyAlignment="1">
      <alignment vertical="center"/>
    </xf>
    <xf numFmtId="40" fontId="21" fillId="29" borderId="2" xfId="0" applyNumberFormat="1" applyFont="1" applyFill="1" applyBorder="1" applyAlignment="1">
      <alignment vertical="center"/>
    </xf>
    <xf numFmtId="38" fontId="20" fillId="15" borderId="2" xfId="0" applyNumberFormat="1" applyFont="1" applyFill="1" applyBorder="1" applyAlignment="1">
      <alignment vertical="center"/>
    </xf>
    <xf numFmtId="38" fontId="20" fillId="0" borderId="0" xfId="0" applyNumberFormat="1" applyFont="1" applyFill="1"/>
    <xf numFmtId="0" fontId="20" fillId="0" borderId="0" xfId="0" applyFont="1" applyAlignment="1" applyProtection="1">
      <alignment vertical="center"/>
    </xf>
    <xf numFmtId="175" fontId="20" fillId="0" borderId="1" xfId="0" applyNumberFormat="1" applyFont="1" applyBorder="1" applyAlignment="1" applyProtection="1">
      <alignment horizontal="left" vertical="center"/>
    </xf>
    <xf numFmtId="38" fontId="21" fillId="0" borderId="0" xfId="6" applyNumberFormat="1" applyFont="1"/>
    <xf numFmtId="37" fontId="21" fillId="0" borderId="0" xfId="0" applyNumberFormat="1" applyFont="1" applyFill="1"/>
    <xf numFmtId="37" fontId="21" fillId="29" borderId="0" xfId="0" applyNumberFormat="1" applyFont="1" applyFill="1"/>
    <xf numFmtId="37" fontId="20" fillId="15" borderId="0" xfId="0" applyNumberFormat="1" applyFont="1" applyFill="1"/>
    <xf numFmtId="38" fontId="21" fillId="0" borderId="0" xfId="6" applyNumberFormat="1" applyFont="1" applyFill="1"/>
    <xf numFmtId="37" fontId="21" fillId="29" borderId="2" xfId="0" applyNumberFormat="1" applyFont="1" applyFill="1" applyBorder="1" applyAlignment="1" applyProtection="1">
      <alignment vertical="center"/>
    </xf>
    <xf numFmtId="38" fontId="21" fillId="29" borderId="2" xfId="0" applyNumberFormat="1" applyFont="1" applyFill="1" applyBorder="1" applyAlignment="1" applyProtection="1">
      <alignment vertical="center"/>
    </xf>
    <xf numFmtId="37" fontId="21" fillId="0" borderId="0" xfId="0" applyNumberFormat="1" applyFont="1" applyAlignment="1">
      <alignment vertical="center"/>
    </xf>
    <xf numFmtId="38" fontId="21" fillId="52" borderId="0" xfId="0" applyNumberFormat="1" applyFont="1" applyFill="1" applyAlignment="1">
      <alignment vertical="center"/>
    </xf>
    <xf numFmtId="0" fontId="100" fillId="0" borderId="31" xfId="0" quotePrefix="1" applyNumberFormat="1" applyFont="1" applyBorder="1" applyAlignment="1">
      <alignment horizontal="left"/>
    </xf>
    <xf numFmtId="0" fontId="100" fillId="0" borderId="0" xfId="0" applyFont="1" applyAlignment="1">
      <alignment horizontal="right"/>
    </xf>
    <xf numFmtId="10" fontId="0" fillId="0" borderId="0" xfId="0" applyNumberFormat="1" applyFill="1"/>
    <xf numFmtId="49" fontId="85" fillId="0" borderId="17" xfId="2" applyNumberFormat="1" applyFont="1" applyBorder="1" applyAlignment="1"/>
    <xf numFmtId="0" fontId="45" fillId="3" borderId="0" xfId="3" applyFont="1" applyFill="1" applyAlignment="1">
      <alignment horizontal="center"/>
    </xf>
    <xf numFmtId="0" fontId="60" fillId="0" borderId="0" xfId="3" applyFont="1"/>
    <xf numFmtId="41" fontId="60" fillId="0" borderId="0" xfId="3" applyNumberFormat="1" applyFont="1"/>
    <xf numFmtId="10" fontId="60" fillId="0" borderId="0" xfId="3" applyNumberFormat="1" applyFont="1"/>
    <xf numFmtId="1" fontId="60" fillId="0" borderId="0" xfId="3" applyNumberFormat="1" applyFont="1"/>
    <xf numFmtId="0" fontId="60" fillId="0" borderId="0" xfId="3" applyFont="1" applyFill="1"/>
    <xf numFmtId="9" fontId="81" fillId="2" borderId="0" xfId="3" applyNumberFormat="1" applyFont="1" applyFill="1" applyAlignment="1">
      <alignment horizontal="center"/>
    </xf>
    <xf numFmtId="0" fontId="0" fillId="0" borderId="0" xfId="0" applyAlignment="1">
      <alignment horizontal="center"/>
    </xf>
    <xf numFmtId="0" fontId="115" fillId="0" borderId="0" xfId="249" applyBorder="1" applyAlignment="1" applyProtection="1"/>
    <xf numFmtId="0" fontId="12" fillId="0" borderId="20" xfId="250" applyBorder="1"/>
    <xf numFmtId="43" fontId="21" fillId="0" borderId="0" xfId="6" applyFont="1" applyFill="1" applyBorder="1"/>
    <xf numFmtId="165" fontId="49" fillId="11" borderId="17" xfId="18" applyNumberFormat="1" applyFont="1" applyFill="1" applyBorder="1"/>
    <xf numFmtId="49" fontId="104" fillId="0" borderId="0" xfId="0" applyNumberFormat="1" applyFont="1" applyFill="1" applyAlignment="1">
      <alignment horizontal="left"/>
    </xf>
    <xf numFmtId="49" fontId="0" fillId="0" borderId="0" xfId="0" applyNumberFormat="1" applyFill="1" applyAlignment="1">
      <alignment horizontal="left"/>
    </xf>
    <xf numFmtId="49" fontId="0" fillId="0" borderId="20" xfId="0" applyNumberFormat="1" applyFill="1" applyBorder="1" applyAlignment="1">
      <alignment horizontal="left"/>
    </xf>
    <xf numFmtId="0" fontId="55" fillId="0" borderId="0" xfId="566" applyFont="1" applyFill="1"/>
    <xf numFmtId="40" fontId="55" fillId="0" borderId="0" xfId="566" applyNumberFormat="1" applyFont="1" applyFill="1"/>
    <xf numFmtId="40" fontId="55" fillId="0" borderId="0" xfId="566" applyNumberFormat="1" applyFont="1" applyFill="1" applyAlignment="1">
      <alignment horizontal="right"/>
    </xf>
    <xf numFmtId="0" fontId="55" fillId="0" borderId="0" xfId="566" applyFont="1" applyFill="1" applyAlignment="1">
      <alignment horizontal="right"/>
    </xf>
    <xf numFmtId="40" fontId="55" fillId="0" borderId="0" xfId="566" applyNumberFormat="1" applyFont="1" applyFill="1" applyAlignment="1"/>
    <xf numFmtId="0" fontId="55" fillId="0" borderId="0" xfId="0" applyFont="1"/>
    <xf numFmtId="49" fontId="118" fillId="0" borderId="0" xfId="0" applyNumberFormat="1" applyFont="1" applyAlignment="1">
      <alignment horizontal="left"/>
    </xf>
    <xf numFmtId="40" fontId="55" fillId="0" borderId="0" xfId="0" applyNumberFormat="1" applyFont="1"/>
    <xf numFmtId="40" fontId="55" fillId="0" borderId="1" xfId="0" applyNumberFormat="1" applyFont="1" applyBorder="1"/>
    <xf numFmtId="0" fontId="118" fillId="0" borderId="0" xfId="0" applyFont="1" applyBorder="1"/>
    <xf numFmtId="40" fontId="117" fillId="0" borderId="0" xfId="0" applyNumberFormat="1" applyFont="1" applyAlignment="1">
      <alignment horizontal="center"/>
    </xf>
    <xf numFmtId="40" fontId="117" fillId="0" borderId="0" xfId="0" applyNumberFormat="1" applyFont="1" applyBorder="1" applyAlignment="1">
      <alignment horizontal="center"/>
    </xf>
    <xf numFmtId="40" fontId="118" fillId="0" borderId="0" xfId="0" applyNumberFormat="1" applyFont="1" applyAlignment="1">
      <alignment horizontal="right"/>
    </xf>
    <xf numFmtId="0" fontId="122" fillId="0" borderId="0" xfId="0" applyFont="1"/>
    <xf numFmtId="40" fontId="124" fillId="0" borderId="0" xfId="566" applyNumberFormat="1" applyFont="1" applyAlignment="1">
      <alignment horizontal="center"/>
    </xf>
    <xf numFmtId="40" fontId="124" fillId="0" borderId="20" xfId="566" applyNumberFormat="1" applyFont="1" applyBorder="1" applyAlignment="1">
      <alignment horizontal="center"/>
    </xf>
    <xf numFmtId="0" fontId="55" fillId="0" borderId="0" xfId="0" applyFont="1" applyFill="1"/>
    <xf numFmtId="40" fontId="55" fillId="0" borderId="0" xfId="0" applyNumberFormat="1" applyFont="1" applyFill="1"/>
    <xf numFmtId="40" fontId="55" fillId="0" borderId="1" xfId="0" applyNumberFormat="1" applyFont="1" applyFill="1" applyBorder="1"/>
    <xf numFmtId="40" fontId="120" fillId="0" borderId="0" xfId="566" applyNumberFormat="1" applyFont="1" applyFill="1" applyAlignment="1"/>
    <xf numFmtId="165" fontId="0" fillId="0" borderId="0" xfId="0" applyNumberFormat="1"/>
    <xf numFmtId="0" fontId="125" fillId="0" borderId="4" xfId="0" applyFont="1" applyFill="1" applyBorder="1"/>
    <xf numFmtId="40" fontId="21" fillId="11" borderId="0" xfId="0" applyNumberFormat="1" applyFont="1" applyFill="1"/>
    <xf numFmtId="40" fontId="21" fillId="11" borderId="0" xfId="0" applyNumberFormat="1" applyFont="1" applyFill="1" applyAlignment="1">
      <alignment horizontal="right"/>
    </xf>
    <xf numFmtId="0" fontId="0" fillId="0" borderId="0" xfId="0"/>
    <xf numFmtId="49" fontId="104" fillId="0" borderId="0" xfId="0" applyNumberFormat="1" applyFont="1" applyAlignment="1">
      <alignment horizontal="left"/>
    </xf>
    <xf numFmtId="40" fontId="104" fillId="0" borderId="0" xfId="0" applyNumberFormat="1" applyFont="1" applyFill="1" applyAlignment="1">
      <alignment horizontal="right"/>
    </xf>
    <xf numFmtId="174" fontId="104" fillId="0" borderId="0" xfId="0" applyNumberFormat="1" applyFont="1" applyFill="1" applyAlignment="1">
      <alignment horizontal="right"/>
    </xf>
    <xf numFmtId="0" fontId="104" fillId="0" borderId="0" xfId="0" applyFont="1" applyAlignment="1">
      <alignment horizontal="center"/>
    </xf>
    <xf numFmtId="40" fontId="104" fillId="0" borderId="0" xfId="0" applyNumberFormat="1" applyFont="1" applyAlignment="1">
      <alignment horizontal="center"/>
    </xf>
    <xf numFmtId="0" fontId="109" fillId="0" borderId="4" xfId="0" applyFont="1" applyBorder="1" applyAlignment="1">
      <alignment horizontal="center"/>
    </xf>
    <xf numFmtId="0" fontId="104" fillId="0" borderId="7" xfId="0" applyFont="1" applyBorder="1" applyAlignment="1">
      <alignment horizontal="center"/>
    </xf>
    <xf numFmtId="0" fontId="104" fillId="0" borderId="9" xfId="0" applyFont="1" applyBorder="1" applyAlignment="1">
      <alignment horizontal="center"/>
    </xf>
    <xf numFmtId="40" fontId="126" fillId="0" borderId="0" xfId="0" applyNumberFormat="1" applyFont="1" applyFill="1"/>
    <xf numFmtId="0" fontId="104" fillId="0" borderId="0" xfId="0" applyFont="1" applyAlignment="1">
      <alignment horizontal="left"/>
    </xf>
    <xf numFmtId="40" fontId="100" fillId="0" borderId="0" xfId="645" applyNumberFormat="1" applyFont="1" applyFill="1"/>
    <xf numFmtId="0" fontId="21" fillId="0" borderId="0" xfId="0" applyFont="1" applyAlignment="1"/>
    <xf numFmtId="178" fontId="0" fillId="0" borderId="0" xfId="0" applyNumberFormat="1"/>
    <xf numFmtId="178" fontId="0" fillId="0" borderId="0" xfId="2" applyNumberFormat="1" applyFont="1"/>
    <xf numFmtId="178" fontId="0" fillId="0" borderId="1" xfId="0" applyNumberFormat="1" applyBorder="1"/>
    <xf numFmtId="178" fontId="0" fillId="0" borderId="1" xfId="2" applyNumberFormat="1" applyFont="1" applyBorder="1"/>
    <xf numFmtId="178" fontId="0" fillId="24" borderId="0" xfId="2" applyNumberFormat="1" applyFont="1" applyFill="1"/>
    <xf numFmtId="178" fontId="0" fillId="24" borderId="0" xfId="0" applyNumberFormat="1" applyFill="1" applyAlignment="1">
      <alignment vertical="top" wrapText="1"/>
    </xf>
    <xf numFmtId="178" fontId="20" fillId="0" borderId="0" xfId="0" applyNumberFormat="1" applyFont="1"/>
    <xf numFmtId="178" fontId="20" fillId="0" borderId="1" xfId="0" applyNumberFormat="1" applyFont="1" applyBorder="1"/>
    <xf numFmtId="178" fontId="20" fillId="24" borderId="0" xfId="2" applyNumberFormat="1" applyFont="1" applyFill="1"/>
    <xf numFmtId="178" fontId="20" fillId="0" borderId="0" xfId="0" applyNumberFormat="1" applyFont="1" applyAlignment="1">
      <alignment vertical="top" wrapText="1"/>
    </xf>
    <xf numFmtId="0" fontId="24" fillId="0" borderId="0" xfId="0" applyFont="1" applyAlignment="1">
      <alignment horizontal="left"/>
    </xf>
    <xf numFmtId="38" fontId="20" fillId="17" borderId="0" xfId="0" applyNumberFormat="1" applyFont="1" applyFill="1" applyAlignment="1">
      <alignment horizontal="center" vertical="center"/>
    </xf>
    <xf numFmtId="38" fontId="20" fillId="17" borderId="0" xfId="0" applyNumberFormat="1" applyFont="1" applyFill="1" applyAlignment="1" applyProtection="1">
      <alignment horizontal="center" vertical="center"/>
    </xf>
    <xf numFmtId="49" fontId="20" fillId="17" borderId="1" xfId="0" applyNumberFormat="1" applyFont="1" applyFill="1" applyBorder="1" applyAlignment="1">
      <alignment horizontal="center"/>
    </xf>
    <xf numFmtId="0" fontId="21" fillId="54" borderId="0" xfId="0" applyFont="1" applyFill="1" applyAlignment="1" applyProtection="1">
      <alignment horizontal="left" vertical="center"/>
    </xf>
    <xf numFmtId="176" fontId="21" fillId="54" borderId="0" xfId="0" applyNumberFormat="1" applyFont="1" applyFill="1" applyAlignment="1" applyProtection="1">
      <alignment horizontal="center" vertical="center"/>
    </xf>
    <xf numFmtId="38" fontId="21" fillId="54" borderId="0" xfId="0" applyNumberFormat="1" applyFont="1" applyFill="1" applyBorder="1" applyAlignment="1" applyProtection="1">
      <alignment vertical="center"/>
    </xf>
    <xf numFmtId="38" fontId="21" fillId="54" borderId="0" xfId="6" applyNumberFormat="1" applyFont="1" applyFill="1" applyBorder="1" applyAlignment="1" applyProtection="1">
      <alignment vertical="center"/>
    </xf>
    <xf numFmtId="38" fontId="21" fillId="54" borderId="0" xfId="6" applyNumberFormat="1" applyFont="1" applyFill="1" applyAlignment="1">
      <alignment vertical="center"/>
    </xf>
    <xf numFmtId="38" fontId="20" fillId="54" borderId="0" xfId="6" applyNumberFormat="1" applyFont="1" applyFill="1" applyAlignment="1">
      <alignment vertical="center"/>
    </xf>
    <xf numFmtId="0" fontId="21" fillId="54" borderId="0" xfId="0" applyFont="1" applyFill="1" applyBorder="1" applyAlignment="1">
      <alignment vertical="center"/>
    </xf>
    <xf numFmtId="38" fontId="21" fillId="54" borderId="0" xfId="0" applyNumberFormat="1" applyFont="1" applyFill="1" applyAlignment="1" applyProtection="1">
      <alignment vertical="center"/>
    </xf>
    <xf numFmtId="165" fontId="88" fillId="0" borderId="7" xfId="2" quotePrefix="1" applyNumberFormat="1" applyFont="1" applyBorder="1" applyAlignment="1">
      <alignment horizontal="center"/>
    </xf>
    <xf numFmtId="40" fontId="104" fillId="26" borderId="0" xfId="0" applyNumberFormat="1" applyFont="1" applyFill="1"/>
    <xf numFmtId="40" fontId="41" fillId="55" borderId="0" xfId="0" applyNumberFormat="1" applyFont="1" applyFill="1"/>
    <xf numFmtId="40" fontId="104" fillId="56" borderId="0" xfId="0" applyNumberFormat="1" applyFont="1" applyFill="1"/>
    <xf numFmtId="40" fontId="104" fillId="18" borderId="0" xfId="0" applyNumberFormat="1" applyFont="1" applyFill="1"/>
    <xf numFmtId="40" fontId="104" fillId="57" borderId="0" xfId="0" applyNumberFormat="1" applyFont="1" applyFill="1"/>
    <xf numFmtId="49" fontId="104" fillId="0" borderId="0" xfId="647" applyNumberFormat="1" applyFont="1" applyFill="1" applyAlignment="1">
      <alignment horizontal="left"/>
    </xf>
    <xf numFmtId="174" fontId="104" fillId="0" borderId="0" xfId="647" applyNumberFormat="1" applyFont="1" applyFill="1" applyAlignment="1">
      <alignment horizontal="right"/>
    </xf>
    <xf numFmtId="40" fontId="104" fillId="58" borderId="0" xfId="0" applyNumberFormat="1" applyFont="1" applyFill="1"/>
    <xf numFmtId="0" fontId="55" fillId="0" borderId="0" xfId="646" applyFont="1" applyFill="1"/>
    <xf numFmtId="14" fontId="55" fillId="0" borderId="0" xfId="646" applyNumberFormat="1" applyFont="1" applyFill="1" applyAlignment="1">
      <alignment horizontal="right"/>
    </xf>
    <xf numFmtId="40" fontId="55" fillId="0" borderId="0" xfId="646" applyNumberFormat="1" applyFont="1" applyFill="1" applyAlignment="1"/>
    <xf numFmtId="177" fontId="55" fillId="0" borderId="0" xfId="646" applyNumberFormat="1" applyFont="1" applyFill="1"/>
    <xf numFmtId="40" fontId="55" fillId="0" borderId="0" xfId="646" applyNumberFormat="1" applyFont="1" applyFill="1"/>
    <xf numFmtId="40" fontId="55" fillId="0" borderId="1" xfId="646" applyNumberFormat="1" applyFont="1" applyFill="1" applyBorder="1" applyAlignment="1"/>
    <xf numFmtId="177" fontId="55" fillId="0" borderId="1" xfId="646" applyNumberFormat="1" applyFont="1" applyFill="1" applyBorder="1"/>
    <xf numFmtId="40" fontId="55" fillId="0" borderId="1" xfId="646" applyNumberFormat="1" applyFont="1" applyFill="1" applyBorder="1"/>
    <xf numFmtId="0" fontId="102" fillId="0" borderId="0" xfId="0" applyFont="1"/>
    <xf numFmtId="0" fontId="119" fillId="0" borderId="0" xfId="0" applyFont="1"/>
    <xf numFmtId="0" fontId="122" fillId="0" borderId="0" xfId="0" applyFont="1" applyFill="1"/>
    <xf numFmtId="40" fontId="55" fillId="0" borderId="2" xfId="0" applyNumberFormat="1" applyFont="1" applyFill="1" applyBorder="1"/>
    <xf numFmtId="0" fontId="102" fillId="0" borderId="0" xfId="566" applyFont="1" applyFill="1" applyAlignment="1">
      <alignment horizontal="center"/>
    </xf>
    <xf numFmtId="0" fontId="123" fillId="0" borderId="0" xfId="566" applyFont="1" applyFill="1"/>
    <xf numFmtId="0" fontId="123" fillId="0" borderId="0" xfId="566" applyFont="1" applyFill="1" applyAlignment="1">
      <alignment horizontal="center"/>
    </xf>
    <xf numFmtId="0" fontId="124" fillId="0" borderId="0" xfId="566" applyFont="1" applyFill="1" applyAlignment="1">
      <alignment horizontal="center"/>
    </xf>
    <xf numFmtId="40" fontId="124" fillId="0" borderId="0" xfId="566" applyNumberFormat="1" applyFont="1" applyFill="1" applyAlignment="1"/>
    <xf numFmtId="177" fontId="124" fillId="0" borderId="0" xfId="566" applyNumberFormat="1" applyFont="1" applyFill="1" applyAlignment="1">
      <alignment horizontal="center"/>
    </xf>
    <xf numFmtId="0" fontId="123" fillId="0" borderId="20" xfId="566" applyFont="1" applyFill="1" applyBorder="1" applyAlignment="1">
      <alignment horizontal="center"/>
    </xf>
    <xf numFmtId="0" fontId="124" fillId="0" borderId="20" xfId="566" applyFont="1" applyFill="1" applyBorder="1" applyAlignment="1">
      <alignment horizontal="center"/>
    </xf>
    <xf numFmtId="40" fontId="124" fillId="0" borderId="20" xfId="566" applyNumberFormat="1" applyFont="1" applyFill="1" applyBorder="1" applyAlignment="1"/>
    <xf numFmtId="177" fontId="124" fillId="0" borderId="20" xfId="566" applyNumberFormat="1" applyFont="1" applyFill="1" applyBorder="1" applyAlignment="1">
      <alignment horizontal="center"/>
    </xf>
    <xf numFmtId="49" fontId="121" fillId="0" borderId="0" xfId="0" applyNumberFormat="1" applyFont="1" applyFill="1" applyBorder="1" applyAlignment="1">
      <alignment horizontal="left"/>
    </xf>
    <xf numFmtId="173" fontId="121" fillId="0" borderId="0" xfId="0" applyNumberFormat="1" applyFont="1" applyFill="1" applyBorder="1" applyAlignment="1">
      <alignment horizontal="left"/>
    </xf>
    <xf numFmtId="0" fontId="118" fillId="0" borderId="0" xfId="0" applyFont="1" applyFill="1" applyBorder="1"/>
    <xf numFmtId="49" fontId="118" fillId="0" borderId="0" xfId="0" applyNumberFormat="1" applyFont="1" applyFill="1" applyAlignment="1">
      <alignment horizontal="left"/>
    </xf>
    <xf numFmtId="173" fontId="118" fillId="0" borderId="0" xfId="0" applyNumberFormat="1" applyFont="1" applyFill="1" applyAlignment="1">
      <alignment horizontal="left"/>
    </xf>
    <xf numFmtId="49" fontId="118" fillId="0" borderId="0" xfId="0" applyNumberFormat="1" applyFont="1" applyFill="1" applyAlignment="1">
      <alignment horizontal="right"/>
    </xf>
    <xf numFmtId="0" fontId="118" fillId="0" borderId="0" xfId="0" applyFont="1" applyFill="1" applyAlignment="1">
      <alignment horizontal="center"/>
    </xf>
    <xf numFmtId="0" fontId="118" fillId="0" borderId="0" xfId="0" applyFont="1" applyFill="1"/>
    <xf numFmtId="49" fontId="118" fillId="0" borderId="0" xfId="0" applyNumberFormat="1" applyFont="1" applyFill="1" applyAlignment="1">
      <alignment horizontal="center"/>
    </xf>
    <xf numFmtId="0" fontId="118" fillId="0" borderId="0" xfId="0" applyFont="1" applyFill="1" applyAlignment="1">
      <alignment horizontal="right"/>
    </xf>
    <xf numFmtId="49" fontId="118" fillId="0" borderId="1" xfId="0" applyNumberFormat="1" applyFont="1" applyFill="1" applyBorder="1" applyAlignment="1">
      <alignment horizontal="left"/>
    </xf>
    <xf numFmtId="0" fontId="118" fillId="0" borderId="1" xfId="0" applyFont="1" applyFill="1" applyBorder="1" applyAlignment="1">
      <alignment horizontal="right"/>
    </xf>
    <xf numFmtId="0" fontId="118" fillId="0" borderId="1" xfId="0" applyFont="1" applyFill="1" applyBorder="1" applyAlignment="1">
      <alignment horizontal="center"/>
    </xf>
    <xf numFmtId="49" fontId="118" fillId="0" borderId="1" xfId="0" applyNumberFormat="1" applyFont="1" applyFill="1" applyBorder="1" applyAlignment="1">
      <alignment horizontal="center"/>
    </xf>
    <xf numFmtId="43" fontId="118" fillId="0" borderId="0" xfId="0" applyNumberFormat="1" applyFont="1" applyFill="1"/>
    <xf numFmtId="177" fontId="118" fillId="0" borderId="0" xfId="0" applyNumberFormat="1" applyFont="1" applyFill="1"/>
    <xf numFmtId="40" fontId="119" fillId="0" borderId="2" xfId="0" applyNumberFormat="1" applyFont="1" applyFill="1" applyBorder="1" applyAlignment="1">
      <alignment horizontal="right"/>
    </xf>
    <xf numFmtId="0" fontId="21" fillId="0" borderId="0" xfId="0" applyFont="1" applyAlignment="1">
      <alignment horizontal="center"/>
    </xf>
    <xf numFmtId="49" fontId="127" fillId="0" borderId="0" xfId="0" applyNumberFormat="1" applyFont="1" applyFill="1" applyBorder="1" applyAlignment="1">
      <alignment horizontal="left"/>
    </xf>
    <xf numFmtId="0" fontId="123" fillId="0" borderId="0" xfId="0" applyFont="1"/>
    <xf numFmtId="40" fontId="55" fillId="0" borderId="0" xfId="0" applyNumberFormat="1" applyFont="1" applyFill="1" applyBorder="1"/>
    <xf numFmtId="0" fontId="55" fillId="0" borderId="0" xfId="0" applyFont="1" applyFill="1" applyAlignment="1">
      <alignment horizontal="center"/>
    </xf>
    <xf numFmtId="40" fontId="55" fillId="0" borderId="0" xfId="0" applyNumberFormat="1" applyFont="1" applyFill="1" applyAlignment="1">
      <alignment horizontal="right"/>
    </xf>
    <xf numFmtId="10" fontId="21" fillId="0" borderId="0" xfId="0" applyNumberFormat="1" applyFont="1"/>
    <xf numFmtId="0" fontId="104" fillId="0" borderId="0" xfId="0" applyFont="1" applyFill="1" applyAlignment="1">
      <alignment horizontal="center"/>
    </xf>
    <xf numFmtId="17" fontId="104" fillId="0" borderId="0" xfId="0" applyNumberFormat="1" applyFont="1" applyFill="1" applyAlignment="1">
      <alignment horizontal="center"/>
    </xf>
    <xf numFmtId="40" fontId="104" fillId="0" borderId="0" xfId="0" applyNumberFormat="1" applyFont="1" applyFill="1" applyAlignment="1">
      <alignment horizontal="center"/>
    </xf>
    <xf numFmtId="174" fontId="104" fillId="0" borderId="0" xfId="648" applyNumberFormat="1" applyFont="1" applyFill="1" applyAlignment="1">
      <alignment horizontal="right"/>
    </xf>
    <xf numFmtId="14" fontId="100" fillId="0" borderId="0" xfId="0" applyNumberFormat="1" applyFont="1"/>
    <xf numFmtId="40" fontId="100" fillId="0" borderId="0" xfId="0" applyNumberFormat="1" applyFont="1" applyFill="1"/>
    <xf numFmtId="168" fontId="100" fillId="11" borderId="1" xfId="645" applyNumberFormat="1" applyFont="1" applyFill="1" applyBorder="1"/>
    <xf numFmtId="40" fontId="100" fillId="11" borderId="1" xfId="645" applyNumberFormat="1" applyFont="1" applyFill="1" applyBorder="1"/>
    <xf numFmtId="14" fontId="100" fillId="0" borderId="0" xfId="645" applyNumberFormat="1" applyFont="1" applyFill="1"/>
    <xf numFmtId="14" fontId="114" fillId="0" borderId="0" xfId="13" applyNumberFormat="1" applyFont="1" applyFill="1"/>
    <xf numFmtId="40" fontId="114" fillId="0" borderId="0" xfId="13" applyNumberFormat="1" applyFont="1" applyFill="1"/>
    <xf numFmtId="0" fontId="64" fillId="3" borderId="0" xfId="645" applyFont="1" applyFill="1"/>
    <xf numFmtId="0" fontId="72" fillId="3" borderId="0" xfId="645" applyFont="1" applyFill="1"/>
    <xf numFmtId="0" fontId="64" fillId="3" borderId="0" xfId="645" applyFont="1" applyFill="1" applyAlignment="1">
      <alignment vertical="center"/>
    </xf>
    <xf numFmtId="170" fontId="96" fillId="0" borderId="45" xfId="645" applyNumberFormat="1" applyFont="1" applyBorder="1" applyAlignment="1">
      <alignment horizontal="center"/>
    </xf>
    <xf numFmtId="170" fontId="96" fillId="25" borderId="45" xfId="645" applyNumberFormat="1" applyFont="1" applyFill="1" applyBorder="1" applyAlignment="1">
      <alignment horizontal="center"/>
    </xf>
    <xf numFmtId="170" fontId="96" fillId="0" borderId="45" xfId="645" applyNumberFormat="1" applyFont="1" applyFill="1" applyBorder="1" applyAlignment="1">
      <alignment horizontal="center"/>
    </xf>
    <xf numFmtId="170" fontId="96" fillId="26" borderId="45" xfId="645" applyNumberFormat="1" applyFont="1" applyFill="1" applyBorder="1" applyAlignment="1">
      <alignment horizontal="center"/>
    </xf>
    <xf numFmtId="170" fontId="96" fillId="7" borderId="45" xfId="645" applyNumberFormat="1" applyFont="1" applyFill="1" applyBorder="1" applyAlignment="1">
      <alignment horizontal="center"/>
    </xf>
    <xf numFmtId="170" fontId="96" fillId="53" borderId="46" xfId="645" applyNumberFormat="1" applyFont="1" applyFill="1" applyBorder="1" applyAlignment="1">
      <alignment horizontal="center"/>
    </xf>
    <xf numFmtId="170" fontId="96" fillId="25" borderId="46" xfId="645" applyNumberFormat="1" applyFont="1" applyFill="1" applyBorder="1" applyAlignment="1">
      <alignment horizontal="center"/>
    </xf>
    <xf numFmtId="170" fontId="96" fillId="0" borderId="46" xfId="645" applyNumberFormat="1" applyFont="1" applyBorder="1" applyAlignment="1">
      <alignment horizontal="center"/>
    </xf>
    <xf numFmtId="170" fontId="96" fillId="0" borderId="46" xfId="645" applyNumberFormat="1" applyFont="1" applyFill="1" applyBorder="1" applyAlignment="1">
      <alignment horizontal="center"/>
    </xf>
    <xf numFmtId="170" fontId="96" fillId="26" borderId="46" xfId="645" applyNumberFormat="1" applyFont="1" applyFill="1" applyBorder="1" applyAlignment="1">
      <alignment horizontal="center"/>
    </xf>
    <xf numFmtId="170" fontId="96" fillId="7" borderId="46" xfId="645" applyNumberFormat="1" applyFont="1" applyFill="1" applyBorder="1" applyAlignment="1">
      <alignment horizontal="center"/>
    </xf>
    <xf numFmtId="170" fontId="21" fillId="0" borderId="0" xfId="645" applyNumberFormat="1" applyFont="1" applyBorder="1"/>
    <xf numFmtId="170" fontId="96" fillId="53" borderId="45" xfId="645" applyNumberFormat="1" applyFont="1" applyFill="1" applyBorder="1" applyAlignment="1">
      <alignment horizontal="center"/>
    </xf>
    <xf numFmtId="0" fontId="24" fillId="0" borderId="36" xfId="645" applyFont="1" applyBorder="1"/>
    <xf numFmtId="0" fontId="21" fillId="0" borderId="36" xfId="645" applyFont="1" applyBorder="1"/>
    <xf numFmtId="0" fontId="20" fillId="0" borderId="0" xfId="645" applyFont="1" applyFill="1" applyAlignment="1">
      <alignment vertical="center"/>
    </xf>
    <xf numFmtId="0" fontId="21" fillId="0" borderId="0" xfId="645" applyFont="1"/>
    <xf numFmtId="0" fontId="21" fillId="25" borderId="0" xfId="645" applyFont="1" applyFill="1"/>
    <xf numFmtId="0" fontId="21" fillId="7" borderId="0" xfId="645" applyFont="1" applyFill="1"/>
    <xf numFmtId="0" fontId="21" fillId="26" borderId="0" xfId="645" applyFont="1" applyFill="1"/>
    <xf numFmtId="0" fontId="21" fillId="53" borderId="0" xfId="645" applyFont="1" applyFill="1"/>
    <xf numFmtId="0" fontId="21" fillId="0" borderId="37" xfId="645" applyFont="1" applyBorder="1"/>
    <xf numFmtId="0" fontId="21" fillId="0" borderId="38" xfId="645" applyFont="1" applyBorder="1"/>
    <xf numFmtId="0" fontId="20" fillId="0" borderId="38" xfId="645" applyFont="1" applyBorder="1"/>
    <xf numFmtId="0" fontId="21" fillId="0" borderId="39" xfId="645" applyFont="1" applyBorder="1"/>
    <xf numFmtId="0" fontId="21" fillId="0" borderId="40" xfId="645" applyFont="1" applyBorder="1"/>
    <xf numFmtId="0" fontId="21" fillId="0" borderId="0" xfId="645" applyFont="1" applyBorder="1"/>
    <xf numFmtId="0" fontId="21" fillId="0" borderId="41" xfId="645" applyFont="1" applyBorder="1"/>
    <xf numFmtId="0" fontId="21" fillId="28" borderId="42" xfId="645" applyFont="1" applyFill="1" applyBorder="1" applyAlignment="1">
      <alignment horizontal="center"/>
    </xf>
    <xf numFmtId="0" fontId="21" fillId="28" borderId="43" xfId="645" applyFont="1" applyFill="1" applyBorder="1" applyAlignment="1">
      <alignment horizontal="center"/>
    </xf>
    <xf numFmtId="0" fontId="21" fillId="28" borderId="44" xfId="645" applyFont="1" applyFill="1" applyBorder="1" applyAlignment="1">
      <alignment horizontal="center"/>
    </xf>
    <xf numFmtId="170" fontId="96" fillId="55" borderId="46" xfId="645" applyNumberFormat="1" applyFont="1" applyFill="1" applyBorder="1" applyAlignment="1">
      <alignment horizontal="center"/>
    </xf>
    <xf numFmtId="170" fontId="20" fillId="0" borderId="0" xfId="645" applyNumberFormat="1" applyFont="1" applyBorder="1"/>
    <xf numFmtId="170" fontId="96" fillId="55" borderId="45" xfId="645" applyNumberFormat="1" applyFont="1" applyFill="1" applyBorder="1" applyAlignment="1">
      <alignment horizontal="center"/>
    </xf>
    <xf numFmtId="170" fontId="96" fillId="25" borderId="54" xfId="645" applyNumberFormat="1" applyFont="1" applyFill="1" applyBorder="1" applyAlignment="1">
      <alignment horizontal="center"/>
    </xf>
    <xf numFmtId="170" fontId="96" fillId="0" borderId="55" xfId="645" applyNumberFormat="1" applyFont="1" applyBorder="1" applyAlignment="1">
      <alignment horizontal="center"/>
    </xf>
    <xf numFmtId="170" fontId="96" fillId="0" borderId="56" xfId="645" applyNumberFormat="1" applyFont="1" applyFill="1" applyBorder="1" applyAlignment="1">
      <alignment horizontal="center"/>
    </xf>
    <xf numFmtId="170" fontId="96" fillId="0" borderId="57" xfId="645" applyNumberFormat="1" applyFont="1" applyBorder="1" applyAlignment="1">
      <alignment horizontal="center"/>
    </xf>
    <xf numFmtId="0" fontId="21" fillId="0" borderId="1" xfId="645" applyFont="1" applyBorder="1"/>
    <xf numFmtId="0" fontId="21" fillId="0" borderId="47" xfId="645" applyFont="1" applyBorder="1"/>
    <xf numFmtId="0" fontId="21" fillId="0" borderId="48" xfId="645" applyFont="1" applyBorder="1"/>
    <xf numFmtId="171" fontId="21" fillId="0" borderId="36" xfId="645" applyNumberFormat="1" applyFont="1" applyBorder="1"/>
    <xf numFmtId="0" fontId="21" fillId="0" borderId="0" xfId="645" applyFont="1" applyFill="1"/>
    <xf numFmtId="0" fontId="22" fillId="0" borderId="1" xfId="650" applyFill="1" applyBorder="1"/>
    <xf numFmtId="14" fontId="22" fillId="0" borderId="0" xfId="650" quotePrefix="1" applyNumberFormat="1" applyFill="1" applyBorder="1" applyAlignment="1">
      <alignment horizontal="right"/>
    </xf>
    <xf numFmtId="0" fontId="22" fillId="0" borderId="0" xfId="650" applyFill="1" applyBorder="1"/>
    <xf numFmtId="14" fontId="22" fillId="0" borderId="5" xfId="650" quotePrefix="1" applyNumberFormat="1" applyFill="1" applyBorder="1" applyAlignment="1">
      <alignment horizontal="right"/>
    </xf>
    <xf numFmtId="0" fontId="22" fillId="0" borderId="6" xfId="650" applyFill="1" applyBorder="1"/>
    <xf numFmtId="0" fontId="22" fillId="0" borderId="8" xfId="650" applyFill="1" applyBorder="1"/>
    <xf numFmtId="40" fontId="22" fillId="0" borderId="0" xfId="650" applyNumberFormat="1" applyFill="1" applyBorder="1"/>
    <xf numFmtId="40" fontId="22" fillId="0" borderId="1" xfId="650" applyNumberFormat="1" applyFill="1" applyBorder="1"/>
    <xf numFmtId="40" fontId="22" fillId="0" borderId="5" xfId="650" applyNumberFormat="1" applyFill="1" applyBorder="1"/>
    <xf numFmtId="40" fontId="22" fillId="0" borderId="0" xfId="650" applyNumberFormat="1" applyFill="1" applyBorder="1" applyAlignment="1">
      <alignment horizontal="right"/>
    </xf>
    <xf numFmtId="0" fontId="23" fillId="0" borderId="4" xfId="650" applyFont="1" applyFill="1" applyBorder="1" applyAlignment="1">
      <alignment horizontal="right"/>
    </xf>
    <xf numFmtId="0" fontId="22" fillId="0" borderId="7" xfId="650" applyFill="1" applyBorder="1"/>
    <xf numFmtId="0" fontId="22" fillId="0" borderId="9" xfId="650" applyFill="1" applyBorder="1"/>
    <xf numFmtId="0" fontId="22" fillId="0" borderId="10" xfId="650" applyFill="1" applyBorder="1"/>
    <xf numFmtId="0" fontId="129" fillId="0" borderId="27" xfId="16" applyFont="1" applyBorder="1" applyAlignment="1">
      <alignment horizontal="center"/>
    </xf>
    <xf numFmtId="0" fontId="73" fillId="0" borderId="27" xfId="16" applyFont="1" applyBorder="1" applyAlignment="1">
      <alignment horizontal="center"/>
    </xf>
    <xf numFmtId="174" fontId="104" fillId="0" borderId="0" xfId="651" applyNumberFormat="1" applyFont="1" applyFill="1" applyAlignment="1">
      <alignment horizontal="right"/>
    </xf>
    <xf numFmtId="49" fontId="85" fillId="0" borderId="17" xfId="2" quotePrefix="1" applyNumberFormat="1" applyFont="1" applyBorder="1" applyAlignment="1">
      <alignment horizontal="right"/>
    </xf>
    <xf numFmtId="0" fontId="60" fillId="0" borderId="18" xfId="3" applyFont="1" applyBorder="1" applyAlignment="1">
      <alignment horizontal="center" wrapText="1"/>
    </xf>
    <xf numFmtId="0" fontId="0" fillId="0" borderId="0" xfId="0" applyFill="1" applyAlignment="1">
      <alignment vertical="center"/>
    </xf>
    <xf numFmtId="0" fontId="85" fillId="0" borderId="17" xfId="130" quotePrefix="1" applyNumberFormat="1" applyFont="1" applyBorder="1" applyAlignment="1">
      <alignment horizontal="right"/>
    </xf>
    <xf numFmtId="0" fontId="60" fillId="49" borderId="0" xfId="3" applyFont="1" applyFill="1" applyAlignment="1">
      <alignment horizontal="left"/>
    </xf>
    <xf numFmtId="0" fontId="60" fillId="49" borderId="0" xfId="3" applyFont="1" applyFill="1"/>
    <xf numFmtId="0" fontId="20" fillId="0" borderId="0" xfId="0" applyFont="1" applyFill="1" applyAlignment="1" applyProtection="1">
      <alignment horizontal="left" vertical="center"/>
    </xf>
    <xf numFmtId="3" fontId="21" fillId="0" borderId="0" xfId="0" applyNumberFormat="1" applyFont="1" applyAlignment="1">
      <alignment vertical="center"/>
    </xf>
    <xf numFmtId="3" fontId="21" fillId="0" borderId="0" xfId="0" applyNumberFormat="1" applyFont="1" applyAlignment="1" applyProtection="1">
      <alignment vertical="center"/>
    </xf>
    <xf numFmtId="3" fontId="21" fillId="0" borderId="1" xfId="0" applyNumberFormat="1" applyFont="1" applyBorder="1" applyAlignment="1" applyProtection="1">
      <alignment horizontal="right" vertical="center"/>
    </xf>
    <xf numFmtId="0" fontId="21" fillId="0" borderId="0" xfId="0" applyFont="1" applyFill="1" applyAlignment="1">
      <alignment horizontal="right" vertical="center"/>
    </xf>
    <xf numFmtId="3" fontId="21" fillId="0" borderId="0" xfId="6" applyNumberFormat="1" applyFont="1" applyFill="1" applyAlignment="1" applyProtection="1">
      <alignment vertical="center"/>
    </xf>
    <xf numFmtId="3" fontId="21" fillId="0" borderId="0" xfId="0" applyNumberFormat="1" applyFont="1" applyFill="1" applyAlignment="1" applyProtection="1">
      <alignment vertical="center"/>
    </xf>
    <xf numFmtId="3" fontId="21" fillId="0" borderId="0" xfId="0" applyNumberFormat="1" applyFont="1" applyFill="1" applyAlignment="1">
      <alignment vertical="center"/>
    </xf>
    <xf numFmtId="38" fontId="21" fillId="0" borderId="0" xfId="0" applyNumberFormat="1" applyFont="1" applyBorder="1" applyAlignment="1">
      <alignment vertical="center"/>
    </xf>
    <xf numFmtId="38" fontId="21" fillId="0" borderId="0" xfId="0" applyNumberFormat="1" applyFont="1" applyFill="1" applyBorder="1" applyAlignment="1">
      <alignment vertical="center"/>
    </xf>
    <xf numFmtId="3" fontId="21" fillId="0" borderId="14" xfId="0" applyNumberFormat="1" applyFont="1" applyFill="1" applyBorder="1" applyAlignment="1">
      <alignment vertical="center"/>
    </xf>
    <xf numFmtId="3" fontId="106" fillId="0" borderId="0" xfId="0" applyNumberFormat="1" applyFont="1" applyFill="1" applyAlignment="1">
      <alignment vertical="center"/>
    </xf>
    <xf numFmtId="3" fontId="21" fillId="0" borderId="0" xfId="0" applyNumberFormat="1" applyFont="1" applyFill="1" applyBorder="1" applyAlignment="1" applyProtection="1">
      <alignment vertical="center"/>
    </xf>
    <xf numFmtId="3" fontId="21" fillId="0" borderId="14" xfId="0" applyNumberFormat="1" applyFont="1" applyFill="1" applyBorder="1" applyAlignment="1" applyProtection="1">
      <alignment vertical="center"/>
    </xf>
    <xf numFmtId="3" fontId="106" fillId="0" borderId="0" xfId="0" applyNumberFormat="1" applyFont="1" applyFill="1" applyBorder="1" applyAlignment="1" applyProtection="1">
      <alignment vertical="center"/>
    </xf>
    <xf numFmtId="3" fontId="21" fillId="0" borderId="2" xfId="0" applyNumberFormat="1" applyFont="1" applyFill="1" applyBorder="1" applyAlignment="1" applyProtection="1">
      <alignment horizontal="right" vertical="center"/>
    </xf>
    <xf numFmtId="3" fontId="106" fillId="0" borderId="0" xfId="6" applyNumberFormat="1" applyFont="1" applyFill="1" applyAlignment="1" applyProtection="1">
      <alignment horizontal="right" vertical="center"/>
    </xf>
    <xf numFmtId="176" fontId="21" fillId="0" borderId="0" xfId="0" applyNumberFormat="1" applyFont="1" applyFill="1" applyAlignment="1" applyProtection="1">
      <alignment horizontal="right" vertical="center"/>
    </xf>
    <xf numFmtId="3" fontId="21" fillId="0" borderId="2" xfId="0" applyNumberFormat="1" applyFont="1" applyFill="1" applyBorder="1" applyAlignment="1" applyProtection="1">
      <alignment vertical="center"/>
    </xf>
    <xf numFmtId="3" fontId="106" fillId="0" borderId="0" xfId="6" applyNumberFormat="1" applyFont="1" applyFill="1" applyAlignment="1" applyProtection="1">
      <alignment vertical="center"/>
    </xf>
    <xf numFmtId="3" fontId="106" fillId="0" borderId="0" xfId="6" applyNumberFormat="1" applyFont="1" applyAlignment="1">
      <alignment vertical="center"/>
    </xf>
    <xf numFmtId="3" fontId="21" fillId="0" borderId="20" xfId="0" applyNumberFormat="1" applyFont="1" applyBorder="1" applyAlignment="1">
      <alignment vertical="center"/>
    </xf>
    <xf numFmtId="3" fontId="21" fillId="29" borderId="2" xfId="0" applyNumberFormat="1" applyFont="1" applyFill="1" applyBorder="1" applyAlignment="1">
      <alignment vertical="center"/>
    </xf>
    <xf numFmtId="3" fontId="21" fillId="0" borderId="0" xfId="0" applyNumberFormat="1" applyFont="1" applyAlignment="1" applyProtection="1">
      <alignment horizontal="fill" vertical="center"/>
    </xf>
    <xf numFmtId="0" fontId="25" fillId="0" borderId="0" xfId="0" applyFont="1" applyAlignment="1">
      <alignment vertical="center"/>
    </xf>
    <xf numFmtId="38" fontId="21" fillId="11" borderId="0" xfId="0" applyNumberFormat="1" applyFont="1" applyFill="1" applyBorder="1" applyAlignment="1" applyProtection="1">
      <alignment vertical="center"/>
    </xf>
    <xf numFmtId="38" fontId="21" fillId="29" borderId="2" xfId="0" applyNumberFormat="1" applyFont="1" applyFill="1" applyBorder="1" applyAlignment="1">
      <alignment vertical="center"/>
    </xf>
    <xf numFmtId="3" fontId="21" fillId="0" borderId="0" xfId="0" applyNumberFormat="1" applyFont="1" applyFill="1"/>
    <xf numFmtId="3" fontId="25" fillId="0" borderId="0" xfId="0" applyNumberFormat="1" applyFont="1" applyAlignment="1" applyProtection="1">
      <alignment horizontal="right" vertical="center"/>
    </xf>
    <xf numFmtId="3" fontId="0" fillId="0" borderId="0" xfId="0" applyNumberFormat="1" applyFill="1"/>
    <xf numFmtId="3" fontId="21" fillId="0" borderId="0" xfId="6" applyNumberFormat="1" applyFont="1"/>
    <xf numFmtId="3" fontId="21" fillId="0" borderId="0" xfId="6" applyNumberFormat="1" applyFont="1" applyFill="1"/>
    <xf numFmtId="3" fontId="0" fillId="0" borderId="0" xfId="0" applyNumberFormat="1"/>
    <xf numFmtId="40" fontId="21" fillId="0" borderId="0" xfId="0" applyNumberFormat="1" applyFont="1" applyFill="1" applyAlignment="1">
      <alignment vertical="center"/>
    </xf>
    <xf numFmtId="3" fontId="21" fillId="29" borderId="2" xfId="0" applyNumberFormat="1" applyFont="1" applyFill="1" applyBorder="1" applyAlignment="1" applyProtection="1">
      <alignment vertical="center"/>
    </xf>
    <xf numFmtId="3" fontId="21" fillId="7" borderId="0" xfId="0" applyNumberFormat="1" applyFont="1" applyFill="1" applyAlignment="1">
      <alignment vertical="center"/>
    </xf>
    <xf numFmtId="0" fontId="70" fillId="0" borderId="22" xfId="0" applyFont="1" applyBorder="1" applyAlignment="1">
      <alignment vertical="center"/>
    </xf>
    <xf numFmtId="0" fontId="21" fillId="0" borderId="23" xfId="0" applyFont="1" applyBorder="1" applyAlignment="1">
      <alignment vertical="center"/>
    </xf>
    <xf numFmtId="49" fontId="21" fillId="0" borderId="23" xfId="0" applyNumberFormat="1" applyFont="1" applyBorder="1" applyAlignment="1">
      <alignment horizontal="center" vertical="center"/>
    </xf>
    <xf numFmtId="3" fontId="21" fillId="0" borderId="23" xfId="0" applyNumberFormat="1" applyFont="1" applyBorder="1" applyAlignment="1">
      <alignment vertical="center"/>
    </xf>
    <xf numFmtId="38" fontId="21" fillId="0" borderId="23" xfId="0" applyNumberFormat="1" applyFont="1" applyBorder="1" applyAlignment="1">
      <alignment vertical="center"/>
    </xf>
    <xf numFmtId="3" fontId="21" fillId="0" borderId="23" xfId="0" applyNumberFormat="1" applyFont="1" applyFill="1" applyBorder="1"/>
    <xf numFmtId="3" fontId="21" fillId="0" borderId="24" xfId="0" applyNumberFormat="1" applyFont="1" applyFill="1" applyBorder="1"/>
    <xf numFmtId="0" fontId="21" fillId="0" borderId="25" xfId="0" applyFont="1" applyBorder="1" applyAlignment="1">
      <alignment vertical="center"/>
    </xf>
    <xf numFmtId="0" fontId="21" fillId="0" borderId="0" xfId="0" applyFont="1" applyBorder="1" applyAlignment="1">
      <alignment vertical="center"/>
    </xf>
    <xf numFmtId="49" fontId="21" fillId="0" borderId="0" xfId="0" applyNumberFormat="1" applyFont="1" applyBorder="1" applyAlignment="1">
      <alignment horizontal="center" vertical="center"/>
    </xf>
    <xf numFmtId="3" fontId="21" fillId="0" borderId="0" xfId="0" applyNumberFormat="1" applyFont="1" applyBorder="1" applyAlignment="1">
      <alignment vertical="center"/>
    </xf>
    <xf numFmtId="3" fontId="21" fillId="0" borderId="0" xfId="0" applyNumberFormat="1" applyFont="1" applyFill="1" applyBorder="1"/>
    <xf numFmtId="3" fontId="21" fillId="0" borderId="26" xfId="0" applyNumberFormat="1" applyFont="1" applyFill="1" applyBorder="1"/>
    <xf numFmtId="0" fontId="20" fillId="0" borderId="25" xfId="0" applyFont="1" applyBorder="1" applyAlignment="1" applyProtection="1">
      <alignment horizontal="left" vertical="center"/>
    </xf>
    <xf numFmtId="49" fontId="79" fillId="0" borderId="0" xfId="0" applyNumberFormat="1" applyFont="1" applyBorder="1" applyAlignment="1">
      <alignment horizontal="center" vertical="center"/>
    </xf>
    <xf numFmtId="49" fontId="21" fillId="0" borderId="0" xfId="0" applyNumberFormat="1" applyFont="1" applyFill="1" applyBorder="1" applyAlignment="1" applyProtection="1">
      <alignment horizontal="center" vertical="center"/>
    </xf>
    <xf numFmtId="38" fontId="21" fillId="0" borderId="0" xfId="0" applyNumberFormat="1" applyFont="1" applyFill="1" applyBorder="1" applyAlignment="1" applyProtection="1">
      <alignment horizontal="center" vertical="center"/>
    </xf>
    <xf numFmtId="3" fontId="21" fillId="0" borderId="0" xfId="6" applyNumberFormat="1" applyFont="1" applyFill="1" applyBorder="1" applyAlignment="1">
      <alignment vertical="center"/>
    </xf>
    <xf numFmtId="3" fontId="21" fillId="0" borderId="26" xfId="6" applyNumberFormat="1" applyFont="1" applyFill="1" applyBorder="1" applyAlignment="1">
      <alignment vertical="center"/>
    </xf>
    <xf numFmtId="49" fontId="21" fillId="0" borderId="0" xfId="0" applyNumberFormat="1" applyFont="1" applyBorder="1" applyAlignment="1" applyProtection="1">
      <alignment horizontal="center" vertical="center"/>
    </xf>
    <xf numFmtId="3" fontId="21" fillId="0" borderId="1" xfId="0" applyNumberFormat="1" applyFont="1" applyFill="1" applyBorder="1" applyAlignment="1" applyProtection="1">
      <alignment vertical="center"/>
    </xf>
    <xf numFmtId="38" fontId="21" fillId="0" borderId="0" xfId="0" applyNumberFormat="1" applyFont="1" applyBorder="1" applyAlignment="1" applyProtection="1">
      <alignment horizontal="center" vertical="center"/>
    </xf>
    <xf numFmtId="0" fontId="21" fillId="0" borderId="25" xfId="0" applyFont="1" applyBorder="1" applyAlignment="1" applyProtection="1">
      <alignment horizontal="right" vertical="center"/>
    </xf>
    <xf numFmtId="3" fontId="21" fillId="0" borderId="58" xfId="0" applyNumberFormat="1" applyFont="1" applyFill="1" applyBorder="1" applyAlignment="1" applyProtection="1">
      <alignment vertical="center"/>
    </xf>
    <xf numFmtId="3" fontId="21" fillId="0" borderId="0" xfId="0" applyNumberFormat="1" applyFont="1" applyBorder="1" applyAlignment="1" applyProtection="1">
      <alignment horizontal="fill" vertical="center"/>
    </xf>
    <xf numFmtId="176" fontId="21" fillId="0" borderId="0" xfId="0" applyNumberFormat="1" applyFont="1" applyBorder="1" applyAlignment="1" applyProtection="1">
      <alignment horizontal="center" vertical="center"/>
    </xf>
    <xf numFmtId="3" fontId="21" fillId="0" borderId="0" xfId="0" applyNumberFormat="1" applyFont="1" applyBorder="1" applyAlignment="1" applyProtection="1">
      <alignment vertical="center"/>
    </xf>
    <xf numFmtId="0" fontId="21" fillId="0" borderId="25" xfId="0" applyFont="1" applyFill="1" applyBorder="1" applyAlignment="1">
      <alignment vertical="center"/>
    </xf>
    <xf numFmtId="176" fontId="21" fillId="0" borderId="0" xfId="0" quotePrefix="1" applyNumberFormat="1" applyFont="1" applyFill="1" applyBorder="1" applyAlignment="1" applyProtection="1">
      <alignment horizontal="center" vertical="center"/>
    </xf>
    <xf numFmtId="0" fontId="21" fillId="0" borderId="25" xfId="0" applyFont="1" applyBorder="1" applyAlignment="1" applyProtection="1">
      <alignment horizontal="left" vertical="center"/>
    </xf>
    <xf numFmtId="3" fontId="21" fillId="0" borderId="26" xfId="0" applyNumberFormat="1" applyFont="1" applyFill="1" applyBorder="1" applyAlignment="1" applyProtection="1">
      <alignment vertical="center"/>
    </xf>
    <xf numFmtId="3" fontId="106" fillId="0" borderId="0" xfId="0" applyNumberFormat="1" applyFont="1" applyBorder="1" applyAlignment="1" applyProtection="1">
      <alignment vertical="center"/>
    </xf>
    <xf numFmtId="38" fontId="21" fillId="0" borderId="0" xfId="6" applyNumberFormat="1" applyFont="1" applyFill="1" applyBorder="1" applyAlignment="1" applyProtection="1">
      <alignment vertical="center"/>
    </xf>
    <xf numFmtId="3" fontId="21" fillId="0" borderId="0" xfId="0" applyNumberFormat="1" applyFont="1" applyFill="1" applyBorder="1" applyAlignment="1">
      <alignment vertical="center"/>
    </xf>
    <xf numFmtId="3" fontId="21" fillId="0" borderId="26" xfId="0" applyNumberFormat="1" applyFont="1" applyFill="1" applyBorder="1" applyAlignment="1">
      <alignment vertical="center"/>
    </xf>
    <xf numFmtId="0" fontId="21" fillId="0" borderId="28" xfId="0" applyFont="1" applyBorder="1" applyAlignment="1" applyProtection="1">
      <alignment horizontal="left" vertical="center"/>
    </xf>
    <xf numFmtId="0" fontId="21" fillId="0" borderId="20" xfId="0" applyFont="1" applyBorder="1" applyAlignment="1">
      <alignment vertical="center"/>
    </xf>
    <xf numFmtId="49" fontId="21" fillId="0" borderId="20" xfId="0" applyNumberFormat="1" applyFont="1" applyBorder="1" applyAlignment="1">
      <alignment horizontal="center" vertical="center"/>
    </xf>
    <xf numFmtId="3" fontId="21" fillId="0" borderId="35" xfId="0" applyNumberFormat="1" applyFont="1" applyFill="1" applyBorder="1" applyAlignment="1" applyProtection="1">
      <alignment vertical="center"/>
    </xf>
    <xf numFmtId="38" fontId="21" fillId="0" borderId="20" xfId="0" applyNumberFormat="1" applyFont="1" applyFill="1" applyBorder="1" applyAlignment="1" applyProtection="1">
      <alignment vertical="center"/>
    </xf>
    <xf numFmtId="3" fontId="21" fillId="0" borderId="59" xfId="0" applyNumberFormat="1" applyFont="1" applyFill="1" applyBorder="1" applyAlignment="1" applyProtection="1">
      <alignment vertical="center"/>
    </xf>
    <xf numFmtId="3" fontId="21" fillId="0" borderId="0" xfId="0" applyNumberFormat="1" applyFont="1"/>
    <xf numFmtId="0" fontId="42" fillId="2" borderId="0" xfId="3" applyFont="1" applyFill="1" applyAlignment="1">
      <alignment horizontal="center"/>
    </xf>
    <xf numFmtId="9" fontId="42" fillId="2" borderId="0" xfId="3" applyNumberFormat="1" applyFont="1" applyFill="1" applyAlignment="1">
      <alignment horizontal="center"/>
    </xf>
    <xf numFmtId="165" fontId="60" fillId="0" borderId="0" xfId="18" applyNumberFormat="1" applyFont="1"/>
    <xf numFmtId="165" fontId="60" fillId="0" borderId="0" xfId="18" applyNumberFormat="1" applyFont="1" applyFill="1"/>
    <xf numFmtId="165" fontId="60" fillId="0" borderId="0" xfId="18" applyNumberFormat="1" applyFont="1" applyFill="1" applyAlignment="1">
      <alignment horizontal="center"/>
    </xf>
    <xf numFmtId="165" fontId="60" fillId="0" borderId="0" xfId="18" applyNumberFormat="1" applyFont="1" applyAlignment="1">
      <alignment horizontal="center"/>
    </xf>
    <xf numFmtId="165" fontId="60" fillId="0" borderId="18" xfId="18" applyNumberFormat="1" applyFont="1" applyBorder="1" applyAlignment="1">
      <alignment horizontal="center" wrapText="1"/>
    </xf>
    <xf numFmtId="165" fontId="60" fillId="2" borderId="16" xfId="18" applyNumberFormat="1" applyFont="1" applyFill="1" applyBorder="1" applyAlignment="1">
      <alignment horizontal="center" wrapText="1"/>
    </xf>
    <xf numFmtId="165" fontId="60" fillId="5" borderId="16" xfId="18" applyNumberFormat="1" applyFont="1" applyFill="1" applyBorder="1" applyAlignment="1">
      <alignment horizontal="center" wrapText="1"/>
    </xf>
    <xf numFmtId="165" fontId="60" fillId="0" borderId="16" xfId="18" applyNumberFormat="1" applyFont="1" applyBorder="1" applyAlignment="1">
      <alignment horizontal="center" wrapText="1"/>
    </xf>
    <xf numFmtId="165" fontId="60" fillId="0" borderId="16" xfId="18" applyNumberFormat="1" applyFont="1" applyBorder="1" applyAlignment="1">
      <alignment horizontal="center"/>
    </xf>
    <xf numFmtId="165" fontId="60" fillId="4" borderId="16" xfId="18" applyNumberFormat="1" applyFont="1" applyFill="1" applyBorder="1" applyAlignment="1">
      <alignment horizontal="center"/>
    </xf>
    <xf numFmtId="165" fontId="43" fillId="2" borderId="0" xfId="18" applyNumberFormat="1" applyFont="1" applyFill="1" applyAlignment="1">
      <alignment horizontal="center"/>
    </xf>
    <xf numFmtId="165" fontId="63" fillId="3" borderId="0" xfId="18" applyNumberFormat="1" applyFont="1" applyFill="1" applyAlignment="1">
      <alignment horizontal="center"/>
    </xf>
    <xf numFmtId="165" fontId="60" fillId="4" borderId="0" xfId="18" applyNumberFormat="1" applyFont="1" applyFill="1"/>
    <xf numFmtId="165" fontId="81" fillId="2" borderId="0" xfId="18" applyNumberFormat="1" applyFont="1" applyFill="1" applyAlignment="1">
      <alignment horizontal="center"/>
    </xf>
    <xf numFmtId="165" fontId="57" fillId="0" borderId="0" xfId="18" applyNumberFormat="1" applyFont="1" applyFill="1"/>
    <xf numFmtId="165" fontId="61" fillId="0" borderId="0" xfId="18" applyNumberFormat="1" applyFont="1" applyFill="1"/>
    <xf numFmtId="165" fontId="45" fillId="3" borderId="0" xfId="18" applyNumberFormat="1" applyFont="1" applyFill="1" applyAlignment="1">
      <alignment horizontal="center"/>
    </xf>
    <xf numFmtId="165" fontId="52" fillId="2" borderId="0" xfId="18" applyNumberFormat="1" applyFont="1" applyFill="1" applyAlignment="1">
      <alignment horizontal="center"/>
    </xf>
    <xf numFmtId="165" fontId="81" fillId="3" borderId="0" xfId="18" applyNumberFormat="1" applyFont="1" applyFill="1" applyAlignment="1">
      <alignment horizontal="center"/>
    </xf>
    <xf numFmtId="165" fontId="58" fillId="0" borderId="0" xfId="18" applyNumberFormat="1" applyFont="1" applyFill="1"/>
    <xf numFmtId="165" fontId="60" fillId="0" borderId="0" xfId="18" applyNumberFormat="1" applyFont="1" applyFill="1" applyBorder="1"/>
    <xf numFmtId="165" fontId="60" fillId="17" borderId="1" xfId="18" applyNumberFormat="1" applyFont="1" applyFill="1" applyBorder="1" applyAlignment="1">
      <alignment horizontal="center"/>
    </xf>
    <xf numFmtId="0" fontId="60" fillId="17" borderId="0" xfId="3" applyFont="1" applyFill="1"/>
    <xf numFmtId="165" fontId="60" fillId="17" borderId="0" xfId="18" applyNumberFormat="1" applyFont="1" applyFill="1"/>
    <xf numFmtId="165" fontId="60" fillId="0" borderId="1" xfId="18" applyNumberFormat="1" applyFont="1" applyFill="1" applyBorder="1"/>
    <xf numFmtId="165" fontId="56" fillId="17" borderId="0" xfId="3" applyNumberFormat="1" applyFont="1" applyFill="1"/>
    <xf numFmtId="0" fontId="40" fillId="17" borderId="0" xfId="3" applyFont="1" applyFill="1"/>
    <xf numFmtId="165" fontId="60" fillId="17" borderId="1" xfId="18" applyNumberFormat="1" applyFont="1" applyFill="1" applyBorder="1"/>
    <xf numFmtId="0" fontId="130" fillId="2" borderId="0" xfId="3" applyFont="1" applyFill="1" applyAlignment="1">
      <alignment horizontal="left"/>
    </xf>
    <xf numFmtId="165" fontId="60" fillId="49" borderId="0" xfId="18" applyNumberFormat="1" applyFont="1" applyFill="1"/>
    <xf numFmtId="165" fontId="42" fillId="2" borderId="0" xfId="18" applyNumberFormat="1" applyFont="1" applyFill="1" applyAlignment="1">
      <alignment horizontal="center"/>
    </xf>
    <xf numFmtId="0" fontId="42" fillId="2" borderId="0" xfId="3" applyFont="1" applyFill="1" applyAlignment="1">
      <alignment horizontal="left"/>
    </xf>
    <xf numFmtId="0" fontId="0" fillId="0" borderId="0" xfId="0" applyAlignment="1">
      <alignment horizontal="right"/>
    </xf>
    <xf numFmtId="169" fontId="21" fillId="0" borderId="0" xfId="0" applyNumberFormat="1" applyFont="1" applyFill="1" applyAlignment="1">
      <alignment horizontal="center"/>
    </xf>
    <xf numFmtId="40" fontId="24" fillId="0" borderId="0" xfId="0" applyNumberFormat="1" applyFont="1" applyFill="1" applyAlignment="1">
      <alignment horizontal="right"/>
    </xf>
    <xf numFmtId="40" fontId="21" fillId="0" borderId="0" xfId="0" applyNumberFormat="1" applyFont="1" applyFill="1" applyAlignment="1">
      <alignment horizontal="center"/>
    </xf>
    <xf numFmtId="177" fontId="55" fillId="0" borderId="56" xfId="566" applyNumberFormat="1" applyFont="1" applyFill="1" applyBorder="1" applyAlignment="1">
      <alignment horizontal="right"/>
    </xf>
    <xf numFmtId="177" fontId="55" fillId="0" borderId="0" xfId="566" applyNumberFormat="1" applyFont="1" applyFill="1" applyBorder="1" applyAlignment="1">
      <alignment horizontal="right"/>
    </xf>
    <xf numFmtId="49" fontId="121" fillId="0" borderId="0" xfId="0" applyNumberFormat="1" applyFont="1" applyFill="1" applyAlignment="1">
      <alignment horizontal="left"/>
    </xf>
    <xf numFmtId="40" fontId="118" fillId="0" borderId="0" xfId="0" applyNumberFormat="1" applyFont="1" applyFill="1" applyAlignment="1">
      <alignment horizontal="left"/>
    </xf>
    <xf numFmtId="40" fontId="131" fillId="0" borderId="0" xfId="0" applyNumberFormat="1" applyFont="1" applyFill="1" applyAlignment="1">
      <alignment horizontal="center"/>
    </xf>
    <xf numFmtId="173" fontId="131" fillId="0" borderId="0" xfId="0" applyNumberFormat="1" applyFont="1" applyFill="1" applyAlignment="1">
      <alignment horizontal="center"/>
    </xf>
    <xf numFmtId="49" fontId="131" fillId="0" borderId="0" xfId="0" applyNumberFormat="1" applyFont="1" applyFill="1" applyAlignment="1">
      <alignment horizontal="center"/>
    </xf>
    <xf numFmtId="40" fontId="118" fillId="0" borderId="0" xfId="0" applyNumberFormat="1" applyFont="1" applyFill="1" applyAlignment="1"/>
    <xf numFmtId="40" fontId="118" fillId="0" borderId="1" xfId="0" applyNumberFormat="1" applyFont="1" applyFill="1" applyBorder="1" applyAlignment="1"/>
    <xf numFmtId="10" fontId="118" fillId="0" borderId="0" xfId="0" applyNumberFormat="1" applyFont="1" applyFill="1" applyAlignment="1"/>
    <xf numFmtId="0" fontId="132" fillId="0" borderId="0" xfId="0" applyFont="1"/>
    <xf numFmtId="0" fontId="21" fillId="0" borderId="7" xfId="653" applyBorder="1"/>
    <xf numFmtId="0" fontId="21" fillId="0" borderId="0" xfId="653" applyBorder="1"/>
    <xf numFmtId="0" fontId="21" fillId="0" borderId="23" xfId="653" applyBorder="1"/>
    <xf numFmtId="0" fontId="21" fillId="0" borderId="24" xfId="653" applyBorder="1"/>
    <xf numFmtId="0" fontId="21" fillId="0" borderId="25" xfId="653" applyBorder="1"/>
    <xf numFmtId="0" fontId="21" fillId="0" borderId="26" xfId="653" applyBorder="1"/>
    <xf numFmtId="0" fontId="21" fillId="0" borderId="20" xfId="653" applyBorder="1"/>
    <xf numFmtId="0" fontId="21" fillId="0" borderId="0" xfId="653" applyFill="1" applyBorder="1"/>
    <xf numFmtId="0" fontId="64" fillId="8" borderId="22" xfId="653" applyFont="1" applyFill="1" applyBorder="1" applyAlignment="1">
      <alignment horizontal="left"/>
    </xf>
    <xf numFmtId="0" fontId="64" fillId="8" borderId="23" xfId="653" applyFont="1" applyFill="1" applyBorder="1"/>
    <xf numFmtId="0" fontId="20" fillId="8" borderId="23" xfId="653" applyFont="1" applyFill="1" applyBorder="1"/>
    <xf numFmtId="2" fontId="20" fillId="8" borderId="23" xfId="653" applyNumberFormat="1" applyFont="1" applyFill="1" applyBorder="1"/>
    <xf numFmtId="2" fontId="21" fillId="8" borderId="23" xfId="653" applyNumberFormat="1" applyFill="1" applyBorder="1"/>
    <xf numFmtId="2" fontId="64" fillId="8" borderId="0" xfId="653" applyNumberFormat="1" applyFont="1" applyFill="1" applyBorder="1"/>
    <xf numFmtId="0" fontId="72" fillId="8" borderId="0" xfId="653" applyFont="1" applyFill="1" applyBorder="1"/>
    <xf numFmtId="2" fontId="72" fillId="8" borderId="0" xfId="653" applyNumberFormat="1" applyFont="1" applyFill="1" applyBorder="1"/>
    <xf numFmtId="0" fontId="72" fillId="0" borderId="0" xfId="653" applyFont="1" applyBorder="1"/>
    <xf numFmtId="0" fontId="72" fillId="0" borderId="26" xfId="653" applyFont="1" applyBorder="1"/>
    <xf numFmtId="2" fontId="20" fillId="8" borderId="31" xfId="653" applyNumberFormat="1" applyFont="1" applyFill="1" applyBorder="1"/>
    <xf numFmtId="2" fontId="21" fillId="8" borderId="1" xfId="653" applyNumberFormat="1" applyFill="1" applyBorder="1"/>
    <xf numFmtId="2" fontId="20" fillId="8" borderId="1" xfId="653" applyNumberFormat="1" applyFont="1" applyFill="1" applyBorder="1"/>
    <xf numFmtId="0" fontId="73" fillId="0" borderId="32" xfId="653" applyFont="1" applyBorder="1" applyAlignment="1">
      <alignment textRotation="45"/>
    </xf>
    <xf numFmtId="10" fontId="74" fillId="0" borderId="5" xfId="653" applyNumberFormat="1" applyFont="1" applyBorder="1" applyAlignment="1">
      <alignment textRotation="45"/>
    </xf>
    <xf numFmtId="2" fontId="21" fillId="9" borderId="5" xfId="653" applyNumberFormat="1" applyFill="1" applyBorder="1" applyAlignment="1">
      <alignment textRotation="45"/>
    </xf>
    <xf numFmtId="2" fontId="21" fillId="0" borderId="5" xfId="653" applyNumberFormat="1" applyBorder="1" applyAlignment="1">
      <alignment textRotation="45"/>
    </xf>
    <xf numFmtId="2" fontId="21" fillId="0" borderId="6" xfId="653" applyNumberFormat="1" applyBorder="1" applyAlignment="1">
      <alignment textRotation="45"/>
    </xf>
    <xf numFmtId="2" fontId="21" fillId="0" borderId="0" xfId="653" applyNumberFormat="1" applyBorder="1"/>
    <xf numFmtId="2" fontId="21" fillId="0" borderId="8" xfId="653" applyNumberFormat="1" applyBorder="1"/>
    <xf numFmtId="0" fontId="21" fillId="0" borderId="25" xfId="653" applyFill="1" applyBorder="1"/>
    <xf numFmtId="169" fontId="21" fillId="0" borderId="0" xfId="653" applyNumberFormat="1" applyBorder="1"/>
    <xf numFmtId="169" fontId="21" fillId="9" borderId="0" xfId="653" applyNumberFormat="1" applyFill="1" applyBorder="1"/>
    <xf numFmtId="169" fontId="21" fillId="0" borderId="0" xfId="653" applyNumberFormat="1" applyFill="1" applyBorder="1"/>
    <xf numFmtId="169" fontId="21" fillId="0" borderId="8" xfId="653" applyNumberFormat="1" applyBorder="1"/>
    <xf numFmtId="0" fontId="21" fillId="9" borderId="25" xfId="653" applyFill="1" applyBorder="1"/>
    <xf numFmtId="169" fontId="20" fillId="0" borderId="0" xfId="653" applyNumberFormat="1" applyFont="1" applyBorder="1"/>
    <xf numFmtId="169" fontId="21" fillId="10" borderId="0" xfId="653" applyNumberFormat="1" applyFill="1" applyBorder="1"/>
    <xf numFmtId="0" fontId="75" fillId="0" borderId="26" xfId="653" applyFont="1" applyBorder="1"/>
    <xf numFmtId="0" fontId="21" fillId="9" borderId="25" xfId="653" applyFont="1" applyFill="1" applyBorder="1"/>
    <xf numFmtId="169" fontId="21" fillId="11" borderId="0" xfId="653" applyNumberFormat="1" applyFill="1" applyBorder="1"/>
    <xf numFmtId="169" fontId="21" fillId="6" borderId="0" xfId="653" applyNumberFormat="1" applyFill="1" applyBorder="1"/>
    <xf numFmtId="0" fontId="21" fillId="0" borderId="33" xfId="653" applyBorder="1"/>
    <xf numFmtId="0" fontId="21" fillId="9" borderId="31" xfId="653" applyFill="1" applyBorder="1"/>
    <xf numFmtId="0" fontId="21" fillId="0" borderId="1" xfId="653" applyBorder="1"/>
    <xf numFmtId="169" fontId="21" fillId="11" borderId="1" xfId="653" applyNumberFormat="1" applyFill="1" applyBorder="1"/>
    <xf numFmtId="169" fontId="21" fillId="10" borderId="1" xfId="653" applyNumberFormat="1" applyFill="1" applyBorder="1"/>
    <xf numFmtId="2" fontId="24" fillId="0" borderId="0" xfId="653" applyNumberFormat="1" applyFont="1" applyFill="1" applyBorder="1" applyAlignment="1">
      <alignment horizontal="right"/>
    </xf>
    <xf numFmtId="2" fontId="21" fillId="0" borderId="0" xfId="653" applyNumberFormat="1" applyFont="1" applyFill="1" applyBorder="1" applyAlignment="1"/>
    <xf numFmtId="0" fontId="24" fillId="0" borderId="0" xfId="653" applyFont="1" applyFill="1" applyBorder="1"/>
    <xf numFmtId="2" fontId="24" fillId="0" borderId="0" xfId="653" applyNumberFormat="1" applyFont="1" applyFill="1" applyBorder="1" applyAlignment="1">
      <alignment horizontal="center"/>
    </xf>
    <xf numFmtId="2" fontId="76" fillId="0" borderId="0" xfId="653" applyNumberFormat="1" applyFont="1" applyFill="1" applyBorder="1" applyAlignment="1">
      <alignment horizontal="center"/>
    </xf>
    <xf numFmtId="2" fontId="21" fillId="0" borderId="0" xfId="653" applyNumberFormat="1" applyFill="1" applyBorder="1"/>
    <xf numFmtId="2" fontId="21" fillId="0" borderId="8" xfId="653" applyNumberFormat="1" applyFill="1" applyBorder="1"/>
    <xf numFmtId="0" fontId="20" fillId="0" borderId="25" xfId="653" applyFont="1" applyFill="1" applyBorder="1"/>
    <xf numFmtId="2" fontId="20" fillId="0" borderId="0" xfId="653" applyNumberFormat="1" applyFont="1" applyFill="1" applyBorder="1"/>
    <xf numFmtId="2" fontId="20" fillId="0" borderId="0" xfId="653" applyNumberFormat="1" applyFont="1" applyFill="1" applyBorder="1" applyAlignment="1"/>
    <xf numFmtId="2" fontId="21" fillId="0" borderId="0" xfId="653" applyNumberFormat="1" applyFill="1" applyBorder="1" applyAlignment="1"/>
    <xf numFmtId="0" fontId="21" fillId="0" borderId="31" xfId="653" applyFont="1" applyFill="1" applyBorder="1"/>
    <xf numFmtId="0" fontId="23" fillId="0" borderId="1" xfId="653" applyFont="1" applyFill="1" applyBorder="1"/>
    <xf numFmtId="2" fontId="21" fillId="0" borderId="1" xfId="653" applyNumberFormat="1" applyFill="1" applyBorder="1" applyAlignment="1"/>
    <xf numFmtId="0" fontId="21" fillId="0" borderId="1" xfId="653" applyFont="1" applyFill="1" applyBorder="1"/>
    <xf numFmtId="40" fontId="21" fillId="13" borderId="1" xfId="653" applyNumberFormat="1" applyFill="1" applyBorder="1" applyAlignment="1"/>
    <xf numFmtId="2" fontId="21" fillId="0" borderId="1" xfId="653" applyNumberFormat="1" applyFill="1" applyBorder="1"/>
    <xf numFmtId="2" fontId="21" fillId="0" borderId="10" xfId="653" applyNumberFormat="1" applyFill="1" applyBorder="1"/>
    <xf numFmtId="0" fontId="64" fillId="8" borderId="32" xfId="653" applyFont="1" applyFill="1" applyBorder="1"/>
    <xf numFmtId="0" fontId="64" fillId="8" borderId="5" xfId="653" applyFont="1" applyFill="1" applyBorder="1"/>
    <xf numFmtId="0" fontId="20" fillId="8" borderId="5" xfId="653" applyFont="1" applyFill="1" applyBorder="1"/>
    <xf numFmtId="2" fontId="20" fillId="8" borderId="5" xfId="653" applyNumberFormat="1" applyFont="1" applyFill="1" applyBorder="1"/>
    <xf numFmtId="2" fontId="21" fillId="8" borderId="5" xfId="653" applyNumberFormat="1" applyFill="1" applyBorder="1"/>
    <xf numFmtId="2" fontId="21" fillId="8" borderId="6" xfId="653" applyNumberFormat="1" applyFill="1" applyBorder="1"/>
    <xf numFmtId="0" fontId="72" fillId="0" borderId="33" xfId="653" applyFont="1" applyBorder="1"/>
    <xf numFmtId="2" fontId="21" fillId="8" borderId="10" xfId="653" applyNumberFormat="1" applyFill="1" applyBorder="1"/>
    <xf numFmtId="0" fontId="21" fillId="0" borderId="25" xfId="653" applyBorder="1" applyAlignment="1">
      <alignment textRotation="45"/>
    </xf>
    <xf numFmtId="0" fontId="21" fillId="0" borderId="0" xfId="653" applyBorder="1" applyAlignment="1">
      <alignment textRotation="45"/>
    </xf>
    <xf numFmtId="2" fontId="21" fillId="0" borderId="0" xfId="653" applyNumberFormat="1" applyBorder="1" applyAlignment="1">
      <alignment textRotation="45"/>
    </xf>
    <xf numFmtId="2" fontId="21" fillId="0" borderId="8" xfId="653" applyNumberFormat="1" applyBorder="1" applyAlignment="1">
      <alignment textRotation="45"/>
    </xf>
    <xf numFmtId="2" fontId="24" fillId="0" borderId="0" xfId="653" applyNumberFormat="1" applyFont="1" applyFill="1" applyBorder="1"/>
    <xf numFmtId="0" fontId="75" fillId="0" borderId="26" xfId="653" applyFont="1" applyFill="1" applyBorder="1"/>
    <xf numFmtId="169" fontId="21" fillId="14" borderId="0" xfId="653" applyNumberFormat="1" applyFill="1" applyBorder="1" applyAlignment="1">
      <alignment horizontal="center"/>
    </xf>
    <xf numFmtId="169" fontId="21" fillId="0" borderId="8" xfId="653" applyNumberFormat="1" applyFill="1" applyBorder="1"/>
    <xf numFmtId="2" fontId="21" fillId="12" borderId="0" xfId="653" applyNumberFormat="1" applyFill="1" applyBorder="1"/>
    <xf numFmtId="169" fontId="21" fillId="12" borderId="0" xfId="653" applyNumberFormat="1" applyFill="1" applyBorder="1"/>
    <xf numFmtId="0" fontId="21" fillId="0" borderId="28" xfId="653" applyBorder="1"/>
    <xf numFmtId="169" fontId="21" fillId="0" borderId="20" xfId="653" applyNumberFormat="1" applyFill="1" applyBorder="1"/>
    <xf numFmtId="169" fontId="21" fillId="0" borderId="30" xfId="653" applyNumberFormat="1" applyFill="1" applyBorder="1"/>
    <xf numFmtId="0" fontId="21" fillId="0" borderId="29" xfId="653" applyBorder="1"/>
    <xf numFmtId="169" fontId="21" fillId="18" borderId="0" xfId="653" applyNumberFormat="1" applyFill="1" applyBorder="1"/>
    <xf numFmtId="169" fontId="21" fillId="19" borderId="0" xfId="653" applyNumberFormat="1" applyFill="1" applyBorder="1"/>
    <xf numFmtId="169" fontId="21" fillId="19" borderId="1" xfId="653" applyNumberFormat="1" applyFill="1" applyBorder="1"/>
    <xf numFmtId="169" fontId="21" fillId="6" borderId="0" xfId="653" applyNumberFormat="1" applyFill="1" applyBorder="1" applyAlignment="1">
      <alignment horizontal="center"/>
    </xf>
    <xf numFmtId="40" fontId="21" fillId="20" borderId="1" xfId="653" applyNumberFormat="1" applyFill="1" applyBorder="1" applyAlignment="1"/>
    <xf numFmtId="169" fontId="21" fillId="21" borderId="0" xfId="653" applyNumberFormat="1" applyFill="1" applyBorder="1"/>
    <xf numFmtId="169" fontId="21" fillId="21" borderId="1" xfId="653" applyNumberFormat="1" applyFill="1" applyBorder="1"/>
    <xf numFmtId="40" fontId="21" fillId="11" borderId="0" xfId="653" applyNumberFormat="1" applyFill="1" applyBorder="1"/>
    <xf numFmtId="40" fontId="21" fillId="11" borderId="0" xfId="653" applyNumberFormat="1" applyFill="1" applyBorder="1" applyAlignment="1"/>
    <xf numFmtId="40" fontId="21" fillId="18" borderId="0" xfId="653" applyNumberFormat="1" applyFill="1" applyBorder="1"/>
    <xf numFmtId="40" fontId="21" fillId="18" borderId="0" xfId="653" applyNumberFormat="1" applyFill="1" applyBorder="1" applyAlignment="1"/>
    <xf numFmtId="169" fontId="21" fillId="22" borderId="0" xfId="653" applyNumberFormat="1" applyFill="1" applyBorder="1"/>
    <xf numFmtId="169" fontId="21" fillId="32" borderId="0" xfId="653" applyNumberFormat="1" applyFill="1" applyBorder="1" applyAlignment="1">
      <alignment horizontal="center"/>
    </xf>
    <xf numFmtId="169" fontId="21" fillId="17" borderId="0" xfId="653" applyNumberFormat="1" applyFill="1" applyBorder="1"/>
    <xf numFmtId="169" fontId="21" fillId="17" borderId="1" xfId="653" applyNumberFormat="1" applyFill="1" applyBorder="1"/>
    <xf numFmtId="0" fontId="64" fillId="23" borderId="22" xfId="0" applyFont="1" applyFill="1" applyBorder="1" applyAlignment="1">
      <alignment horizontal="left"/>
    </xf>
    <xf numFmtId="0" fontId="64" fillId="23" borderId="23" xfId="0" applyFont="1" applyFill="1" applyBorder="1"/>
    <xf numFmtId="0" fontId="20" fillId="23" borderId="23" xfId="0" applyFont="1" applyFill="1" applyBorder="1"/>
    <xf numFmtId="2" fontId="20" fillId="23" borderId="23" xfId="0" applyNumberFormat="1" applyFont="1" applyFill="1" applyBorder="1"/>
    <xf numFmtId="2" fontId="21" fillId="23" borderId="23" xfId="0" applyNumberFormat="1" applyFont="1" applyFill="1" applyBorder="1"/>
    <xf numFmtId="0" fontId="21" fillId="23" borderId="23" xfId="0" applyFont="1" applyFill="1" applyBorder="1"/>
    <xf numFmtId="0" fontId="21" fillId="23" borderId="24" xfId="0" applyFont="1" applyFill="1" applyBorder="1"/>
    <xf numFmtId="2" fontId="23" fillId="23" borderId="0" xfId="0" applyNumberFormat="1" applyFont="1" applyFill="1" applyBorder="1"/>
    <xf numFmtId="0" fontId="72" fillId="23" borderId="0" xfId="0" applyFont="1" applyFill="1" applyBorder="1"/>
    <xf numFmtId="2" fontId="72" fillId="23" borderId="0" xfId="0" applyNumberFormat="1" applyFont="1" applyFill="1" applyBorder="1"/>
    <xf numFmtId="0" fontId="72" fillId="23" borderId="26" xfId="0" applyFont="1" applyFill="1" applyBorder="1"/>
    <xf numFmtId="2" fontId="20" fillId="23" borderId="31" xfId="0" applyNumberFormat="1" applyFont="1" applyFill="1" applyBorder="1"/>
    <xf numFmtId="2" fontId="21" fillId="23" borderId="1" xfId="0" applyNumberFormat="1" applyFont="1" applyFill="1" applyBorder="1"/>
    <xf numFmtId="2" fontId="20" fillId="23" borderId="1" xfId="0" applyNumberFormat="1" applyFont="1" applyFill="1" applyBorder="1"/>
    <xf numFmtId="0" fontId="21" fillId="23" borderId="0" xfId="0" applyFont="1" applyFill="1" applyBorder="1"/>
    <xf numFmtId="0" fontId="21" fillId="23" borderId="26" xfId="0" applyFont="1" applyFill="1" applyBorder="1"/>
    <xf numFmtId="0" fontId="21" fillId="23" borderId="25" xfId="0" applyFont="1" applyFill="1" applyBorder="1" applyAlignment="1">
      <alignment textRotation="45"/>
    </xf>
    <xf numFmtId="10" fontId="20" fillId="23" borderId="0" xfId="0" applyNumberFormat="1" applyFont="1" applyFill="1" applyBorder="1" applyAlignment="1">
      <alignment textRotation="45"/>
    </xf>
    <xf numFmtId="2" fontId="21" fillId="23" borderId="0" xfId="0" applyNumberFormat="1" applyFont="1" applyFill="1" applyBorder="1" applyAlignment="1">
      <alignment textRotation="45"/>
    </xf>
    <xf numFmtId="2" fontId="21" fillId="23" borderId="8" xfId="0" applyNumberFormat="1" applyFont="1" applyFill="1" applyBorder="1" applyAlignment="1">
      <alignment textRotation="45"/>
    </xf>
    <xf numFmtId="0" fontId="21" fillId="23" borderId="25" xfId="0" applyFont="1" applyFill="1" applyBorder="1"/>
    <xf numFmtId="2" fontId="21" fillId="23" borderId="0" xfId="0" applyNumberFormat="1" applyFont="1" applyFill="1" applyBorder="1"/>
    <xf numFmtId="169" fontId="21" fillId="23" borderId="0" xfId="0" applyNumberFormat="1" applyFont="1" applyFill="1" applyBorder="1" applyAlignment="1">
      <alignment horizontal="center"/>
    </xf>
    <xf numFmtId="169" fontId="21" fillId="23" borderId="0" xfId="0" applyNumberFormat="1" applyFont="1" applyFill="1" applyBorder="1"/>
    <xf numFmtId="0" fontId="21" fillId="23" borderId="28" xfId="0" applyFont="1" applyFill="1" applyBorder="1"/>
    <xf numFmtId="0" fontId="21" fillId="23" borderId="20" xfId="0" applyFont="1" applyFill="1" applyBorder="1"/>
    <xf numFmtId="169" fontId="21" fillId="23" borderId="20" xfId="0" applyNumberFormat="1" applyFont="1" applyFill="1" applyBorder="1" applyAlignment="1">
      <alignment horizontal="center"/>
    </xf>
    <xf numFmtId="169" fontId="21" fillId="23" borderId="20" xfId="0" applyNumberFormat="1" applyFont="1" applyFill="1" applyBorder="1"/>
    <xf numFmtId="169" fontId="21" fillId="23" borderId="30" xfId="0" applyNumberFormat="1" applyFont="1" applyFill="1" applyBorder="1"/>
    <xf numFmtId="0" fontId="21" fillId="23" borderId="33" xfId="0" applyFont="1" applyFill="1" applyBorder="1"/>
    <xf numFmtId="0" fontId="23" fillId="23" borderId="0" xfId="0" applyFont="1" applyFill="1" applyBorder="1"/>
    <xf numFmtId="2" fontId="21" fillId="23" borderId="0" xfId="0" applyNumberFormat="1" applyFont="1" applyFill="1" applyBorder="1" applyAlignment="1"/>
    <xf numFmtId="0" fontId="21" fillId="23" borderId="0" xfId="0" applyFont="1" applyFill="1"/>
    <xf numFmtId="2" fontId="21" fillId="23" borderId="10" xfId="0" applyNumberFormat="1" applyFont="1" applyFill="1" applyBorder="1"/>
    <xf numFmtId="0" fontId="22" fillId="23" borderId="0" xfId="0" applyFont="1" applyFill="1" applyBorder="1"/>
    <xf numFmtId="2" fontId="22" fillId="23" borderId="0" xfId="0" applyNumberFormat="1" applyFont="1" applyFill="1" applyBorder="1"/>
    <xf numFmtId="10" fontId="21" fillId="23" borderId="0" xfId="0" applyNumberFormat="1" applyFont="1" applyFill="1" applyBorder="1" applyAlignment="1">
      <alignment textRotation="45"/>
    </xf>
    <xf numFmtId="0" fontId="64" fillId="52" borderId="22" xfId="0" applyFont="1" applyFill="1" applyBorder="1" applyAlignment="1">
      <alignment horizontal="left"/>
    </xf>
    <xf numFmtId="0" fontId="64" fillId="52" borderId="23" xfId="0" applyFont="1" applyFill="1" applyBorder="1"/>
    <xf numFmtId="0" fontId="20" fillId="52" borderId="23" xfId="0" applyFont="1" applyFill="1" applyBorder="1"/>
    <xf numFmtId="2" fontId="20" fillId="52" borderId="23" xfId="0" applyNumberFormat="1" applyFont="1" applyFill="1" applyBorder="1"/>
    <xf numFmtId="2" fontId="21" fillId="52" borderId="23" xfId="0" applyNumberFormat="1" applyFont="1" applyFill="1" applyBorder="1"/>
    <xf numFmtId="0" fontId="21" fillId="52" borderId="23" xfId="0" applyFont="1" applyFill="1" applyBorder="1"/>
    <xf numFmtId="0" fontId="21" fillId="52" borderId="24" xfId="0" applyFont="1" applyFill="1" applyBorder="1"/>
    <xf numFmtId="2" fontId="23" fillId="52" borderId="0" xfId="0" applyNumberFormat="1" applyFont="1" applyFill="1" applyBorder="1"/>
    <xf numFmtId="0" fontId="22" fillId="52" borderId="0" xfId="0" applyFont="1" applyFill="1" applyBorder="1"/>
    <xf numFmtId="2" fontId="22" fillId="52" borderId="0" xfId="0" applyNumberFormat="1" applyFont="1" applyFill="1" applyBorder="1"/>
    <xf numFmtId="2" fontId="72" fillId="52" borderId="0" xfId="0" applyNumberFormat="1" applyFont="1" applyFill="1" applyBorder="1"/>
    <xf numFmtId="0" fontId="72" fillId="52" borderId="0" xfId="0" applyFont="1" applyFill="1" applyBorder="1"/>
    <xf numFmtId="0" fontId="72" fillId="52" borderId="26" xfId="0" applyFont="1" applyFill="1" applyBorder="1"/>
    <xf numFmtId="2" fontId="20" fillId="52" borderId="31" xfId="0" applyNumberFormat="1" applyFont="1" applyFill="1" applyBorder="1"/>
    <xf numFmtId="2" fontId="21" fillId="52" borderId="1" xfId="0" applyNumberFormat="1" applyFont="1" applyFill="1" applyBorder="1"/>
    <xf numFmtId="2" fontId="20" fillId="52" borderId="1" xfId="0" applyNumberFormat="1" applyFont="1" applyFill="1" applyBorder="1"/>
    <xf numFmtId="0" fontId="21" fillId="52" borderId="0" xfId="0" applyFont="1" applyFill="1" applyBorder="1"/>
    <xf numFmtId="0" fontId="21" fillId="52" borderId="26" xfId="0" applyFont="1" applyFill="1" applyBorder="1"/>
    <xf numFmtId="0" fontId="21" fillId="52" borderId="25" xfId="0" applyFont="1" applyFill="1" applyBorder="1" applyAlignment="1">
      <alignment textRotation="45"/>
    </xf>
    <xf numFmtId="0" fontId="21" fillId="52" borderId="0" xfId="0" applyFont="1" applyFill="1" applyBorder="1" applyAlignment="1">
      <alignment textRotation="45"/>
    </xf>
    <xf numFmtId="2" fontId="21" fillId="52" borderId="0" xfId="0" applyNumberFormat="1" applyFont="1" applyFill="1" applyBorder="1" applyAlignment="1">
      <alignment textRotation="45"/>
    </xf>
    <xf numFmtId="2" fontId="21" fillId="52" borderId="8" xfId="0" applyNumberFormat="1" applyFont="1" applyFill="1" applyBorder="1" applyAlignment="1">
      <alignment textRotation="45"/>
    </xf>
    <xf numFmtId="0" fontId="21" fillId="52" borderId="7" xfId="0" applyFont="1" applyFill="1" applyBorder="1"/>
    <xf numFmtId="0" fontId="21" fillId="52" borderId="33" xfId="0" applyFont="1" applyFill="1" applyBorder="1"/>
    <xf numFmtId="0" fontId="21" fillId="52" borderId="25" xfId="0" applyFont="1" applyFill="1" applyBorder="1"/>
    <xf numFmtId="2" fontId="21" fillId="52" borderId="0" xfId="0" applyNumberFormat="1" applyFont="1" applyFill="1" applyBorder="1"/>
    <xf numFmtId="0" fontId="20" fillId="52" borderId="26" xfId="0" applyFont="1" applyFill="1" applyBorder="1"/>
    <xf numFmtId="169" fontId="21" fillId="52" borderId="0" xfId="0" applyNumberFormat="1" applyFont="1" applyFill="1" applyBorder="1" applyAlignment="1">
      <alignment horizontal="center"/>
    </xf>
    <xf numFmtId="169" fontId="21" fillId="52" borderId="0" xfId="0" applyNumberFormat="1" applyFont="1" applyFill="1" applyBorder="1"/>
    <xf numFmtId="0" fontId="21" fillId="52" borderId="28" xfId="0" applyFont="1" applyFill="1" applyBorder="1"/>
    <xf numFmtId="0" fontId="21" fillId="52" borderId="20" xfId="0" applyFont="1" applyFill="1" applyBorder="1"/>
    <xf numFmtId="169" fontId="21" fillId="52" borderId="20" xfId="0" applyNumberFormat="1" applyFont="1" applyFill="1" applyBorder="1" applyAlignment="1">
      <alignment horizontal="center"/>
    </xf>
    <xf numFmtId="169" fontId="21" fillId="52" borderId="20" xfId="0" applyNumberFormat="1" applyFont="1" applyFill="1" applyBorder="1"/>
    <xf numFmtId="169" fontId="21" fillId="52" borderId="30" xfId="0" applyNumberFormat="1" applyFont="1" applyFill="1" applyBorder="1"/>
    <xf numFmtId="0" fontId="21" fillId="52" borderId="29" xfId="0" applyFont="1" applyFill="1" applyBorder="1"/>
    <xf numFmtId="10" fontId="106" fillId="23" borderId="25" xfId="0" applyNumberFormat="1" applyFont="1" applyFill="1" applyBorder="1" applyAlignment="1">
      <alignment textRotation="45"/>
    </xf>
    <xf numFmtId="10" fontId="106" fillId="52" borderId="25" xfId="0" applyNumberFormat="1" applyFont="1" applyFill="1" applyBorder="1" applyAlignment="1">
      <alignment textRotation="45"/>
    </xf>
    <xf numFmtId="10" fontId="21" fillId="52" borderId="0" xfId="0" applyNumberFormat="1" applyFont="1" applyFill="1" applyBorder="1" applyAlignment="1">
      <alignment textRotation="45"/>
    </xf>
    <xf numFmtId="40" fontId="131" fillId="0" borderId="20" xfId="0" applyNumberFormat="1" applyFont="1" applyFill="1" applyBorder="1" applyAlignment="1">
      <alignment horizontal="center"/>
    </xf>
    <xf numFmtId="173" fontId="131" fillId="0" borderId="20" xfId="0" applyNumberFormat="1" applyFont="1" applyFill="1" applyBorder="1" applyAlignment="1">
      <alignment horizontal="center"/>
    </xf>
    <xf numFmtId="49" fontId="131" fillId="0" borderId="20" xfId="0" applyNumberFormat="1" applyFont="1" applyFill="1" applyBorder="1" applyAlignment="1">
      <alignment horizontal="center"/>
    </xf>
    <xf numFmtId="40" fontId="25" fillId="0" borderId="0" xfId="0" applyNumberFormat="1" applyFont="1"/>
    <xf numFmtId="165" fontId="21" fillId="33" borderId="7" xfId="2" applyNumberFormat="1" applyFont="1" applyFill="1" applyBorder="1"/>
    <xf numFmtId="165" fontId="21" fillId="33" borderId="18" xfId="2" applyNumberFormat="1" applyFont="1" applyFill="1" applyBorder="1"/>
    <xf numFmtId="0" fontId="20" fillId="33" borderId="0" xfId="0" applyFont="1" applyFill="1"/>
    <xf numFmtId="38" fontId="0" fillId="33" borderId="0" xfId="0" applyNumberFormat="1" applyFill="1"/>
    <xf numFmtId="10" fontId="20" fillId="33" borderId="0" xfId="1" applyNumberFormat="1" applyFont="1" applyFill="1"/>
    <xf numFmtId="38" fontId="21" fillId="33" borderId="2" xfId="0" applyNumberFormat="1" applyFont="1" applyFill="1" applyBorder="1" applyAlignment="1" applyProtection="1">
      <alignment vertical="center"/>
    </xf>
    <xf numFmtId="174" fontId="104" fillId="33" borderId="0" xfId="648" applyNumberFormat="1" applyFont="1" applyFill="1" applyAlignment="1">
      <alignment horizontal="right"/>
    </xf>
    <xf numFmtId="40" fontId="21" fillId="59" borderId="0" xfId="0" applyNumberFormat="1" applyFont="1" applyFill="1" applyAlignment="1">
      <alignment horizontal="right"/>
    </xf>
    <xf numFmtId="0" fontId="134" fillId="0" borderId="0" xfId="0" applyFont="1"/>
    <xf numFmtId="0" fontId="101" fillId="0" borderId="0" xfId="0" applyFont="1"/>
    <xf numFmtId="0" fontId="101" fillId="0" borderId="0" xfId="0" applyFont="1" applyBorder="1" applyAlignment="1">
      <alignment horizontal="center"/>
    </xf>
    <xf numFmtId="0" fontId="101" fillId="0" borderId="0" xfId="0" applyFont="1" applyAlignment="1">
      <alignment horizontal="center"/>
    </xf>
    <xf numFmtId="0" fontId="133" fillId="0" borderId="0" xfId="0" applyFont="1" applyAlignment="1">
      <alignment horizontal="right"/>
    </xf>
    <xf numFmtId="40" fontId="21" fillId="11" borderId="35" xfId="0" applyNumberFormat="1" applyFont="1" applyFill="1" applyBorder="1"/>
    <xf numFmtId="10" fontId="21" fillId="45" borderId="0" xfId="0" applyNumberFormat="1" applyFont="1" applyFill="1" applyAlignment="1">
      <alignment horizontal="right"/>
    </xf>
    <xf numFmtId="10" fontId="108" fillId="45" borderId="0" xfId="0" applyNumberFormat="1" applyFont="1" applyFill="1"/>
    <xf numFmtId="14" fontId="21" fillId="0" borderId="0" xfId="0" quotePrefix="1" applyNumberFormat="1" applyFont="1" applyAlignment="1">
      <alignment horizontal="center"/>
    </xf>
    <xf numFmtId="0" fontId="85" fillId="0" borderId="18" xfId="130" quotePrefix="1" applyNumberFormat="1" applyFont="1" applyBorder="1" applyAlignment="1">
      <alignment horizontal="right"/>
    </xf>
    <xf numFmtId="40" fontId="21" fillId="59" borderId="0" xfId="0" applyNumberFormat="1" applyFont="1" applyFill="1"/>
    <xf numFmtId="0" fontId="24" fillId="0" borderId="0" xfId="0" applyFont="1"/>
    <xf numFmtId="0" fontId="3" fillId="0" borderId="4" xfId="649" applyBorder="1"/>
    <xf numFmtId="0" fontId="3" fillId="0" borderId="5" xfId="649" applyBorder="1"/>
    <xf numFmtId="0" fontId="3" fillId="0" borderId="6" xfId="649" applyBorder="1"/>
    <xf numFmtId="0" fontId="20" fillId="0" borderId="0" xfId="16" applyFont="1"/>
    <xf numFmtId="38" fontId="21" fillId="58" borderId="0" xfId="0" applyNumberFormat="1" applyFont="1" applyFill="1" applyAlignment="1">
      <alignment horizontal="center" vertical="center"/>
    </xf>
    <xf numFmtId="38" fontId="21" fillId="58" borderId="0" xfId="0" applyNumberFormat="1" applyFont="1" applyFill="1" applyAlignment="1" applyProtection="1">
      <alignment horizontal="center" vertical="center"/>
    </xf>
    <xf numFmtId="49" fontId="21" fillId="58" borderId="1" xfId="0" applyNumberFormat="1" applyFont="1" applyFill="1" applyBorder="1" applyAlignment="1">
      <alignment horizontal="center"/>
    </xf>
    <xf numFmtId="2" fontId="21" fillId="52" borderId="0" xfId="0" applyNumberFormat="1" applyFont="1" applyFill="1" applyBorder="1" applyAlignment="1"/>
    <xf numFmtId="40" fontId="21" fillId="52" borderId="0" xfId="0" applyNumberFormat="1" applyFont="1" applyFill="1"/>
    <xf numFmtId="40" fontId="21" fillId="52" borderId="20" xfId="0" applyNumberFormat="1" applyFont="1" applyFill="1" applyBorder="1"/>
    <xf numFmtId="40" fontId="21" fillId="23" borderId="0" xfId="0" applyNumberFormat="1" applyFont="1" applyFill="1"/>
    <xf numFmtId="40" fontId="21" fillId="23" borderId="20" xfId="0" applyNumberFormat="1" applyFont="1" applyFill="1" applyBorder="1"/>
    <xf numFmtId="0" fontId="21" fillId="59" borderId="0" xfId="0" applyFont="1" applyFill="1"/>
    <xf numFmtId="4" fontId="21" fillId="0" borderId="0" xfId="0" applyNumberFormat="1" applyFont="1"/>
    <xf numFmtId="165" fontId="60" fillId="45" borderId="0" xfId="18" applyNumberFormat="1" applyFont="1" applyFill="1"/>
    <xf numFmtId="0" fontId="60" fillId="45" borderId="0" xfId="3" applyFont="1" applyFill="1"/>
    <xf numFmtId="165" fontId="60" fillId="45" borderId="0" xfId="18" applyNumberFormat="1" applyFont="1" applyFill="1" applyAlignment="1">
      <alignment horizontal="left"/>
    </xf>
    <xf numFmtId="40" fontId="20" fillId="59" borderId="0" xfId="0" applyNumberFormat="1" applyFont="1" applyFill="1" applyAlignment="1">
      <alignment horizontal="right"/>
    </xf>
    <xf numFmtId="40" fontId="135" fillId="3" borderId="0" xfId="0" applyNumberFormat="1" applyFont="1" applyFill="1" applyAlignment="1">
      <alignment horizontal="center"/>
    </xf>
    <xf numFmtId="40" fontId="135" fillId="0" borderId="0" xfId="0" applyNumberFormat="1" applyFont="1"/>
    <xf numFmtId="40" fontId="104" fillId="3" borderId="0" xfId="0" applyNumberFormat="1" applyFont="1" applyFill="1" applyAlignment="1">
      <alignment horizontal="center"/>
    </xf>
    <xf numFmtId="9" fontId="0" fillId="0" borderId="0" xfId="1" applyFont="1"/>
    <xf numFmtId="178" fontId="28" fillId="18" borderId="4" xfId="0" applyNumberFormat="1" applyFont="1" applyFill="1" applyBorder="1"/>
    <xf numFmtId="178" fontId="28" fillId="18" borderId="6" xfId="0" applyNumberFormat="1" applyFont="1" applyFill="1" applyBorder="1"/>
    <xf numFmtId="0" fontId="0" fillId="18" borderId="7" xfId="0" applyFill="1" applyBorder="1"/>
    <xf numFmtId="178" fontId="0" fillId="18" borderId="8" xfId="2" applyNumberFormat="1" applyFont="1" applyFill="1" applyBorder="1"/>
    <xf numFmtId="0" fontId="0" fillId="18" borderId="9" xfId="0" applyFill="1" applyBorder="1"/>
    <xf numFmtId="178" fontId="0" fillId="18" borderId="10" xfId="2" applyNumberFormat="1" applyFont="1" applyFill="1" applyBorder="1"/>
    <xf numFmtId="10" fontId="22" fillId="0" borderId="0" xfId="0" applyNumberFormat="1" applyFont="1" applyBorder="1" applyAlignment="1">
      <alignment horizontal="center"/>
    </xf>
    <xf numFmtId="0" fontId="21" fillId="0" borderId="0" xfId="0" applyFont="1" applyAlignment="1">
      <alignment wrapText="1"/>
    </xf>
    <xf numFmtId="0" fontId="0" fillId="3" borderId="0" xfId="0" applyFill="1" applyAlignment="1">
      <alignment horizontal="center"/>
    </xf>
    <xf numFmtId="166" fontId="20" fillId="3" borderId="0" xfId="1" applyNumberFormat="1" applyFont="1" applyFill="1" applyAlignment="1">
      <alignment horizontal="center"/>
    </xf>
    <xf numFmtId="38" fontId="98" fillId="24" borderId="7" xfId="0" applyNumberFormat="1" applyFont="1" applyFill="1" applyBorder="1" applyAlignment="1">
      <alignment horizontal="center" wrapText="1"/>
    </xf>
    <xf numFmtId="38" fontId="98" fillId="24" borderId="7" xfId="0" quotePrefix="1" applyNumberFormat="1" applyFont="1" applyFill="1" applyBorder="1" applyAlignment="1">
      <alignment horizontal="center" wrapText="1"/>
    </xf>
    <xf numFmtId="38" fontId="99" fillId="24" borderId="17" xfId="0" applyNumberFormat="1" applyFont="1" applyFill="1" applyBorder="1" applyAlignment="1">
      <alignment horizontal="center" wrapText="1"/>
    </xf>
    <xf numFmtId="38" fontId="99" fillId="24" borderId="17" xfId="0" quotePrefix="1" applyNumberFormat="1" applyFont="1" applyFill="1" applyBorder="1" applyAlignment="1">
      <alignment horizontal="center" wrapText="1"/>
    </xf>
    <xf numFmtId="38" fontId="34" fillId="0" borderId="6" xfId="0" applyNumberFormat="1" applyFont="1" applyFill="1" applyBorder="1" applyAlignment="1">
      <alignment horizontal="center" wrapText="1"/>
    </xf>
    <xf numFmtId="38" fontId="34" fillId="0" borderId="8" xfId="0" quotePrefix="1" applyNumberFormat="1" applyFont="1" applyFill="1" applyBorder="1" applyAlignment="1">
      <alignment horizontal="center" wrapText="1"/>
    </xf>
    <xf numFmtId="38" fontId="36" fillId="0" borderId="6" xfId="0" applyNumberFormat="1" applyFont="1" applyFill="1" applyBorder="1" applyAlignment="1">
      <alignment horizontal="center" wrapText="1"/>
    </xf>
    <xf numFmtId="38" fontId="36" fillId="0" borderId="8" xfId="0" quotePrefix="1" applyNumberFormat="1" applyFont="1" applyFill="1" applyBorder="1" applyAlignment="1">
      <alignment horizontal="center" wrapText="1"/>
    </xf>
    <xf numFmtId="38" fontId="31" fillId="0" borderId="21" xfId="0" quotePrefix="1" applyNumberFormat="1" applyFont="1" applyFill="1" applyBorder="1" applyAlignment="1">
      <alignment horizontal="center" wrapText="1"/>
    </xf>
    <xf numFmtId="38" fontId="31" fillId="0" borderId="17" xfId="0" quotePrefix="1" applyNumberFormat="1" applyFont="1" applyFill="1" applyBorder="1" applyAlignment="1">
      <alignment horizontal="center" wrapText="1"/>
    </xf>
    <xf numFmtId="38" fontId="28" fillId="0" borderId="4" xfId="0" applyNumberFormat="1" applyFont="1" applyFill="1" applyBorder="1" applyAlignment="1">
      <alignment horizontal="center" wrapText="1"/>
    </xf>
    <xf numFmtId="38" fontId="28" fillId="0" borderId="7" xfId="0" applyNumberFormat="1" applyFont="1" applyFill="1" applyBorder="1" applyAlignment="1">
      <alignment horizontal="center" wrapText="1"/>
    </xf>
    <xf numFmtId="38" fontId="48" fillId="0" borderId="6" xfId="0" applyNumberFormat="1" applyFont="1" applyFill="1" applyBorder="1" applyAlignment="1">
      <alignment horizontal="center" wrapText="1"/>
    </xf>
    <xf numFmtId="38" fontId="48" fillId="0" borderId="8" xfId="0" quotePrefix="1" applyNumberFormat="1" applyFont="1" applyFill="1" applyBorder="1" applyAlignment="1">
      <alignment horizontal="center" wrapText="1"/>
    </xf>
    <xf numFmtId="38" fontId="28" fillId="0" borderId="7" xfId="0" quotePrefix="1" applyNumberFormat="1" applyFont="1" applyFill="1" applyBorder="1" applyAlignment="1">
      <alignment horizontal="center" wrapText="1"/>
    </xf>
    <xf numFmtId="38" fontId="48" fillId="0" borderId="21" xfId="0" applyNumberFormat="1" applyFont="1" applyFill="1" applyBorder="1" applyAlignment="1">
      <alignment horizontal="center" wrapText="1"/>
    </xf>
    <xf numFmtId="38" fontId="48" fillId="0" borderId="18" xfId="0" quotePrefix="1" applyNumberFormat="1" applyFont="1" applyFill="1" applyBorder="1" applyAlignment="1">
      <alignment horizontal="center" wrapText="1"/>
    </xf>
    <xf numFmtId="0" fontId="23" fillId="0" borderId="1" xfId="0" applyFont="1" applyBorder="1" applyAlignment="1">
      <alignment horizontal="center"/>
    </xf>
    <xf numFmtId="38" fontId="31" fillId="0" borderId="21" xfId="0" applyNumberFormat="1" applyFont="1" applyFill="1" applyBorder="1" applyAlignment="1">
      <alignment horizontal="center" wrapText="1"/>
    </xf>
    <xf numFmtId="38" fontId="31" fillId="0" borderId="18" xfId="0" quotePrefix="1" applyNumberFormat="1" applyFont="1" applyFill="1" applyBorder="1" applyAlignment="1">
      <alignment horizontal="center" wrapText="1"/>
    </xf>
    <xf numFmtId="38" fontId="28" fillId="0" borderId="9" xfId="0" applyNumberFormat="1" applyFont="1" applyFill="1" applyBorder="1" applyAlignment="1">
      <alignment horizontal="center" wrapText="1"/>
    </xf>
    <xf numFmtId="38" fontId="48" fillId="0" borderId="5" xfId="0" applyNumberFormat="1" applyFont="1" applyFill="1" applyBorder="1" applyAlignment="1">
      <alignment horizontal="center" wrapText="1"/>
    </xf>
    <xf numFmtId="38" fontId="48" fillId="0" borderId="1" xfId="0" quotePrefix="1" applyNumberFormat="1" applyFont="1" applyFill="1" applyBorder="1" applyAlignment="1">
      <alignment horizontal="center" wrapText="1"/>
    </xf>
    <xf numFmtId="38" fontId="28" fillId="0" borderId="5" xfId="0" applyNumberFormat="1" applyFont="1" applyFill="1" applyBorder="1" applyAlignment="1">
      <alignment horizontal="center" wrapText="1"/>
    </xf>
    <xf numFmtId="38" fontId="28" fillId="0" borderId="1" xfId="0" quotePrefix="1" applyNumberFormat="1" applyFont="1" applyFill="1" applyBorder="1" applyAlignment="1">
      <alignment horizontal="center" wrapText="1"/>
    </xf>
    <xf numFmtId="38" fontId="48" fillId="0" borderId="10" xfId="0" quotePrefix="1" applyNumberFormat="1" applyFont="1" applyFill="1" applyBorder="1" applyAlignment="1">
      <alignment horizontal="center" wrapText="1"/>
    </xf>
    <xf numFmtId="38" fontId="34" fillId="2" borderId="6" xfId="0" applyNumberFormat="1" applyFont="1" applyFill="1" applyBorder="1" applyAlignment="1">
      <alignment horizontal="center" wrapText="1"/>
    </xf>
    <xf numFmtId="38" fontId="34" fillId="2" borderId="10" xfId="0" quotePrefix="1" applyNumberFormat="1" applyFont="1" applyFill="1" applyBorder="1" applyAlignment="1">
      <alignment horizontal="center" wrapText="1"/>
    </xf>
    <xf numFmtId="38" fontId="36" fillId="2" borderId="6" xfId="0" applyNumberFormat="1" applyFont="1" applyFill="1" applyBorder="1" applyAlignment="1">
      <alignment horizontal="center" wrapText="1"/>
    </xf>
    <xf numFmtId="38" fontId="36" fillId="2" borderId="10" xfId="0" quotePrefix="1" applyNumberFormat="1" applyFont="1" applyFill="1" applyBorder="1" applyAlignment="1">
      <alignment horizontal="center" wrapText="1"/>
    </xf>
    <xf numFmtId="38" fontId="48" fillId="0" borderId="18" xfId="0" applyNumberFormat="1" applyFont="1" applyFill="1" applyBorder="1" applyAlignment="1">
      <alignment horizontal="center" wrapText="1"/>
    </xf>
    <xf numFmtId="0" fontId="21" fillId="7" borderId="0" xfId="0" applyFont="1" applyFill="1" applyAlignment="1">
      <alignment horizontal="center" textRotation="90"/>
    </xf>
    <xf numFmtId="0" fontId="94" fillId="27" borderId="0" xfId="645" applyFont="1" applyFill="1" applyAlignment="1">
      <alignment horizontal="center" vertical="center"/>
    </xf>
    <xf numFmtId="0" fontId="94" fillId="27" borderId="36" xfId="645" applyFont="1" applyFill="1" applyBorder="1" applyAlignment="1">
      <alignment horizontal="center" vertical="center"/>
    </xf>
    <xf numFmtId="17" fontId="95" fillId="27" borderId="0" xfId="645" applyNumberFormat="1" applyFont="1" applyFill="1" applyBorder="1" applyAlignment="1">
      <alignment horizontal="center"/>
    </xf>
    <xf numFmtId="0" fontId="95" fillId="27" borderId="0" xfId="645" applyFont="1" applyFill="1" applyBorder="1" applyAlignment="1">
      <alignment horizontal="center"/>
    </xf>
    <xf numFmtId="0" fontId="60" fillId="0" borderId="18" xfId="3" applyFont="1" applyBorder="1" applyAlignment="1">
      <alignment horizontal="center" wrapText="1"/>
    </xf>
    <xf numFmtId="0" fontId="60" fillId="0" borderId="18" xfId="3" applyFont="1" applyFill="1" applyBorder="1" applyAlignment="1">
      <alignment horizontal="center" wrapText="1"/>
    </xf>
    <xf numFmtId="0" fontId="60" fillId="0" borderId="9" xfId="3" applyFont="1" applyBorder="1" applyAlignment="1">
      <alignment horizontal="center" wrapText="1"/>
    </xf>
    <xf numFmtId="0" fontId="60" fillId="0" borderId="10" xfId="3" applyFont="1" applyBorder="1" applyAlignment="1">
      <alignment horizontal="center" wrapText="1"/>
    </xf>
    <xf numFmtId="0" fontId="42" fillId="2" borderId="16" xfId="3" applyFont="1" applyFill="1" applyBorder="1" applyAlignment="1">
      <alignment horizontal="center" wrapText="1"/>
    </xf>
    <xf numFmtId="0" fontId="40" fillId="0" borderId="16" xfId="3" applyFont="1" applyFill="1" applyBorder="1" applyAlignment="1">
      <alignment horizontal="center" wrapText="1"/>
    </xf>
    <xf numFmtId="175" fontId="55" fillId="0" borderId="0" xfId="0" applyNumberFormat="1" applyFont="1" applyFill="1" applyAlignment="1">
      <alignment horizontal="left" vertical="center"/>
    </xf>
    <xf numFmtId="0" fontId="0" fillId="0" borderId="0" xfId="0" applyFill="1" applyAlignment="1">
      <alignment vertical="center"/>
    </xf>
  </cellXfs>
  <cellStyles count="1213">
    <cellStyle name="Comma" xfId="130" builtinId="3"/>
    <cellStyle name="Comma 2" xfId="6"/>
    <cellStyle name="Comma 3" xfId="25"/>
    <cellStyle name="Comma 3 2" xfId="137"/>
    <cellStyle name="Comma 3 2 2" xfId="215"/>
    <cellStyle name="Comma 3 2 2 2" xfId="530"/>
    <cellStyle name="Comma 3 2 2 2 2" xfId="1092"/>
    <cellStyle name="Comma 3 2 2 3" xfId="373"/>
    <cellStyle name="Comma 3 2 2 3 2" xfId="935"/>
    <cellStyle name="Comma 3 2 2 4" xfId="778"/>
    <cellStyle name="Comma 3 2 3" xfId="452"/>
    <cellStyle name="Comma 3 2 3 2" xfId="1014"/>
    <cellStyle name="Comma 3 2 4" xfId="295"/>
    <cellStyle name="Comma 3 2 4 2" xfId="857"/>
    <cellStyle name="Comma 3 2 5" xfId="611"/>
    <cellStyle name="Comma 3 2 5 2" xfId="1173"/>
    <cellStyle name="Comma 3 2 6" xfId="700"/>
    <cellStyle name="Comma 3 3" xfId="178"/>
    <cellStyle name="Comma 3 3 2" xfId="493"/>
    <cellStyle name="Comma 3 3 2 2" xfId="1055"/>
    <cellStyle name="Comma 3 3 3" xfId="336"/>
    <cellStyle name="Comma 3 3 3 2" xfId="898"/>
    <cellStyle name="Comma 3 3 4" xfId="741"/>
    <cellStyle name="Comma 3 4" xfId="415"/>
    <cellStyle name="Comma 3 4 2" xfId="977"/>
    <cellStyle name="Comma 3 5" xfId="258"/>
    <cellStyle name="Comma 3 5 2" xfId="820"/>
    <cellStyle name="Comma 3 6" xfId="574"/>
    <cellStyle name="Comma 3 6 2" xfId="1136"/>
    <cellStyle name="Comma 3 7" xfId="662"/>
    <cellStyle name="Comma 4" xfId="128"/>
    <cellStyle name="Comma 4 2" xfId="167"/>
    <cellStyle name="Comma 4 2 2" xfId="245"/>
    <cellStyle name="Comma 4 2 2 2" xfId="560"/>
    <cellStyle name="Comma 4 2 2 2 2" xfId="1122"/>
    <cellStyle name="Comma 4 2 2 3" xfId="403"/>
    <cellStyle name="Comma 4 2 2 3 2" xfId="965"/>
    <cellStyle name="Comma 4 2 2 4" xfId="808"/>
    <cellStyle name="Comma 4 2 3" xfId="482"/>
    <cellStyle name="Comma 4 2 3 2" xfId="1044"/>
    <cellStyle name="Comma 4 2 4" xfId="325"/>
    <cellStyle name="Comma 4 2 4 2" xfId="887"/>
    <cellStyle name="Comma 4 2 5" xfId="641"/>
    <cellStyle name="Comma 4 2 5 2" xfId="1203"/>
    <cellStyle name="Comma 4 2 6" xfId="730"/>
    <cellStyle name="Comma 4 3" xfId="208"/>
    <cellStyle name="Comma 4 3 2" xfId="523"/>
    <cellStyle name="Comma 4 3 2 2" xfId="1085"/>
    <cellStyle name="Comma 4 3 3" xfId="366"/>
    <cellStyle name="Comma 4 3 3 2" xfId="928"/>
    <cellStyle name="Comma 4 3 4" xfId="771"/>
    <cellStyle name="Comma 4 4" xfId="445"/>
    <cellStyle name="Comma 4 4 2" xfId="1007"/>
    <cellStyle name="Comma 4 5" xfId="288"/>
    <cellStyle name="Comma 4 5 2" xfId="850"/>
    <cellStyle name="Comma 4 6" xfId="604"/>
    <cellStyle name="Comma 4 6 2" xfId="1166"/>
    <cellStyle name="Comma 4 7" xfId="692"/>
    <cellStyle name="Comma 5" xfId="170"/>
    <cellStyle name="Comma 5 2" xfId="248"/>
    <cellStyle name="Comma 5 2 2" xfId="563"/>
    <cellStyle name="Comma 5 2 2 2" xfId="1125"/>
    <cellStyle name="Comma 5 2 3" xfId="406"/>
    <cellStyle name="Comma 5 2 3 2" xfId="968"/>
    <cellStyle name="Comma 5 2 4" xfId="811"/>
    <cellStyle name="Comma 5 3" xfId="485"/>
    <cellStyle name="Comma 5 3 2" xfId="1047"/>
    <cellStyle name="Comma 5 4" xfId="328"/>
    <cellStyle name="Comma 5 4 2" xfId="890"/>
    <cellStyle name="Comma 5 5" xfId="644"/>
    <cellStyle name="Comma 5 5 2" xfId="1206"/>
    <cellStyle name="Comma 5 6" xfId="733"/>
    <cellStyle name="Comma 6" xfId="693"/>
    <cellStyle name="Currency" xfId="2" builtinId="4"/>
    <cellStyle name="Currency 10" xfId="655"/>
    <cellStyle name="Currency 2" xfId="5"/>
    <cellStyle name="Currency 2 2" xfId="7"/>
    <cellStyle name="Currency 3" xfId="8"/>
    <cellStyle name="Currency 3 2" xfId="27"/>
    <cellStyle name="Currency 3 2 2" xfId="139"/>
    <cellStyle name="Currency 3 2 2 2" xfId="217"/>
    <cellStyle name="Currency 3 2 2 2 2" xfId="532"/>
    <cellStyle name="Currency 3 2 2 2 2 2" xfId="1094"/>
    <cellStyle name="Currency 3 2 2 2 3" xfId="375"/>
    <cellStyle name="Currency 3 2 2 2 3 2" xfId="937"/>
    <cellStyle name="Currency 3 2 2 2 4" xfId="780"/>
    <cellStyle name="Currency 3 2 2 3" xfId="454"/>
    <cellStyle name="Currency 3 2 2 3 2" xfId="1016"/>
    <cellStyle name="Currency 3 2 2 4" xfId="297"/>
    <cellStyle name="Currency 3 2 2 4 2" xfId="859"/>
    <cellStyle name="Currency 3 2 2 5" xfId="613"/>
    <cellStyle name="Currency 3 2 2 5 2" xfId="1175"/>
    <cellStyle name="Currency 3 2 2 6" xfId="702"/>
    <cellStyle name="Currency 3 2 3" xfId="180"/>
    <cellStyle name="Currency 3 2 3 2" xfId="495"/>
    <cellStyle name="Currency 3 2 3 2 2" xfId="1057"/>
    <cellStyle name="Currency 3 2 3 3" xfId="338"/>
    <cellStyle name="Currency 3 2 3 3 2" xfId="900"/>
    <cellStyle name="Currency 3 2 3 4" xfId="743"/>
    <cellStyle name="Currency 3 2 4" xfId="417"/>
    <cellStyle name="Currency 3 2 4 2" xfId="979"/>
    <cellStyle name="Currency 3 2 5" xfId="260"/>
    <cellStyle name="Currency 3 2 5 2" xfId="822"/>
    <cellStyle name="Currency 3 2 6" xfId="576"/>
    <cellStyle name="Currency 3 2 6 2" xfId="1138"/>
    <cellStyle name="Currency 3 2 7" xfId="664"/>
    <cellStyle name="Currency 3 3" xfId="28"/>
    <cellStyle name="Currency 3 3 2" xfId="140"/>
    <cellStyle name="Currency 3 3 2 2" xfId="218"/>
    <cellStyle name="Currency 3 3 2 2 2" xfId="533"/>
    <cellStyle name="Currency 3 3 2 2 2 2" xfId="1095"/>
    <cellStyle name="Currency 3 3 2 2 3" xfId="376"/>
    <cellStyle name="Currency 3 3 2 2 3 2" xfId="938"/>
    <cellStyle name="Currency 3 3 2 2 4" xfId="781"/>
    <cellStyle name="Currency 3 3 2 3" xfId="455"/>
    <cellStyle name="Currency 3 3 2 3 2" xfId="1017"/>
    <cellStyle name="Currency 3 3 2 4" xfId="298"/>
    <cellStyle name="Currency 3 3 2 4 2" xfId="860"/>
    <cellStyle name="Currency 3 3 2 5" xfId="614"/>
    <cellStyle name="Currency 3 3 2 5 2" xfId="1176"/>
    <cellStyle name="Currency 3 3 2 6" xfId="703"/>
    <cellStyle name="Currency 3 3 3" xfId="181"/>
    <cellStyle name="Currency 3 3 3 2" xfId="496"/>
    <cellStyle name="Currency 3 3 3 2 2" xfId="1058"/>
    <cellStyle name="Currency 3 3 3 3" xfId="339"/>
    <cellStyle name="Currency 3 3 3 3 2" xfId="901"/>
    <cellStyle name="Currency 3 3 3 4" xfId="744"/>
    <cellStyle name="Currency 3 3 4" xfId="418"/>
    <cellStyle name="Currency 3 3 4 2" xfId="980"/>
    <cellStyle name="Currency 3 3 5" xfId="261"/>
    <cellStyle name="Currency 3 3 5 2" xfId="823"/>
    <cellStyle name="Currency 3 3 6" xfId="577"/>
    <cellStyle name="Currency 3 3 6 2" xfId="1139"/>
    <cellStyle name="Currency 3 3 7" xfId="665"/>
    <cellStyle name="Currency 3 4" xfId="29"/>
    <cellStyle name="Currency 3 4 2" xfId="141"/>
    <cellStyle name="Currency 3 4 2 2" xfId="219"/>
    <cellStyle name="Currency 3 4 2 2 2" xfId="534"/>
    <cellStyle name="Currency 3 4 2 2 2 2" xfId="1096"/>
    <cellStyle name="Currency 3 4 2 2 3" xfId="377"/>
    <cellStyle name="Currency 3 4 2 2 3 2" xfId="939"/>
    <cellStyle name="Currency 3 4 2 2 4" xfId="782"/>
    <cellStyle name="Currency 3 4 2 3" xfId="456"/>
    <cellStyle name="Currency 3 4 2 3 2" xfId="1018"/>
    <cellStyle name="Currency 3 4 2 4" xfId="299"/>
    <cellStyle name="Currency 3 4 2 4 2" xfId="861"/>
    <cellStyle name="Currency 3 4 2 5" xfId="615"/>
    <cellStyle name="Currency 3 4 2 5 2" xfId="1177"/>
    <cellStyle name="Currency 3 4 2 6" xfId="704"/>
    <cellStyle name="Currency 3 4 3" xfId="182"/>
    <cellStyle name="Currency 3 4 3 2" xfId="497"/>
    <cellStyle name="Currency 3 4 3 2 2" xfId="1059"/>
    <cellStyle name="Currency 3 4 3 3" xfId="340"/>
    <cellStyle name="Currency 3 4 3 3 2" xfId="902"/>
    <cellStyle name="Currency 3 4 3 4" xfId="745"/>
    <cellStyle name="Currency 3 4 4" xfId="419"/>
    <cellStyle name="Currency 3 4 4 2" xfId="981"/>
    <cellStyle name="Currency 3 4 5" xfId="262"/>
    <cellStyle name="Currency 3 4 5 2" xfId="824"/>
    <cellStyle name="Currency 3 4 6" xfId="578"/>
    <cellStyle name="Currency 3 4 6 2" xfId="1140"/>
    <cellStyle name="Currency 3 4 7" xfId="666"/>
    <cellStyle name="Currency 4" xfId="9"/>
    <cellStyle name="Currency 5" xfId="18"/>
    <cellStyle name="Currency 6" xfId="20"/>
    <cellStyle name="Currency 6 2" xfId="132"/>
    <cellStyle name="Currency 6 2 2" xfId="210"/>
    <cellStyle name="Currency 6 2 2 2" xfId="525"/>
    <cellStyle name="Currency 6 2 2 2 2" xfId="1087"/>
    <cellStyle name="Currency 6 2 2 3" xfId="368"/>
    <cellStyle name="Currency 6 2 2 3 2" xfId="930"/>
    <cellStyle name="Currency 6 2 2 4" xfId="773"/>
    <cellStyle name="Currency 6 2 3" xfId="447"/>
    <cellStyle name="Currency 6 2 3 2" xfId="1009"/>
    <cellStyle name="Currency 6 2 4" xfId="290"/>
    <cellStyle name="Currency 6 2 4 2" xfId="852"/>
    <cellStyle name="Currency 6 2 5" xfId="606"/>
    <cellStyle name="Currency 6 2 5 2" xfId="1168"/>
    <cellStyle name="Currency 6 2 6" xfId="695"/>
    <cellStyle name="Currency 6 3" xfId="173"/>
    <cellStyle name="Currency 6 3 2" xfId="488"/>
    <cellStyle name="Currency 6 3 2 2" xfId="1050"/>
    <cellStyle name="Currency 6 3 3" xfId="331"/>
    <cellStyle name="Currency 6 3 3 2" xfId="893"/>
    <cellStyle name="Currency 6 3 4" xfId="736"/>
    <cellStyle name="Currency 6 4" xfId="410"/>
    <cellStyle name="Currency 6 4 2" xfId="972"/>
    <cellStyle name="Currency 6 5" xfId="253"/>
    <cellStyle name="Currency 6 5 2" xfId="815"/>
    <cellStyle name="Currency 6 6" xfId="569"/>
    <cellStyle name="Currency 6 6 2" xfId="1131"/>
    <cellStyle name="Currency 6 7" xfId="657"/>
    <cellStyle name="Currency 7" xfId="23"/>
    <cellStyle name="Currency 7 2" xfId="135"/>
    <cellStyle name="Currency 7 2 2" xfId="213"/>
    <cellStyle name="Currency 7 2 2 2" xfId="528"/>
    <cellStyle name="Currency 7 2 2 2 2" xfId="1090"/>
    <cellStyle name="Currency 7 2 2 3" xfId="371"/>
    <cellStyle name="Currency 7 2 2 3 2" xfId="933"/>
    <cellStyle name="Currency 7 2 2 4" xfId="776"/>
    <cellStyle name="Currency 7 2 3" xfId="450"/>
    <cellStyle name="Currency 7 2 3 2" xfId="1012"/>
    <cellStyle name="Currency 7 2 4" xfId="293"/>
    <cellStyle name="Currency 7 2 4 2" xfId="855"/>
    <cellStyle name="Currency 7 2 5" xfId="609"/>
    <cellStyle name="Currency 7 2 5 2" xfId="1171"/>
    <cellStyle name="Currency 7 2 6" xfId="698"/>
    <cellStyle name="Currency 7 3" xfId="176"/>
    <cellStyle name="Currency 7 3 2" xfId="491"/>
    <cellStyle name="Currency 7 3 2 2" xfId="1053"/>
    <cellStyle name="Currency 7 3 3" xfId="334"/>
    <cellStyle name="Currency 7 3 3 2" xfId="896"/>
    <cellStyle name="Currency 7 3 4" xfId="739"/>
    <cellStyle name="Currency 7 4" xfId="413"/>
    <cellStyle name="Currency 7 4 2" xfId="975"/>
    <cellStyle name="Currency 7 5" xfId="256"/>
    <cellStyle name="Currency 7 5 2" xfId="818"/>
    <cellStyle name="Currency 7 6" xfId="572"/>
    <cellStyle name="Currency 7 6 2" xfId="1134"/>
    <cellStyle name="Currency 7 7" xfId="660"/>
    <cellStyle name="Currency 8" xfId="169"/>
    <cellStyle name="Currency 8 2" xfId="247"/>
    <cellStyle name="Currency 8 2 2" xfId="562"/>
    <cellStyle name="Currency 8 2 2 2" xfId="1124"/>
    <cellStyle name="Currency 8 2 3" xfId="405"/>
    <cellStyle name="Currency 8 2 3 2" xfId="967"/>
    <cellStyle name="Currency 8 2 4" xfId="810"/>
    <cellStyle name="Currency 8 3" xfId="484"/>
    <cellStyle name="Currency 8 3 2" xfId="1046"/>
    <cellStyle name="Currency 8 4" xfId="327"/>
    <cellStyle name="Currency 8 4 2" xfId="889"/>
    <cellStyle name="Currency 8 5" xfId="643"/>
    <cellStyle name="Currency 8 5 2" xfId="1205"/>
    <cellStyle name="Currency 8 6" xfId="732"/>
    <cellStyle name="Currency 9" xfId="251"/>
    <cellStyle name="Currency 9 2" xfId="565"/>
    <cellStyle name="Currency 9 2 2" xfId="1127"/>
    <cellStyle name="Currency 9 3" xfId="813"/>
    <cellStyle name="Hyperlink" xfId="249" builtinId="8"/>
    <cellStyle name="Hyperlink 2" xfId="407"/>
    <cellStyle name="Hyperlink 2 2" xfId="969"/>
    <cellStyle name="Normal" xfId="0" builtinId="0"/>
    <cellStyle name="Normal 10" xfId="129"/>
    <cellStyle name="Normal 11" xfId="168"/>
    <cellStyle name="Normal 11 2" xfId="246"/>
    <cellStyle name="Normal 11 2 2" xfId="561"/>
    <cellStyle name="Normal 11 2 2 2" xfId="1123"/>
    <cellStyle name="Normal 11 2 3" xfId="404"/>
    <cellStyle name="Normal 11 2 3 2" xfId="966"/>
    <cellStyle name="Normal 11 2 4" xfId="809"/>
    <cellStyle name="Normal 11 3" xfId="483"/>
    <cellStyle name="Normal 11 3 2" xfId="1045"/>
    <cellStyle name="Normal 11 4" xfId="326"/>
    <cellStyle name="Normal 11 4 2" xfId="888"/>
    <cellStyle name="Normal 11 5" xfId="642"/>
    <cellStyle name="Normal 11 5 2" xfId="1204"/>
    <cellStyle name="Normal 11 6" xfId="731"/>
    <cellStyle name="Normal 12" xfId="171"/>
    <cellStyle name="Normal 12 2" xfId="486"/>
    <cellStyle name="Normal 12 2 2" xfId="1048"/>
    <cellStyle name="Normal 12 3" xfId="329"/>
    <cellStyle name="Normal 12 3 2" xfId="891"/>
    <cellStyle name="Normal 12 4" xfId="734"/>
    <cellStyle name="Normal 13" xfId="250"/>
    <cellStyle name="Normal 13 2" xfId="564"/>
    <cellStyle name="Normal 13 2 2" xfId="1126"/>
    <cellStyle name="Normal 13 3" xfId="408"/>
    <cellStyle name="Normal 13 3 2" xfId="970"/>
    <cellStyle name="Normal 13 4" xfId="812"/>
    <cellStyle name="Normal 14" xfId="566"/>
    <cellStyle name="Normal 14 2" xfId="1128"/>
    <cellStyle name="Normal 15" xfId="567"/>
    <cellStyle name="Normal 15 2" xfId="1129"/>
    <cellStyle name="Normal 16" xfId="645"/>
    <cellStyle name="Normal 16 2" xfId="1207"/>
    <cellStyle name="Normal 17" xfId="646"/>
    <cellStyle name="Normal 17 2" xfId="1208"/>
    <cellStyle name="Normal 18" xfId="647"/>
    <cellStyle name="Normal 18 2" xfId="1209"/>
    <cellStyle name="Normal 19" xfId="648"/>
    <cellStyle name="Normal 19 2" xfId="1210"/>
    <cellStyle name="Normal 2" xfId="4"/>
    <cellStyle name="Normal 2 10" xfId="127"/>
    <cellStyle name="Normal 2 10 2" xfId="166"/>
    <cellStyle name="Normal 2 10 2 2" xfId="244"/>
    <cellStyle name="Normal 2 10 2 2 2" xfId="559"/>
    <cellStyle name="Normal 2 10 2 2 2 2" xfId="1121"/>
    <cellStyle name="Normal 2 10 2 2 3" xfId="402"/>
    <cellStyle name="Normal 2 10 2 2 3 2" xfId="964"/>
    <cellStyle name="Normal 2 10 2 2 4" xfId="807"/>
    <cellStyle name="Normal 2 10 2 3" xfId="481"/>
    <cellStyle name="Normal 2 10 2 3 2" xfId="1043"/>
    <cellStyle name="Normal 2 10 2 4" xfId="324"/>
    <cellStyle name="Normal 2 10 2 4 2" xfId="886"/>
    <cellStyle name="Normal 2 10 2 5" xfId="640"/>
    <cellStyle name="Normal 2 10 2 5 2" xfId="1202"/>
    <cellStyle name="Normal 2 10 2 6" xfId="729"/>
    <cellStyle name="Normal 2 10 3" xfId="207"/>
    <cellStyle name="Normal 2 10 3 2" xfId="522"/>
    <cellStyle name="Normal 2 10 3 2 2" xfId="1084"/>
    <cellStyle name="Normal 2 10 3 3" xfId="365"/>
    <cellStyle name="Normal 2 10 3 3 2" xfId="927"/>
    <cellStyle name="Normal 2 10 3 4" xfId="770"/>
    <cellStyle name="Normal 2 10 4" xfId="444"/>
    <cellStyle name="Normal 2 10 4 2" xfId="1006"/>
    <cellStyle name="Normal 2 10 5" xfId="287"/>
    <cellStyle name="Normal 2 10 5 2" xfId="849"/>
    <cellStyle name="Normal 2 10 6" xfId="603"/>
    <cellStyle name="Normal 2 10 6 2" xfId="1165"/>
    <cellStyle name="Normal 2 10 7" xfId="691"/>
    <cellStyle name="Normal 2 11" xfId="650"/>
    <cellStyle name="Normal 2 2" xfId="10"/>
    <cellStyle name="Normal 2 3" xfId="24"/>
    <cellStyle name="Normal 2 3 2" xfId="136"/>
    <cellStyle name="Normal 2 3 2 2" xfId="214"/>
    <cellStyle name="Normal 2 3 2 2 2" xfId="529"/>
    <cellStyle name="Normal 2 3 2 2 2 2" xfId="1091"/>
    <cellStyle name="Normal 2 3 2 2 3" xfId="372"/>
    <cellStyle name="Normal 2 3 2 2 3 2" xfId="934"/>
    <cellStyle name="Normal 2 3 2 2 4" xfId="777"/>
    <cellStyle name="Normal 2 3 2 3" xfId="451"/>
    <cellStyle name="Normal 2 3 2 3 2" xfId="1013"/>
    <cellStyle name="Normal 2 3 2 4" xfId="294"/>
    <cellStyle name="Normal 2 3 2 4 2" xfId="856"/>
    <cellStyle name="Normal 2 3 2 5" xfId="610"/>
    <cellStyle name="Normal 2 3 2 5 2" xfId="1172"/>
    <cellStyle name="Normal 2 3 2 6" xfId="699"/>
    <cellStyle name="Normal 2 3 3" xfId="177"/>
    <cellStyle name="Normal 2 3 3 2" xfId="492"/>
    <cellStyle name="Normal 2 3 3 2 2" xfId="1054"/>
    <cellStyle name="Normal 2 3 3 3" xfId="335"/>
    <cellStyle name="Normal 2 3 3 3 2" xfId="897"/>
    <cellStyle name="Normal 2 3 3 4" xfId="740"/>
    <cellStyle name="Normal 2 3 4" xfId="414"/>
    <cellStyle name="Normal 2 3 4 2" xfId="976"/>
    <cellStyle name="Normal 2 3 5" xfId="257"/>
    <cellStyle name="Normal 2 3 5 2" xfId="819"/>
    <cellStyle name="Normal 2 3 6" xfId="573"/>
    <cellStyle name="Normal 2 3 6 2" xfId="1135"/>
    <cellStyle name="Normal 2 3 7" xfId="661"/>
    <cellStyle name="Normal 2 4" xfId="30"/>
    <cellStyle name="Normal 2 4 2" xfId="142"/>
    <cellStyle name="Normal 2 4 2 2" xfId="220"/>
    <cellStyle name="Normal 2 4 2 2 2" xfId="535"/>
    <cellStyle name="Normal 2 4 2 2 2 2" xfId="1097"/>
    <cellStyle name="Normal 2 4 2 2 3" xfId="378"/>
    <cellStyle name="Normal 2 4 2 2 3 2" xfId="940"/>
    <cellStyle name="Normal 2 4 2 2 4" xfId="783"/>
    <cellStyle name="Normal 2 4 2 3" xfId="457"/>
    <cellStyle name="Normal 2 4 2 3 2" xfId="1019"/>
    <cellStyle name="Normal 2 4 2 4" xfId="300"/>
    <cellStyle name="Normal 2 4 2 4 2" xfId="862"/>
    <cellStyle name="Normal 2 4 2 5" xfId="616"/>
    <cellStyle name="Normal 2 4 2 5 2" xfId="1178"/>
    <cellStyle name="Normal 2 4 2 6" xfId="705"/>
    <cellStyle name="Normal 2 4 3" xfId="183"/>
    <cellStyle name="Normal 2 4 3 2" xfId="498"/>
    <cellStyle name="Normal 2 4 3 2 2" xfId="1060"/>
    <cellStyle name="Normal 2 4 3 3" xfId="341"/>
    <cellStyle name="Normal 2 4 3 3 2" xfId="903"/>
    <cellStyle name="Normal 2 4 3 4" xfId="746"/>
    <cellStyle name="Normal 2 4 4" xfId="420"/>
    <cellStyle name="Normal 2 4 4 2" xfId="982"/>
    <cellStyle name="Normal 2 4 5" xfId="263"/>
    <cellStyle name="Normal 2 4 5 2" xfId="825"/>
    <cellStyle name="Normal 2 4 6" xfId="579"/>
    <cellStyle name="Normal 2 4 6 2" xfId="1141"/>
    <cellStyle name="Normal 2 4 7" xfId="667"/>
    <cellStyle name="Normal 2 5" xfId="31"/>
    <cellStyle name="Normal 2 5 2" xfId="143"/>
    <cellStyle name="Normal 2 5 2 2" xfId="221"/>
    <cellStyle name="Normal 2 5 2 2 2" xfId="536"/>
    <cellStyle name="Normal 2 5 2 2 2 2" xfId="1098"/>
    <cellStyle name="Normal 2 5 2 2 3" xfId="379"/>
    <cellStyle name="Normal 2 5 2 2 3 2" xfId="941"/>
    <cellStyle name="Normal 2 5 2 2 4" xfId="784"/>
    <cellStyle name="Normal 2 5 2 3" xfId="458"/>
    <cellStyle name="Normal 2 5 2 3 2" xfId="1020"/>
    <cellStyle name="Normal 2 5 2 4" xfId="301"/>
    <cellStyle name="Normal 2 5 2 4 2" xfId="863"/>
    <cellStyle name="Normal 2 5 2 5" xfId="617"/>
    <cellStyle name="Normal 2 5 2 5 2" xfId="1179"/>
    <cellStyle name="Normal 2 5 2 6" xfId="706"/>
    <cellStyle name="Normal 2 5 3" xfId="184"/>
    <cellStyle name="Normal 2 5 3 2" xfId="499"/>
    <cellStyle name="Normal 2 5 3 2 2" xfId="1061"/>
    <cellStyle name="Normal 2 5 3 3" xfId="342"/>
    <cellStyle name="Normal 2 5 3 3 2" xfId="904"/>
    <cellStyle name="Normal 2 5 3 4" xfId="747"/>
    <cellStyle name="Normal 2 5 4" xfId="421"/>
    <cellStyle name="Normal 2 5 4 2" xfId="983"/>
    <cellStyle name="Normal 2 5 5" xfId="264"/>
    <cellStyle name="Normal 2 5 5 2" xfId="826"/>
    <cellStyle name="Normal 2 5 6" xfId="580"/>
    <cellStyle name="Normal 2 5 6 2" xfId="1142"/>
    <cellStyle name="Normal 2 5 7" xfId="668"/>
    <cellStyle name="Normal 2 6" xfId="32"/>
    <cellStyle name="Normal 2 6 2" xfId="144"/>
    <cellStyle name="Normal 2 6 2 2" xfId="222"/>
    <cellStyle name="Normal 2 6 2 2 2" xfId="537"/>
    <cellStyle name="Normal 2 6 2 2 2 2" xfId="1099"/>
    <cellStyle name="Normal 2 6 2 2 3" xfId="380"/>
    <cellStyle name="Normal 2 6 2 2 3 2" xfId="942"/>
    <cellStyle name="Normal 2 6 2 2 4" xfId="785"/>
    <cellStyle name="Normal 2 6 2 3" xfId="459"/>
    <cellStyle name="Normal 2 6 2 3 2" xfId="1021"/>
    <cellStyle name="Normal 2 6 2 4" xfId="302"/>
    <cellStyle name="Normal 2 6 2 4 2" xfId="864"/>
    <cellStyle name="Normal 2 6 2 5" xfId="618"/>
    <cellStyle name="Normal 2 6 2 5 2" xfId="1180"/>
    <cellStyle name="Normal 2 6 2 6" xfId="707"/>
    <cellStyle name="Normal 2 6 3" xfId="185"/>
    <cellStyle name="Normal 2 6 3 2" xfId="500"/>
    <cellStyle name="Normal 2 6 3 2 2" xfId="1062"/>
    <cellStyle name="Normal 2 6 3 3" xfId="343"/>
    <cellStyle name="Normal 2 6 3 3 2" xfId="905"/>
    <cellStyle name="Normal 2 6 3 4" xfId="748"/>
    <cellStyle name="Normal 2 6 4" xfId="422"/>
    <cellStyle name="Normal 2 6 4 2" xfId="984"/>
    <cellStyle name="Normal 2 6 5" xfId="265"/>
    <cellStyle name="Normal 2 6 5 2" xfId="827"/>
    <cellStyle name="Normal 2 6 6" xfId="581"/>
    <cellStyle name="Normal 2 6 6 2" xfId="1143"/>
    <cellStyle name="Normal 2 6 7" xfId="669"/>
    <cellStyle name="Normal 2 7" xfId="33"/>
    <cellStyle name="Normal 2 7 2" xfId="145"/>
    <cellStyle name="Normal 2 7 2 2" xfId="223"/>
    <cellStyle name="Normal 2 7 2 2 2" xfId="538"/>
    <cellStyle name="Normal 2 7 2 2 2 2" xfId="1100"/>
    <cellStyle name="Normal 2 7 2 2 3" xfId="381"/>
    <cellStyle name="Normal 2 7 2 2 3 2" xfId="943"/>
    <cellStyle name="Normal 2 7 2 2 4" xfId="786"/>
    <cellStyle name="Normal 2 7 2 3" xfId="460"/>
    <cellStyle name="Normal 2 7 2 3 2" xfId="1022"/>
    <cellStyle name="Normal 2 7 2 4" xfId="303"/>
    <cellStyle name="Normal 2 7 2 4 2" xfId="865"/>
    <cellStyle name="Normal 2 7 2 5" xfId="619"/>
    <cellStyle name="Normal 2 7 2 5 2" xfId="1181"/>
    <cellStyle name="Normal 2 7 2 6" xfId="708"/>
    <cellStyle name="Normal 2 7 3" xfId="186"/>
    <cellStyle name="Normal 2 7 3 2" xfId="501"/>
    <cellStyle name="Normal 2 7 3 2 2" xfId="1063"/>
    <cellStyle name="Normal 2 7 3 3" xfId="344"/>
    <cellStyle name="Normal 2 7 3 3 2" xfId="906"/>
    <cellStyle name="Normal 2 7 3 4" xfId="749"/>
    <cellStyle name="Normal 2 7 4" xfId="423"/>
    <cellStyle name="Normal 2 7 4 2" xfId="985"/>
    <cellStyle name="Normal 2 7 5" xfId="266"/>
    <cellStyle name="Normal 2 7 5 2" xfId="828"/>
    <cellStyle name="Normal 2 7 6" xfId="582"/>
    <cellStyle name="Normal 2 7 6 2" xfId="1144"/>
    <cellStyle name="Normal 2 7 7" xfId="670"/>
    <cellStyle name="Normal 2 8" xfId="34"/>
    <cellStyle name="Normal 2 8 2" xfId="146"/>
    <cellStyle name="Normal 2 8 2 2" xfId="224"/>
    <cellStyle name="Normal 2 8 2 2 2" xfId="539"/>
    <cellStyle name="Normal 2 8 2 2 2 2" xfId="1101"/>
    <cellStyle name="Normal 2 8 2 2 3" xfId="382"/>
    <cellStyle name="Normal 2 8 2 2 3 2" xfId="944"/>
    <cellStyle name="Normal 2 8 2 2 4" xfId="787"/>
    <cellStyle name="Normal 2 8 2 3" xfId="461"/>
    <cellStyle name="Normal 2 8 2 3 2" xfId="1023"/>
    <cellStyle name="Normal 2 8 2 4" xfId="304"/>
    <cellStyle name="Normal 2 8 2 4 2" xfId="866"/>
    <cellStyle name="Normal 2 8 2 5" xfId="620"/>
    <cellStyle name="Normal 2 8 2 5 2" xfId="1182"/>
    <cellStyle name="Normal 2 8 2 6" xfId="709"/>
    <cellStyle name="Normal 2 8 3" xfId="187"/>
    <cellStyle name="Normal 2 8 3 2" xfId="502"/>
    <cellStyle name="Normal 2 8 3 2 2" xfId="1064"/>
    <cellStyle name="Normal 2 8 3 3" xfId="345"/>
    <cellStyle name="Normal 2 8 3 3 2" xfId="907"/>
    <cellStyle name="Normal 2 8 3 4" xfId="750"/>
    <cellStyle name="Normal 2 8 4" xfId="424"/>
    <cellStyle name="Normal 2 8 4 2" xfId="986"/>
    <cellStyle name="Normal 2 8 5" xfId="267"/>
    <cellStyle name="Normal 2 8 5 2" xfId="829"/>
    <cellStyle name="Normal 2 8 6" xfId="583"/>
    <cellStyle name="Normal 2 8 6 2" xfId="1145"/>
    <cellStyle name="Normal 2 8 7" xfId="671"/>
    <cellStyle name="Normal 2 9" xfId="35"/>
    <cellStyle name="Normal 2 9 2" xfId="147"/>
    <cellStyle name="Normal 2 9 2 2" xfId="225"/>
    <cellStyle name="Normal 2 9 2 2 2" xfId="540"/>
    <cellStyle name="Normal 2 9 2 2 2 2" xfId="1102"/>
    <cellStyle name="Normal 2 9 2 2 3" xfId="383"/>
    <cellStyle name="Normal 2 9 2 2 3 2" xfId="945"/>
    <cellStyle name="Normal 2 9 2 2 4" xfId="788"/>
    <cellStyle name="Normal 2 9 2 3" xfId="462"/>
    <cellStyle name="Normal 2 9 2 3 2" xfId="1024"/>
    <cellStyle name="Normal 2 9 2 4" xfId="305"/>
    <cellStyle name="Normal 2 9 2 4 2" xfId="867"/>
    <cellStyle name="Normal 2 9 2 5" xfId="621"/>
    <cellStyle name="Normal 2 9 2 5 2" xfId="1183"/>
    <cellStyle name="Normal 2 9 2 6" xfId="710"/>
    <cellStyle name="Normal 2 9 3" xfId="188"/>
    <cellStyle name="Normal 2 9 3 2" xfId="503"/>
    <cellStyle name="Normal 2 9 3 2 2" xfId="1065"/>
    <cellStyle name="Normal 2 9 3 3" xfId="346"/>
    <cellStyle name="Normal 2 9 3 3 2" xfId="908"/>
    <cellStyle name="Normal 2 9 3 4" xfId="751"/>
    <cellStyle name="Normal 2 9 4" xfId="425"/>
    <cellStyle name="Normal 2 9 4 2" xfId="987"/>
    <cellStyle name="Normal 2 9 5" xfId="268"/>
    <cellStyle name="Normal 2 9 5 2" xfId="830"/>
    <cellStyle name="Normal 2 9 6" xfId="584"/>
    <cellStyle name="Normal 2 9 6 2" xfId="1146"/>
    <cellStyle name="Normal 2 9 7" xfId="672"/>
    <cellStyle name="Normal 20" xfId="649"/>
    <cellStyle name="Normal 20 2" xfId="1211"/>
    <cellStyle name="Normal 21" xfId="651"/>
    <cellStyle name="Normal 21 2" xfId="1212"/>
    <cellStyle name="Normal 22" xfId="653"/>
    <cellStyle name="Normal 23" xfId="652"/>
    <cellStyle name="Normal 3" xfId="11"/>
    <cellStyle name="Normal 3 2" xfId="36"/>
    <cellStyle name="Normal 3 3" xfId="37"/>
    <cellStyle name="Normal 3 4" xfId="38"/>
    <cellStyle name="Normal 3 5" xfId="39"/>
    <cellStyle name="Normal 4" xfId="12"/>
    <cellStyle name="Normal 4 2" xfId="40"/>
    <cellStyle name="Normal 4 3" xfId="41"/>
    <cellStyle name="Normal 4 4" xfId="42"/>
    <cellStyle name="Normal 4 5" xfId="43"/>
    <cellStyle name="Normal 4 6" xfId="44"/>
    <cellStyle name="Normal 5" xfId="13"/>
    <cellStyle name="Normal 5 2" xfId="45"/>
    <cellStyle name="Normal 5 2 2" xfId="46"/>
    <cellStyle name="Normal 5 2 2 2" xfId="47"/>
    <cellStyle name="Normal 5 2 2 2 2" xfId="48"/>
    <cellStyle name="Normal 5 2 2 2 2 2" xfId="49"/>
    <cellStyle name="Normal 5 2 2 2 2 2 2" xfId="50"/>
    <cellStyle name="Normal 5 2 2 2 2 2 2 2" xfId="51"/>
    <cellStyle name="Normal 5 2 2 2 2 3" xfId="52"/>
    <cellStyle name="Normal 5 2 2 2 2 4" xfId="53"/>
    <cellStyle name="Normal 5 2 2 2 3" xfId="54"/>
    <cellStyle name="Normal 5 2 2 2 3 2" xfId="55"/>
    <cellStyle name="Normal 5 2 2 2 3 2 2" xfId="56"/>
    <cellStyle name="Normal 5 2 2 2 4" xfId="57"/>
    <cellStyle name="Normal 5 2 2 3" xfId="58"/>
    <cellStyle name="Normal 5 2 2 3 2" xfId="59"/>
    <cellStyle name="Normal 5 2 2 3 2 2" xfId="60"/>
    <cellStyle name="Normal 5 2 2 4" xfId="61"/>
    <cellStyle name="Normal 5 2 2 5" xfId="62"/>
    <cellStyle name="Normal 5 2 2 6" xfId="63"/>
    <cellStyle name="Normal 5 2 3" xfId="64"/>
    <cellStyle name="Normal 5 2 3 2" xfId="65"/>
    <cellStyle name="Normal 5 2 3 2 2" xfId="66"/>
    <cellStyle name="Normal 5 2 3 2 2 2" xfId="67"/>
    <cellStyle name="Normal 5 2 3 3" xfId="68"/>
    <cellStyle name="Normal 5 2 3 4" xfId="69"/>
    <cellStyle name="Normal 5 2 4" xfId="70"/>
    <cellStyle name="Normal 5 2 4 2" xfId="71"/>
    <cellStyle name="Normal 5 2 4 2 2" xfId="72"/>
    <cellStyle name="Normal 5 2 5" xfId="73"/>
    <cellStyle name="Normal 5 3" xfId="74"/>
    <cellStyle name="Normal 5 3 2" xfId="75"/>
    <cellStyle name="Normal 5 4" xfId="76"/>
    <cellStyle name="Normal 6" xfId="16"/>
    <cellStyle name="Normal 6 2" xfId="77"/>
    <cellStyle name="Normal 6 2 2" xfId="78"/>
    <cellStyle name="Normal 6 2 2 2" xfId="79"/>
    <cellStyle name="Normal 6 2 2 2 2" xfId="80"/>
    <cellStyle name="Normal 6 2 2 2 2 2" xfId="81"/>
    <cellStyle name="Normal 6 2 2 2 2 2 2" xfId="82"/>
    <cellStyle name="Normal 6 2 2 2 2 2 2 2" xfId="83"/>
    <cellStyle name="Normal 6 2 2 2 2 3" xfId="84"/>
    <cellStyle name="Normal 6 2 2 2 2 4" xfId="85"/>
    <cellStyle name="Normal 6 2 2 2 3" xfId="86"/>
    <cellStyle name="Normal 6 2 2 2 3 2" xfId="87"/>
    <cellStyle name="Normal 6 2 2 2 3 2 2" xfId="88"/>
    <cellStyle name="Normal 6 2 2 2 4" xfId="89"/>
    <cellStyle name="Normal 6 2 2 3" xfId="90"/>
    <cellStyle name="Normal 6 2 2 3 2" xfId="91"/>
    <cellStyle name="Normal 6 2 2 3 2 2" xfId="92"/>
    <cellStyle name="Normal 6 2 2 4" xfId="93"/>
    <cellStyle name="Normal 6 2 2 5" xfId="94"/>
    <cellStyle name="Normal 6 2 2 6" xfId="95"/>
    <cellStyle name="Normal 6 2 3" xfId="96"/>
    <cellStyle name="Normal 6 2 3 2" xfId="97"/>
    <cellStyle name="Normal 6 2 3 2 2" xfId="98"/>
    <cellStyle name="Normal 6 2 3 2 2 2" xfId="99"/>
    <cellStyle name="Normal 6 2 3 3" xfId="100"/>
    <cellStyle name="Normal 6 2 3 4" xfId="101"/>
    <cellStyle name="Normal 6 2 4" xfId="102"/>
    <cellStyle name="Normal 6 2 4 2" xfId="103"/>
    <cellStyle name="Normal 6 2 4 2 2" xfId="104"/>
    <cellStyle name="Normal 6 2 5" xfId="105"/>
    <cellStyle name="Normal 6 3" xfId="106"/>
    <cellStyle name="Normal 6 3 2" xfId="107"/>
    <cellStyle name="Normal 6 4" xfId="108"/>
    <cellStyle name="Normal 7" xfId="19"/>
    <cellStyle name="Normal 7 2" xfId="131"/>
    <cellStyle name="Normal 7 2 2" xfId="209"/>
    <cellStyle name="Normal 7 2 2 2" xfId="524"/>
    <cellStyle name="Normal 7 2 2 2 2" xfId="1086"/>
    <cellStyle name="Normal 7 2 2 3" xfId="367"/>
    <cellStyle name="Normal 7 2 2 3 2" xfId="929"/>
    <cellStyle name="Normal 7 2 2 4" xfId="772"/>
    <cellStyle name="Normal 7 2 3" xfId="446"/>
    <cellStyle name="Normal 7 2 3 2" xfId="1008"/>
    <cellStyle name="Normal 7 2 4" xfId="289"/>
    <cellStyle name="Normal 7 2 4 2" xfId="851"/>
    <cellStyle name="Normal 7 2 5" xfId="605"/>
    <cellStyle name="Normal 7 2 5 2" xfId="1167"/>
    <cellStyle name="Normal 7 2 6" xfId="694"/>
    <cellStyle name="Normal 7 3" xfId="172"/>
    <cellStyle name="Normal 7 3 2" xfId="487"/>
    <cellStyle name="Normal 7 3 2 2" xfId="1049"/>
    <cellStyle name="Normal 7 3 3" xfId="330"/>
    <cellStyle name="Normal 7 3 3 2" xfId="892"/>
    <cellStyle name="Normal 7 3 4" xfId="735"/>
    <cellStyle name="Normal 7 4" xfId="409"/>
    <cellStyle name="Normal 7 4 2" xfId="971"/>
    <cellStyle name="Normal 7 5" xfId="252"/>
    <cellStyle name="Normal 7 5 2" xfId="814"/>
    <cellStyle name="Normal 7 6" xfId="568"/>
    <cellStyle name="Normal 7 6 2" xfId="1130"/>
    <cellStyle name="Normal 7 7" xfId="656"/>
    <cellStyle name="Normal 8" xfId="22"/>
    <cellStyle name="Normal 8 2" xfId="134"/>
    <cellStyle name="Normal 8 2 2" xfId="212"/>
    <cellStyle name="Normal 8 2 2 2" xfId="527"/>
    <cellStyle name="Normal 8 2 2 2 2" xfId="1089"/>
    <cellStyle name="Normal 8 2 2 3" xfId="370"/>
    <cellStyle name="Normal 8 2 2 3 2" xfId="932"/>
    <cellStyle name="Normal 8 2 2 4" xfId="775"/>
    <cellStyle name="Normal 8 2 3" xfId="449"/>
    <cellStyle name="Normal 8 2 3 2" xfId="1011"/>
    <cellStyle name="Normal 8 2 4" xfId="292"/>
    <cellStyle name="Normal 8 2 4 2" xfId="854"/>
    <cellStyle name="Normal 8 2 5" xfId="608"/>
    <cellStyle name="Normal 8 2 5 2" xfId="1170"/>
    <cellStyle name="Normal 8 2 6" xfId="697"/>
    <cellStyle name="Normal 8 3" xfId="175"/>
    <cellStyle name="Normal 8 3 2" xfId="490"/>
    <cellStyle name="Normal 8 3 2 2" xfId="1052"/>
    <cellStyle name="Normal 8 3 3" xfId="333"/>
    <cellStyle name="Normal 8 3 3 2" xfId="895"/>
    <cellStyle name="Normal 8 3 4" xfId="738"/>
    <cellStyle name="Normal 8 4" xfId="412"/>
    <cellStyle name="Normal 8 4 2" xfId="974"/>
    <cellStyle name="Normal 8 5" xfId="255"/>
    <cellStyle name="Normal 8 5 2" xfId="817"/>
    <cellStyle name="Normal 8 6" xfId="571"/>
    <cellStyle name="Normal 8 6 2" xfId="1133"/>
    <cellStyle name="Normal 8 7" xfId="659"/>
    <cellStyle name="Normal 9" xfId="126"/>
    <cellStyle name="Normal 9 2" xfId="165"/>
    <cellStyle name="Normal 9 2 2" xfId="243"/>
    <cellStyle name="Normal 9 2 2 2" xfId="558"/>
    <cellStyle name="Normal 9 2 2 2 2" xfId="1120"/>
    <cellStyle name="Normal 9 2 2 3" xfId="401"/>
    <cellStyle name="Normal 9 2 2 3 2" xfId="963"/>
    <cellStyle name="Normal 9 2 2 4" xfId="806"/>
    <cellStyle name="Normal 9 2 3" xfId="480"/>
    <cellStyle name="Normal 9 2 3 2" xfId="1042"/>
    <cellStyle name="Normal 9 2 4" xfId="323"/>
    <cellStyle name="Normal 9 2 4 2" xfId="885"/>
    <cellStyle name="Normal 9 2 5" xfId="639"/>
    <cellStyle name="Normal 9 2 5 2" xfId="1201"/>
    <cellStyle name="Normal 9 2 6" xfId="728"/>
    <cellStyle name="Normal 9 3" xfId="206"/>
    <cellStyle name="Normal 9 3 2" xfId="521"/>
    <cellStyle name="Normal 9 3 2 2" xfId="1083"/>
    <cellStyle name="Normal 9 3 3" xfId="364"/>
    <cellStyle name="Normal 9 3 3 2" xfId="926"/>
    <cellStyle name="Normal 9 3 4" xfId="769"/>
    <cellStyle name="Normal 9 4" xfId="443"/>
    <cellStyle name="Normal 9 4 2" xfId="1005"/>
    <cellStyle name="Normal 9 5" xfId="286"/>
    <cellStyle name="Normal 9 5 2" xfId="848"/>
    <cellStyle name="Normal 9 6" xfId="602"/>
    <cellStyle name="Normal 9 6 2" xfId="1164"/>
    <cellStyle name="Normal 9 7" xfId="690"/>
    <cellStyle name="Normal_DEPN2K" xfId="3"/>
    <cellStyle name="Percent" xfId="1" builtinId="5"/>
    <cellStyle name="Percent 2" xfId="14"/>
    <cellStyle name="Percent 2 2" xfId="109"/>
    <cellStyle name="Percent 2 2 2" xfId="148"/>
    <cellStyle name="Percent 2 2 2 2" xfId="226"/>
    <cellStyle name="Percent 2 2 2 2 2" xfId="541"/>
    <cellStyle name="Percent 2 2 2 2 2 2" xfId="1103"/>
    <cellStyle name="Percent 2 2 2 2 3" xfId="384"/>
    <cellStyle name="Percent 2 2 2 2 3 2" xfId="946"/>
    <cellStyle name="Percent 2 2 2 2 4" xfId="789"/>
    <cellStyle name="Percent 2 2 2 3" xfId="463"/>
    <cellStyle name="Percent 2 2 2 3 2" xfId="1025"/>
    <cellStyle name="Percent 2 2 2 4" xfId="306"/>
    <cellStyle name="Percent 2 2 2 4 2" xfId="868"/>
    <cellStyle name="Percent 2 2 2 5" xfId="622"/>
    <cellStyle name="Percent 2 2 2 5 2" xfId="1184"/>
    <cellStyle name="Percent 2 2 2 6" xfId="711"/>
    <cellStyle name="Percent 2 2 3" xfId="189"/>
    <cellStyle name="Percent 2 2 3 2" xfId="504"/>
    <cellStyle name="Percent 2 2 3 2 2" xfId="1066"/>
    <cellStyle name="Percent 2 2 3 3" xfId="347"/>
    <cellStyle name="Percent 2 2 3 3 2" xfId="909"/>
    <cellStyle name="Percent 2 2 3 4" xfId="752"/>
    <cellStyle name="Percent 2 2 4" xfId="426"/>
    <cellStyle name="Percent 2 2 4 2" xfId="988"/>
    <cellStyle name="Percent 2 2 5" xfId="269"/>
    <cellStyle name="Percent 2 2 5 2" xfId="831"/>
    <cellStyle name="Percent 2 2 6" xfId="585"/>
    <cellStyle name="Percent 2 2 6 2" xfId="1147"/>
    <cellStyle name="Percent 2 2 7" xfId="673"/>
    <cellStyle name="Percent 2 3" xfId="110"/>
    <cellStyle name="Percent 2 3 2" xfId="149"/>
    <cellStyle name="Percent 2 3 2 2" xfId="227"/>
    <cellStyle name="Percent 2 3 2 2 2" xfId="542"/>
    <cellStyle name="Percent 2 3 2 2 2 2" xfId="1104"/>
    <cellStyle name="Percent 2 3 2 2 3" xfId="385"/>
    <cellStyle name="Percent 2 3 2 2 3 2" xfId="947"/>
    <cellStyle name="Percent 2 3 2 2 4" xfId="790"/>
    <cellStyle name="Percent 2 3 2 3" xfId="464"/>
    <cellStyle name="Percent 2 3 2 3 2" xfId="1026"/>
    <cellStyle name="Percent 2 3 2 4" xfId="307"/>
    <cellStyle name="Percent 2 3 2 4 2" xfId="869"/>
    <cellStyle name="Percent 2 3 2 5" xfId="623"/>
    <cellStyle name="Percent 2 3 2 5 2" xfId="1185"/>
    <cellStyle name="Percent 2 3 2 6" xfId="712"/>
    <cellStyle name="Percent 2 3 3" xfId="190"/>
    <cellStyle name="Percent 2 3 3 2" xfId="505"/>
    <cellStyle name="Percent 2 3 3 2 2" xfId="1067"/>
    <cellStyle name="Percent 2 3 3 3" xfId="348"/>
    <cellStyle name="Percent 2 3 3 3 2" xfId="910"/>
    <cellStyle name="Percent 2 3 3 4" xfId="753"/>
    <cellStyle name="Percent 2 3 4" xfId="427"/>
    <cellStyle name="Percent 2 3 4 2" xfId="989"/>
    <cellStyle name="Percent 2 3 5" xfId="270"/>
    <cellStyle name="Percent 2 3 5 2" xfId="832"/>
    <cellStyle name="Percent 2 3 6" xfId="586"/>
    <cellStyle name="Percent 2 3 6 2" xfId="1148"/>
    <cellStyle name="Percent 2 3 7" xfId="674"/>
    <cellStyle name="Percent 2 4" xfId="111"/>
    <cellStyle name="Percent 2 4 2" xfId="150"/>
    <cellStyle name="Percent 2 4 2 2" xfId="228"/>
    <cellStyle name="Percent 2 4 2 2 2" xfId="543"/>
    <cellStyle name="Percent 2 4 2 2 2 2" xfId="1105"/>
    <cellStyle name="Percent 2 4 2 2 3" xfId="386"/>
    <cellStyle name="Percent 2 4 2 2 3 2" xfId="948"/>
    <cellStyle name="Percent 2 4 2 2 4" xfId="791"/>
    <cellStyle name="Percent 2 4 2 3" xfId="465"/>
    <cellStyle name="Percent 2 4 2 3 2" xfId="1027"/>
    <cellStyle name="Percent 2 4 2 4" xfId="308"/>
    <cellStyle name="Percent 2 4 2 4 2" xfId="870"/>
    <cellStyle name="Percent 2 4 2 5" xfId="624"/>
    <cellStyle name="Percent 2 4 2 5 2" xfId="1186"/>
    <cellStyle name="Percent 2 4 2 6" xfId="713"/>
    <cellStyle name="Percent 2 4 3" xfId="191"/>
    <cellStyle name="Percent 2 4 3 2" xfId="506"/>
    <cellStyle name="Percent 2 4 3 2 2" xfId="1068"/>
    <cellStyle name="Percent 2 4 3 3" xfId="349"/>
    <cellStyle name="Percent 2 4 3 3 2" xfId="911"/>
    <cellStyle name="Percent 2 4 3 4" xfId="754"/>
    <cellStyle name="Percent 2 4 4" xfId="428"/>
    <cellStyle name="Percent 2 4 4 2" xfId="990"/>
    <cellStyle name="Percent 2 4 5" xfId="271"/>
    <cellStyle name="Percent 2 4 5 2" xfId="833"/>
    <cellStyle name="Percent 2 4 6" xfId="587"/>
    <cellStyle name="Percent 2 4 6 2" xfId="1149"/>
    <cellStyle name="Percent 2 4 7" xfId="675"/>
    <cellStyle name="Percent 3" xfId="15"/>
    <cellStyle name="Percent 3 2" xfId="112"/>
    <cellStyle name="Percent 3 2 2" xfId="151"/>
    <cellStyle name="Percent 3 2 2 2" xfId="229"/>
    <cellStyle name="Percent 3 2 2 2 2" xfId="544"/>
    <cellStyle name="Percent 3 2 2 2 2 2" xfId="1106"/>
    <cellStyle name="Percent 3 2 2 2 3" xfId="387"/>
    <cellStyle name="Percent 3 2 2 2 3 2" xfId="949"/>
    <cellStyle name="Percent 3 2 2 2 4" xfId="792"/>
    <cellStyle name="Percent 3 2 2 3" xfId="466"/>
    <cellStyle name="Percent 3 2 2 3 2" xfId="1028"/>
    <cellStyle name="Percent 3 2 2 4" xfId="309"/>
    <cellStyle name="Percent 3 2 2 4 2" xfId="871"/>
    <cellStyle name="Percent 3 2 2 5" xfId="625"/>
    <cellStyle name="Percent 3 2 2 5 2" xfId="1187"/>
    <cellStyle name="Percent 3 2 2 6" xfId="714"/>
    <cellStyle name="Percent 3 2 3" xfId="192"/>
    <cellStyle name="Percent 3 2 3 2" xfId="507"/>
    <cellStyle name="Percent 3 2 3 2 2" xfId="1069"/>
    <cellStyle name="Percent 3 2 3 3" xfId="350"/>
    <cellStyle name="Percent 3 2 3 3 2" xfId="912"/>
    <cellStyle name="Percent 3 2 3 4" xfId="755"/>
    <cellStyle name="Percent 3 2 4" xfId="429"/>
    <cellStyle name="Percent 3 2 4 2" xfId="991"/>
    <cellStyle name="Percent 3 2 5" xfId="272"/>
    <cellStyle name="Percent 3 2 5 2" xfId="834"/>
    <cellStyle name="Percent 3 2 6" xfId="588"/>
    <cellStyle name="Percent 3 2 6 2" xfId="1150"/>
    <cellStyle name="Percent 3 2 7" xfId="676"/>
    <cellStyle name="Percent 4" xfId="17"/>
    <cellStyle name="Percent 4 2" xfId="113"/>
    <cellStyle name="Percent 4 2 2" xfId="152"/>
    <cellStyle name="Percent 4 2 2 2" xfId="230"/>
    <cellStyle name="Percent 4 2 2 2 2" xfId="545"/>
    <cellStyle name="Percent 4 2 2 2 2 2" xfId="1107"/>
    <cellStyle name="Percent 4 2 2 2 3" xfId="388"/>
    <cellStyle name="Percent 4 2 2 2 3 2" xfId="950"/>
    <cellStyle name="Percent 4 2 2 2 4" xfId="793"/>
    <cellStyle name="Percent 4 2 2 3" xfId="467"/>
    <cellStyle name="Percent 4 2 2 3 2" xfId="1029"/>
    <cellStyle name="Percent 4 2 2 4" xfId="310"/>
    <cellStyle name="Percent 4 2 2 4 2" xfId="872"/>
    <cellStyle name="Percent 4 2 2 5" xfId="626"/>
    <cellStyle name="Percent 4 2 2 5 2" xfId="1188"/>
    <cellStyle name="Percent 4 2 2 6" xfId="715"/>
    <cellStyle name="Percent 4 2 3" xfId="193"/>
    <cellStyle name="Percent 4 2 3 2" xfId="508"/>
    <cellStyle name="Percent 4 2 3 2 2" xfId="1070"/>
    <cellStyle name="Percent 4 2 3 3" xfId="351"/>
    <cellStyle name="Percent 4 2 3 3 2" xfId="913"/>
    <cellStyle name="Percent 4 2 3 4" xfId="756"/>
    <cellStyle name="Percent 4 2 4" xfId="430"/>
    <cellStyle name="Percent 4 2 4 2" xfId="992"/>
    <cellStyle name="Percent 4 2 5" xfId="273"/>
    <cellStyle name="Percent 4 2 5 2" xfId="835"/>
    <cellStyle name="Percent 4 2 6" xfId="589"/>
    <cellStyle name="Percent 4 2 6 2" xfId="1151"/>
    <cellStyle name="Percent 4 2 7" xfId="677"/>
    <cellStyle name="Percent 4 3" xfId="114"/>
    <cellStyle name="Percent 4 3 2" xfId="153"/>
    <cellStyle name="Percent 4 3 2 2" xfId="231"/>
    <cellStyle name="Percent 4 3 2 2 2" xfId="546"/>
    <cellStyle name="Percent 4 3 2 2 2 2" xfId="1108"/>
    <cellStyle name="Percent 4 3 2 2 3" xfId="389"/>
    <cellStyle name="Percent 4 3 2 2 3 2" xfId="951"/>
    <cellStyle name="Percent 4 3 2 2 4" xfId="794"/>
    <cellStyle name="Percent 4 3 2 3" xfId="468"/>
    <cellStyle name="Percent 4 3 2 3 2" xfId="1030"/>
    <cellStyle name="Percent 4 3 2 4" xfId="311"/>
    <cellStyle name="Percent 4 3 2 4 2" xfId="873"/>
    <cellStyle name="Percent 4 3 2 5" xfId="627"/>
    <cellStyle name="Percent 4 3 2 5 2" xfId="1189"/>
    <cellStyle name="Percent 4 3 2 6" xfId="716"/>
    <cellStyle name="Percent 4 3 3" xfId="194"/>
    <cellStyle name="Percent 4 3 3 2" xfId="509"/>
    <cellStyle name="Percent 4 3 3 2 2" xfId="1071"/>
    <cellStyle name="Percent 4 3 3 3" xfId="352"/>
    <cellStyle name="Percent 4 3 3 3 2" xfId="914"/>
    <cellStyle name="Percent 4 3 3 4" xfId="757"/>
    <cellStyle name="Percent 4 3 4" xfId="431"/>
    <cellStyle name="Percent 4 3 4 2" xfId="993"/>
    <cellStyle name="Percent 4 3 5" xfId="274"/>
    <cellStyle name="Percent 4 3 5 2" xfId="836"/>
    <cellStyle name="Percent 4 3 6" xfId="590"/>
    <cellStyle name="Percent 4 3 6 2" xfId="1152"/>
    <cellStyle name="Percent 4 3 7" xfId="678"/>
    <cellStyle name="Percent 4 4" xfId="115"/>
    <cellStyle name="Percent 4 4 2" xfId="154"/>
    <cellStyle name="Percent 4 4 2 2" xfId="232"/>
    <cellStyle name="Percent 4 4 2 2 2" xfId="547"/>
    <cellStyle name="Percent 4 4 2 2 2 2" xfId="1109"/>
    <cellStyle name="Percent 4 4 2 2 3" xfId="390"/>
    <cellStyle name="Percent 4 4 2 2 3 2" xfId="952"/>
    <cellStyle name="Percent 4 4 2 2 4" xfId="795"/>
    <cellStyle name="Percent 4 4 2 3" xfId="469"/>
    <cellStyle name="Percent 4 4 2 3 2" xfId="1031"/>
    <cellStyle name="Percent 4 4 2 4" xfId="312"/>
    <cellStyle name="Percent 4 4 2 4 2" xfId="874"/>
    <cellStyle name="Percent 4 4 2 5" xfId="628"/>
    <cellStyle name="Percent 4 4 2 5 2" xfId="1190"/>
    <cellStyle name="Percent 4 4 2 6" xfId="717"/>
    <cellStyle name="Percent 4 4 3" xfId="195"/>
    <cellStyle name="Percent 4 4 3 2" xfId="510"/>
    <cellStyle name="Percent 4 4 3 2 2" xfId="1072"/>
    <cellStyle name="Percent 4 4 3 3" xfId="353"/>
    <cellStyle name="Percent 4 4 3 3 2" xfId="915"/>
    <cellStyle name="Percent 4 4 3 4" xfId="758"/>
    <cellStyle name="Percent 4 4 4" xfId="432"/>
    <cellStyle name="Percent 4 4 4 2" xfId="994"/>
    <cellStyle name="Percent 4 4 5" xfId="275"/>
    <cellStyle name="Percent 4 4 5 2" xfId="837"/>
    <cellStyle name="Percent 4 4 6" xfId="591"/>
    <cellStyle name="Percent 4 4 6 2" xfId="1153"/>
    <cellStyle name="Percent 4 4 7" xfId="679"/>
    <cellStyle name="Percent 4 5" xfId="116"/>
    <cellStyle name="Percent 4 5 2" xfId="155"/>
    <cellStyle name="Percent 4 5 2 2" xfId="233"/>
    <cellStyle name="Percent 4 5 2 2 2" xfId="548"/>
    <cellStyle name="Percent 4 5 2 2 2 2" xfId="1110"/>
    <cellStyle name="Percent 4 5 2 2 3" xfId="391"/>
    <cellStyle name="Percent 4 5 2 2 3 2" xfId="953"/>
    <cellStyle name="Percent 4 5 2 2 4" xfId="796"/>
    <cellStyle name="Percent 4 5 2 3" xfId="470"/>
    <cellStyle name="Percent 4 5 2 3 2" xfId="1032"/>
    <cellStyle name="Percent 4 5 2 4" xfId="313"/>
    <cellStyle name="Percent 4 5 2 4 2" xfId="875"/>
    <cellStyle name="Percent 4 5 2 5" xfId="629"/>
    <cellStyle name="Percent 4 5 2 5 2" xfId="1191"/>
    <cellStyle name="Percent 4 5 2 6" xfId="718"/>
    <cellStyle name="Percent 4 5 3" xfId="196"/>
    <cellStyle name="Percent 4 5 3 2" xfId="511"/>
    <cellStyle name="Percent 4 5 3 2 2" xfId="1073"/>
    <cellStyle name="Percent 4 5 3 3" xfId="354"/>
    <cellStyle name="Percent 4 5 3 3 2" xfId="916"/>
    <cellStyle name="Percent 4 5 3 4" xfId="759"/>
    <cellStyle name="Percent 4 5 4" xfId="433"/>
    <cellStyle name="Percent 4 5 4 2" xfId="995"/>
    <cellStyle name="Percent 4 5 5" xfId="276"/>
    <cellStyle name="Percent 4 5 5 2" xfId="838"/>
    <cellStyle name="Percent 4 5 6" xfId="592"/>
    <cellStyle name="Percent 4 5 6 2" xfId="1154"/>
    <cellStyle name="Percent 4 5 7" xfId="680"/>
    <cellStyle name="Percent 5" xfId="21"/>
    <cellStyle name="Percent 5 10" xfId="570"/>
    <cellStyle name="Percent 5 10 2" xfId="1132"/>
    <cellStyle name="Percent 5 11" xfId="658"/>
    <cellStyle name="Percent 5 2" xfId="117"/>
    <cellStyle name="Percent 5 2 2" xfId="156"/>
    <cellStyle name="Percent 5 2 2 2" xfId="234"/>
    <cellStyle name="Percent 5 2 2 2 2" xfId="549"/>
    <cellStyle name="Percent 5 2 2 2 2 2" xfId="1111"/>
    <cellStyle name="Percent 5 2 2 2 3" xfId="392"/>
    <cellStyle name="Percent 5 2 2 2 3 2" xfId="954"/>
    <cellStyle name="Percent 5 2 2 2 4" xfId="797"/>
    <cellStyle name="Percent 5 2 2 3" xfId="471"/>
    <cellStyle name="Percent 5 2 2 3 2" xfId="1033"/>
    <cellStyle name="Percent 5 2 2 4" xfId="314"/>
    <cellStyle name="Percent 5 2 2 4 2" xfId="876"/>
    <cellStyle name="Percent 5 2 2 5" xfId="630"/>
    <cellStyle name="Percent 5 2 2 5 2" xfId="1192"/>
    <cellStyle name="Percent 5 2 2 6" xfId="719"/>
    <cellStyle name="Percent 5 2 3" xfId="197"/>
    <cellStyle name="Percent 5 2 3 2" xfId="512"/>
    <cellStyle name="Percent 5 2 3 2 2" xfId="1074"/>
    <cellStyle name="Percent 5 2 3 3" xfId="355"/>
    <cellStyle name="Percent 5 2 3 3 2" xfId="917"/>
    <cellStyle name="Percent 5 2 3 4" xfId="760"/>
    <cellStyle name="Percent 5 2 4" xfId="434"/>
    <cellStyle name="Percent 5 2 4 2" xfId="996"/>
    <cellStyle name="Percent 5 2 5" xfId="277"/>
    <cellStyle name="Percent 5 2 5 2" xfId="839"/>
    <cellStyle name="Percent 5 2 6" xfId="593"/>
    <cellStyle name="Percent 5 2 6 2" xfId="1155"/>
    <cellStyle name="Percent 5 2 7" xfId="681"/>
    <cellStyle name="Percent 5 3" xfId="118"/>
    <cellStyle name="Percent 5 3 2" xfId="157"/>
    <cellStyle name="Percent 5 3 2 2" xfId="235"/>
    <cellStyle name="Percent 5 3 2 2 2" xfId="550"/>
    <cellStyle name="Percent 5 3 2 2 2 2" xfId="1112"/>
    <cellStyle name="Percent 5 3 2 2 3" xfId="393"/>
    <cellStyle name="Percent 5 3 2 2 3 2" xfId="955"/>
    <cellStyle name="Percent 5 3 2 2 4" xfId="798"/>
    <cellStyle name="Percent 5 3 2 3" xfId="472"/>
    <cellStyle name="Percent 5 3 2 3 2" xfId="1034"/>
    <cellStyle name="Percent 5 3 2 4" xfId="315"/>
    <cellStyle name="Percent 5 3 2 4 2" xfId="877"/>
    <cellStyle name="Percent 5 3 2 5" xfId="631"/>
    <cellStyle name="Percent 5 3 2 5 2" xfId="1193"/>
    <cellStyle name="Percent 5 3 2 6" xfId="720"/>
    <cellStyle name="Percent 5 3 3" xfId="198"/>
    <cellStyle name="Percent 5 3 3 2" xfId="513"/>
    <cellStyle name="Percent 5 3 3 2 2" xfId="1075"/>
    <cellStyle name="Percent 5 3 3 3" xfId="356"/>
    <cellStyle name="Percent 5 3 3 3 2" xfId="918"/>
    <cellStyle name="Percent 5 3 3 4" xfId="761"/>
    <cellStyle name="Percent 5 3 4" xfId="435"/>
    <cellStyle name="Percent 5 3 4 2" xfId="997"/>
    <cellStyle name="Percent 5 3 5" xfId="278"/>
    <cellStyle name="Percent 5 3 5 2" xfId="840"/>
    <cellStyle name="Percent 5 3 6" xfId="594"/>
    <cellStyle name="Percent 5 3 6 2" xfId="1156"/>
    <cellStyle name="Percent 5 3 7" xfId="682"/>
    <cellStyle name="Percent 5 4" xfId="119"/>
    <cellStyle name="Percent 5 4 2" xfId="158"/>
    <cellStyle name="Percent 5 4 2 2" xfId="236"/>
    <cellStyle name="Percent 5 4 2 2 2" xfId="551"/>
    <cellStyle name="Percent 5 4 2 2 2 2" xfId="1113"/>
    <cellStyle name="Percent 5 4 2 2 3" xfId="394"/>
    <cellStyle name="Percent 5 4 2 2 3 2" xfId="956"/>
    <cellStyle name="Percent 5 4 2 2 4" xfId="799"/>
    <cellStyle name="Percent 5 4 2 3" xfId="473"/>
    <cellStyle name="Percent 5 4 2 3 2" xfId="1035"/>
    <cellStyle name="Percent 5 4 2 4" xfId="316"/>
    <cellStyle name="Percent 5 4 2 4 2" xfId="878"/>
    <cellStyle name="Percent 5 4 2 5" xfId="632"/>
    <cellStyle name="Percent 5 4 2 5 2" xfId="1194"/>
    <cellStyle name="Percent 5 4 2 6" xfId="721"/>
    <cellStyle name="Percent 5 4 3" xfId="199"/>
    <cellStyle name="Percent 5 4 3 2" xfId="514"/>
    <cellStyle name="Percent 5 4 3 2 2" xfId="1076"/>
    <cellStyle name="Percent 5 4 3 3" xfId="357"/>
    <cellStyle name="Percent 5 4 3 3 2" xfId="919"/>
    <cellStyle name="Percent 5 4 3 4" xfId="762"/>
    <cellStyle name="Percent 5 4 4" xfId="436"/>
    <cellStyle name="Percent 5 4 4 2" xfId="998"/>
    <cellStyle name="Percent 5 4 5" xfId="279"/>
    <cellStyle name="Percent 5 4 5 2" xfId="841"/>
    <cellStyle name="Percent 5 4 6" xfId="595"/>
    <cellStyle name="Percent 5 4 6 2" xfId="1157"/>
    <cellStyle name="Percent 5 4 7" xfId="683"/>
    <cellStyle name="Percent 5 5" xfId="120"/>
    <cellStyle name="Percent 5 5 2" xfId="159"/>
    <cellStyle name="Percent 5 5 2 2" xfId="237"/>
    <cellStyle name="Percent 5 5 2 2 2" xfId="552"/>
    <cellStyle name="Percent 5 5 2 2 2 2" xfId="1114"/>
    <cellStyle name="Percent 5 5 2 2 3" xfId="395"/>
    <cellStyle name="Percent 5 5 2 2 3 2" xfId="957"/>
    <cellStyle name="Percent 5 5 2 2 4" xfId="800"/>
    <cellStyle name="Percent 5 5 2 3" xfId="474"/>
    <cellStyle name="Percent 5 5 2 3 2" xfId="1036"/>
    <cellStyle name="Percent 5 5 2 4" xfId="317"/>
    <cellStyle name="Percent 5 5 2 4 2" xfId="879"/>
    <cellStyle name="Percent 5 5 2 5" xfId="633"/>
    <cellStyle name="Percent 5 5 2 5 2" xfId="1195"/>
    <cellStyle name="Percent 5 5 2 6" xfId="722"/>
    <cellStyle name="Percent 5 5 3" xfId="200"/>
    <cellStyle name="Percent 5 5 3 2" xfId="515"/>
    <cellStyle name="Percent 5 5 3 2 2" xfId="1077"/>
    <cellStyle name="Percent 5 5 3 3" xfId="358"/>
    <cellStyle name="Percent 5 5 3 3 2" xfId="920"/>
    <cellStyle name="Percent 5 5 3 4" xfId="763"/>
    <cellStyle name="Percent 5 5 4" xfId="437"/>
    <cellStyle name="Percent 5 5 4 2" xfId="999"/>
    <cellStyle name="Percent 5 5 5" xfId="280"/>
    <cellStyle name="Percent 5 5 5 2" xfId="842"/>
    <cellStyle name="Percent 5 5 6" xfId="596"/>
    <cellStyle name="Percent 5 5 6 2" xfId="1158"/>
    <cellStyle name="Percent 5 5 7" xfId="684"/>
    <cellStyle name="Percent 5 6" xfId="133"/>
    <cellStyle name="Percent 5 6 2" xfId="211"/>
    <cellStyle name="Percent 5 6 2 2" xfId="526"/>
    <cellStyle name="Percent 5 6 2 2 2" xfId="1088"/>
    <cellStyle name="Percent 5 6 2 3" xfId="369"/>
    <cellStyle name="Percent 5 6 2 3 2" xfId="931"/>
    <cellStyle name="Percent 5 6 2 4" xfId="774"/>
    <cellStyle name="Percent 5 6 3" xfId="448"/>
    <cellStyle name="Percent 5 6 3 2" xfId="1010"/>
    <cellStyle name="Percent 5 6 4" xfId="291"/>
    <cellStyle name="Percent 5 6 4 2" xfId="853"/>
    <cellStyle name="Percent 5 6 5" xfId="607"/>
    <cellStyle name="Percent 5 6 5 2" xfId="1169"/>
    <cellStyle name="Percent 5 6 6" xfId="696"/>
    <cellStyle name="Percent 5 7" xfId="174"/>
    <cellStyle name="Percent 5 7 2" xfId="489"/>
    <cellStyle name="Percent 5 7 2 2" xfId="1051"/>
    <cellStyle name="Percent 5 7 3" xfId="332"/>
    <cellStyle name="Percent 5 7 3 2" xfId="894"/>
    <cellStyle name="Percent 5 7 4" xfId="737"/>
    <cellStyle name="Percent 5 8" xfId="411"/>
    <cellStyle name="Percent 5 8 2" xfId="973"/>
    <cellStyle name="Percent 5 9" xfId="254"/>
    <cellStyle name="Percent 5 9 2" xfId="816"/>
    <cellStyle name="Percent 6" xfId="26"/>
    <cellStyle name="Percent 6 2" xfId="121"/>
    <cellStyle name="Percent 6 2 2" xfId="160"/>
    <cellStyle name="Percent 6 2 2 2" xfId="238"/>
    <cellStyle name="Percent 6 2 2 2 2" xfId="553"/>
    <cellStyle name="Percent 6 2 2 2 2 2" xfId="1115"/>
    <cellStyle name="Percent 6 2 2 2 3" xfId="396"/>
    <cellStyle name="Percent 6 2 2 2 3 2" xfId="958"/>
    <cellStyle name="Percent 6 2 2 2 4" xfId="801"/>
    <cellStyle name="Percent 6 2 2 3" xfId="475"/>
    <cellStyle name="Percent 6 2 2 3 2" xfId="1037"/>
    <cellStyle name="Percent 6 2 2 4" xfId="318"/>
    <cellStyle name="Percent 6 2 2 4 2" xfId="880"/>
    <cellStyle name="Percent 6 2 2 5" xfId="634"/>
    <cellStyle name="Percent 6 2 2 5 2" xfId="1196"/>
    <cellStyle name="Percent 6 2 2 6" xfId="723"/>
    <cellStyle name="Percent 6 2 3" xfId="201"/>
    <cellStyle name="Percent 6 2 3 2" xfId="516"/>
    <cellStyle name="Percent 6 2 3 2 2" xfId="1078"/>
    <cellStyle name="Percent 6 2 3 3" xfId="359"/>
    <cellStyle name="Percent 6 2 3 3 2" xfId="921"/>
    <cellStyle name="Percent 6 2 3 4" xfId="764"/>
    <cellStyle name="Percent 6 2 4" xfId="438"/>
    <cellStyle name="Percent 6 2 4 2" xfId="1000"/>
    <cellStyle name="Percent 6 2 5" xfId="281"/>
    <cellStyle name="Percent 6 2 5 2" xfId="843"/>
    <cellStyle name="Percent 6 2 6" xfId="597"/>
    <cellStyle name="Percent 6 2 6 2" xfId="1159"/>
    <cellStyle name="Percent 6 2 7" xfId="685"/>
    <cellStyle name="Percent 6 3" xfId="122"/>
    <cellStyle name="Percent 6 3 2" xfId="161"/>
    <cellStyle name="Percent 6 3 2 2" xfId="239"/>
    <cellStyle name="Percent 6 3 2 2 2" xfId="554"/>
    <cellStyle name="Percent 6 3 2 2 2 2" xfId="1116"/>
    <cellStyle name="Percent 6 3 2 2 3" xfId="397"/>
    <cellStyle name="Percent 6 3 2 2 3 2" xfId="959"/>
    <cellStyle name="Percent 6 3 2 2 4" xfId="802"/>
    <cellStyle name="Percent 6 3 2 3" xfId="476"/>
    <cellStyle name="Percent 6 3 2 3 2" xfId="1038"/>
    <cellStyle name="Percent 6 3 2 4" xfId="319"/>
    <cellStyle name="Percent 6 3 2 4 2" xfId="881"/>
    <cellStyle name="Percent 6 3 2 5" xfId="635"/>
    <cellStyle name="Percent 6 3 2 5 2" xfId="1197"/>
    <cellStyle name="Percent 6 3 2 6" xfId="724"/>
    <cellStyle name="Percent 6 3 3" xfId="202"/>
    <cellStyle name="Percent 6 3 3 2" xfId="517"/>
    <cellStyle name="Percent 6 3 3 2 2" xfId="1079"/>
    <cellStyle name="Percent 6 3 3 3" xfId="360"/>
    <cellStyle name="Percent 6 3 3 3 2" xfId="922"/>
    <cellStyle name="Percent 6 3 3 4" xfId="765"/>
    <cellStyle name="Percent 6 3 4" xfId="439"/>
    <cellStyle name="Percent 6 3 4 2" xfId="1001"/>
    <cellStyle name="Percent 6 3 5" xfId="282"/>
    <cellStyle name="Percent 6 3 5 2" xfId="844"/>
    <cellStyle name="Percent 6 3 6" xfId="598"/>
    <cellStyle name="Percent 6 3 6 2" xfId="1160"/>
    <cellStyle name="Percent 6 3 7" xfId="686"/>
    <cellStyle name="Percent 6 4" xfId="138"/>
    <cellStyle name="Percent 6 4 2" xfId="216"/>
    <cellStyle name="Percent 6 4 2 2" xfId="531"/>
    <cellStyle name="Percent 6 4 2 2 2" xfId="1093"/>
    <cellStyle name="Percent 6 4 2 3" xfId="374"/>
    <cellStyle name="Percent 6 4 2 3 2" xfId="936"/>
    <cellStyle name="Percent 6 4 2 4" xfId="779"/>
    <cellStyle name="Percent 6 4 3" xfId="453"/>
    <cellStyle name="Percent 6 4 3 2" xfId="1015"/>
    <cellStyle name="Percent 6 4 4" xfId="296"/>
    <cellStyle name="Percent 6 4 4 2" xfId="858"/>
    <cellStyle name="Percent 6 4 5" xfId="612"/>
    <cellStyle name="Percent 6 4 5 2" xfId="1174"/>
    <cellStyle name="Percent 6 4 6" xfId="701"/>
    <cellStyle name="Percent 6 5" xfId="179"/>
    <cellStyle name="Percent 6 5 2" xfId="494"/>
    <cellStyle name="Percent 6 5 2 2" xfId="1056"/>
    <cellStyle name="Percent 6 5 3" xfId="337"/>
    <cellStyle name="Percent 6 5 3 2" xfId="899"/>
    <cellStyle name="Percent 6 5 4" xfId="742"/>
    <cellStyle name="Percent 6 6" xfId="416"/>
    <cellStyle name="Percent 6 6 2" xfId="978"/>
    <cellStyle name="Percent 6 7" xfId="259"/>
    <cellStyle name="Percent 6 7 2" xfId="821"/>
    <cellStyle name="Percent 6 8" xfId="575"/>
    <cellStyle name="Percent 6 8 2" xfId="1137"/>
    <cellStyle name="Percent 6 9" xfId="663"/>
    <cellStyle name="Percent 7" xfId="123"/>
    <cellStyle name="Percent 7 2" xfId="124"/>
    <cellStyle name="Percent 7 2 2" xfId="163"/>
    <cellStyle name="Percent 7 2 2 2" xfId="241"/>
    <cellStyle name="Percent 7 2 2 2 2" xfId="556"/>
    <cellStyle name="Percent 7 2 2 2 2 2" xfId="1118"/>
    <cellStyle name="Percent 7 2 2 2 3" xfId="399"/>
    <cellStyle name="Percent 7 2 2 2 3 2" xfId="961"/>
    <cellStyle name="Percent 7 2 2 2 4" xfId="804"/>
    <cellStyle name="Percent 7 2 2 3" xfId="478"/>
    <cellStyle name="Percent 7 2 2 3 2" xfId="1040"/>
    <cellStyle name="Percent 7 2 2 4" xfId="321"/>
    <cellStyle name="Percent 7 2 2 4 2" xfId="883"/>
    <cellStyle name="Percent 7 2 2 5" xfId="637"/>
    <cellStyle name="Percent 7 2 2 5 2" xfId="1199"/>
    <cellStyle name="Percent 7 2 2 6" xfId="726"/>
    <cellStyle name="Percent 7 2 3" xfId="204"/>
    <cellStyle name="Percent 7 2 3 2" xfId="519"/>
    <cellStyle name="Percent 7 2 3 2 2" xfId="1081"/>
    <cellStyle name="Percent 7 2 3 3" xfId="362"/>
    <cellStyle name="Percent 7 2 3 3 2" xfId="924"/>
    <cellStyle name="Percent 7 2 3 4" xfId="767"/>
    <cellStyle name="Percent 7 2 4" xfId="441"/>
    <cellStyle name="Percent 7 2 4 2" xfId="1003"/>
    <cellStyle name="Percent 7 2 5" xfId="284"/>
    <cellStyle name="Percent 7 2 5 2" xfId="846"/>
    <cellStyle name="Percent 7 2 6" xfId="600"/>
    <cellStyle name="Percent 7 2 6 2" xfId="1162"/>
    <cellStyle name="Percent 7 2 7" xfId="688"/>
    <cellStyle name="Percent 7 3" xfId="162"/>
    <cellStyle name="Percent 7 3 2" xfId="240"/>
    <cellStyle name="Percent 7 3 2 2" xfId="555"/>
    <cellStyle name="Percent 7 3 2 2 2" xfId="1117"/>
    <cellStyle name="Percent 7 3 2 3" xfId="398"/>
    <cellStyle name="Percent 7 3 2 3 2" xfId="960"/>
    <cellStyle name="Percent 7 3 2 4" xfId="803"/>
    <cellStyle name="Percent 7 3 3" xfId="477"/>
    <cellStyle name="Percent 7 3 3 2" xfId="1039"/>
    <cellStyle name="Percent 7 3 4" xfId="320"/>
    <cellStyle name="Percent 7 3 4 2" xfId="882"/>
    <cellStyle name="Percent 7 3 5" xfId="636"/>
    <cellStyle name="Percent 7 3 5 2" xfId="1198"/>
    <cellStyle name="Percent 7 3 6" xfId="725"/>
    <cellStyle name="Percent 7 4" xfId="203"/>
    <cellStyle name="Percent 7 4 2" xfId="518"/>
    <cellStyle name="Percent 7 4 2 2" xfId="1080"/>
    <cellStyle name="Percent 7 4 3" xfId="361"/>
    <cellStyle name="Percent 7 4 3 2" xfId="923"/>
    <cellStyle name="Percent 7 4 4" xfId="766"/>
    <cellStyle name="Percent 7 5" xfId="440"/>
    <cellStyle name="Percent 7 5 2" xfId="1002"/>
    <cellStyle name="Percent 7 6" xfId="283"/>
    <cellStyle name="Percent 7 6 2" xfId="845"/>
    <cellStyle name="Percent 7 7" xfId="599"/>
    <cellStyle name="Percent 7 7 2" xfId="1161"/>
    <cellStyle name="Percent 7 8" xfId="687"/>
    <cellStyle name="Percent 8" xfId="125"/>
    <cellStyle name="Percent 8 2" xfId="164"/>
    <cellStyle name="Percent 8 2 2" xfId="242"/>
    <cellStyle name="Percent 8 2 2 2" xfId="557"/>
    <cellStyle name="Percent 8 2 2 2 2" xfId="1119"/>
    <cellStyle name="Percent 8 2 2 3" xfId="400"/>
    <cellStyle name="Percent 8 2 2 3 2" xfId="962"/>
    <cellStyle name="Percent 8 2 2 4" xfId="805"/>
    <cellStyle name="Percent 8 2 3" xfId="479"/>
    <cellStyle name="Percent 8 2 3 2" xfId="1041"/>
    <cellStyle name="Percent 8 2 4" xfId="322"/>
    <cellStyle name="Percent 8 2 4 2" xfId="884"/>
    <cellStyle name="Percent 8 2 5" xfId="638"/>
    <cellStyle name="Percent 8 2 5 2" xfId="1200"/>
    <cellStyle name="Percent 8 2 6" xfId="727"/>
    <cellStyle name="Percent 8 3" xfId="205"/>
    <cellStyle name="Percent 8 3 2" xfId="520"/>
    <cellStyle name="Percent 8 3 2 2" xfId="1082"/>
    <cellStyle name="Percent 8 3 3" xfId="363"/>
    <cellStyle name="Percent 8 3 3 2" xfId="925"/>
    <cellStyle name="Percent 8 3 4" xfId="768"/>
    <cellStyle name="Percent 8 4" xfId="442"/>
    <cellStyle name="Percent 8 4 2" xfId="1004"/>
    <cellStyle name="Percent 8 5" xfId="285"/>
    <cellStyle name="Percent 8 5 2" xfId="847"/>
    <cellStyle name="Percent 8 6" xfId="601"/>
    <cellStyle name="Percent 8 6 2" xfId="1163"/>
    <cellStyle name="Percent 8 7" xfId="689"/>
    <cellStyle name="Percent 9" xfId="654"/>
  </cellStyles>
  <dxfs count="2">
    <dxf>
      <border>
        <left/>
        <right/>
        <top/>
        <bottom/>
        <vertical/>
        <horizontal/>
      </border>
    </dxf>
    <dxf>
      <font>
        <color theme="0"/>
      </font>
      <fill>
        <patternFill patternType="solid">
          <fgColor theme="0"/>
          <bgColor theme="0"/>
        </patternFill>
      </fill>
      <border>
        <left style="thin">
          <color auto="1"/>
        </left>
        <right style="thin">
          <color auto="1"/>
        </right>
        <top style="thin">
          <color auto="1"/>
        </top>
        <bottom style="thin">
          <color auto="1"/>
        </bottom>
      </border>
    </dxf>
  </dxfs>
  <tableStyles count="0" defaultTableStyle="TableStyleMedium9" defaultPivotStyle="PivotStyleLight16"/>
  <colors>
    <mruColors>
      <color rgb="FFFF99FF"/>
      <color rgb="FFFFFFCC"/>
      <color rgb="FFFFFF99"/>
      <color rgb="FFFF9966"/>
      <color rgb="FFCC9900"/>
      <color rgb="FF99FF99"/>
      <color rgb="FF33CCCC"/>
      <color rgb="FF00FF99"/>
      <color rgb="FFFFCC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16</xdr:col>
      <xdr:colOff>432528</xdr:colOff>
      <xdr:row>20</xdr:row>
      <xdr:rowOff>0</xdr:rowOff>
    </xdr:from>
    <xdr:to>
      <xdr:col>18</xdr:col>
      <xdr:colOff>462643</xdr:colOff>
      <xdr:row>29</xdr:row>
      <xdr:rowOff>145142</xdr:rowOff>
    </xdr:to>
    <xdr:sp macro="" textlink="">
      <xdr:nvSpPr>
        <xdr:cNvPr id="2" name="Rounded Rectangular Callout 1">
          <a:extLst>
            <a:ext uri="{FF2B5EF4-FFF2-40B4-BE49-F238E27FC236}">
              <a16:creationId xmlns:a16="http://schemas.microsoft.com/office/drawing/2014/main" xmlns="" id="{00000000-0008-0000-0100-000002000000}"/>
            </a:ext>
          </a:extLst>
        </xdr:cNvPr>
        <xdr:cNvSpPr/>
      </xdr:nvSpPr>
      <xdr:spPr>
        <a:xfrm>
          <a:off x="13840099" y="3138714"/>
          <a:ext cx="1708330" cy="1614714"/>
        </a:xfrm>
        <a:prstGeom prst="wedgeRoundRectCallout">
          <a:avLst>
            <a:gd name="adj1" fmla="val -70440"/>
            <a:gd name="adj2" fmla="val 1721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Q:</a:t>
          </a:r>
          <a:r>
            <a:rPr lang="en-US" sz="1100" baseline="0"/>
            <a:t> What is this? </a:t>
          </a:r>
          <a:r>
            <a:rPr lang="en-US" sz="1100" baseline="0">
              <a:solidFill>
                <a:srgbClr val="FF0000"/>
              </a:solidFill>
            </a:rPr>
            <a:t>It is income made on our boat communication Service that we maintain on Slide Ridge.</a:t>
          </a:r>
        </a:p>
        <a:p>
          <a:pPr algn="l"/>
          <a:endParaRPr lang="en-US" sz="1100"/>
        </a:p>
      </xdr:txBody>
    </xdr:sp>
    <xdr:clientData/>
  </xdr:twoCellAnchor>
  <xdr:twoCellAnchor>
    <xdr:from>
      <xdr:col>18</xdr:col>
      <xdr:colOff>199572</xdr:colOff>
      <xdr:row>46</xdr:row>
      <xdr:rowOff>18138</xdr:rowOff>
    </xdr:from>
    <xdr:to>
      <xdr:col>21</xdr:col>
      <xdr:colOff>462643</xdr:colOff>
      <xdr:row>75</xdr:row>
      <xdr:rowOff>9072</xdr:rowOff>
    </xdr:to>
    <xdr:sp macro="" textlink="">
      <xdr:nvSpPr>
        <xdr:cNvPr id="3" name="Rounded Rectangular Callout 2">
          <a:extLst>
            <a:ext uri="{FF2B5EF4-FFF2-40B4-BE49-F238E27FC236}">
              <a16:creationId xmlns:a16="http://schemas.microsoft.com/office/drawing/2014/main" xmlns="" id="{00000000-0008-0000-0100-000003000000}"/>
            </a:ext>
          </a:extLst>
        </xdr:cNvPr>
        <xdr:cNvSpPr/>
      </xdr:nvSpPr>
      <xdr:spPr>
        <a:xfrm>
          <a:off x="15757072" y="7565567"/>
          <a:ext cx="2521857" cy="4726219"/>
        </a:xfrm>
        <a:prstGeom prst="wedgeRoundRectCallout">
          <a:avLst>
            <a:gd name="adj1" fmla="val -85971"/>
            <a:gd name="adj2" fmla="val -1641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Q: should wages for Food Service, Chrter Crew and Dept. be included in regulated?</a:t>
          </a:r>
        </a:p>
        <a:p>
          <a:pPr algn="l"/>
          <a:r>
            <a:rPr lang="en-US" sz="1100"/>
            <a:t>A: No </a:t>
          </a:r>
          <a:r>
            <a:rPr lang="en-US" sz="1100">
              <a:solidFill>
                <a:schemeClr val="accent2"/>
              </a:solidFill>
            </a:rPr>
            <a:t>-  </a:t>
          </a:r>
        </a:p>
        <a:p>
          <a:pPr algn="l"/>
          <a:r>
            <a:rPr lang="en-US" sz="1100">
              <a:solidFill>
                <a:schemeClr val="accent2"/>
              </a:solidFill>
            </a:rPr>
            <a:t>The Lady II license requires 3 crew.  The food service person fills that requirement and performs crew duties. As of 2019, we no longer have 2 food service workers as in the past.  We only have the 3 required crew. Company believes all Food/Crew person wages for the Lady II should be allowed.</a:t>
          </a:r>
        </a:p>
        <a:p>
          <a:pPr algn="l"/>
          <a:endParaRPr lang="en-US" sz="1100">
            <a:solidFill>
              <a:schemeClr val="accent2"/>
            </a:solidFill>
          </a:endParaRPr>
        </a:p>
        <a:p>
          <a:pPr algn="l"/>
          <a:r>
            <a:rPr lang="en-US" sz="1100">
              <a:solidFill>
                <a:schemeClr val="accent2"/>
              </a:solidFill>
            </a:rPr>
            <a:t>The Lady Express license requires just 2 crew, but for crowd control, safety and freight handling the food service person is 3rd crew person.</a:t>
          </a:r>
        </a:p>
        <a:p>
          <a:pPr algn="l"/>
          <a:endParaRPr lang="en-US" sz="1100">
            <a:solidFill>
              <a:schemeClr val="accent2"/>
            </a:solidFill>
          </a:endParaRPr>
        </a:p>
        <a:p>
          <a:pPr algn="l"/>
          <a:r>
            <a:rPr lang="en-US" sz="1100">
              <a:solidFill>
                <a:schemeClr val="accent2"/>
              </a:solidFill>
            </a:rPr>
            <a:t>They would be needed on board regardless of food service.</a:t>
          </a:r>
        </a:p>
        <a:p>
          <a:pPr algn="l"/>
          <a:endParaRPr lang="en-US" sz="1100">
            <a:solidFill>
              <a:schemeClr val="accent2"/>
            </a:solidFill>
          </a:endParaRPr>
        </a:p>
        <a:p>
          <a:pPr algn="l"/>
          <a:r>
            <a:rPr lang="en-US" sz="1100">
              <a:solidFill>
                <a:schemeClr val="accent2"/>
              </a:solidFill>
            </a:rPr>
            <a:t>However, we are calculating 50% of LX Food/Crew wages  from the regulated expenses.</a:t>
          </a:r>
        </a:p>
      </xdr:txBody>
    </xdr:sp>
    <xdr:clientData/>
  </xdr:twoCellAnchor>
  <xdr:twoCellAnchor>
    <xdr:from>
      <xdr:col>14</xdr:col>
      <xdr:colOff>281215</xdr:colOff>
      <xdr:row>24</xdr:row>
      <xdr:rowOff>108858</xdr:rowOff>
    </xdr:from>
    <xdr:to>
      <xdr:col>16</xdr:col>
      <xdr:colOff>235858</xdr:colOff>
      <xdr:row>27</xdr:row>
      <xdr:rowOff>99786</xdr:rowOff>
    </xdr:to>
    <xdr:sp macro="" textlink="">
      <xdr:nvSpPr>
        <xdr:cNvPr id="4" name="Rounded Rectangular Callout 3">
          <a:extLst>
            <a:ext uri="{FF2B5EF4-FFF2-40B4-BE49-F238E27FC236}">
              <a16:creationId xmlns:a16="http://schemas.microsoft.com/office/drawing/2014/main" xmlns="" id="{00000000-0008-0000-0100-000004000000}"/>
            </a:ext>
          </a:extLst>
        </xdr:cNvPr>
        <xdr:cNvSpPr/>
      </xdr:nvSpPr>
      <xdr:spPr>
        <a:xfrm>
          <a:off x="11764555" y="3995058"/>
          <a:ext cx="1402443" cy="493848"/>
        </a:xfrm>
        <a:prstGeom prst="wedgeRoundRectCallout">
          <a:avLst>
            <a:gd name="adj1" fmla="val -70440"/>
            <a:gd name="adj2" fmla="val 1721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Q:</a:t>
          </a:r>
          <a:r>
            <a:rPr lang="en-US" sz="1100" baseline="0"/>
            <a:t> What is this?</a:t>
          </a:r>
          <a:endParaRPr lang="en-US" sz="1100"/>
        </a:p>
      </xdr:txBody>
    </xdr:sp>
    <xdr:clientData/>
  </xdr:twoCellAnchor>
  <xdr:twoCellAnchor>
    <xdr:from>
      <xdr:col>14</xdr:col>
      <xdr:colOff>562428</xdr:colOff>
      <xdr:row>52</xdr:row>
      <xdr:rowOff>9072</xdr:rowOff>
    </xdr:from>
    <xdr:to>
      <xdr:col>16</xdr:col>
      <xdr:colOff>1016000</xdr:colOff>
      <xdr:row>58</xdr:row>
      <xdr:rowOff>127000</xdr:rowOff>
    </xdr:to>
    <xdr:sp macro="" textlink="">
      <xdr:nvSpPr>
        <xdr:cNvPr id="5" name="Rounded Rectangular Callout 4">
          <a:extLst>
            <a:ext uri="{FF2B5EF4-FFF2-40B4-BE49-F238E27FC236}">
              <a16:creationId xmlns:a16="http://schemas.microsoft.com/office/drawing/2014/main" xmlns="" id="{00000000-0008-0000-0100-000005000000}"/>
            </a:ext>
          </a:extLst>
        </xdr:cNvPr>
        <xdr:cNvSpPr/>
      </xdr:nvSpPr>
      <xdr:spPr>
        <a:xfrm>
          <a:off x="3619499" y="8209643"/>
          <a:ext cx="2077358" cy="1097643"/>
        </a:xfrm>
        <a:prstGeom prst="wedgeRoundRectCallout">
          <a:avLst>
            <a:gd name="adj1" fmla="val -68705"/>
            <a:gd name="adj2" fmla="val -135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Q: should wages for Food Service, Chrter Crew and Dept. be included in regulated?</a:t>
          </a:r>
        </a:p>
        <a:p>
          <a:pPr algn="l"/>
          <a:r>
            <a:rPr lang="en-US" sz="1100"/>
            <a:t>A: No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CSERVER\financial\Users\Cindy\AppData\Local\Microsoft\Windows\Temporary%20Internet%20Files\Content.Outlook\FBXUGXWU\2-RATE%20CASE%202013%20MAIN%20Workbook%20after%20CORRECTIONS%20to%20Passengers%20wk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CSERVER\financial\W_COMP\Rosario\2007%20rate%20case\Worksheets\070944%20Loan%20Recalcul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CSERVER\financial\WUTC\2013%20final%20Rate%20Case\FINAL%20APRIL%201%202013%20TS-130184%202-RATE%20CASE%202013%20Staf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Pro Forma Income State"/>
      <sheetName val="Balance Sheet"/>
      <sheetName val="2012 GL"/>
      <sheetName val="2012 M'ly Inc Stmnt"/>
      <sheetName val="Proforma Restating Adj"/>
      <sheetName val="Proforma Company Adj"/>
      <sheetName val="2012 HV Pass &amp; Frt determ Loss"/>
      <sheetName val="HV Freight May-Nov"/>
      <sheetName val="Lost Income - Schedule Change"/>
      <sheetName val="Lost Inc-SC-May"/>
      <sheetName val="Lost Inc-SC-June"/>
      <sheetName val="Lost Inc-SC-April"/>
      <sheetName val="Poss Inc R.T. Constr &amp; HV Staff"/>
      <sheetName val="Expense Reduction dropped runs"/>
      <sheetName val="LEX Run Cost Winter"/>
      <sheetName val="LEX Run Cost Summer"/>
      <sheetName val="PR backup for Run Costs"/>
      <sheetName val="PR Tax changes"/>
      <sheetName val="Avg Fuel backup for Run Costs"/>
      <sheetName val="Pass Fares Increases"/>
      <sheetName val="2013 Sailing Sched Submitting"/>
      <sheetName val="2013 Sailing Sched Normal"/>
      <sheetName val="Freight Rate Calc"/>
      <sheetName val="Freight Rate comparables"/>
      <sheetName val="WUTC Depn"/>
      <sheetName val="LCBC Depn"/>
      <sheetName val="Fuel Purchases"/>
      <sheetName val="Passengers"/>
    </sheetNames>
    <sheetDataSet>
      <sheetData sheetId="0">
        <row r="72">
          <cell r="K72">
            <v>3.536559810590853E-2</v>
          </cell>
        </row>
      </sheetData>
      <sheetData sheetId="1"/>
      <sheetData sheetId="2"/>
      <sheetData sheetId="3"/>
      <sheetData sheetId="4"/>
      <sheetData sheetId="5"/>
      <sheetData sheetId="6">
        <row r="11">
          <cell r="L11">
            <v>1514</v>
          </cell>
        </row>
      </sheetData>
      <sheetData sheetId="7">
        <row r="65">
          <cell r="E65">
            <v>1241.29</v>
          </cell>
        </row>
      </sheetData>
      <sheetData sheetId="8"/>
      <sheetData sheetId="9">
        <row r="105">
          <cell r="AJ105">
            <v>389</v>
          </cell>
        </row>
      </sheetData>
      <sheetData sheetId="10">
        <row r="106">
          <cell r="R106">
            <v>738</v>
          </cell>
        </row>
      </sheetData>
      <sheetData sheetId="11">
        <row r="103">
          <cell r="M103">
            <v>466</v>
          </cell>
        </row>
      </sheetData>
      <sheetData sheetId="12">
        <row r="24">
          <cell r="G24">
            <v>606.66666666666663</v>
          </cell>
        </row>
      </sheetData>
      <sheetData sheetId="13"/>
      <sheetData sheetId="14"/>
      <sheetData sheetId="15"/>
      <sheetData sheetId="16"/>
      <sheetData sheetId="17"/>
      <sheetData sheetId="18"/>
      <sheetData sheetId="19">
        <row r="42">
          <cell r="B42">
            <v>3.536559810590853E-2</v>
          </cell>
        </row>
      </sheetData>
      <sheetData sheetId="20">
        <row r="5">
          <cell r="B5">
            <v>2013</v>
          </cell>
        </row>
      </sheetData>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
      <sheetName val="Amortization Table"/>
      <sheetName val="Amortization Table (2)"/>
    </sheetNames>
    <sheetDataSet>
      <sheetData sheetId="0"/>
      <sheetData sheetId="1">
        <row r="18">
          <cell r="F18">
            <v>127794.2761418313</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2012 GL"/>
      <sheetName val="2012 M'ly Inc Stmnt"/>
      <sheetName val="2013 Pro Forma Income State"/>
      <sheetName val="Proforma Restating Adj"/>
      <sheetName val="Proforma Company Adj"/>
      <sheetName val="memo table"/>
      <sheetName val="2012 HV Pass &amp; Frt determ L"/>
      <sheetName val="HV Freight May-Nov"/>
      <sheetName val="Lost Income - Schedule Change"/>
      <sheetName val="Lost Inc-SC-May"/>
      <sheetName val="Lost Inc-SC-June"/>
      <sheetName val="Lost Inc-SC-April"/>
      <sheetName val="Poss Inc R.T. Constr &amp; HV Staff"/>
      <sheetName val="Expense Reduction dropped runs"/>
      <sheetName val="LEX Run Cost Winter"/>
      <sheetName val="LEX Run Cost Winter (2)"/>
      <sheetName val="LEX Run Cost Summer (2)"/>
      <sheetName val="LEX Run Cost Summer"/>
      <sheetName val="PR backup for Run Costs"/>
      <sheetName val="PR Tax changes"/>
      <sheetName val="Avg Fuel backup for Run Costs"/>
      <sheetName val="Pass Fares Increases"/>
      <sheetName val="2013 Sailing Sched Submitting"/>
      <sheetName val="2013 Sailing Sched Normal"/>
      <sheetName val="Freight Rate Calc"/>
      <sheetName val="Freight Rate comparables"/>
      <sheetName val="WUTC Depn"/>
      <sheetName val="LCBC Depn"/>
      <sheetName val="Fuel Purchases"/>
      <sheetName val="Passeng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27">
          <cell r="T227">
            <v>59921</v>
          </cell>
        </row>
      </sheetData>
      <sheetData sheetId="28">
        <row r="10">
          <cell r="D10">
            <v>80000</v>
          </cell>
        </row>
        <row r="73">
          <cell r="D73">
            <v>811664.1399999999</v>
          </cell>
        </row>
        <row r="161">
          <cell r="AG161">
            <v>59921</v>
          </cell>
        </row>
        <row r="235">
          <cell r="AG235">
            <v>84790</v>
          </cell>
        </row>
        <row r="246">
          <cell r="C246">
            <v>3735681.82</v>
          </cell>
        </row>
      </sheetData>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wpx.com/quote/index.php" TargetMode="External"/><Relationship Id="rId2" Type="http://schemas.openxmlformats.org/officeDocument/2006/relationships/hyperlink" Target="https://wwwapps.ups.com/ctc/" TargetMode="External"/><Relationship Id="rId1" Type="http://schemas.openxmlformats.org/officeDocument/2006/relationships/hyperlink" Target="https://www.fedex.com/ratefinder"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89"/>
  <sheetViews>
    <sheetView tabSelected="1" workbookViewId="0">
      <selection activeCell="X16" sqref="X16"/>
    </sheetView>
  </sheetViews>
  <sheetFormatPr defaultRowHeight="12.5" x14ac:dyDescent="0.25"/>
  <cols>
    <col min="1" max="1" width="40" customWidth="1"/>
    <col min="2" max="2" width="13.7265625" style="2" customWidth="1"/>
    <col min="3" max="3" width="14" style="2" customWidth="1"/>
    <col min="4" max="4" width="12.7265625" style="2" customWidth="1"/>
    <col min="5" max="5" width="4.1796875" style="2" customWidth="1"/>
    <col min="6" max="6" width="10.7265625" customWidth="1"/>
    <col min="7" max="7" width="12.453125" customWidth="1"/>
    <col min="8" max="8" width="4.81640625" bestFit="1" customWidth="1"/>
    <col min="9" max="10" width="12.26953125" customWidth="1"/>
    <col min="11" max="11" width="2.7265625" customWidth="1"/>
    <col min="12" max="12" width="12.26953125" customWidth="1"/>
    <col min="13" max="13" width="16.1796875" customWidth="1"/>
    <col min="14" max="14" width="2.453125" customWidth="1"/>
    <col min="15" max="15" width="10.54296875" customWidth="1"/>
    <col min="16" max="16" width="12.1796875" customWidth="1"/>
    <col min="17" max="17" width="1.453125" customWidth="1"/>
    <col min="18" max="18" width="14.453125" style="3" customWidth="1"/>
    <col min="19" max="19" width="2.26953125" style="3" customWidth="1"/>
    <col min="20" max="20" width="10.453125" style="46" bestFit="1" customWidth="1"/>
    <col min="21" max="21" width="2.81640625" style="44" customWidth="1"/>
    <col min="22" max="22" width="9.54296875" customWidth="1"/>
    <col min="24" max="24" width="9.1796875" style="672"/>
  </cols>
  <sheetData>
    <row r="1" spans="1:24" ht="15.5" x14ac:dyDescent="0.35">
      <c r="A1" s="1249" t="s">
        <v>322</v>
      </c>
      <c r="B1" s="1249"/>
      <c r="C1" s="1249"/>
      <c r="D1" s="1249"/>
      <c r="E1" s="1249"/>
      <c r="F1" s="1249"/>
      <c r="G1" s="1249"/>
      <c r="H1" s="1249"/>
      <c r="I1" s="1249"/>
      <c r="J1" s="1249"/>
      <c r="K1" s="1249"/>
      <c r="L1" s="1249"/>
      <c r="M1" s="1249"/>
      <c r="N1" s="1249"/>
      <c r="O1" s="1249"/>
      <c r="P1" s="1249"/>
      <c r="Q1" s="47"/>
      <c r="R1" s="48"/>
    </row>
    <row r="2" spans="1:24" ht="8.25" customHeight="1" x14ac:dyDescent="0.35">
      <c r="A2" s="175"/>
      <c r="B2" s="176"/>
      <c r="C2" s="176"/>
      <c r="D2" s="176"/>
      <c r="E2" s="176"/>
      <c r="F2" s="176"/>
      <c r="G2" s="176"/>
      <c r="H2" s="176"/>
      <c r="I2" s="177"/>
      <c r="J2" s="177"/>
      <c r="K2" s="177"/>
      <c r="L2" s="177"/>
      <c r="M2" s="177"/>
      <c r="N2" s="177"/>
      <c r="O2" s="177"/>
      <c r="P2" s="177"/>
      <c r="Q2" s="177"/>
      <c r="R2" s="177"/>
    </row>
    <row r="3" spans="1:24" ht="15.5" x14ac:dyDescent="0.35">
      <c r="A3" s="308" t="s">
        <v>371</v>
      </c>
      <c r="B3" s="177"/>
      <c r="C3" s="177"/>
      <c r="D3" s="177"/>
      <c r="E3" s="177"/>
      <c r="F3" s="178" t="s">
        <v>249</v>
      </c>
      <c r="G3" s="177"/>
      <c r="H3" s="177"/>
      <c r="I3" s="178" t="s">
        <v>250</v>
      </c>
      <c r="J3" s="47"/>
      <c r="K3" s="47"/>
      <c r="L3" s="47"/>
      <c r="M3" s="47"/>
      <c r="N3" s="132"/>
      <c r="O3" s="132"/>
      <c r="P3" s="132"/>
      <c r="Q3" s="132"/>
      <c r="R3" s="133"/>
      <c r="S3" s="134"/>
      <c r="T3" s="135"/>
      <c r="U3" s="136"/>
    </row>
    <row r="4" spans="1:24" ht="15.5" x14ac:dyDescent="0.35">
      <c r="A4" s="47"/>
      <c r="B4" s="47"/>
      <c r="C4" s="47"/>
      <c r="D4" s="47"/>
      <c r="E4" s="213"/>
      <c r="F4" s="106" t="s">
        <v>319</v>
      </c>
      <c r="G4" s="47"/>
      <c r="H4" s="213"/>
      <c r="I4" s="106" t="s">
        <v>251</v>
      </c>
      <c r="J4" s="47"/>
      <c r="K4" s="47"/>
      <c r="L4" s="1228">
        <f>+J71</f>
        <v>0.13515856223411996</v>
      </c>
      <c r="M4" s="47"/>
      <c r="N4" s="132"/>
      <c r="O4" s="132"/>
      <c r="P4" s="132"/>
      <c r="Q4" s="132"/>
      <c r="R4" s="133"/>
      <c r="S4" s="134"/>
      <c r="T4" s="135"/>
      <c r="U4" s="136"/>
    </row>
    <row r="5" spans="1:24" ht="14" x14ac:dyDescent="0.3">
      <c r="A5" s="701"/>
      <c r="B5" s="1250" t="s">
        <v>890</v>
      </c>
      <c r="C5" s="217"/>
      <c r="D5" s="217"/>
      <c r="E5" s="230"/>
      <c r="F5" s="1242" t="s">
        <v>117</v>
      </c>
      <c r="G5" s="1253" t="s">
        <v>115</v>
      </c>
      <c r="H5" s="534"/>
      <c r="I5" s="1255" t="s">
        <v>116</v>
      </c>
      <c r="J5" s="1244" t="s">
        <v>118</v>
      </c>
      <c r="K5" s="492"/>
      <c r="L5" s="1247" t="s">
        <v>628</v>
      </c>
      <c r="M5" s="1247" t="s">
        <v>629</v>
      </c>
      <c r="N5" s="137"/>
      <c r="O5" s="1258" t="s">
        <v>246</v>
      </c>
      <c r="P5" s="1260" t="s">
        <v>247</v>
      </c>
      <c r="Q5" s="138"/>
      <c r="R5" s="139"/>
      <c r="S5" s="134"/>
      <c r="T5" s="135"/>
      <c r="U5" s="136"/>
    </row>
    <row r="6" spans="1:24" ht="25.5" x14ac:dyDescent="0.3">
      <c r="A6" s="4"/>
      <c r="B6" s="1251"/>
      <c r="C6" s="458" t="s">
        <v>620</v>
      </c>
      <c r="D6" s="456" t="s">
        <v>621</v>
      </c>
      <c r="E6" s="231"/>
      <c r="F6" s="1252"/>
      <c r="G6" s="1254"/>
      <c r="H6" s="535"/>
      <c r="I6" s="1256"/>
      <c r="J6" s="1257"/>
      <c r="K6" s="493"/>
      <c r="L6" s="1262"/>
      <c r="M6" s="1262"/>
      <c r="N6" s="140"/>
      <c r="O6" s="1259"/>
      <c r="P6" s="1261"/>
      <c r="Q6" s="141"/>
      <c r="R6" s="139" t="s">
        <v>205</v>
      </c>
      <c r="S6" s="134"/>
      <c r="T6" s="135" t="s">
        <v>203</v>
      </c>
      <c r="U6" s="136"/>
      <c r="W6" s="1229" t="s">
        <v>630</v>
      </c>
      <c r="X6" s="1230" t="s">
        <v>910</v>
      </c>
    </row>
    <row r="7" spans="1:24" ht="13" x14ac:dyDescent="0.3">
      <c r="A7" s="6" t="s">
        <v>0</v>
      </c>
      <c r="B7" s="13"/>
      <c r="C7" s="464"/>
      <c r="D7" s="18"/>
      <c r="E7" s="496"/>
      <c r="F7" s="36"/>
      <c r="G7" s="218"/>
      <c r="H7" s="533"/>
      <c r="I7" s="204"/>
      <c r="J7" s="19"/>
      <c r="K7" s="523"/>
      <c r="L7" s="524"/>
      <c r="M7" s="19"/>
      <c r="N7" s="142"/>
      <c r="O7" s="143"/>
      <c r="P7" s="144"/>
      <c r="Q7" s="145"/>
      <c r="R7" s="146"/>
      <c r="S7" s="134"/>
      <c r="T7" s="135"/>
      <c r="U7" s="136"/>
    </row>
    <row r="8" spans="1:24" ht="13" x14ac:dyDescent="0.3">
      <c r="A8" s="4" t="s">
        <v>1</v>
      </c>
      <c r="B8" s="454">
        <f>SUM('Inc Stmnt 12 mo 8.1.18  7.31.19'!N6:N8)+'Inc Stmnt 12 mo 8.1.18  7.31.19'!N11</f>
        <v>1438371.32</v>
      </c>
      <c r="C8" s="459"/>
      <c r="D8" s="459">
        <f>B8-C8</f>
        <v>1438371.32</v>
      </c>
      <c r="E8" s="497"/>
      <c r="F8" s="37">
        <v>0</v>
      </c>
      <c r="G8" s="219">
        <f>D8+F8</f>
        <v>1438371.32</v>
      </c>
      <c r="H8" s="513"/>
      <c r="I8" s="226">
        <v>0</v>
      </c>
      <c r="J8" s="26">
        <f>I8+G8</f>
        <v>1438371.32</v>
      </c>
      <c r="K8" s="219"/>
      <c r="L8" s="676">
        <f>J8*J71</f>
        <v>194408.19956999327</v>
      </c>
      <c r="M8" s="528">
        <f>J8+L8</f>
        <v>1632779.5195699933</v>
      </c>
      <c r="N8" s="147"/>
      <c r="O8" s="148">
        <v>0</v>
      </c>
      <c r="P8" s="149">
        <f>J8-O8</f>
        <v>1438371.32</v>
      </c>
      <c r="Q8" s="147"/>
      <c r="R8" s="183" t="s">
        <v>207</v>
      </c>
      <c r="S8" s="184"/>
      <c r="T8" s="185">
        <f>B8/$B$11</f>
        <v>0.83376728856798665</v>
      </c>
      <c r="U8" s="186"/>
      <c r="V8" s="1" t="s">
        <v>320</v>
      </c>
      <c r="W8" s="45">
        <f>J8/J11</f>
        <v>0.92854729358862953</v>
      </c>
      <c r="X8" s="1231">
        <f>+L8/J8</f>
        <v>0.13515856223411996</v>
      </c>
    </row>
    <row r="9" spans="1:24" ht="13" x14ac:dyDescent="0.3">
      <c r="A9" s="4" t="s">
        <v>2</v>
      </c>
      <c r="B9" s="471">
        <f>SUM('Inc Stmnt 12 mo 8.1.18  7.31.19'!N12:N15)</f>
        <v>190039.05</v>
      </c>
      <c r="C9" s="459">
        <f>'Inc Stmnt 12 mo 8.1.18  7.31.19'!N14+'Inc Stmnt 12 mo 8.1.18  7.31.19'!N15</f>
        <v>79354.84</v>
      </c>
      <c r="D9" s="459">
        <f t="shared" ref="D9:D10" si="0">B9-C9</f>
        <v>110684.20999999999</v>
      </c>
      <c r="E9" s="497"/>
      <c r="F9" s="37">
        <v>0</v>
      </c>
      <c r="G9" s="219">
        <f>D9+F9</f>
        <v>110684.20999999999</v>
      </c>
      <c r="H9" s="513"/>
      <c r="I9" s="226">
        <v>0</v>
      </c>
      <c r="J9" s="26">
        <f t="shared" ref="J9:J58" si="1">I9+G9</f>
        <v>110684.20999999999</v>
      </c>
      <c r="K9" s="219"/>
      <c r="L9" s="676">
        <f>'Freight Rate Calc'!F6</f>
        <v>16397.660740740739</v>
      </c>
      <c r="M9" s="528">
        <f t="shared" ref="M9:M10" si="2">J9+L9</f>
        <v>127081.87074074073</v>
      </c>
      <c r="N9" s="147"/>
      <c r="O9" s="148">
        <f>J9</f>
        <v>110684.20999999999</v>
      </c>
      <c r="P9" s="149">
        <f t="shared" ref="P9:P10" si="3">J9-O9</f>
        <v>0</v>
      </c>
      <c r="Q9" s="147"/>
      <c r="R9" s="183" t="s">
        <v>207</v>
      </c>
      <c r="S9" s="184"/>
      <c r="T9" s="185">
        <f>B9/$B$11</f>
        <v>0.11015816377688623</v>
      </c>
      <c r="U9" s="186"/>
      <c r="V9" s="554"/>
      <c r="W9" s="45">
        <f>J9/J11</f>
        <v>7.145270641137054E-2</v>
      </c>
      <c r="X9" s="1231">
        <f>+L9/J9</f>
        <v>0.14814814814814814</v>
      </c>
    </row>
    <row r="10" spans="1:24" ht="13" x14ac:dyDescent="0.3">
      <c r="A10" s="7" t="s">
        <v>299</v>
      </c>
      <c r="B10" s="472">
        <f>SUM('Inc Stmnt 12 mo 8.1.18  7.31.19'!N16:N23)</f>
        <v>96736.85000000002</v>
      </c>
      <c r="C10" s="459">
        <f>B10</f>
        <v>96736.85000000002</v>
      </c>
      <c r="D10" s="459">
        <f t="shared" si="0"/>
        <v>0</v>
      </c>
      <c r="E10" s="498"/>
      <c r="F10" s="37">
        <v>0</v>
      </c>
      <c r="G10" s="219">
        <f>D10+F10</f>
        <v>0</v>
      </c>
      <c r="H10" s="514"/>
      <c r="I10" s="226">
        <v>0</v>
      </c>
      <c r="J10" s="26">
        <f t="shared" si="1"/>
        <v>0</v>
      </c>
      <c r="K10" s="219"/>
      <c r="L10" s="528"/>
      <c r="M10" s="528">
        <f t="shared" si="2"/>
        <v>0</v>
      </c>
      <c r="N10" s="147"/>
      <c r="O10" s="148">
        <v>0</v>
      </c>
      <c r="P10" s="149">
        <f t="shared" si="3"/>
        <v>0</v>
      </c>
      <c r="Q10" s="147"/>
      <c r="R10" s="183" t="s">
        <v>207</v>
      </c>
      <c r="S10" s="184"/>
      <c r="T10" s="187">
        <f>B10/$B$11</f>
        <v>5.6074547655127087E-2</v>
      </c>
      <c r="U10" s="188"/>
    </row>
    <row r="11" spans="1:24" ht="13" x14ac:dyDescent="0.3">
      <c r="A11" s="6" t="s">
        <v>3</v>
      </c>
      <c r="B11" s="15">
        <f t="shared" ref="B11:P11" si="4">SUM(B8:B10)</f>
        <v>1725147.2200000002</v>
      </c>
      <c r="C11" s="35">
        <f t="shared" si="4"/>
        <v>176091.69</v>
      </c>
      <c r="D11" s="15">
        <f t="shared" si="4"/>
        <v>1549055.53</v>
      </c>
      <c r="E11" s="499"/>
      <c r="F11" s="35">
        <f t="shared" si="4"/>
        <v>0</v>
      </c>
      <c r="G11" s="220">
        <f t="shared" si="4"/>
        <v>1549055.53</v>
      </c>
      <c r="H11" s="515"/>
      <c r="I11" s="181">
        <f>SUM(I8:I10)</f>
        <v>0</v>
      </c>
      <c r="J11" s="27">
        <f t="shared" si="4"/>
        <v>1549055.53</v>
      </c>
      <c r="K11" s="220"/>
      <c r="L11" s="525">
        <f t="shared" si="4"/>
        <v>210805.86031073402</v>
      </c>
      <c r="M11" s="525">
        <f t="shared" si="4"/>
        <v>1759861.390310734</v>
      </c>
      <c r="N11" s="151"/>
      <c r="O11" s="152">
        <f t="shared" si="4"/>
        <v>110684.20999999999</v>
      </c>
      <c r="P11" s="153">
        <f t="shared" si="4"/>
        <v>1438371.32</v>
      </c>
      <c r="Q11" s="154"/>
      <c r="R11" s="183"/>
      <c r="S11" s="184"/>
      <c r="T11" s="185">
        <f>B11/$B$11</f>
        <v>1</v>
      </c>
      <c r="U11" s="186"/>
      <c r="W11" s="425">
        <f>SUM(W8:W10)</f>
        <v>1</v>
      </c>
      <c r="X11" s="1231">
        <f>+L11/J11</f>
        <v>0.13608670330284028</v>
      </c>
    </row>
    <row r="12" spans="1:24" ht="8.25" customHeight="1" x14ac:dyDescent="0.3">
      <c r="A12" s="4"/>
      <c r="B12" s="14"/>
      <c r="C12" s="459"/>
      <c r="D12" s="14"/>
      <c r="E12" s="497"/>
      <c r="F12" s="37"/>
      <c r="G12" s="219"/>
      <c r="H12" s="513"/>
      <c r="I12" s="226"/>
      <c r="J12" s="26"/>
      <c r="K12" s="219"/>
      <c r="L12" s="528"/>
      <c r="M12" s="528"/>
      <c r="N12" s="147"/>
      <c r="O12" s="148"/>
      <c r="P12" s="149"/>
      <c r="Q12" s="147"/>
      <c r="R12" s="150"/>
      <c r="S12" s="134"/>
      <c r="T12" s="135"/>
      <c r="U12" s="136"/>
    </row>
    <row r="13" spans="1:24" ht="13" x14ac:dyDescent="0.3">
      <c r="A13" s="6" t="s">
        <v>4</v>
      </c>
      <c r="B13" s="14"/>
      <c r="C13" s="459"/>
      <c r="D13" s="14"/>
      <c r="E13" s="497"/>
      <c r="F13" s="37"/>
      <c r="G13" s="219"/>
      <c r="H13" s="513"/>
      <c r="I13" s="226"/>
      <c r="J13" s="26"/>
      <c r="K13" s="219"/>
      <c r="L13" s="528"/>
      <c r="M13" s="528"/>
      <c r="N13" s="147"/>
      <c r="O13" s="148"/>
      <c r="P13" s="149"/>
      <c r="Q13" s="147"/>
      <c r="R13" s="150"/>
      <c r="S13" s="134"/>
      <c r="T13" s="135"/>
      <c r="U13" s="136"/>
    </row>
    <row r="14" spans="1:24" ht="13" x14ac:dyDescent="0.3">
      <c r="A14" s="10" t="s">
        <v>5</v>
      </c>
      <c r="B14" s="14"/>
      <c r="C14" s="459"/>
      <c r="D14" s="14"/>
      <c r="E14" s="497"/>
      <c r="F14" s="37"/>
      <c r="G14" s="219"/>
      <c r="H14" s="513"/>
      <c r="I14" s="226"/>
      <c r="J14" s="26"/>
      <c r="K14" s="219"/>
      <c r="L14" s="528"/>
      <c r="M14" s="528">
        <f t="shared" ref="M14:M17" si="5">J14+L14</f>
        <v>0</v>
      </c>
      <c r="N14" s="147"/>
      <c r="O14" s="148"/>
      <c r="P14" s="149"/>
      <c r="Q14" s="147"/>
      <c r="R14" s="150"/>
      <c r="S14" s="134"/>
      <c r="T14" s="135"/>
      <c r="U14" s="136"/>
    </row>
    <row r="15" spans="1:24" ht="13" x14ac:dyDescent="0.3">
      <c r="A15" s="9" t="s">
        <v>6</v>
      </c>
      <c r="B15" s="439">
        <v>100000</v>
      </c>
      <c r="C15" s="1180">
        <f>B15*$C$85</f>
        <v>1417.7939646201874</v>
      </c>
      <c r="D15" s="459">
        <f t="shared" ref="D15:D17" si="6">B15-C15</f>
        <v>98582.206035379815</v>
      </c>
      <c r="E15" s="497"/>
      <c r="F15" s="37">
        <v>0</v>
      </c>
      <c r="G15" s="219">
        <f>D15+F15</f>
        <v>98582.206035379815</v>
      </c>
      <c r="H15" s="513"/>
      <c r="I15" s="226">
        <v>0</v>
      </c>
      <c r="J15" s="26">
        <f t="shared" si="1"/>
        <v>98582.206035379815</v>
      </c>
      <c r="K15" s="219"/>
      <c r="L15" s="528"/>
      <c r="M15" s="528">
        <f t="shared" si="5"/>
        <v>98582.206035379815</v>
      </c>
      <c r="N15" s="147"/>
      <c r="O15" s="148">
        <f>J15*$W$9</f>
        <v>7043.9654252312348</v>
      </c>
      <c r="P15" s="149">
        <f t="shared" ref="P15:P17" si="7">J15-O15</f>
        <v>91538.240610148583</v>
      </c>
      <c r="Q15" s="147"/>
      <c r="R15" s="189" t="s">
        <v>206</v>
      </c>
      <c r="S15" s="190"/>
      <c r="T15" s="191">
        <f>J15/$J$18</f>
        <v>0.17191203911782527</v>
      </c>
      <c r="U15" s="192"/>
      <c r="V15" s="1" t="s">
        <v>321</v>
      </c>
    </row>
    <row r="16" spans="1:24" ht="13" x14ac:dyDescent="0.3">
      <c r="A16" s="9" t="s">
        <v>7</v>
      </c>
      <c r="B16" s="473">
        <f>SUM('Inc Stmnt 12 mo 8.1.18  7.31.19'!N45:N60)+'Inc Stmnt 12 mo 8.1.18  7.31.19'!Q67</f>
        <v>278186.91236373072</v>
      </c>
      <c r="C16" s="459">
        <f>SUM('Inc Stmnt 12 mo 8.1.18  7.31.19'!$N$55)*50%+'Inc Stmnt 12 mo 8.1.18  7.31.19'!$N$56+'Inc Stmnt 12 mo 8.1.18  7.31.19'!$N$57+'Inc Stmnt 12 mo 8.1.18  7.31.19'!$N$58</f>
        <v>13558.995000000001</v>
      </c>
      <c r="D16" s="459">
        <f t="shared" si="6"/>
        <v>264627.91736373072</v>
      </c>
      <c r="E16" s="739" t="s">
        <v>323</v>
      </c>
      <c r="F16" s="37">
        <v>0</v>
      </c>
      <c r="G16" s="219">
        <f>D16+F16</f>
        <v>264627.91736373072</v>
      </c>
      <c r="H16" s="513"/>
      <c r="I16" s="226">
        <v>0</v>
      </c>
      <c r="J16" s="26">
        <f t="shared" si="1"/>
        <v>264627.91736373072</v>
      </c>
      <c r="K16" s="219"/>
      <c r="L16" s="528"/>
      <c r="M16" s="528">
        <f t="shared" si="5"/>
        <v>264627.91736373072</v>
      </c>
      <c r="N16" s="147"/>
      <c r="O16" s="148">
        <f>J16*$W$9</f>
        <v>18908.380887643074</v>
      </c>
      <c r="P16" s="149">
        <f t="shared" si="7"/>
        <v>245719.53647608764</v>
      </c>
      <c r="Q16" s="147"/>
      <c r="R16" s="189" t="s">
        <v>207</v>
      </c>
      <c r="S16" s="190"/>
      <c r="T16" s="191">
        <f>J16/$J$18</f>
        <v>0.46146994179837675</v>
      </c>
      <c r="U16" s="192"/>
      <c r="V16" s="1244" t="s">
        <v>118</v>
      </c>
    </row>
    <row r="17" spans="1:22" ht="13" x14ac:dyDescent="0.3">
      <c r="A17" s="41" t="s">
        <v>8</v>
      </c>
      <c r="B17" s="474">
        <f>SUM('Inc Stmnt 12 mo 8.1.18  7.31.19'!N61:N66)+'Inc Stmnt 12 mo 8.1.18  7.31.19'!Q68</f>
        <v>210235.49763626925</v>
      </c>
      <c r="C17" s="465">
        <v>0</v>
      </c>
      <c r="D17" s="460">
        <f t="shared" si="6"/>
        <v>210235.49763626925</v>
      </c>
      <c r="E17" s="498"/>
      <c r="F17" s="38">
        <v>0</v>
      </c>
      <c r="G17" s="221">
        <f>D17+F17</f>
        <v>210235.49763626925</v>
      </c>
      <c r="H17" s="514"/>
      <c r="I17" s="226">
        <v>0</v>
      </c>
      <c r="J17" s="28">
        <f t="shared" si="1"/>
        <v>210235.49763626925</v>
      </c>
      <c r="K17" s="221"/>
      <c r="L17" s="529"/>
      <c r="M17" s="529">
        <f t="shared" si="5"/>
        <v>210235.49763626925</v>
      </c>
      <c r="N17" s="155"/>
      <c r="O17" s="156">
        <f>J17*$W$9</f>
        <v>15021.895289852731</v>
      </c>
      <c r="P17" s="157">
        <f t="shared" si="7"/>
        <v>195213.60234641653</v>
      </c>
      <c r="Q17" s="147"/>
      <c r="R17" s="189" t="s">
        <v>207</v>
      </c>
      <c r="S17" s="190"/>
      <c r="T17" s="193">
        <f>J17/$J$18</f>
        <v>0.36661801908379799</v>
      </c>
      <c r="U17" s="194"/>
      <c r="V17" s="1257"/>
    </row>
    <row r="18" spans="1:22" ht="13" x14ac:dyDescent="0.3">
      <c r="A18" s="12" t="s">
        <v>9</v>
      </c>
      <c r="B18" s="14">
        <f t="shared" ref="B18:P18" si="8">SUM(B15:B17)</f>
        <v>588422.40999999992</v>
      </c>
      <c r="C18" s="459">
        <f t="shared" si="8"/>
        <v>14976.788964620187</v>
      </c>
      <c r="D18" s="14">
        <f t="shared" si="8"/>
        <v>573445.62103537982</v>
      </c>
      <c r="E18" s="500"/>
      <c r="F18" s="37">
        <f t="shared" si="8"/>
        <v>0</v>
      </c>
      <c r="G18" s="222">
        <f t="shared" si="8"/>
        <v>573445.62103537982</v>
      </c>
      <c r="H18" s="516"/>
      <c r="I18" s="226">
        <f>SUM(I15:I17)</f>
        <v>0</v>
      </c>
      <c r="J18" s="29">
        <f>SUM(J15:J17)</f>
        <v>573445.62103537982</v>
      </c>
      <c r="K18" s="222"/>
      <c r="L18" s="526">
        <f>SUM(L14:L17)</f>
        <v>0</v>
      </c>
      <c r="M18" s="526">
        <f>SUM(M14:M17)</f>
        <v>573445.62103537982</v>
      </c>
      <c r="N18" s="147"/>
      <c r="O18" s="148">
        <f t="shared" si="8"/>
        <v>40974.241602727037</v>
      </c>
      <c r="P18" s="149">
        <f t="shared" si="8"/>
        <v>532471.37943265273</v>
      </c>
      <c r="Q18" s="147"/>
      <c r="R18" s="189"/>
      <c r="S18" s="190"/>
      <c r="T18" s="191">
        <f>B18/$B$18</f>
        <v>1</v>
      </c>
      <c r="U18" s="192"/>
    </row>
    <row r="19" spans="1:22" ht="6.75" customHeight="1" x14ac:dyDescent="0.3">
      <c r="A19" s="8"/>
      <c r="B19" s="14"/>
      <c r="C19" s="459"/>
      <c r="D19" s="14"/>
      <c r="E19" s="497"/>
      <c r="F19" s="37"/>
      <c r="G19" s="219"/>
      <c r="H19" s="513"/>
      <c r="I19" s="226"/>
      <c r="J19" s="26"/>
      <c r="K19" s="219"/>
      <c r="L19" s="528"/>
      <c r="M19" s="528"/>
      <c r="N19" s="147"/>
      <c r="O19" s="148"/>
      <c r="P19" s="149"/>
      <c r="Q19" s="147"/>
      <c r="R19" s="150"/>
      <c r="S19" s="134"/>
      <c r="T19" s="135"/>
      <c r="U19" s="136"/>
    </row>
    <row r="20" spans="1:22" ht="13" x14ac:dyDescent="0.3">
      <c r="A20" s="12" t="s">
        <v>10</v>
      </c>
      <c r="B20" s="14"/>
      <c r="C20" s="459"/>
      <c r="D20" s="14"/>
      <c r="E20" s="497"/>
      <c r="F20" s="49"/>
      <c r="G20" s="219"/>
      <c r="H20" s="513"/>
      <c r="I20" s="228"/>
      <c r="J20" s="26"/>
      <c r="K20" s="219"/>
      <c r="L20" s="528"/>
      <c r="M20" s="528"/>
      <c r="N20" s="147"/>
      <c r="O20" s="158"/>
      <c r="P20" s="149"/>
      <c r="Q20" s="147"/>
      <c r="R20" s="150"/>
      <c r="S20" s="134"/>
      <c r="T20" s="135"/>
      <c r="U20" s="136"/>
    </row>
    <row r="21" spans="1:22" ht="12.75" customHeight="1" x14ac:dyDescent="0.3">
      <c r="A21" s="9" t="s">
        <v>11</v>
      </c>
      <c r="B21" s="475">
        <f>SUM('Inc Stmnt 12 mo 8.1.18  7.31.19'!N70:N72)</f>
        <v>44689.06</v>
      </c>
      <c r="C21" s="459">
        <v>0</v>
      </c>
      <c r="D21" s="459">
        <f t="shared" ref="D21:D23" si="9">B21-C21</f>
        <v>44689.06</v>
      </c>
      <c r="E21" s="497"/>
      <c r="F21" s="37">
        <v>0</v>
      </c>
      <c r="G21" s="219">
        <f>D21+F21</f>
        <v>44689.06</v>
      </c>
      <c r="H21" s="1197" t="s">
        <v>844</v>
      </c>
      <c r="I21" s="512">
        <f>'Proforma Company Adj'!B26</f>
        <v>5608.2200000000012</v>
      </c>
      <c r="J21" s="26">
        <f t="shared" si="1"/>
        <v>50297.279999999999</v>
      </c>
      <c r="K21" s="219"/>
      <c r="L21" s="528"/>
      <c r="M21" s="528">
        <f t="shared" ref="M21:M23" si="10">J21+L21</f>
        <v>50297.279999999999</v>
      </c>
      <c r="N21" s="147"/>
      <c r="O21" s="148">
        <f>J21*$W$9</f>
        <v>3593.8767811304992</v>
      </c>
      <c r="P21" s="149">
        <f t="shared" ref="P21:P23" si="11">J21-O21</f>
        <v>46703.403218869498</v>
      </c>
      <c r="Q21" s="147"/>
      <c r="R21" s="183" t="s">
        <v>208</v>
      </c>
      <c r="S21" s="184"/>
      <c r="T21" s="185">
        <f>B21/$B$18</f>
        <v>7.5947243409713108E-2</v>
      </c>
      <c r="U21" s="1263" t="s">
        <v>204</v>
      </c>
      <c r="V21" s="1" t="s">
        <v>320</v>
      </c>
    </row>
    <row r="22" spans="1:22" ht="13" x14ac:dyDescent="0.3">
      <c r="A22" s="9" t="s">
        <v>12</v>
      </c>
      <c r="B22" s="475">
        <f>SUM('Inc Stmnt 12 mo 8.1.18  7.31.19'!N73:N76)</f>
        <v>75035.459999999992</v>
      </c>
      <c r="C22" s="459">
        <v>0</v>
      </c>
      <c r="D22" s="459">
        <f t="shared" si="9"/>
        <v>75035.459999999992</v>
      </c>
      <c r="E22" s="497"/>
      <c r="F22" s="37">
        <v>0</v>
      </c>
      <c r="G22" s="219">
        <f>D22+F22</f>
        <v>75035.459999999992</v>
      </c>
      <c r="H22" s="664"/>
      <c r="I22" s="512">
        <v>0</v>
      </c>
      <c r="J22" s="26">
        <f t="shared" si="1"/>
        <v>75035.459999999992</v>
      </c>
      <c r="K22" s="219"/>
      <c r="L22" s="528"/>
      <c r="M22" s="528">
        <f t="shared" si="10"/>
        <v>75035.459999999992</v>
      </c>
      <c r="N22" s="147"/>
      <c r="O22" s="148">
        <f>J22*$W$9</f>
        <v>5361.4866938221367</v>
      </c>
      <c r="P22" s="149">
        <f t="shared" si="11"/>
        <v>69673.973306177853</v>
      </c>
      <c r="Q22" s="147"/>
      <c r="R22" s="183" t="s">
        <v>208</v>
      </c>
      <c r="S22" s="184"/>
      <c r="T22" s="185">
        <f>B22/$B$18</f>
        <v>0.1275197183601488</v>
      </c>
      <c r="U22" s="1263"/>
      <c r="V22" s="1240" t="s">
        <v>897</v>
      </c>
    </row>
    <row r="23" spans="1:22" ht="13" x14ac:dyDescent="0.3">
      <c r="A23" s="42" t="s">
        <v>8</v>
      </c>
      <c r="B23" s="476">
        <f>'Inc Stmnt 12 mo 8.1.18  7.31.19'!N77</f>
        <v>-202.66</v>
      </c>
      <c r="C23" s="460">
        <v>0</v>
      </c>
      <c r="D23" s="460">
        <f t="shared" si="9"/>
        <v>-202.66</v>
      </c>
      <c r="E23" s="498"/>
      <c r="F23" s="38">
        <f>'Proforma Restating Adj'!B24</f>
        <v>0</v>
      </c>
      <c r="G23" s="221">
        <f>D23+F23</f>
        <v>-202.66</v>
      </c>
      <c r="H23" s="514"/>
      <c r="I23" s="227">
        <v>0</v>
      </c>
      <c r="J23" s="28">
        <f t="shared" si="1"/>
        <v>-202.66</v>
      </c>
      <c r="K23" s="221"/>
      <c r="L23" s="529"/>
      <c r="M23" s="529">
        <f t="shared" si="10"/>
        <v>-202.66</v>
      </c>
      <c r="N23" s="155"/>
      <c r="O23" s="156">
        <f>J23*$W$9</f>
        <v>-14.480605481328354</v>
      </c>
      <c r="P23" s="157">
        <f t="shared" si="11"/>
        <v>-188.17939451867164</v>
      </c>
      <c r="Q23" s="147"/>
      <c r="R23" s="183" t="s">
        <v>208</v>
      </c>
      <c r="S23" s="184"/>
      <c r="T23" s="187">
        <f>B23/$B$18</f>
        <v>-3.4441244343498073E-4</v>
      </c>
      <c r="U23" s="1263"/>
      <c r="V23" s="1251"/>
    </row>
    <row r="24" spans="1:22" ht="13" x14ac:dyDescent="0.3">
      <c r="A24" s="10" t="s">
        <v>13</v>
      </c>
      <c r="B24" s="14">
        <f>SUM(B21:B23)</f>
        <v>119521.85999999999</v>
      </c>
      <c r="C24" s="459">
        <f>SUM(C21:C23)</f>
        <v>0</v>
      </c>
      <c r="D24" s="14">
        <f>SUM(D21:D23)</f>
        <v>119521.85999999999</v>
      </c>
      <c r="E24" s="500"/>
      <c r="F24" s="37">
        <f>SUM(F21:F23)</f>
        <v>0</v>
      </c>
      <c r="G24" s="222">
        <f>SUM(G21:G23)</f>
        <v>119521.85999999999</v>
      </c>
      <c r="H24" s="516"/>
      <c r="I24" s="226">
        <f>SUM(I21:I23)</f>
        <v>5608.2200000000012</v>
      </c>
      <c r="J24" s="29">
        <f>SUM(J21:J23)</f>
        <v>125130.07999999999</v>
      </c>
      <c r="K24" s="222"/>
      <c r="L24" s="526">
        <f>SUM(L21:L23)</f>
        <v>0</v>
      </c>
      <c r="M24" s="526">
        <f>SUM(M21:M23)</f>
        <v>125130.07999999999</v>
      </c>
      <c r="N24" s="147"/>
      <c r="O24" s="148">
        <f>SUM(O21:O23)</f>
        <v>8940.8828694713065</v>
      </c>
      <c r="P24" s="149">
        <f>SUM(P21:P23)</f>
        <v>116189.19713052869</v>
      </c>
      <c r="Q24" s="147"/>
      <c r="R24" s="183"/>
      <c r="S24" s="184"/>
      <c r="T24" s="185">
        <f>B24/$B$18</f>
        <v>0.20312254932642693</v>
      </c>
      <c r="U24" s="1263"/>
    </row>
    <row r="25" spans="1:22" ht="6.75" customHeight="1" x14ac:dyDescent="0.3">
      <c r="A25" s="4"/>
      <c r="B25" s="14"/>
      <c r="C25" s="459"/>
      <c r="D25" s="14"/>
      <c r="E25" s="497"/>
      <c r="F25" s="37"/>
      <c r="G25" s="219"/>
      <c r="H25" s="513"/>
      <c r="I25" s="226"/>
      <c r="J25" s="26"/>
      <c r="K25" s="219"/>
      <c r="L25" s="528"/>
      <c r="M25" s="528"/>
      <c r="N25" s="147"/>
      <c r="O25" s="148"/>
      <c r="P25" s="149"/>
      <c r="Q25" s="147"/>
      <c r="R25" s="150"/>
      <c r="S25" s="134"/>
      <c r="T25" s="135"/>
      <c r="U25" s="136"/>
    </row>
    <row r="26" spans="1:22" ht="13" x14ac:dyDescent="0.3">
      <c r="A26" s="10" t="s">
        <v>14</v>
      </c>
      <c r="B26" s="14"/>
      <c r="C26" s="459"/>
      <c r="D26" s="14"/>
      <c r="E26" s="497"/>
      <c r="F26" s="37"/>
      <c r="G26" s="219"/>
      <c r="H26" s="513"/>
      <c r="I26" s="226"/>
      <c r="J26" s="26"/>
      <c r="K26" s="219"/>
      <c r="L26" s="528"/>
      <c r="M26" s="528"/>
      <c r="N26" s="147"/>
      <c r="O26" s="148"/>
      <c r="P26" s="149"/>
      <c r="Q26" s="147"/>
      <c r="R26" s="150"/>
      <c r="S26" s="134"/>
      <c r="T26" s="135"/>
      <c r="U26" s="136"/>
    </row>
    <row r="27" spans="1:22" ht="13" x14ac:dyDescent="0.3">
      <c r="A27" s="8" t="s">
        <v>15</v>
      </c>
      <c r="B27" s="477">
        <f>SUM('Inc Stmnt 12 mo 8.1.18  7.31.19'!N84:N87)</f>
        <v>19590.699999999997</v>
      </c>
      <c r="C27" s="1180">
        <f>B27*$C$85</f>
        <v>277.75576222684703</v>
      </c>
      <c r="D27" s="459">
        <f t="shared" ref="D27:D34" si="12">B27-C27</f>
        <v>19312.94423777315</v>
      </c>
      <c r="E27" s="497"/>
      <c r="F27" s="37">
        <f>'Proforma Restating Adj'!B8</f>
        <v>0</v>
      </c>
      <c r="G27" s="219">
        <f t="shared" ref="G27:G34" si="13">D27+F27</f>
        <v>19312.94423777315</v>
      </c>
      <c r="H27" s="664"/>
      <c r="I27" s="512">
        <v>0</v>
      </c>
      <c r="J27" s="26">
        <f t="shared" si="1"/>
        <v>19312.94423777315</v>
      </c>
      <c r="K27" s="219"/>
      <c r="L27" s="528"/>
      <c r="M27" s="528">
        <f t="shared" ref="M27:M34" si="14">J27+L27</f>
        <v>19312.94423777315</v>
      </c>
      <c r="N27" s="147"/>
      <c r="O27" s="148">
        <f t="shared" ref="O27:O34" si="15">J27*$W$9</f>
        <v>1379.9621345607752</v>
      </c>
      <c r="P27" s="149">
        <f t="shared" ref="P27:P34" si="16">J27-O27</f>
        <v>17932.982103212376</v>
      </c>
      <c r="Q27" s="147"/>
      <c r="R27" s="195" t="s">
        <v>206</v>
      </c>
      <c r="S27" s="196"/>
      <c r="T27" s="197">
        <f>J27/$J$35</f>
        <v>2.8916567890818552E-2</v>
      </c>
      <c r="U27" s="198"/>
      <c r="V27" s="1" t="s">
        <v>321</v>
      </c>
    </row>
    <row r="28" spans="1:22" ht="13" x14ac:dyDescent="0.3">
      <c r="A28" s="8" t="s">
        <v>16</v>
      </c>
      <c r="B28" s="478">
        <f>SUM('Inc Stmnt 12 mo 8.1.18  7.31.19'!N78:N82)</f>
        <v>285246.83</v>
      </c>
      <c r="C28" s="459">
        <f>Charters!B10</f>
        <v>694.61892508948779</v>
      </c>
      <c r="D28" s="459">
        <f t="shared" si="12"/>
        <v>284552.21107491053</v>
      </c>
      <c r="F28" s="37">
        <f>'Proforma Restating Adj'!B7</f>
        <v>0</v>
      </c>
      <c r="G28" s="219">
        <f t="shared" si="13"/>
        <v>284552.21107491053</v>
      </c>
      <c r="H28" s="664"/>
      <c r="I28" s="512">
        <v>0</v>
      </c>
      <c r="J28" s="26">
        <f t="shared" si="1"/>
        <v>284552.21107491053</v>
      </c>
      <c r="K28" s="219"/>
      <c r="L28" s="528"/>
      <c r="M28" s="528">
        <f t="shared" si="14"/>
        <v>284552.21107491053</v>
      </c>
      <c r="N28" s="147"/>
      <c r="O28" s="148">
        <f t="shared" si="15"/>
        <v>20332.025596641924</v>
      </c>
      <c r="P28" s="149">
        <f t="shared" si="16"/>
        <v>264220.1854782686</v>
      </c>
      <c r="Q28" s="147"/>
      <c r="R28" s="195" t="s">
        <v>209</v>
      </c>
      <c r="S28" s="196"/>
      <c r="T28" s="197">
        <f t="shared" ref="T28:T34" si="17">J28/$J$35</f>
        <v>0.42604966020338542</v>
      </c>
      <c r="U28" s="198"/>
      <c r="V28" s="1244" t="s">
        <v>118</v>
      </c>
    </row>
    <row r="29" spans="1:22" ht="13" x14ac:dyDescent="0.3">
      <c r="A29" s="4" t="s">
        <v>17</v>
      </c>
      <c r="B29" s="479">
        <f>SUM('Inc Stmnt 12 mo 8.1.18  7.31.19'!N93:N99)+SUM('Inc Stmnt 12 mo 8.1.18  7.31.19'!N117:N120)+'Inc Stmnt 12 mo 8.1.18  7.31.19'!N69+'Inc Stmnt 12 mo 8.1.18  7.31.19'!N83+'Inc Stmnt 12 mo 8.1.18  7.31.19'!N103</f>
        <v>18362.88</v>
      </c>
      <c r="C29" s="459">
        <v>0</v>
      </c>
      <c r="D29" s="459">
        <f t="shared" si="12"/>
        <v>18362.88</v>
      </c>
      <c r="E29" s="497"/>
      <c r="F29" s="37">
        <v>0</v>
      </c>
      <c r="G29" s="219">
        <f t="shared" si="13"/>
        <v>18362.88</v>
      </c>
      <c r="H29" s="513"/>
      <c r="I29" s="512">
        <v>0</v>
      </c>
      <c r="J29" s="26">
        <f t="shared" si="1"/>
        <v>18362.88</v>
      </c>
      <c r="K29" s="219"/>
      <c r="L29" s="528"/>
      <c r="M29" s="528">
        <f t="shared" si="14"/>
        <v>18362.88</v>
      </c>
      <c r="N29" s="147"/>
      <c r="O29" s="148">
        <f t="shared" si="15"/>
        <v>1312.077473507228</v>
      </c>
      <c r="P29" s="149">
        <f t="shared" si="16"/>
        <v>17050.802526492775</v>
      </c>
      <c r="Q29" s="147"/>
      <c r="R29" s="195" t="s">
        <v>206</v>
      </c>
      <c r="S29" s="196"/>
      <c r="T29" s="197">
        <f t="shared" si="17"/>
        <v>2.749407131577673E-2</v>
      </c>
      <c r="U29" s="198"/>
      <c r="V29" s="1257"/>
    </row>
    <row r="30" spans="1:22" ht="13" x14ac:dyDescent="0.3">
      <c r="A30" s="8" t="s">
        <v>18</v>
      </c>
      <c r="B30" s="480">
        <f>SUM('Inc Stmnt 12 mo 8.1.18  7.31.19'!N114:N116)</f>
        <v>10176.709999999999</v>
      </c>
      <c r="C30" s="459">
        <v>0</v>
      </c>
      <c r="D30" s="459">
        <f t="shared" si="12"/>
        <v>10176.709999999999</v>
      </c>
      <c r="E30" s="497"/>
      <c r="F30" s="37">
        <v>0</v>
      </c>
      <c r="G30" s="219">
        <f t="shared" si="13"/>
        <v>10176.709999999999</v>
      </c>
      <c r="H30" s="868" t="s">
        <v>41</v>
      </c>
      <c r="I30" s="226">
        <f>'Proforma Company Adj'!B5</f>
        <v>175000</v>
      </c>
      <c r="J30" s="26">
        <f t="shared" si="1"/>
        <v>185176.71</v>
      </c>
      <c r="K30" s="219"/>
      <c r="L30" s="528"/>
      <c r="M30" s="528">
        <f t="shared" si="14"/>
        <v>185176.71</v>
      </c>
      <c r="N30" s="147"/>
      <c r="O30" s="148">
        <f t="shared" si="15"/>
        <v>13231.377093853502</v>
      </c>
      <c r="P30" s="149">
        <f t="shared" si="16"/>
        <v>171945.33290614648</v>
      </c>
      <c r="Q30" s="147"/>
      <c r="R30" s="195" t="s">
        <v>206</v>
      </c>
      <c r="S30" s="196"/>
      <c r="T30" s="197">
        <f t="shared" si="17"/>
        <v>0.27725834241474678</v>
      </c>
      <c r="U30" s="198"/>
    </row>
    <row r="31" spans="1:22" ht="13" x14ac:dyDescent="0.3">
      <c r="A31" s="9" t="s">
        <v>19</v>
      </c>
      <c r="B31" s="455">
        <f>SUM('Inc Stmnt 12 mo 8.1.18  7.31.19'!N34:N38)</f>
        <v>27042.470000000005</v>
      </c>
      <c r="C31" s="459">
        <f>B31</f>
        <v>27042.470000000005</v>
      </c>
      <c r="D31" s="459">
        <f t="shared" si="12"/>
        <v>0</v>
      </c>
      <c r="E31" s="497"/>
      <c r="F31" s="37">
        <v>0</v>
      </c>
      <c r="G31" s="219">
        <f t="shared" si="13"/>
        <v>0</v>
      </c>
      <c r="H31" s="664"/>
      <c r="I31" s="512">
        <v>0</v>
      </c>
      <c r="J31" s="26">
        <f t="shared" si="1"/>
        <v>0</v>
      </c>
      <c r="K31" s="219"/>
      <c r="L31" s="528"/>
      <c r="M31" s="528">
        <f t="shared" si="14"/>
        <v>0</v>
      </c>
      <c r="N31" s="147"/>
      <c r="O31" s="148">
        <f t="shared" si="15"/>
        <v>0</v>
      </c>
      <c r="P31" s="149">
        <f t="shared" si="16"/>
        <v>0</v>
      </c>
      <c r="Q31" s="147"/>
      <c r="R31" s="195" t="s">
        <v>206</v>
      </c>
      <c r="S31" s="196"/>
      <c r="T31" s="197">
        <f t="shared" si="17"/>
        <v>0</v>
      </c>
      <c r="U31" s="198"/>
    </row>
    <row r="32" spans="1:22" ht="13" x14ac:dyDescent="0.3">
      <c r="A32" s="9" t="s">
        <v>20</v>
      </c>
      <c r="B32" s="481">
        <f>SUM('Inc Stmnt 12 mo 8.1.18  7.31.19'!N104:N108)</f>
        <v>53908.579999999994</v>
      </c>
      <c r="C32" s="1180">
        <f>B32*$C$85</f>
        <v>764.31259365244534</v>
      </c>
      <c r="D32" s="459">
        <f t="shared" si="12"/>
        <v>53144.26740634755</v>
      </c>
      <c r="E32" s="497"/>
      <c r="F32" s="37">
        <f>'Proforma Restating Adj'!B9</f>
        <v>0</v>
      </c>
      <c r="G32" s="219">
        <f t="shared" si="13"/>
        <v>53144.26740634755</v>
      </c>
      <c r="H32" s="868"/>
      <c r="I32" s="512">
        <v>0</v>
      </c>
      <c r="J32" s="26">
        <f t="shared" si="1"/>
        <v>53144.26740634755</v>
      </c>
      <c r="K32" s="219"/>
      <c r="L32" s="528"/>
      <c r="M32" s="528">
        <f t="shared" si="14"/>
        <v>53144.26740634755</v>
      </c>
      <c r="N32" s="147"/>
      <c r="O32" s="148">
        <f t="shared" si="15"/>
        <v>3797.3017364331199</v>
      </c>
      <c r="P32" s="149">
        <f t="shared" si="16"/>
        <v>49346.965669914433</v>
      </c>
      <c r="Q32" s="147"/>
      <c r="R32" s="195" t="s">
        <v>206</v>
      </c>
      <c r="S32" s="196"/>
      <c r="T32" s="197">
        <f t="shared" si="17"/>
        <v>7.9570975690895343E-2</v>
      </c>
      <c r="U32" s="198"/>
    </row>
    <row r="33" spans="1:22" ht="13" x14ac:dyDescent="0.3">
      <c r="A33" s="9" t="s">
        <v>21</v>
      </c>
      <c r="B33" s="482">
        <f>SUM('Inc Stmnt 12 mo 8.1.18  7.31.19'!N125:N128)</f>
        <v>84900.45</v>
      </c>
      <c r="C33" s="1180">
        <f>B33*$C$85</f>
        <v>1203.7134560353797</v>
      </c>
      <c r="D33" s="459">
        <f t="shared" si="12"/>
        <v>83696.736543964624</v>
      </c>
      <c r="E33" s="497"/>
      <c r="F33" s="37">
        <f>'Proforma Restating Adj'!B17</f>
        <v>0</v>
      </c>
      <c r="G33" s="219">
        <f t="shared" si="13"/>
        <v>83696.736543964624</v>
      </c>
      <c r="H33" s="871" t="s">
        <v>796</v>
      </c>
      <c r="I33" s="512">
        <f>'Proforma Company Adj'!B18</f>
        <v>23639.33</v>
      </c>
      <c r="J33" s="26">
        <f t="shared" si="1"/>
        <v>107336.06654396463</v>
      </c>
      <c r="K33" s="219"/>
      <c r="L33" s="528"/>
      <c r="M33" s="528">
        <f t="shared" si="14"/>
        <v>107336.06654396463</v>
      </c>
      <c r="N33" s="147"/>
      <c r="O33" s="148">
        <f t="shared" si="15"/>
        <v>7669.4524501172364</v>
      </c>
      <c r="P33" s="149">
        <f t="shared" si="16"/>
        <v>99666.614093847384</v>
      </c>
      <c r="Q33" s="147"/>
      <c r="R33" s="195" t="s">
        <v>207</v>
      </c>
      <c r="S33" s="196"/>
      <c r="T33" s="197">
        <f t="shared" si="17"/>
        <v>0.16071038248437716</v>
      </c>
      <c r="U33" s="198"/>
    </row>
    <row r="34" spans="1:22" ht="13" x14ac:dyDescent="0.3">
      <c r="A34" s="40" t="s">
        <v>675</v>
      </c>
      <c r="B34" s="465"/>
      <c r="C34" s="465"/>
      <c r="D34" s="460">
        <f t="shared" si="12"/>
        <v>0</v>
      </c>
      <c r="E34" s="498"/>
      <c r="F34" s="38">
        <v>0</v>
      </c>
      <c r="G34" s="221">
        <f t="shared" si="13"/>
        <v>0</v>
      </c>
      <c r="H34" s="514"/>
      <c r="I34" s="227">
        <v>0</v>
      </c>
      <c r="J34" s="28">
        <f t="shared" si="1"/>
        <v>0</v>
      </c>
      <c r="K34" s="221"/>
      <c r="L34" s="529"/>
      <c r="M34" s="529">
        <f t="shared" si="14"/>
        <v>0</v>
      </c>
      <c r="N34" s="155"/>
      <c r="O34" s="156">
        <f t="shared" si="15"/>
        <v>0</v>
      </c>
      <c r="P34" s="157">
        <f t="shared" si="16"/>
        <v>0</v>
      </c>
      <c r="Q34" s="147"/>
      <c r="R34" s="195" t="s">
        <v>209</v>
      </c>
      <c r="S34" s="196"/>
      <c r="T34" s="199">
        <f t="shared" si="17"/>
        <v>0</v>
      </c>
      <c r="U34" s="198"/>
    </row>
    <row r="35" spans="1:22" ht="13" x14ac:dyDescent="0.3">
      <c r="A35" s="10" t="s">
        <v>22</v>
      </c>
      <c r="B35" s="14">
        <f t="shared" ref="B35:P35" si="18">SUM(B27:B34)</f>
        <v>499228.62000000011</v>
      </c>
      <c r="C35" s="459">
        <f t="shared" si="18"/>
        <v>29982.870737004167</v>
      </c>
      <c r="D35" s="14">
        <f t="shared" si="18"/>
        <v>469245.7492629959</v>
      </c>
      <c r="E35" s="500"/>
      <c r="F35" s="536">
        <f t="shared" si="18"/>
        <v>0</v>
      </c>
      <c r="G35" s="229">
        <f t="shared" si="18"/>
        <v>469245.7492629959</v>
      </c>
      <c r="H35" s="516"/>
      <c r="I35" s="536">
        <f t="shared" si="18"/>
        <v>198639.33000000002</v>
      </c>
      <c r="J35" s="229">
        <f t="shared" si="18"/>
        <v>667885.07926299586</v>
      </c>
      <c r="K35" s="14"/>
      <c r="L35" s="530">
        <f t="shared" si="18"/>
        <v>0</v>
      </c>
      <c r="M35" s="530">
        <f>SUM(M27:M34)</f>
        <v>667885.07926299586</v>
      </c>
      <c r="N35" s="532">
        <f t="shared" si="18"/>
        <v>0</v>
      </c>
      <c r="O35" s="159">
        <f t="shared" si="18"/>
        <v>47722.196485113782</v>
      </c>
      <c r="P35" s="159">
        <f t="shared" si="18"/>
        <v>620162.88277788204</v>
      </c>
      <c r="Q35" s="147"/>
      <c r="R35" s="195"/>
      <c r="S35" s="196"/>
      <c r="T35" s="197">
        <f t="shared" ref="T35" si="19">B35/$B$35</f>
        <v>1</v>
      </c>
      <c r="U35" s="198"/>
    </row>
    <row r="36" spans="1:22" ht="6" customHeight="1" x14ac:dyDescent="0.3">
      <c r="A36" s="4"/>
      <c r="B36" s="14"/>
      <c r="C36" s="459"/>
      <c r="D36" s="14"/>
      <c r="E36" s="497"/>
      <c r="F36" s="37"/>
      <c r="G36" s="219"/>
      <c r="H36" s="513"/>
      <c r="I36" s="226"/>
      <c r="J36" s="26"/>
      <c r="K36" s="219"/>
      <c r="L36" s="528"/>
      <c r="M36" s="528"/>
      <c r="N36" s="147"/>
      <c r="O36" s="148"/>
      <c r="P36" s="149"/>
      <c r="Q36" s="147"/>
      <c r="R36" s="150"/>
      <c r="S36" s="134"/>
      <c r="T36" s="135"/>
      <c r="U36" s="136"/>
    </row>
    <row r="37" spans="1:22" ht="15.5" x14ac:dyDescent="0.35">
      <c r="A37" s="10" t="s">
        <v>23</v>
      </c>
      <c r="B37" s="14"/>
      <c r="C37" s="459"/>
      <c r="D37" s="14"/>
      <c r="E37" s="501"/>
      <c r="F37" s="37"/>
      <c r="G37" s="223"/>
      <c r="H37" s="517"/>
      <c r="I37" s="226"/>
      <c r="J37" s="30"/>
      <c r="K37" s="223"/>
      <c r="L37" s="531"/>
      <c r="M37" s="531"/>
      <c r="N37" s="160"/>
      <c r="O37" s="148"/>
      <c r="P37" s="161"/>
      <c r="Q37" s="160"/>
      <c r="R37" s="162"/>
      <c r="S37" s="134"/>
      <c r="T37" s="135"/>
      <c r="U37" s="136"/>
    </row>
    <row r="38" spans="1:22" ht="13" x14ac:dyDescent="0.3">
      <c r="A38" s="7" t="s">
        <v>24</v>
      </c>
      <c r="B38" s="483">
        <f>SUM('Inc Stmnt 12 mo 8.1.18  7.31.19'!N92+'Inc Stmnt 12 mo 8.1.18  7.31.19'!N100+'Inc Stmnt 12 mo 8.1.18  7.31.19'!N101+'Inc Stmnt 12 mo 8.1.18  7.31.19'!N102+'Inc Stmnt 12 mo 8.1.18  7.31.19'!N152)</f>
        <v>9721.6999999999989</v>
      </c>
      <c r="C38" s="512">
        <v>0</v>
      </c>
      <c r="D38" s="512">
        <f t="shared" ref="D38:D48" si="20">B38-C38</f>
        <v>9721.6999999999989</v>
      </c>
      <c r="E38" s="497"/>
      <c r="F38" s="37">
        <v>0</v>
      </c>
      <c r="G38" s="219">
        <f t="shared" ref="G38:G48" si="21">D38+F38</f>
        <v>9721.6999999999989</v>
      </c>
      <c r="H38" s="518"/>
      <c r="I38" s="226">
        <v>0</v>
      </c>
      <c r="J38" s="26">
        <f t="shared" si="1"/>
        <v>9721.6999999999989</v>
      </c>
      <c r="K38" s="219"/>
      <c r="L38" s="528"/>
      <c r="M38" s="528">
        <f t="shared" ref="M38:M48" si="22">J38+L38</f>
        <v>9721.6999999999989</v>
      </c>
      <c r="N38" s="147"/>
      <c r="O38" s="148">
        <f t="shared" ref="O38:O48" si="23">J38*$W$9</f>
        <v>694.64177591942087</v>
      </c>
      <c r="P38" s="149">
        <f t="shared" ref="P38:P48" si="24">J38-O38</f>
        <v>9027.0582240805779</v>
      </c>
      <c r="Q38" s="147"/>
      <c r="R38" s="195" t="s">
        <v>210</v>
      </c>
      <c r="S38" s="196"/>
      <c r="T38" s="197">
        <f>J38/$J$49</f>
        <v>3.6157190620583396E-2</v>
      </c>
      <c r="U38" s="198"/>
      <c r="V38" s="1" t="s">
        <v>321</v>
      </c>
    </row>
    <row r="39" spans="1:22" ht="13" x14ac:dyDescent="0.3">
      <c r="A39" s="7" t="s">
        <v>25</v>
      </c>
      <c r="B39" s="484">
        <f>SUM('Inc Stmnt 12 mo 8.1.18  7.31.19'!N142:N143)</f>
        <v>35815.869999999995</v>
      </c>
      <c r="C39" s="1180">
        <f t="shared" ref="C39:C47" si="25">B39*$C$85</f>
        <v>507.79524323621223</v>
      </c>
      <c r="D39" s="459">
        <f t="shared" si="20"/>
        <v>35308.074756763781</v>
      </c>
      <c r="E39" s="497"/>
      <c r="F39" s="37">
        <v>0</v>
      </c>
      <c r="G39" s="219">
        <f t="shared" si="21"/>
        <v>35308.074756763781</v>
      </c>
      <c r="H39" s="871" t="s">
        <v>801</v>
      </c>
      <c r="I39" s="226">
        <f>'Proforma Company Adj'!B21</f>
        <v>-15320</v>
      </c>
      <c r="J39" s="26">
        <f t="shared" si="1"/>
        <v>19988.074756763781</v>
      </c>
      <c r="K39" s="219"/>
      <c r="L39" s="528"/>
      <c r="M39" s="528">
        <f t="shared" si="22"/>
        <v>19988.074756763781</v>
      </c>
      <c r="N39" s="147"/>
      <c r="O39" s="148">
        <f t="shared" si="23"/>
        <v>1428.2020373235691</v>
      </c>
      <c r="P39" s="149">
        <f t="shared" si="24"/>
        <v>18559.872719440213</v>
      </c>
      <c r="Q39" s="147"/>
      <c r="R39" s="195" t="s">
        <v>210</v>
      </c>
      <c r="S39" s="196"/>
      <c r="T39" s="197">
        <f t="shared" ref="T39:T48" si="26">J39/$J$49</f>
        <v>7.4340149265949285E-2</v>
      </c>
      <c r="U39" s="198"/>
      <c r="V39" s="1244" t="s">
        <v>118</v>
      </c>
    </row>
    <row r="40" spans="1:22" ht="13" x14ac:dyDescent="0.3">
      <c r="A40" s="7" t="s">
        <v>26</v>
      </c>
      <c r="B40" s="469">
        <f>SUM('Inc Stmnt 12 mo 8.1.18  7.31.19'!N144:N148)</f>
        <v>26753.369999999995</v>
      </c>
      <c r="C40" s="1180">
        <f t="shared" si="25"/>
        <v>379.30766519250778</v>
      </c>
      <c r="D40" s="459">
        <f t="shared" si="20"/>
        <v>26374.062334807488</v>
      </c>
      <c r="E40" s="497"/>
      <c r="F40" s="37">
        <v>0</v>
      </c>
      <c r="G40" s="219">
        <f t="shared" si="21"/>
        <v>26374.062334807488</v>
      </c>
      <c r="H40" s="518"/>
      <c r="I40" s="226">
        <v>0</v>
      </c>
      <c r="J40" s="26">
        <f t="shared" si="1"/>
        <v>26374.062334807488</v>
      </c>
      <c r="K40" s="219"/>
      <c r="L40" s="528"/>
      <c r="M40" s="528">
        <f t="shared" si="22"/>
        <v>26374.062334807488</v>
      </c>
      <c r="N40" s="147"/>
      <c r="O40" s="148">
        <f t="shared" si="23"/>
        <v>1884.4981328841852</v>
      </c>
      <c r="P40" s="149">
        <f t="shared" si="24"/>
        <v>24489.564201923302</v>
      </c>
      <c r="Q40" s="147"/>
      <c r="R40" s="195" t="s">
        <v>210</v>
      </c>
      <c r="S40" s="196"/>
      <c r="T40" s="197">
        <f t="shared" si="26"/>
        <v>9.8091074532106859E-2</v>
      </c>
      <c r="U40" s="198"/>
      <c r="V40" s="1257"/>
    </row>
    <row r="41" spans="1:22" ht="13" x14ac:dyDescent="0.3">
      <c r="A41" s="7" t="s">
        <v>27</v>
      </c>
      <c r="B41" s="485">
        <f>SUM('Inc Stmnt 12 mo 8.1.18  7.31.19'!N149:N150)</f>
        <v>6096.1200000000008</v>
      </c>
      <c r="C41" s="1180">
        <f t="shared" si="25"/>
        <v>86.430421436004181</v>
      </c>
      <c r="D41" s="459">
        <f t="shared" si="20"/>
        <v>6009.6895785639963</v>
      </c>
      <c r="E41" s="497"/>
      <c r="F41" s="37">
        <v>0</v>
      </c>
      <c r="G41" s="219">
        <f t="shared" si="21"/>
        <v>6009.6895785639963</v>
      </c>
      <c r="H41" s="871" t="s">
        <v>43</v>
      </c>
      <c r="I41" s="226">
        <f>'Proforma Company Adj'!B9</f>
        <v>25000</v>
      </c>
      <c r="J41" s="26">
        <f t="shared" si="1"/>
        <v>31009.689578563997</v>
      </c>
      <c r="K41" s="219"/>
      <c r="L41" s="528"/>
      <c r="M41" s="528">
        <f t="shared" si="22"/>
        <v>31009.689578563997</v>
      </c>
      <c r="N41" s="147"/>
      <c r="O41" s="148">
        <f t="shared" si="23"/>
        <v>2215.72624536487</v>
      </c>
      <c r="P41" s="149">
        <f t="shared" si="24"/>
        <v>28793.963333199128</v>
      </c>
      <c r="Q41" s="147"/>
      <c r="R41" s="195" t="s">
        <v>210</v>
      </c>
      <c r="S41" s="196"/>
      <c r="T41" s="197">
        <f t="shared" si="26"/>
        <v>0.11533201571507627</v>
      </c>
      <c r="U41" s="198"/>
    </row>
    <row r="42" spans="1:22" ht="13" x14ac:dyDescent="0.3">
      <c r="A42" s="7" t="s">
        <v>28</v>
      </c>
      <c r="B42" s="486">
        <f>SUM('Inc Stmnt 12 mo 8.1.18  7.31.19'!N121:N122)</f>
        <v>9868.58</v>
      </c>
      <c r="C42" s="1180">
        <f t="shared" si="25"/>
        <v>139.91613163371488</v>
      </c>
      <c r="D42" s="459">
        <f t="shared" si="20"/>
        <v>9728.6638683662859</v>
      </c>
      <c r="E42" s="497"/>
      <c r="F42" s="37">
        <v>0</v>
      </c>
      <c r="G42" s="219">
        <f t="shared" si="21"/>
        <v>9728.6638683662859</v>
      </c>
      <c r="H42" s="519"/>
      <c r="I42" s="226">
        <v>0</v>
      </c>
      <c r="J42" s="26">
        <f t="shared" si="1"/>
        <v>9728.6638683662859</v>
      </c>
      <c r="K42" s="219"/>
      <c r="L42" s="528">
        <f>L11*0.004</f>
        <v>843.22344124293613</v>
      </c>
      <c r="M42" s="528">
        <f t="shared" si="22"/>
        <v>10571.887309609221</v>
      </c>
      <c r="N42" s="147"/>
      <c r="O42" s="148">
        <f t="shared" si="23"/>
        <v>695.13936316128468</v>
      </c>
      <c r="P42" s="149">
        <f t="shared" si="24"/>
        <v>9033.5245052050013</v>
      </c>
      <c r="Q42" s="147"/>
      <c r="R42" s="195" t="s">
        <v>206</v>
      </c>
      <c r="S42" s="196"/>
      <c r="T42" s="197">
        <f t="shared" si="26"/>
        <v>3.6183090814579967E-2</v>
      </c>
      <c r="U42" s="198"/>
    </row>
    <row r="43" spans="1:22" ht="13" x14ac:dyDescent="0.3">
      <c r="A43" s="7" t="s">
        <v>29</v>
      </c>
      <c r="B43" s="487">
        <f>SUM('Inc Stmnt 12 mo 8.1.18  7.31.19'!N113)</f>
        <v>3600</v>
      </c>
      <c r="C43" s="1180">
        <f t="shared" si="25"/>
        <v>51.040582726326747</v>
      </c>
      <c r="D43" s="459">
        <f t="shared" si="20"/>
        <v>3548.9594172736734</v>
      </c>
      <c r="E43" s="497"/>
      <c r="F43" s="37">
        <v>0</v>
      </c>
      <c r="G43" s="219">
        <f t="shared" si="21"/>
        <v>3548.9594172736734</v>
      </c>
      <c r="H43" s="518"/>
      <c r="I43" s="226">
        <v>0</v>
      </c>
      <c r="J43" s="26">
        <f t="shared" si="1"/>
        <v>3548.9594172736734</v>
      </c>
      <c r="K43" s="219"/>
      <c r="L43" s="528"/>
      <c r="M43" s="528">
        <f t="shared" si="22"/>
        <v>3548.9594172736734</v>
      </c>
      <c r="N43" s="147"/>
      <c r="O43" s="148">
        <f t="shared" si="23"/>
        <v>253.58275530832447</v>
      </c>
      <c r="P43" s="149">
        <f t="shared" si="24"/>
        <v>3295.3766619653488</v>
      </c>
      <c r="Q43" s="147"/>
      <c r="R43" s="195" t="s">
        <v>206</v>
      </c>
      <c r="S43" s="196"/>
      <c r="T43" s="197">
        <f t="shared" si="26"/>
        <v>1.3199378931162121E-2</v>
      </c>
      <c r="U43" s="198"/>
    </row>
    <row r="44" spans="1:22" ht="13" x14ac:dyDescent="0.3">
      <c r="A44" s="7" t="s">
        <v>30</v>
      </c>
      <c r="B44" s="488">
        <f>SUM('Inc Stmnt 12 mo 8.1.18  7.31.19'!N109:N112)</f>
        <v>26952.340000000004</v>
      </c>
      <c r="C44" s="1180">
        <f t="shared" si="25"/>
        <v>382.12864984391268</v>
      </c>
      <c r="D44" s="459">
        <f t="shared" si="20"/>
        <v>26570.211350156093</v>
      </c>
      <c r="E44" s="497"/>
      <c r="F44" s="37">
        <v>0</v>
      </c>
      <c r="G44" s="219">
        <f t="shared" si="21"/>
        <v>26570.211350156093</v>
      </c>
      <c r="H44" s="518"/>
      <c r="I44" s="226">
        <v>0</v>
      </c>
      <c r="J44" s="26">
        <f t="shared" si="1"/>
        <v>26570.211350156093</v>
      </c>
      <c r="K44" s="219"/>
      <c r="L44" s="528"/>
      <c r="M44" s="528">
        <f t="shared" si="22"/>
        <v>26570.211350156093</v>
      </c>
      <c r="N44" s="147"/>
      <c r="O44" s="148">
        <f t="shared" si="23"/>
        <v>1898.5135108907684</v>
      </c>
      <c r="P44" s="149">
        <f t="shared" si="24"/>
        <v>24671.697839265325</v>
      </c>
      <c r="Q44" s="147"/>
      <c r="R44" s="195" t="s">
        <v>206</v>
      </c>
      <c r="S44" s="196"/>
      <c r="T44" s="197">
        <f t="shared" si="26"/>
        <v>9.8820596872643926E-2</v>
      </c>
      <c r="U44" s="198"/>
    </row>
    <row r="45" spans="1:22" ht="13" x14ac:dyDescent="0.3">
      <c r="A45" s="7" t="s">
        <v>803</v>
      </c>
      <c r="B45" s="495">
        <f>SUM('Inc Stmnt 12 mo 8.1.18  7.31.19'!N123+'Inc Stmnt 12 mo 8.1.18  7.31.19'!N124+'Inc Stmnt 12 mo 8.1.18  7.31.19'!N129+'Inc Stmnt 12 mo 8.1.18  7.31.19'!N130+'Inc Stmnt 12 mo 8.1.18  7.31.19'!N131)</f>
        <v>30237.160000000003</v>
      </c>
      <c r="C45" s="1180">
        <f t="shared" si="25"/>
        <v>428.70062955254951</v>
      </c>
      <c r="D45" s="459">
        <f t="shared" si="20"/>
        <v>29808.459370447454</v>
      </c>
      <c r="E45" s="497"/>
      <c r="F45" s="37">
        <f>'Proforma Restating Adj'!B21</f>
        <v>0</v>
      </c>
      <c r="G45" s="219">
        <f t="shared" si="21"/>
        <v>29808.459370447454</v>
      </c>
      <c r="H45" s="871" t="s">
        <v>267</v>
      </c>
      <c r="I45" s="226">
        <f>'Proforma Company Adj'!B14</f>
        <v>54386.06</v>
      </c>
      <c r="J45" s="26">
        <f t="shared" si="1"/>
        <v>84194.519370447451</v>
      </c>
      <c r="K45" s="219"/>
      <c r="L45" s="528"/>
      <c r="M45" s="528">
        <f t="shared" si="22"/>
        <v>84194.519370447451</v>
      </c>
      <c r="N45" s="147"/>
      <c r="O45" s="148">
        <f t="shared" si="23"/>
        <v>6015.9262740230315</v>
      </c>
      <c r="P45" s="149">
        <f t="shared" si="24"/>
        <v>78178.593096424418</v>
      </c>
      <c r="Q45" s="147"/>
      <c r="R45" s="195" t="s">
        <v>206</v>
      </c>
      <c r="S45" s="196"/>
      <c r="T45" s="197">
        <f t="shared" si="26"/>
        <v>0.31313836942979828</v>
      </c>
      <c r="U45" s="198"/>
    </row>
    <row r="46" spans="1:22" ht="13" x14ac:dyDescent="0.3">
      <c r="A46" s="7" t="s">
        <v>31</v>
      </c>
      <c r="B46" s="470">
        <f>SUM('Inc Stmnt 12 mo 8.1.18  7.31.19'!N132:N138)+'Inc Stmnt 12 mo 8.1.18  7.31.19'!N141</f>
        <v>13147.91</v>
      </c>
      <c r="C46" s="1180">
        <f t="shared" si="25"/>
        <v>186.41027445369409</v>
      </c>
      <c r="D46" s="459">
        <f t="shared" si="20"/>
        <v>12961.499725546306</v>
      </c>
      <c r="E46" s="497"/>
      <c r="F46" s="37">
        <f>'Proforma Restating Adj'!B11</f>
        <v>0</v>
      </c>
      <c r="G46" s="219">
        <f t="shared" si="21"/>
        <v>12961.499725546306</v>
      </c>
      <c r="H46" s="518"/>
      <c r="I46" s="226">
        <v>0</v>
      </c>
      <c r="J46" s="26">
        <f t="shared" si="1"/>
        <v>12961.499725546306</v>
      </c>
      <c r="K46" s="219"/>
      <c r="L46" s="528"/>
      <c r="M46" s="528">
        <f t="shared" si="22"/>
        <v>12961.499725546306</v>
      </c>
      <c r="N46" s="147"/>
      <c r="O46" s="148">
        <f t="shared" si="23"/>
        <v>926.13423454051997</v>
      </c>
      <c r="P46" s="149">
        <f t="shared" si="24"/>
        <v>12035.365491005787</v>
      </c>
      <c r="Q46" s="147"/>
      <c r="R46" s="195" t="s">
        <v>206</v>
      </c>
      <c r="S46" s="196"/>
      <c r="T46" s="197">
        <f t="shared" si="26"/>
        <v>4.8206735067448818E-2</v>
      </c>
      <c r="U46" s="198"/>
    </row>
    <row r="47" spans="1:22" ht="13" x14ac:dyDescent="0.3">
      <c r="A47" s="9" t="s">
        <v>32</v>
      </c>
      <c r="B47" s="477">
        <f>SUM('Inc Stmnt 12 mo 8.1.18  7.31.19'!N139:N140)</f>
        <v>20086.84</v>
      </c>
      <c r="C47" s="1180">
        <f t="shared" si="25"/>
        <v>284.79000520291368</v>
      </c>
      <c r="D47" s="459">
        <f t="shared" si="20"/>
        <v>19802.049994797086</v>
      </c>
      <c r="E47" s="497"/>
      <c r="F47" s="37">
        <v>0</v>
      </c>
      <c r="G47" s="219">
        <f t="shared" si="21"/>
        <v>19802.049994797086</v>
      </c>
      <c r="H47" s="519"/>
      <c r="I47" s="226">
        <v>0</v>
      </c>
      <c r="J47" s="26">
        <f t="shared" si="1"/>
        <v>19802.049994797086</v>
      </c>
      <c r="K47" s="219"/>
      <c r="L47" s="528">
        <f>L11*0.01926</f>
        <v>4060.1208695847372</v>
      </c>
      <c r="M47" s="528">
        <f t="shared" si="22"/>
        <v>23862.170864381824</v>
      </c>
      <c r="N47" s="147"/>
      <c r="O47" s="148">
        <f t="shared" si="23"/>
        <v>1414.9100646215177</v>
      </c>
      <c r="P47" s="149">
        <f t="shared" si="24"/>
        <v>18387.139930175566</v>
      </c>
      <c r="Q47" s="147"/>
      <c r="R47" s="195" t="s">
        <v>210</v>
      </c>
      <c r="S47" s="196"/>
      <c r="T47" s="197">
        <f>J47/J11</f>
        <v>1.2783305447285731E-2</v>
      </c>
      <c r="U47" s="200"/>
      <c r="V47" s="45"/>
    </row>
    <row r="48" spans="1:22" ht="13" x14ac:dyDescent="0.3">
      <c r="A48" s="40" t="s">
        <v>42</v>
      </c>
      <c r="B48" s="489">
        <f>SUM('Inc Stmnt 12 mo 8.1.18  7.31.19'!N88:N91)+'Inc Stmnt 12 mo 8.1.18  7.31.19'!N153</f>
        <v>92284.489999999991</v>
      </c>
      <c r="C48" s="1181">
        <f>(B48-'Inc Stmnt 12 mo 8.1.18  7.31.19'!N153)*'2020 Pro Forma Income State'!$C$85</f>
        <v>510.70781737773149</v>
      </c>
      <c r="D48" s="460">
        <f t="shared" si="20"/>
        <v>91773.782182622264</v>
      </c>
      <c r="E48" s="502"/>
      <c r="F48" s="465"/>
      <c r="G48" s="221">
        <f t="shared" si="21"/>
        <v>91773.782182622264</v>
      </c>
      <c r="H48" s="1197" t="s">
        <v>892</v>
      </c>
      <c r="I48" s="227">
        <f>'Proforma Company Adj'!B28</f>
        <v>-66800</v>
      </c>
      <c r="J48" s="28">
        <f t="shared" si="1"/>
        <v>24973.782182622264</v>
      </c>
      <c r="K48" s="221"/>
      <c r="L48" s="529"/>
      <c r="M48" s="529">
        <f t="shared" si="22"/>
        <v>24973.782182622264</v>
      </c>
      <c r="N48" s="155"/>
      <c r="O48" s="156">
        <f t="shared" si="23"/>
        <v>1784.4443262764253</v>
      </c>
      <c r="P48" s="157">
        <f t="shared" si="24"/>
        <v>23189.337856345839</v>
      </c>
      <c r="Q48" s="147"/>
      <c r="R48" s="195" t="s">
        <v>210</v>
      </c>
      <c r="S48" s="196"/>
      <c r="T48" s="199">
        <f t="shared" si="26"/>
        <v>9.2883117447977476E-2</v>
      </c>
      <c r="U48" s="198"/>
    </row>
    <row r="49" spans="1:21" ht="13" x14ac:dyDescent="0.3">
      <c r="A49" s="10" t="s">
        <v>33</v>
      </c>
      <c r="B49" s="14">
        <f t="shared" ref="B49:P49" si="27">SUM(B38:B48)</f>
        <v>274564.38</v>
      </c>
      <c r="C49" s="14">
        <f t="shared" si="27"/>
        <v>2957.2274206555667</v>
      </c>
      <c r="D49" s="14">
        <f t="shared" si="27"/>
        <v>271607.15257934446</v>
      </c>
      <c r="E49" s="497"/>
      <c r="F49" s="37">
        <f t="shared" si="27"/>
        <v>0</v>
      </c>
      <c r="G49" s="219">
        <f t="shared" si="27"/>
        <v>271607.15257934446</v>
      </c>
      <c r="H49" s="513"/>
      <c r="I49" s="226">
        <f>SUM(I38:I48)</f>
        <v>-2733.9400000000023</v>
      </c>
      <c r="J49" s="26">
        <f>SUM(J38:J48)</f>
        <v>268873.21257934446</v>
      </c>
      <c r="K49" s="219"/>
      <c r="L49" s="528">
        <f>SUM(L38:L48)</f>
        <v>4903.3443108276733</v>
      </c>
      <c r="M49" s="528">
        <f>SUM(M38:M48)</f>
        <v>273776.55689017207</v>
      </c>
      <c r="N49" s="147"/>
      <c r="O49" s="148">
        <f t="shared" si="27"/>
        <v>19211.718720313918</v>
      </c>
      <c r="P49" s="149">
        <f t="shared" si="27"/>
        <v>249661.49385903048</v>
      </c>
      <c r="Q49" s="147"/>
      <c r="R49" s="195"/>
      <c r="S49" s="196"/>
      <c r="T49" s="197">
        <f t="shared" ref="T49" si="28">B49/$B$49</f>
        <v>1</v>
      </c>
      <c r="U49" s="198"/>
    </row>
    <row r="50" spans="1:21" ht="6.75" customHeight="1" x14ac:dyDescent="0.3">
      <c r="A50" s="4"/>
      <c r="B50" s="14"/>
      <c r="C50" s="14"/>
      <c r="D50" s="14"/>
      <c r="E50" s="498"/>
      <c r="F50" s="37"/>
      <c r="G50" s="219"/>
      <c r="H50" s="514"/>
      <c r="I50" s="226"/>
      <c r="J50" s="26"/>
      <c r="K50" s="219"/>
      <c r="L50" s="528"/>
      <c r="M50" s="528"/>
      <c r="N50" s="147"/>
      <c r="O50" s="148"/>
      <c r="P50" s="149"/>
      <c r="Q50" s="147"/>
      <c r="R50" s="150"/>
      <c r="S50" s="134"/>
      <c r="T50" s="135"/>
      <c r="U50" s="136"/>
    </row>
    <row r="51" spans="1:21" ht="13" x14ac:dyDescent="0.3">
      <c r="A51" s="6" t="s">
        <v>34</v>
      </c>
      <c r="B51" s="15">
        <f>SUM(B18+B24+B35+B49)</f>
        <v>1481737.27</v>
      </c>
      <c r="C51" s="15">
        <f t="shared" ref="C51:D51" si="29">SUM(C18+C24+C35+C49)</f>
        <v>47916.887122279921</v>
      </c>
      <c r="D51" s="15">
        <f t="shared" si="29"/>
        <v>1433820.3828777201</v>
      </c>
      <c r="E51" s="499"/>
      <c r="F51" s="35">
        <f>SUM(F49+F35+F24+F18)</f>
        <v>0</v>
      </c>
      <c r="G51" s="220">
        <f>SUM(G18+G24+G35+G49)</f>
        <v>1433820.3828777201</v>
      </c>
      <c r="H51" s="515"/>
      <c r="I51" s="181">
        <f>SUM(I49+I35+I24+I18)</f>
        <v>201513.61000000002</v>
      </c>
      <c r="J51" s="27">
        <f>SUM(J18+J24+J35+J49)</f>
        <v>1635333.9928777199</v>
      </c>
      <c r="K51" s="220"/>
      <c r="L51" s="525">
        <f t="shared" ref="L51:M51" si="30">SUM(L18+L24+L35+L49)</f>
        <v>4903.3443108276733</v>
      </c>
      <c r="M51" s="525">
        <f t="shared" si="30"/>
        <v>1640237.3371885475</v>
      </c>
      <c r="N51" s="151"/>
      <c r="O51" s="152">
        <f>SUM(O18+O24+O35+O49)</f>
        <v>116849.03967762605</v>
      </c>
      <c r="P51" s="153">
        <f>SUM(P18+P24+P35+P49)</f>
        <v>1518484.9532000939</v>
      </c>
      <c r="Q51" s="154"/>
      <c r="R51" s="150"/>
      <c r="S51" s="134"/>
      <c r="T51" s="135"/>
      <c r="U51" s="136"/>
    </row>
    <row r="52" spans="1:21" ht="9" customHeight="1" x14ac:dyDescent="0.3">
      <c r="A52" s="4"/>
      <c r="B52" s="14"/>
      <c r="C52" s="14"/>
      <c r="D52" s="14"/>
      <c r="E52" s="497"/>
      <c r="F52" s="37"/>
      <c r="G52" s="221"/>
      <c r="H52" s="513"/>
      <c r="I52" s="226"/>
      <c r="J52" s="28"/>
      <c r="K52" s="219"/>
      <c r="L52" s="528"/>
      <c r="M52" s="528"/>
      <c r="N52" s="147"/>
      <c r="O52" s="148"/>
      <c r="P52" s="157"/>
      <c r="Q52" s="147"/>
      <c r="R52" s="150"/>
      <c r="S52" s="134"/>
      <c r="T52" s="135"/>
      <c r="U52" s="136"/>
    </row>
    <row r="53" spans="1:21" ht="13.5" thickBot="1" x14ac:dyDescent="0.35">
      <c r="A53" s="11" t="s">
        <v>35</v>
      </c>
      <c r="B53" s="16">
        <f>SUM(B11-B51)</f>
        <v>243409.95000000019</v>
      </c>
      <c r="C53" s="16">
        <f t="shared" ref="C53:D53" si="31">SUM(C11-C51)</f>
        <v>128174.80287772008</v>
      </c>
      <c r="D53" s="16">
        <f t="shared" si="31"/>
        <v>115235.14712227997</v>
      </c>
      <c r="E53" s="503"/>
      <c r="F53" s="39">
        <f>-SUM(-F11+F51)</f>
        <v>0</v>
      </c>
      <c r="G53" s="224">
        <f>SUM(G11-G51)</f>
        <v>115235.14712227997</v>
      </c>
      <c r="H53" s="520"/>
      <c r="I53" s="182">
        <f>-SUM(-I11+I51)</f>
        <v>-201513.61000000002</v>
      </c>
      <c r="J53" s="31">
        <f>SUM(J11-J51)</f>
        <v>-86278.462877719896</v>
      </c>
      <c r="K53" s="224"/>
      <c r="L53" s="527">
        <f t="shared" ref="L53:M53" si="32">SUM(L11-L51)</f>
        <v>205902.51599990635</v>
      </c>
      <c r="M53" s="527">
        <f t="shared" si="32"/>
        <v>119624.05312218657</v>
      </c>
      <c r="N53" s="163"/>
      <c r="O53" s="164">
        <f>SUM(O11-O51)</f>
        <v>-6164.829677626054</v>
      </c>
      <c r="P53" s="165">
        <f>SUM(P11-P51)</f>
        <v>-80113.633200093871</v>
      </c>
      <c r="Q53" s="166"/>
      <c r="R53" s="259">
        <f>SUM(O53/J53)</f>
        <v>7.1452706411370567E-2</v>
      </c>
      <c r="S53" s="260"/>
      <c r="T53" s="261">
        <f>SUM(P53/J53)</f>
        <v>0.92854729358862975</v>
      </c>
      <c r="U53" s="136"/>
    </row>
    <row r="54" spans="1:21" ht="6.75" customHeight="1" thickTop="1" x14ac:dyDescent="0.3">
      <c r="A54" s="4"/>
      <c r="B54" s="14"/>
      <c r="C54" s="14"/>
      <c r="D54" s="14"/>
      <c r="E54" s="497"/>
      <c r="F54" s="37"/>
      <c r="G54" s="219"/>
      <c r="H54" s="513"/>
      <c r="I54" s="226"/>
      <c r="J54" s="26"/>
      <c r="K54" s="219"/>
      <c r="L54" s="528"/>
      <c r="M54" s="528"/>
      <c r="N54" s="147"/>
      <c r="O54" s="148"/>
      <c r="P54" s="149"/>
      <c r="Q54" s="147"/>
      <c r="R54" s="150"/>
      <c r="S54" s="134"/>
      <c r="T54" s="261"/>
      <c r="U54" s="136"/>
    </row>
    <row r="55" spans="1:21" ht="13" x14ac:dyDescent="0.3">
      <c r="A55" s="4" t="s">
        <v>36</v>
      </c>
      <c r="B55" s="490">
        <f>SUM('Inc Stmnt 12 mo 8.1.18  7.31.19'!N24:N29)</f>
        <v>2896.13</v>
      </c>
      <c r="C55" s="459">
        <f>B55</f>
        <v>2896.13</v>
      </c>
      <c r="D55" s="459">
        <f t="shared" ref="D55:D58" si="33">B55-C55</f>
        <v>0</v>
      </c>
      <c r="E55" s="497"/>
      <c r="F55" s="37">
        <v>0</v>
      </c>
      <c r="G55" s="219">
        <f>D55+F55</f>
        <v>0</v>
      </c>
      <c r="H55" s="513"/>
      <c r="I55" s="226">
        <v>0</v>
      </c>
      <c r="J55" s="26">
        <f t="shared" si="1"/>
        <v>0</v>
      </c>
      <c r="K55" s="219"/>
      <c r="L55" s="528"/>
      <c r="M55" s="528">
        <f t="shared" ref="M55:M58" si="34">J55+L55</f>
        <v>0</v>
      </c>
      <c r="N55" s="147"/>
      <c r="O55" s="148">
        <f>J55*$W$9</f>
        <v>0</v>
      </c>
      <c r="P55" s="149">
        <f t="shared" ref="P55:P56" si="35">J55-O55</f>
        <v>0</v>
      </c>
      <c r="Q55" s="147"/>
      <c r="R55" s="150" t="s">
        <v>210</v>
      </c>
      <c r="S55" s="134"/>
      <c r="T55" s="261"/>
      <c r="U55" s="136"/>
    </row>
    <row r="56" spans="1:21" ht="13" x14ac:dyDescent="0.3">
      <c r="A56" s="7" t="s">
        <v>37</v>
      </c>
      <c r="B56" s="491">
        <f>-'Inc Stmnt 12 mo 8.1.18  7.31.19'!N151</f>
        <v>0</v>
      </c>
      <c r="C56" s="459">
        <f>B56</f>
        <v>0</v>
      </c>
      <c r="D56" s="459">
        <f t="shared" si="33"/>
        <v>0</v>
      </c>
      <c r="E56" s="497"/>
      <c r="F56" s="37">
        <v>0</v>
      </c>
      <c r="G56" s="219">
        <f>D56+F56</f>
        <v>0</v>
      </c>
      <c r="H56" s="513"/>
      <c r="I56" s="226">
        <v>0</v>
      </c>
      <c r="J56" s="26">
        <f t="shared" si="1"/>
        <v>0</v>
      </c>
      <c r="K56" s="219"/>
      <c r="L56" s="528"/>
      <c r="M56" s="528">
        <f t="shared" si="34"/>
        <v>0</v>
      </c>
      <c r="N56" s="147"/>
      <c r="O56" s="148">
        <f>J56*$W$9</f>
        <v>0</v>
      </c>
      <c r="P56" s="149">
        <f t="shared" si="35"/>
        <v>0</v>
      </c>
      <c r="Q56" s="147"/>
      <c r="R56" s="150" t="s">
        <v>210</v>
      </c>
      <c r="S56" s="134"/>
      <c r="T56" s="261"/>
      <c r="U56" s="136"/>
    </row>
    <row r="57" spans="1:21" ht="13" x14ac:dyDescent="0.3">
      <c r="A57" s="4" t="s">
        <v>38</v>
      </c>
      <c r="B57" s="14">
        <v>0</v>
      </c>
      <c r="C57" s="459">
        <v>0</v>
      </c>
      <c r="D57" s="459">
        <f t="shared" si="33"/>
        <v>0</v>
      </c>
      <c r="E57" s="497"/>
      <c r="F57" s="37">
        <f>(B57*-$T$9)</f>
        <v>0</v>
      </c>
      <c r="G57" s="219">
        <f>D57+F57</f>
        <v>0</v>
      </c>
      <c r="H57" s="513"/>
      <c r="I57" s="226">
        <v>0</v>
      </c>
      <c r="J57" s="26">
        <f t="shared" si="1"/>
        <v>0</v>
      </c>
      <c r="K57" s="219"/>
      <c r="L57" s="528"/>
      <c r="M57" s="528">
        <f t="shared" si="34"/>
        <v>0</v>
      </c>
      <c r="N57" s="147"/>
      <c r="O57" s="148">
        <v>0</v>
      </c>
      <c r="P57" s="149">
        <v>0</v>
      </c>
      <c r="Q57" s="147"/>
      <c r="R57" s="150"/>
      <c r="S57" s="134"/>
      <c r="T57" s="261"/>
      <c r="U57" s="136"/>
    </row>
    <row r="58" spans="1:21" ht="13" x14ac:dyDescent="0.3">
      <c r="A58" s="4" t="s">
        <v>39</v>
      </c>
      <c r="B58" s="17">
        <v>0</v>
      </c>
      <c r="C58" s="466">
        <v>0</v>
      </c>
      <c r="D58" s="460">
        <f t="shared" si="33"/>
        <v>0</v>
      </c>
      <c r="E58" s="498"/>
      <c r="F58" s="38">
        <f>(B58*-$T$9)</f>
        <v>0</v>
      </c>
      <c r="G58" s="221">
        <f>D58+F58</f>
        <v>0</v>
      </c>
      <c r="H58" s="514"/>
      <c r="I58" s="227">
        <v>0</v>
      </c>
      <c r="J58" s="28">
        <f t="shared" si="1"/>
        <v>0</v>
      </c>
      <c r="K58" s="221"/>
      <c r="L58" s="529"/>
      <c r="M58" s="529">
        <f t="shared" si="34"/>
        <v>0</v>
      </c>
      <c r="N58" s="155"/>
      <c r="O58" s="156">
        <v>0</v>
      </c>
      <c r="P58" s="157">
        <v>0</v>
      </c>
      <c r="Q58" s="147"/>
      <c r="R58" s="150"/>
      <c r="S58" s="134"/>
      <c r="T58" s="261"/>
      <c r="U58" s="136"/>
    </row>
    <row r="59" spans="1:21" ht="5.25" customHeight="1" x14ac:dyDescent="0.3">
      <c r="A59" s="4"/>
      <c r="B59" s="14"/>
      <c r="C59" s="14"/>
      <c r="D59" s="14"/>
      <c r="E59" s="504"/>
      <c r="F59" s="37"/>
      <c r="G59" s="225"/>
      <c r="H59" s="521"/>
      <c r="I59" s="226"/>
      <c r="J59" s="32"/>
      <c r="K59" s="32"/>
      <c r="L59" s="32"/>
      <c r="M59" s="32"/>
      <c r="N59" s="168"/>
      <c r="O59" s="148"/>
      <c r="P59" s="169"/>
      <c r="Q59" s="170"/>
      <c r="R59" s="150"/>
      <c r="S59" s="134"/>
      <c r="T59" s="261"/>
      <c r="U59" s="136"/>
    </row>
    <row r="60" spans="1:21" ht="13.5" thickBot="1" x14ac:dyDescent="0.35">
      <c r="A60" s="11" t="s">
        <v>40</v>
      </c>
      <c r="B60" s="16">
        <f t="shared" ref="B60:D60" si="36">SUM(B53:B58)</f>
        <v>246306.08000000019</v>
      </c>
      <c r="C60" s="16">
        <f t="shared" si="36"/>
        <v>131070.93287772009</v>
      </c>
      <c r="D60" s="16">
        <f t="shared" si="36"/>
        <v>115235.14712227997</v>
      </c>
      <c r="E60" s="505"/>
      <c r="F60" s="39">
        <f>SUM(F53:F58)</f>
        <v>0</v>
      </c>
      <c r="G60" s="224">
        <f>SUM(G53:G58)</f>
        <v>115235.14712227997</v>
      </c>
      <c r="H60" s="522"/>
      <c r="I60" s="182">
        <f>SUM(I53:I58)</f>
        <v>-201513.61000000002</v>
      </c>
      <c r="J60" s="31">
        <f>SUM(J53:J58)</f>
        <v>-86278.462877719896</v>
      </c>
      <c r="K60" s="31"/>
      <c r="L60" s="31">
        <f t="shared" ref="L60:M60" si="37">SUM(L53:L58)</f>
        <v>205902.51599990635</v>
      </c>
      <c r="M60" s="31">
        <f t="shared" si="37"/>
        <v>119624.05312218657</v>
      </c>
      <c r="N60" s="171"/>
      <c r="O60" s="164">
        <f>SUM(O53:O58)</f>
        <v>-6164.829677626054</v>
      </c>
      <c r="P60" s="165">
        <f>SUM(P53:P58)</f>
        <v>-80113.633200093871</v>
      </c>
      <c r="Q60" s="166"/>
      <c r="R60" s="167"/>
      <c r="S60" s="134"/>
      <c r="T60" s="261"/>
      <c r="U60" s="136"/>
    </row>
    <row r="61" spans="1:21" ht="8.25" customHeight="1" thickTop="1" x14ac:dyDescent="0.25">
      <c r="A61" s="4"/>
      <c r="B61" s="537"/>
      <c r="C61" s="537"/>
      <c r="D61" s="537"/>
      <c r="E61" s="538"/>
      <c r="F61" s="537"/>
      <c r="G61" s="537"/>
      <c r="H61" s="539"/>
      <c r="I61" s="540"/>
      <c r="J61" s="541"/>
      <c r="K61" s="541"/>
      <c r="L61" s="541"/>
      <c r="M61" s="541"/>
      <c r="N61" s="541"/>
      <c r="O61" s="541"/>
      <c r="P61" s="541"/>
      <c r="Q61" s="210"/>
      <c r="R61" s="211"/>
      <c r="S61" s="212"/>
      <c r="T61" s="202"/>
      <c r="U61" s="201"/>
    </row>
    <row r="62" spans="1:21" ht="13" x14ac:dyDescent="0.3">
      <c r="A62" s="461" t="s">
        <v>622</v>
      </c>
      <c r="B62" s="462">
        <f>B51/B11</f>
        <v>0.85890482436623572</v>
      </c>
      <c r="C62" s="462">
        <f>C51/C11</f>
        <v>0.27211327872587243</v>
      </c>
      <c r="D62" s="462">
        <f>D51/D11</f>
        <v>0.9256094149689521</v>
      </c>
      <c r="E62" s="506"/>
      <c r="F62" s="463"/>
      <c r="G62" s="462">
        <f>G51/G11</f>
        <v>0.9256094149689521</v>
      </c>
      <c r="H62" s="511"/>
      <c r="I62" s="463"/>
      <c r="J62" s="462">
        <f>J51/J11</f>
        <v>1.0556974628777316</v>
      </c>
      <c r="K62" s="462"/>
      <c r="L62" s="462"/>
      <c r="M62" s="462">
        <f>M51/M11</f>
        <v>0.93202643470627833</v>
      </c>
    </row>
    <row r="63" spans="1:21" ht="13" x14ac:dyDescent="0.3">
      <c r="E63" s="392"/>
      <c r="I63" s="104"/>
      <c r="J63" s="103"/>
      <c r="K63" s="103"/>
      <c r="L63" s="103"/>
      <c r="M63" s="103"/>
      <c r="O63" s="104"/>
      <c r="P63" s="103"/>
      <c r="R63" s="43"/>
      <c r="S63" s="102"/>
    </row>
    <row r="64" spans="1:21" ht="13" x14ac:dyDescent="0.3">
      <c r="B64" s="1240" t="s">
        <v>248</v>
      </c>
      <c r="C64" s="216"/>
      <c r="D64" s="216"/>
      <c r="E64" s="216"/>
      <c r="F64" s="1242" t="s">
        <v>117</v>
      </c>
      <c r="G64" s="1244" t="s">
        <v>115</v>
      </c>
      <c r="H64" s="179"/>
      <c r="I64" s="1242" t="s">
        <v>116</v>
      </c>
      <c r="J64" s="1247" t="s">
        <v>118</v>
      </c>
      <c r="K64" s="492"/>
      <c r="L64" s="492"/>
      <c r="M64" s="492"/>
      <c r="N64" s="105"/>
      <c r="O64" s="1236" t="s">
        <v>246</v>
      </c>
      <c r="P64" s="1238" t="s">
        <v>247</v>
      </c>
    </row>
    <row r="65" spans="1:20" ht="13" x14ac:dyDescent="0.3">
      <c r="B65" s="1241"/>
      <c r="C65" s="217" t="str">
        <f>C6</f>
        <v>Non Regulated</v>
      </c>
      <c r="D65" s="217" t="str">
        <f>D6</f>
        <v>Regulated</v>
      </c>
      <c r="E65" s="217"/>
      <c r="F65" s="1243"/>
      <c r="G65" s="1245"/>
      <c r="H65" s="180"/>
      <c r="I65" s="1246"/>
      <c r="J65" s="1248"/>
      <c r="K65" s="494"/>
      <c r="L65" s="494"/>
      <c r="M65" s="494"/>
      <c r="N65" s="109"/>
      <c r="O65" s="1237"/>
      <c r="P65" s="1239"/>
    </row>
    <row r="66" spans="1:20" ht="13" x14ac:dyDescent="0.3">
      <c r="A66" s="203" t="s">
        <v>252</v>
      </c>
      <c r="B66" s="36"/>
      <c r="C66" s="36"/>
      <c r="D66" s="36"/>
      <c r="E66" s="507"/>
      <c r="F66" s="248"/>
      <c r="G66" s="248"/>
      <c r="H66" s="248"/>
      <c r="I66" s="248"/>
      <c r="J66" s="248"/>
      <c r="K66" s="248"/>
      <c r="L66" s="248"/>
      <c r="M66" s="248"/>
      <c r="N66" s="294"/>
      <c r="O66" s="293"/>
      <c r="P66" s="294"/>
    </row>
    <row r="67" spans="1:20" x14ac:dyDescent="0.25">
      <c r="A67" s="238" t="s">
        <v>253</v>
      </c>
      <c r="B67" s="281">
        <f>SUM(B51/0.93)</f>
        <v>1593265.88172043</v>
      </c>
      <c r="C67" s="281">
        <f t="shared" ref="C67:D67" si="38">SUM(C51/0.93)</f>
        <v>51523.534540085937</v>
      </c>
      <c r="D67" s="281">
        <f t="shared" si="38"/>
        <v>1541742.3471803442</v>
      </c>
      <c r="E67" s="508"/>
      <c r="F67" s="281"/>
      <c r="G67" s="281">
        <f>SUM(G51/0.93)</f>
        <v>1541742.3471803442</v>
      </c>
      <c r="H67" s="281"/>
      <c r="I67" s="281"/>
      <c r="J67" s="281">
        <f>SUM(J51/0.93)</f>
        <v>1758423.6482556127</v>
      </c>
      <c r="K67" s="281"/>
      <c r="L67" s="281"/>
      <c r="M67" s="281">
        <f>SUM(M51/0.93)</f>
        <v>1763696.0614930617</v>
      </c>
      <c r="N67" s="295"/>
      <c r="O67" s="281">
        <f>SUM(O51/0.93)</f>
        <v>125644.12868561939</v>
      </c>
      <c r="P67" s="295">
        <f>SUM(P51/0.93)</f>
        <v>1632779.5195699935</v>
      </c>
    </row>
    <row r="68" spans="1:20" x14ac:dyDescent="0.25">
      <c r="A68" s="205" t="s">
        <v>330</v>
      </c>
      <c r="B68" s="282">
        <f>B11</f>
        <v>1725147.2200000002</v>
      </c>
      <c r="C68" s="282">
        <f t="shared" ref="C68:D68" si="39">C11</f>
        <v>176091.69</v>
      </c>
      <c r="D68" s="282">
        <f t="shared" si="39"/>
        <v>1549055.53</v>
      </c>
      <c r="E68" s="509"/>
      <c r="F68" s="282"/>
      <c r="G68" s="282">
        <f>G11</f>
        <v>1549055.53</v>
      </c>
      <c r="H68" s="282"/>
      <c r="I68" s="282"/>
      <c r="J68" s="282">
        <f>J11</f>
        <v>1549055.53</v>
      </c>
      <c r="K68" s="282"/>
      <c r="L68" s="282"/>
      <c r="M68" s="282">
        <f>M11</f>
        <v>1759861.390310734</v>
      </c>
      <c r="N68" s="304"/>
      <c r="O68" s="281">
        <f>O11</f>
        <v>110684.20999999999</v>
      </c>
      <c r="P68" s="295">
        <f>P11</f>
        <v>1438371.32</v>
      </c>
    </row>
    <row r="69" spans="1:20" x14ac:dyDescent="0.25">
      <c r="A69" s="206" t="s">
        <v>618</v>
      </c>
      <c r="B69" s="281">
        <f>B68-B67</f>
        <v>131881.33827957022</v>
      </c>
      <c r="C69" s="281">
        <f t="shared" ref="C69:D69" si="40">C68-C67</f>
        <v>124568.15545991407</v>
      </c>
      <c r="D69" s="281">
        <f t="shared" si="40"/>
        <v>7313.1828196558636</v>
      </c>
      <c r="E69" s="508"/>
      <c r="F69" s="281"/>
      <c r="G69" s="281">
        <f t="shared" ref="G69:P69" si="41">G68-G67</f>
        <v>7313.1828196558636</v>
      </c>
      <c r="H69" s="281"/>
      <c r="I69" s="281"/>
      <c r="J69" s="281">
        <f t="shared" si="41"/>
        <v>-209368.11825561267</v>
      </c>
      <c r="K69" s="281"/>
      <c r="L69" s="281"/>
      <c r="M69" s="281">
        <f t="shared" ref="M69" si="42">M68-M67</f>
        <v>-3834.671182327671</v>
      </c>
      <c r="N69" s="295"/>
      <c r="O69" s="249">
        <f t="shared" si="41"/>
        <v>-14959.918685619399</v>
      </c>
      <c r="P69" s="296">
        <f t="shared" si="41"/>
        <v>-194408.19956999342</v>
      </c>
      <c r="Q69" s="250"/>
      <c r="R69" s="251"/>
    </row>
    <row r="70" spans="1:20" x14ac:dyDescent="0.25">
      <c r="A70" s="8"/>
      <c r="B70" s="281"/>
      <c r="C70" s="281"/>
      <c r="D70" s="281"/>
      <c r="E70" s="508"/>
      <c r="F70" s="8"/>
      <c r="G70" s="8"/>
      <c r="H70" s="8"/>
      <c r="I70" s="8"/>
      <c r="J70" s="8"/>
      <c r="K70" s="8"/>
      <c r="L70" s="8"/>
      <c r="M70" s="8"/>
      <c r="N70" s="302"/>
      <c r="O70" s="252"/>
      <c r="P70" s="297"/>
      <c r="Q70" s="252"/>
      <c r="R70" s="253"/>
    </row>
    <row r="71" spans="1:20" ht="13" x14ac:dyDescent="0.3">
      <c r="A71" s="9" t="s">
        <v>369</v>
      </c>
      <c r="B71" s="283">
        <f>-B69/B68</f>
        <v>-7.6446425412649829E-2</v>
      </c>
      <c r="C71" s="283"/>
      <c r="D71" s="283">
        <f>-D69/D68</f>
        <v>-4.7210591731697725E-3</v>
      </c>
      <c r="E71" s="510"/>
      <c r="F71" s="283"/>
      <c r="G71" s="283">
        <f>-SUM(G69/G68)</f>
        <v>-4.7210591731697725E-3</v>
      </c>
      <c r="H71" s="283"/>
      <c r="I71" s="283"/>
      <c r="J71" s="283">
        <f>-J69/J68</f>
        <v>0.13515856223411996</v>
      </c>
      <c r="K71" s="283"/>
      <c r="L71" s="283"/>
      <c r="M71" s="283">
        <f>-M69/M68</f>
        <v>2.1789620497615404E-3</v>
      </c>
      <c r="N71" s="305"/>
      <c r="O71" s="254">
        <f>-SUM(O69/O68)</f>
        <v>0.13515856223411993</v>
      </c>
      <c r="P71" s="298">
        <f>-SUM(P69/P68)</f>
        <v>0.13515856223412007</v>
      </c>
      <c r="Q71" s="252"/>
      <c r="R71" s="253"/>
    </row>
    <row r="72" spans="1:20" x14ac:dyDescent="0.25">
      <c r="A72" s="8"/>
      <c r="B72" s="281"/>
      <c r="C72" s="281"/>
      <c r="D72" s="281"/>
      <c r="E72" s="295"/>
      <c r="F72" s="8"/>
      <c r="G72" s="8"/>
      <c r="H72" s="8"/>
      <c r="I72" s="8"/>
      <c r="J72" s="8"/>
      <c r="K72" s="8"/>
      <c r="L72" s="8"/>
      <c r="M72" s="8"/>
      <c r="N72" s="302"/>
      <c r="O72" s="1232" t="s">
        <v>2</v>
      </c>
      <c r="P72" s="1234" t="s">
        <v>1</v>
      </c>
      <c r="Q72" s="252"/>
      <c r="R72" s="253" t="s">
        <v>245</v>
      </c>
    </row>
    <row r="73" spans="1:20" ht="13" x14ac:dyDescent="0.3">
      <c r="A73" s="207" t="s">
        <v>255</v>
      </c>
      <c r="B73" s="284" t="s">
        <v>368</v>
      </c>
      <c r="C73" s="457"/>
      <c r="D73" s="457"/>
      <c r="E73" s="173"/>
      <c r="F73" s="306"/>
      <c r="G73" s="290" t="s">
        <v>260</v>
      </c>
      <c r="H73" s="290"/>
      <c r="I73" s="289"/>
      <c r="J73" s="292" t="s">
        <v>261</v>
      </c>
      <c r="K73" s="292"/>
      <c r="L73" s="292"/>
      <c r="M73" s="292"/>
      <c r="N73" s="302"/>
      <c r="O73" s="1233"/>
      <c r="P73" s="1235"/>
      <c r="Q73" s="252"/>
      <c r="R73" s="255" t="s">
        <v>268</v>
      </c>
    </row>
    <row r="74" spans="1:20" ht="13" x14ac:dyDescent="0.3">
      <c r="A74" s="9" t="s">
        <v>256</v>
      </c>
      <c r="B74" s="285">
        <v>40.5</v>
      </c>
      <c r="C74" s="174"/>
      <c r="D74" s="174"/>
      <c r="E74" s="174"/>
      <c r="F74" s="8"/>
      <c r="G74" s="287">
        <f>SUM(B74*G71)+B74</f>
        <v>40.308797103486626</v>
      </c>
      <c r="H74" s="287"/>
      <c r="I74" s="287"/>
      <c r="J74" s="285">
        <f>SUM(B74*J71)+B74</f>
        <v>45.973921770481859</v>
      </c>
      <c r="K74" s="285"/>
      <c r="L74" s="285"/>
      <c r="M74" s="285"/>
      <c r="N74" s="302"/>
      <c r="O74" s="252"/>
      <c r="P74" s="299">
        <f>SUM(B74*P71)+B74</f>
        <v>45.973921770481866</v>
      </c>
      <c r="Q74" s="252"/>
      <c r="R74" s="256">
        <f>P74-B74</f>
        <v>5.4739217704818657</v>
      </c>
    </row>
    <row r="75" spans="1:20" ht="13" x14ac:dyDescent="0.3">
      <c r="A75" s="208" t="s">
        <v>257</v>
      </c>
      <c r="B75" s="286">
        <v>61</v>
      </c>
      <c r="C75" s="209"/>
      <c r="D75" s="209"/>
      <c r="E75" s="209"/>
      <c r="F75" s="42"/>
      <c r="G75" s="291">
        <f>SUM(B75*G71+B75)</f>
        <v>60.71201539043664</v>
      </c>
      <c r="H75" s="291"/>
      <c r="I75" s="291"/>
      <c r="J75" s="286">
        <f>SUM(B75*J71)+B75</f>
        <v>69.244672296281323</v>
      </c>
      <c r="K75" s="285"/>
      <c r="L75" s="285"/>
      <c r="M75" s="285"/>
      <c r="N75" s="302"/>
      <c r="O75" s="257"/>
      <c r="P75" s="300">
        <f>SUM(B75*P71)+B75</f>
        <v>69.244672296281323</v>
      </c>
      <c r="Q75" s="257"/>
      <c r="R75" s="258">
        <f>P75-B75</f>
        <v>8.2446722962813226</v>
      </c>
    </row>
    <row r="76" spans="1:20" x14ac:dyDescent="0.25">
      <c r="A76" s="101"/>
      <c r="B76" s="287"/>
      <c r="C76" s="287"/>
      <c r="D76" s="287"/>
      <c r="E76" s="307"/>
      <c r="F76" s="287"/>
      <c r="G76" s="287"/>
      <c r="H76" s="287"/>
      <c r="I76" s="287"/>
      <c r="J76" s="287"/>
      <c r="K76" s="287"/>
      <c r="L76" s="287"/>
      <c r="M76" s="287"/>
      <c r="N76" s="301"/>
      <c r="O76" s="287"/>
      <c r="P76" s="301"/>
      <c r="Q76" s="4"/>
    </row>
    <row r="77" spans="1:20" x14ac:dyDescent="0.25">
      <c r="A77" s="172" t="s">
        <v>258</v>
      </c>
      <c r="B77" s="281"/>
      <c r="C77" s="281"/>
      <c r="D77" s="281"/>
      <c r="E77" s="295"/>
      <c r="F77" s="8"/>
      <c r="G77" s="8"/>
      <c r="H77" s="8"/>
      <c r="I77" s="8"/>
      <c r="J77" s="8"/>
      <c r="K77" s="8"/>
      <c r="L77" s="8"/>
      <c r="M77" s="8"/>
      <c r="N77" s="302"/>
      <c r="O77" s="8"/>
      <c r="P77" s="302"/>
      <c r="Q77" s="4"/>
    </row>
    <row r="78" spans="1:20" x14ac:dyDescent="0.25">
      <c r="A78" s="130" t="s">
        <v>254</v>
      </c>
      <c r="B78" s="281">
        <f>B68</f>
        <v>1725147.2200000002</v>
      </c>
      <c r="C78" s="281"/>
      <c r="D78" s="281"/>
      <c r="E78" s="295"/>
      <c r="F78" s="281"/>
      <c r="G78" s="281">
        <f>G68</f>
        <v>1549055.53</v>
      </c>
      <c r="H78" s="281"/>
      <c r="I78" s="281"/>
      <c r="J78" s="281">
        <f>J68</f>
        <v>1549055.53</v>
      </c>
      <c r="K78" s="281"/>
      <c r="L78" s="281"/>
      <c r="M78" s="281"/>
      <c r="N78" s="295"/>
      <c r="O78" s="281">
        <f>O68</f>
        <v>110684.20999999999</v>
      </c>
      <c r="P78" s="295">
        <f>P68</f>
        <v>1438371.32</v>
      </c>
      <c r="Q78" s="4"/>
    </row>
    <row r="79" spans="1:20" x14ac:dyDescent="0.25">
      <c r="A79" s="115" t="s">
        <v>259</v>
      </c>
      <c r="B79" s="288">
        <f>B71</f>
        <v>-7.6446425412649829E-2</v>
      </c>
      <c r="C79" s="288"/>
      <c r="D79" s="288"/>
      <c r="E79" s="303"/>
      <c r="F79" s="288"/>
      <c r="G79" s="288">
        <f>G71</f>
        <v>-4.7210591731697725E-3</v>
      </c>
      <c r="H79" s="288"/>
      <c r="I79" s="288"/>
      <c r="J79" s="288">
        <f>J71</f>
        <v>0.13515856223411996</v>
      </c>
      <c r="K79" s="288"/>
      <c r="L79" s="288"/>
      <c r="M79" s="288"/>
      <c r="N79" s="303"/>
      <c r="O79" s="288">
        <f>O71</f>
        <v>0.13515856223411993</v>
      </c>
      <c r="P79" s="303">
        <f>P71</f>
        <v>0.13515856223412007</v>
      </c>
      <c r="Q79" s="4"/>
      <c r="T79" s="409"/>
    </row>
    <row r="80" spans="1:20" x14ac:dyDescent="0.25">
      <c r="A80" s="426" t="s">
        <v>617</v>
      </c>
      <c r="B80" s="281">
        <f>SUM(B78*B79)</f>
        <v>-131881.33827957022</v>
      </c>
      <c r="C80" s="281"/>
      <c r="D80" s="281"/>
      <c r="E80" s="295"/>
      <c r="F80" s="281"/>
      <c r="G80" s="281">
        <f t="shared" ref="G80:O80" si="43">SUM(G78*G79)</f>
        <v>-7313.1828196558636</v>
      </c>
      <c r="H80" s="281"/>
      <c r="I80" s="281"/>
      <c r="J80" s="281">
        <f>SUM(J78*J79)</f>
        <v>209368.11825561267</v>
      </c>
      <c r="K80" s="281"/>
      <c r="L80" s="281"/>
      <c r="M80" s="281"/>
      <c r="N80" s="295"/>
      <c r="O80" s="281">
        <f t="shared" si="43"/>
        <v>14959.918685619397</v>
      </c>
      <c r="P80" s="295">
        <f>SUM(P78*P79)</f>
        <v>194408.19956999345</v>
      </c>
      <c r="Q80" s="4"/>
    </row>
    <row r="81" spans="1:5" x14ac:dyDescent="0.25">
      <c r="A81" s="206" t="s">
        <v>618</v>
      </c>
    </row>
    <row r="82" spans="1:5" ht="13" x14ac:dyDescent="0.3">
      <c r="B82" s="111"/>
      <c r="C82" s="111"/>
      <c r="D82" s="111"/>
      <c r="E82" s="111"/>
    </row>
    <row r="85" spans="1:5" ht="13" x14ac:dyDescent="0.3">
      <c r="A85" s="1182" t="s">
        <v>891</v>
      </c>
      <c r="B85" s="1183"/>
      <c r="C85" s="1184">
        <f>Charters!D73</f>
        <v>1.4177939646201874E-2</v>
      </c>
      <c r="D85" s="663"/>
    </row>
    <row r="86" spans="1:5" x14ac:dyDescent="0.25">
      <c r="A86" s="1"/>
      <c r="D86" s="399"/>
    </row>
    <row r="87" spans="1:5" x14ac:dyDescent="0.25">
      <c r="A87" s="1"/>
    </row>
    <row r="88" spans="1:5" x14ac:dyDescent="0.25">
      <c r="A88" s="1"/>
    </row>
    <row r="89" spans="1:5" x14ac:dyDescent="0.25">
      <c r="A89" s="700"/>
    </row>
  </sheetData>
  <mergeCells count="24">
    <mergeCell ref="V16:V17"/>
    <mergeCell ref="V22:V23"/>
    <mergeCell ref="V28:V29"/>
    <mergeCell ref="V39:V40"/>
    <mergeCell ref="U21:U24"/>
    <mergeCell ref="A1:P1"/>
    <mergeCell ref="B5:B6"/>
    <mergeCell ref="F5:F6"/>
    <mergeCell ref="G5:G6"/>
    <mergeCell ref="I5:I6"/>
    <mergeCell ref="J5:J6"/>
    <mergeCell ref="O5:O6"/>
    <mergeCell ref="P5:P6"/>
    <mergeCell ref="L5:L6"/>
    <mergeCell ref="M5:M6"/>
    <mergeCell ref="O72:O73"/>
    <mergeCell ref="P72:P73"/>
    <mergeCell ref="O64:O65"/>
    <mergeCell ref="P64:P65"/>
    <mergeCell ref="B64:B65"/>
    <mergeCell ref="F64:F65"/>
    <mergeCell ref="G64:G65"/>
    <mergeCell ref="I64:I65"/>
    <mergeCell ref="J64:J65"/>
  </mergeCells>
  <printOptions gridLines="1"/>
  <pageMargins left="0.25" right="0.25" top="0.24" bottom="0.34" header="0.16" footer="0.17"/>
  <pageSetup scale="74" orientation="landscape" horizontalDpi="300" verticalDpi="300" r:id="rId1"/>
  <headerFooter alignWithMargins="0">
    <oddFooter>&amp;A</oddFooter>
  </headerFooter>
  <rowBreaks count="1" manualBreakCount="1">
    <brk id="62" max="16383" man="1"/>
  </rowBreaks>
  <colBreaks count="1" manualBreakCount="1">
    <brk id="13"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heetViews>
  <sheetFormatPr defaultRowHeight="12.5" x14ac:dyDescent="0.25"/>
  <cols>
    <col min="1" max="1" width="34.54296875" customWidth="1"/>
    <col min="2" max="4" width="10.1796875" style="704" customWidth="1"/>
    <col min="5" max="6" width="12.1796875" customWidth="1"/>
    <col min="7" max="7" width="13.7265625" customWidth="1"/>
    <col min="8" max="8" width="12.1796875" customWidth="1"/>
    <col min="9" max="9" width="14.453125" customWidth="1"/>
    <col min="10" max="10" width="12.1796875" customWidth="1"/>
    <col min="11" max="11" width="6.26953125" customWidth="1"/>
    <col min="12" max="13" width="12.1796875" customWidth="1"/>
  </cols>
  <sheetData>
    <row r="1" spans="1:13" s="704" customFormat="1" x14ac:dyDescent="0.25">
      <c r="A1" s="1199" t="s">
        <v>899</v>
      </c>
    </row>
    <row r="2" spans="1:13" s="704" customFormat="1" x14ac:dyDescent="0.25"/>
    <row r="3" spans="1:13" s="704" customFormat="1" x14ac:dyDescent="0.25"/>
    <row r="4" spans="1:13" ht="18.5" x14ac:dyDescent="0.45">
      <c r="A4" s="245" t="s">
        <v>348</v>
      </c>
      <c r="B4" s="1196" t="s">
        <v>767</v>
      </c>
      <c r="E4" s="704"/>
      <c r="I4" s="704"/>
    </row>
    <row r="5" spans="1:13" x14ac:dyDescent="0.25">
      <c r="A5" s="704" t="s">
        <v>699</v>
      </c>
      <c r="H5" s="704"/>
      <c r="J5" s="704"/>
      <c r="L5" s="704"/>
    </row>
    <row r="6" spans="1:13" ht="13" x14ac:dyDescent="0.3">
      <c r="B6" s="266" t="s">
        <v>700</v>
      </c>
      <c r="C6" s="241" t="s">
        <v>354</v>
      </c>
      <c r="D6" s="241" t="s">
        <v>352</v>
      </c>
      <c r="E6" s="241" t="s">
        <v>349</v>
      </c>
      <c r="F6" s="241" t="s">
        <v>351</v>
      </c>
      <c r="G6" s="241" t="s">
        <v>350</v>
      </c>
      <c r="H6" s="241" t="s">
        <v>353</v>
      </c>
      <c r="J6" s="704"/>
      <c r="L6" s="704"/>
    </row>
    <row r="7" spans="1:13" ht="13" x14ac:dyDescent="0.3">
      <c r="A7" t="s">
        <v>355</v>
      </c>
      <c r="B7" s="723">
        <v>6.75</v>
      </c>
      <c r="C7" s="718"/>
      <c r="D7" s="718">
        <v>13.06</v>
      </c>
      <c r="E7" s="718">
        <v>15.23</v>
      </c>
      <c r="F7" s="718">
        <v>26.82</v>
      </c>
      <c r="G7" s="718">
        <v>28.93</v>
      </c>
      <c r="H7" s="704" t="s">
        <v>365</v>
      </c>
      <c r="I7" s="704"/>
      <c r="J7" s="704"/>
      <c r="L7" s="1222">
        <f>AVERAGE(D7:E7)</f>
        <v>14.145</v>
      </c>
      <c r="M7" s="1223">
        <f>AVERAGE(F7:G7)</f>
        <v>27.875</v>
      </c>
    </row>
    <row r="8" spans="1:13" ht="13" x14ac:dyDescent="0.3">
      <c r="A8" t="s">
        <v>356</v>
      </c>
      <c r="B8" s="723"/>
      <c r="C8" s="718">
        <v>11.8</v>
      </c>
      <c r="D8" s="718">
        <v>13.06</v>
      </c>
      <c r="E8" s="718">
        <v>15.23</v>
      </c>
      <c r="F8" s="718">
        <v>25.17</v>
      </c>
      <c r="G8" s="718">
        <v>27.18</v>
      </c>
      <c r="H8" s="716" t="s">
        <v>701</v>
      </c>
      <c r="I8" s="704"/>
      <c r="J8" s="704"/>
      <c r="L8" s="1224"/>
      <c r="M8" s="1225">
        <v>0.2</v>
      </c>
    </row>
    <row r="9" spans="1:13" ht="13" x14ac:dyDescent="0.3">
      <c r="A9" t="s">
        <v>357</v>
      </c>
      <c r="B9" s="723">
        <v>6.75</v>
      </c>
      <c r="C9" s="718"/>
      <c r="D9" s="718">
        <v>19.440000000000001</v>
      </c>
      <c r="E9" s="718">
        <v>28.23</v>
      </c>
      <c r="F9" s="718">
        <v>32.200000000000003</v>
      </c>
      <c r="G9" s="718">
        <v>31.16</v>
      </c>
      <c r="J9" s="704"/>
      <c r="L9" s="1224">
        <v>25</v>
      </c>
      <c r="M9" s="1225">
        <f>+$M$8*L9</f>
        <v>5</v>
      </c>
    </row>
    <row r="10" spans="1:13" ht="13" x14ac:dyDescent="0.3">
      <c r="A10" t="s">
        <v>358</v>
      </c>
      <c r="B10" s="724"/>
      <c r="C10" s="720">
        <v>16.66</v>
      </c>
      <c r="D10" s="720">
        <v>19.440000000000001</v>
      </c>
      <c r="E10" s="720">
        <v>28.23</v>
      </c>
      <c r="F10" s="720">
        <v>30.55</v>
      </c>
      <c r="G10" s="720">
        <v>29.41</v>
      </c>
      <c r="H10" s="114"/>
      <c r="J10" s="704"/>
      <c r="L10" s="1224">
        <v>50</v>
      </c>
      <c r="M10" s="1225">
        <f>+$M$8*L10</f>
        <v>10</v>
      </c>
    </row>
    <row r="11" spans="1:13" ht="13" x14ac:dyDescent="0.3">
      <c r="A11" s="246" t="s">
        <v>359</v>
      </c>
      <c r="B11" s="725">
        <f>AVERAGE(B7:B10)/37.5</f>
        <v>0.18</v>
      </c>
      <c r="C11" s="721">
        <f t="shared" ref="C11" si="0">AVERAGE(C7:C10)/37.5</f>
        <v>0.37946666666666667</v>
      </c>
      <c r="D11" s="721">
        <f>AVERAGE(D7:D10)/37.5</f>
        <v>0.43333333333333335</v>
      </c>
      <c r="E11" s="721">
        <f>AVERAGE(E7:E10)/37.5</f>
        <v>0.57946666666666669</v>
      </c>
      <c r="F11" s="721">
        <f>AVERAGE(F7:F10)/37.5</f>
        <v>0.76493333333333335</v>
      </c>
      <c r="G11" s="721">
        <f t="shared" ref="G11" si="1">AVERAGE(G7:G10)/37.5</f>
        <v>0.7778666666666666</v>
      </c>
      <c r="H11" s="247"/>
      <c r="J11" s="704"/>
      <c r="L11" s="1226">
        <v>75</v>
      </c>
      <c r="M11" s="1227">
        <f>+$M$8*L11</f>
        <v>15</v>
      </c>
    </row>
    <row r="12" spans="1:13" ht="13" x14ac:dyDescent="0.25">
      <c r="A12" s="244"/>
      <c r="B12" s="726"/>
      <c r="C12" s="718"/>
      <c r="D12" s="718"/>
      <c r="E12" s="718"/>
      <c r="F12" s="718"/>
      <c r="G12" s="718"/>
      <c r="J12" s="704"/>
      <c r="L12" s="704"/>
    </row>
    <row r="13" spans="1:13" ht="13" x14ac:dyDescent="0.3">
      <c r="A13" t="s">
        <v>360</v>
      </c>
      <c r="B13" s="723">
        <v>13.5</v>
      </c>
      <c r="C13" s="717"/>
      <c r="D13" s="718">
        <v>56.86</v>
      </c>
      <c r="E13" s="717" t="s">
        <v>361</v>
      </c>
      <c r="F13" s="718">
        <v>74.8</v>
      </c>
      <c r="G13" s="718">
        <v>70.239999999999995</v>
      </c>
      <c r="H13" t="s">
        <v>365</v>
      </c>
      <c r="J13" s="704"/>
      <c r="L13" s="704"/>
    </row>
    <row r="14" spans="1:13" ht="13" x14ac:dyDescent="0.3">
      <c r="A14" t="s">
        <v>362</v>
      </c>
      <c r="B14" s="724"/>
      <c r="C14" s="719">
        <v>27.25</v>
      </c>
      <c r="D14" s="720">
        <v>56.86</v>
      </c>
      <c r="E14" s="719" t="s">
        <v>361</v>
      </c>
      <c r="F14" s="720">
        <v>73.150000000000006</v>
      </c>
      <c r="G14" s="720">
        <v>68.489999999999995</v>
      </c>
      <c r="H14" s="716" t="s">
        <v>701</v>
      </c>
      <c r="J14" s="704"/>
      <c r="L14" s="704"/>
    </row>
    <row r="15" spans="1:13" s="244" customFormat="1" ht="13" x14ac:dyDescent="0.3">
      <c r="A15" s="246" t="s">
        <v>363</v>
      </c>
      <c r="B15" s="725">
        <f>AVERAGE(B13:B14)/75</f>
        <v>0.18</v>
      </c>
      <c r="C15" s="722"/>
      <c r="D15" s="721">
        <f>AVERAGE(D13:D14)/75</f>
        <v>0.75813333333333333</v>
      </c>
      <c r="E15" s="721" t="s">
        <v>361</v>
      </c>
      <c r="F15" s="721">
        <f>AVERAGE(F13:F14)/75</f>
        <v>0.98633333333333328</v>
      </c>
      <c r="G15" s="721">
        <f>AVERAGE(G13:G14)/75</f>
        <v>0.92486666666666661</v>
      </c>
      <c r="H15" s="246"/>
      <c r="J15" s="704"/>
      <c r="L15" s="704"/>
    </row>
    <row r="16" spans="1:13" ht="25" x14ac:dyDescent="0.25">
      <c r="E16" s="244" t="s">
        <v>364</v>
      </c>
      <c r="L16" s="704"/>
    </row>
    <row r="18" spans="2:8" ht="13" thickBot="1" x14ac:dyDescent="0.3"/>
    <row r="19" spans="2:8" ht="14.5" x14ac:dyDescent="0.35">
      <c r="B19" s="408" t="s">
        <v>609</v>
      </c>
      <c r="C19" s="404"/>
      <c r="D19" s="404"/>
      <c r="E19" s="404"/>
      <c r="F19" s="404"/>
      <c r="G19" s="404"/>
      <c r="H19" s="405"/>
    </row>
    <row r="20" spans="2:8" x14ac:dyDescent="0.25">
      <c r="B20" s="406" t="s">
        <v>349</v>
      </c>
      <c r="C20" s="5" t="s">
        <v>610</v>
      </c>
      <c r="D20" s="5"/>
      <c r="E20" s="5"/>
      <c r="F20" s="5"/>
      <c r="G20" s="5"/>
      <c r="H20" s="107"/>
    </row>
    <row r="21" spans="2:8" x14ac:dyDescent="0.25">
      <c r="B21" s="406" t="s">
        <v>350</v>
      </c>
      <c r="C21" s="673" t="s">
        <v>672</v>
      </c>
      <c r="D21" s="5"/>
      <c r="E21" s="5"/>
      <c r="F21" s="5"/>
      <c r="G21" s="5"/>
      <c r="H21" s="107"/>
    </row>
    <row r="22" spans="2:8" x14ac:dyDescent="0.25">
      <c r="B22" s="406" t="s">
        <v>351</v>
      </c>
      <c r="C22" s="673" t="s">
        <v>670</v>
      </c>
      <c r="D22" s="5"/>
      <c r="E22" s="5"/>
      <c r="F22" s="5"/>
      <c r="G22" s="5"/>
      <c r="H22" s="107"/>
    </row>
    <row r="23" spans="2:8" x14ac:dyDescent="0.25">
      <c r="B23" s="406" t="s">
        <v>352</v>
      </c>
      <c r="C23" s="673" t="s">
        <v>673</v>
      </c>
      <c r="D23" s="5"/>
      <c r="E23" s="5"/>
      <c r="F23" s="5"/>
      <c r="G23" s="5"/>
      <c r="H23" s="107"/>
    </row>
    <row r="24" spans="2:8" x14ac:dyDescent="0.25">
      <c r="B24" s="406" t="s">
        <v>353</v>
      </c>
      <c r="C24" s="704" t="s">
        <v>698</v>
      </c>
      <c r="D24" s="5"/>
      <c r="E24" s="5"/>
      <c r="F24" s="5"/>
      <c r="G24" s="5"/>
      <c r="H24" s="107"/>
    </row>
    <row r="25" spans="2:8" ht="15" thickBot="1" x14ac:dyDescent="0.4">
      <c r="B25" s="407" t="s">
        <v>354</v>
      </c>
      <c r="C25" s="108" t="s">
        <v>674</v>
      </c>
      <c r="D25" s="674" t="s">
        <v>671</v>
      </c>
      <c r="E25" s="108"/>
      <c r="F25" s="108"/>
      <c r="G25" s="108"/>
      <c r="H25" s="116"/>
    </row>
  </sheetData>
  <hyperlinks>
    <hyperlink ref="C21" r:id="rId1"/>
    <hyperlink ref="C22" r:id="rId2"/>
    <hyperlink ref="C23" r:id="rId3"/>
  </hyperlinks>
  <printOptions gridLines="1"/>
  <pageMargins left="0.5" right="0.25" top="0.5" bottom="0.5" header="0.3" footer="0.3"/>
  <pageSetup orientation="landscape" r:id="rId4"/>
  <headerFooter alignWithMargins="0">
    <oddFooter>&amp;A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14999847407452621"/>
  </sheetPr>
  <dimension ref="A1:AE132"/>
  <sheetViews>
    <sheetView workbookViewId="0"/>
  </sheetViews>
  <sheetFormatPr defaultColWidth="14.7265625" defaultRowHeight="14.5" x14ac:dyDescent="0.35"/>
  <cols>
    <col min="1" max="1" width="2.81640625" style="670" customWidth="1"/>
    <col min="2" max="2" width="41.54296875" style="670" bestFit="1" customWidth="1"/>
    <col min="3" max="3" width="4.453125" style="670" bestFit="1" customWidth="1"/>
    <col min="4" max="4" width="19.54296875" style="670" bestFit="1" customWidth="1"/>
    <col min="5" max="5" width="13.453125" style="955" bestFit="1" customWidth="1"/>
    <col min="6" max="6" width="7.453125" style="670" bestFit="1" customWidth="1"/>
    <col min="7" max="7" width="7.26953125" style="670" bestFit="1" customWidth="1"/>
    <col min="8" max="8" width="11.54296875" style="670" bestFit="1" customWidth="1"/>
    <col min="9" max="9" width="4.7265625" style="670" bestFit="1" customWidth="1"/>
    <col min="10" max="10" width="5.453125" style="670" bestFit="1" customWidth="1"/>
    <col min="11" max="11" width="11.1796875" style="955" customWidth="1"/>
    <col min="12" max="12" width="17.26953125" style="955" bestFit="1" customWidth="1"/>
    <col min="13" max="13" width="9.54296875" style="955" bestFit="1" customWidth="1"/>
    <col min="14" max="14" width="12.26953125" style="955" customWidth="1"/>
    <col min="15" max="15" width="10.26953125" style="670" hidden="1" customWidth="1"/>
    <col min="16" max="16" width="12.26953125" style="955" hidden="1" customWidth="1"/>
    <col min="17" max="17" width="10.26953125" style="670" hidden="1" customWidth="1"/>
    <col min="18" max="18" width="10.7265625" style="670" hidden="1" customWidth="1"/>
    <col min="19" max="19" width="1.7265625" style="670" hidden="1" customWidth="1"/>
    <col min="20" max="20" width="15.54296875" style="955" bestFit="1" customWidth="1"/>
    <col min="21" max="21" width="15" style="955" bestFit="1" customWidth="1"/>
    <col min="22" max="22" width="15.54296875" style="955" hidden="1" customWidth="1"/>
    <col min="23" max="23" width="9.26953125" style="955" hidden="1" customWidth="1"/>
    <col min="24" max="24" width="13" style="955" hidden="1" customWidth="1"/>
    <col min="25" max="25" width="13" style="955" customWidth="1"/>
    <col min="26" max="26" width="0.26953125" style="670" hidden="1" customWidth="1"/>
    <col min="27" max="27" width="10.26953125" style="670" hidden="1" customWidth="1"/>
    <col min="28" max="28" width="20.453125" style="670" hidden="1" customWidth="1"/>
    <col min="29" max="29" width="10.26953125" style="670" hidden="1" customWidth="1"/>
    <col min="30" max="30" width="16.453125" style="670" hidden="1" customWidth="1"/>
    <col min="31" max="31" width="14.7265625" style="670" hidden="1" customWidth="1"/>
    <col min="32" max="16384" width="14.7265625" style="670"/>
  </cols>
  <sheetData>
    <row r="1" spans="1:30" s="666" customFormat="1" x14ac:dyDescent="0.35">
      <c r="A1" s="51" t="s">
        <v>45</v>
      </c>
      <c r="B1" s="58" t="s">
        <v>791</v>
      </c>
      <c r="E1" s="1214" t="s">
        <v>907</v>
      </c>
      <c r="F1" s="1215"/>
      <c r="G1" s="1215"/>
      <c r="H1" s="1215"/>
      <c r="I1" s="1215"/>
      <c r="J1" s="1215"/>
      <c r="K1" s="1214"/>
      <c r="L1" s="1214"/>
      <c r="M1" s="1214"/>
      <c r="N1" s="1214"/>
      <c r="P1" s="954"/>
      <c r="T1" s="955"/>
      <c r="U1" s="955"/>
      <c r="V1" s="954"/>
      <c r="W1" s="954"/>
      <c r="X1" s="954"/>
      <c r="Y1" s="954"/>
    </row>
    <row r="2" spans="1:30" s="666" customFormat="1" x14ac:dyDescent="0.35">
      <c r="B2" s="59" t="s">
        <v>46</v>
      </c>
      <c r="E2" s="1215" t="s">
        <v>908</v>
      </c>
      <c r="F2" s="1216"/>
      <c r="G2" s="1215"/>
      <c r="H2" s="1215"/>
      <c r="I2" s="1215"/>
      <c r="J2" s="1215"/>
      <c r="K2" s="1215"/>
      <c r="L2" s="1215"/>
      <c r="M2" s="1215"/>
      <c r="N2" s="1215"/>
      <c r="P2" s="954"/>
      <c r="T2" s="955"/>
      <c r="U2" s="955"/>
      <c r="V2" s="954"/>
      <c r="W2" s="954"/>
      <c r="X2" s="954"/>
      <c r="Y2" s="954"/>
    </row>
    <row r="3" spans="1:30" s="666" customFormat="1" x14ac:dyDescent="0.35">
      <c r="B3" s="57"/>
      <c r="P3" s="954"/>
      <c r="T3" s="955"/>
      <c r="U3" s="955"/>
      <c r="V3" s="954"/>
      <c r="W3" s="954"/>
      <c r="X3" s="954"/>
      <c r="Y3" s="954"/>
      <c r="AA3" s="51" t="s">
        <v>212</v>
      </c>
      <c r="AB3" s="51" t="s">
        <v>213</v>
      </c>
    </row>
    <row r="4" spans="1:30" s="666" customFormat="1" x14ac:dyDescent="0.35">
      <c r="P4" s="954"/>
      <c r="T4" s="955"/>
      <c r="U4" s="955"/>
      <c r="V4" s="954"/>
      <c r="W4" s="954"/>
      <c r="X4" s="954"/>
      <c r="Y4" s="954"/>
      <c r="AA4" s="51" t="s">
        <v>214</v>
      </c>
      <c r="AB4" s="51" t="s">
        <v>215</v>
      </c>
    </row>
    <row r="5" spans="1:30" s="666" customFormat="1" ht="14.5" customHeight="1" x14ac:dyDescent="0.35">
      <c r="D5" s="1272" t="s">
        <v>47</v>
      </c>
      <c r="E5" s="1272"/>
      <c r="F5" s="1273" t="s">
        <v>48</v>
      </c>
      <c r="G5" s="1273"/>
      <c r="M5" s="954"/>
      <c r="N5" s="954"/>
      <c r="P5" s="954"/>
      <c r="T5" s="955"/>
      <c r="U5" s="955"/>
      <c r="V5" s="954"/>
      <c r="W5" s="954"/>
      <c r="X5" s="954"/>
      <c r="Y5" s="954"/>
      <c r="AA5" s="51" t="s">
        <v>216</v>
      </c>
      <c r="AB5" s="51" t="s">
        <v>217</v>
      </c>
    </row>
    <row r="6" spans="1:30" s="666" customFormat="1" ht="15" customHeight="1" x14ac:dyDescent="0.35">
      <c r="D6" s="20" t="s">
        <v>49</v>
      </c>
      <c r="E6" s="20" t="s">
        <v>50</v>
      </c>
      <c r="F6" s="21" t="s">
        <v>49</v>
      </c>
      <c r="G6" s="21" t="s">
        <v>50</v>
      </c>
      <c r="K6" s="954"/>
      <c r="L6" s="954"/>
      <c r="M6" s="954"/>
      <c r="N6" s="954"/>
      <c r="P6" s="954"/>
      <c r="T6" s="955"/>
      <c r="U6" s="955"/>
      <c r="V6" s="954"/>
      <c r="W6" s="954"/>
      <c r="X6" s="954"/>
      <c r="Y6" s="954"/>
      <c r="AA6" s="51" t="s">
        <v>218</v>
      </c>
      <c r="AB6" s="51" t="s">
        <v>219</v>
      </c>
    </row>
    <row r="7" spans="1:30" s="666" customFormat="1" x14ac:dyDescent="0.35">
      <c r="D7" s="22">
        <v>12</v>
      </c>
      <c r="E7" s="22">
        <v>2020</v>
      </c>
      <c r="F7" s="21">
        <f>12-D7</f>
        <v>0</v>
      </c>
      <c r="G7" s="21">
        <f>E7+1</f>
        <v>2021</v>
      </c>
      <c r="K7" s="954"/>
      <c r="L7" s="954"/>
      <c r="M7" s="954"/>
      <c r="N7" s="954"/>
      <c r="P7" s="954"/>
      <c r="R7" s="52" t="s">
        <v>44</v>
      </c>
      <c r="T7" s="956"/>
      <c r="U7" s="956"/>
      <c r="V7" s="957" t="s">
        <v>220</v>
      </c>
      <c r="W7" s="954"/>
      <c r="X7" s="957" t="s">
        <v>220</v>
      </c>
      <c r="Y7" s="954"/>
      <c r="AA7" s="51" t="s">
        <v>221</v>
      </c>
      <c r="AB7" s="51" t="s">
        <v>222</v>
      </c>
    </row>
    <row r="8" spans="1:30" s="666" customFormat="1" x14ac:dyDescent="0.35">
      <c r="A8" s="51"/>
      <c r="D8" s="52"/>
      <c r="E8" s="954"/>
      <c r="F8" s="52"/>
      <c r="H8" s="52"/>
      <c r="J8" s="51"/>
      <c r="K8" s="954"/>
      <c r="L8" s="954"/>
      <c r="M8" s="954"/>
      <c r="N8" s="954"/>
      <c r="O8" s="52" t="s">
        <v>223</v>
      </c>
      <c r="P8" s="957" t="s">
        <v>44</v>
      </c>
      <c r="R8" s="52" t="s">
        <v>220</v>
      </c>
      <c r="T8" s="956"/>
      <c r="U8" s="956"/>
      <c r="V8" s="957" t="s">
        <v>224</v>
      </c>
      <c r="W8" s="957" t="s">
        <v>225</v>
      </c>
      <c r="X8" s="957" t="s">
        <v>226</v>
      </c>
      <c r="Y8" s="954"/>
    </row>
    <row r="9" spans="1:30" s="666" customFormat="1" ht="28.9" customHeight="1" x14ac:dyDescent="0.35">
      <c r="B9" s="60" t="s">
        <v>51</v>
      </c>
      <c r="C9" s="1268" t="s">
        <v>52</v>
      </c>
      <c r="D9" s="1268"/>
      <c r="E9" s="958" t="s">
        <v>53</v>
      </c>
      <c r="F9" s="869" t="s">
        <v>54</v>
      </c>
      <c r="G9" s="869" t="s">
        <v>55</v>
      </c>
      <c r="H9" s="869" t="s">
        <v>56</v>
      </c>
      <c r="I9" s="1269" t="s">
        <v>61</v>
      </c>
      <c r="J9" s="1269"/>
      <c r="K9" s="1269"/>
      <c r="L9" s="958" t="s">
        <v>57</v>
      </c>
      <c r="M9" s="1268" t="s">
        <v>58</v>
      </c>
      <c r="N9" s="1268"/>
      <c r="O9" s="52" t="s">
        <v>202</v>
      </c>
      <c r="P9" s="957" t="s">
        <v>228</v>
      </c>
      <c r="Q9" s="52" t="s">
        <v>64</v>
      </c>
      <c r="R9" s="51" t="s">
        <v>227</v>
      </c>
      <c r="T9" s="1270" t="s">
        <v>59</v>
      </c>
      <c r="U9" s="1271"/>
      <c r="V9" s="957" t="s">
        <v>229</v>
      </c>
      <c r="W9" s="957" t="s">
        <v>230</v>
      </c>
      <c r="X9" s="957" t="s">
        <v>231</v>
      </c>
      <c r="Y9" s="958" t="s">
        <v>60</v>
      </c>
    </row>
    <row r="10" spans="1:30" s="666" customFormat="1" x14ac:dyDescent="0.35">
      <c r="A10" s="52"/>
      <c r="B10" s="84" t="s">
        <v>62</v>
      </c>
      <c r="C10" s="84" t="s">
        <v>49</v>
      </c>
      <c r="D10" s="84" t="s">
        <v>50</v>
      </c>
      <c r="E10" s="959" t="s">
        <v>63</v>
      </c>
      <c r="F10" s="85" t="s">
        <v>64</v>
      </c>
      <c r="G10" s="84" t="s">
        <v>65</v>
      </c>
      <c r="H10" s="61" t="s">
        <v>50</v>
      </c>
      <c r="I10" s="83" t="s">
        <v>70</v>
      </c>
      <c r="J10" s="83" t="s">
        <v>71</v>
      </c>
      <c r="K10" s="960" t="s">
        <v>63</v>
      </c>
      <c r="L10" s="961" t="s">
        <v>63</v>
      </c>
      <c r="M10" s="962" t="s">
        <v>66</v>
      </c>
      <c r="N10" s="962" t="s">
        <v>67</v>
      </c>
      <c r="O10" s="52" t="s">
        <v>232</v>
      </c>
      <c r="P10" s="957" t="s">
        <v>233</v>
      </c>
      <c r="Q10" s="52" t="s">
        <v>230</v>
      </c>
      <c r="R10" s="52" t="s">
        <v>231</v>
      </c>
      <c r="T10" s="963" t="s">
        <v>68</v>
      </c>
      <c r="U10" s="963" t="s">
        <v>69</v>
      </c>
      <c r="V10" s="957" t="s">
        <v>234</v>
      </c>
      <c r="W10" s="957" t="s">
        <v>64</v>
      </c>
      <c r="X10" s="954" t="str">
        <f>V10</f>
        <v>01/01/1999</v>
      </c>
      <c r="Y10" s="962" t="s">
        <v>63</v>
      </c>
      <c r="Z10" s="52" t="s">
        <v>212</v>
      </c>
      <c r="AA10" s="52" t="s">
        <v>235</v>
      </c>
      <c r="AB10" s="52" t="s">
        <v>236</v>
      </c>
      <c r="AC10" s="52" t="s">
        <v>218</v>
      </c>
      <c r="AD10" s="52" t="s">
        <v>221</v>
      </c>
    </row>
    <row r="11" spans="1:30" x14ac:dyDescent="0.35">
      <c r="A11" s="63"/>
      <c r="B11" s="64" t="s">
        <v>237</v>
      </c>
      <c r="C11" s="63"/>
      <c r="D11" s="63"/>
      <c r="E11" s="956"/>
      <c r="F11" s="63"/>
      <c r="G11" s="63"/>
      <c r="H11" s="63"/>
      <c r="I11" s="65"/>
      <c r="J11" s="65"/>
      <c r="K11" s="956"/>
      <c r="L11" s="956"/>
      <c r="M11" s="956"/>
      <c r="N11" s="956"/>
      <c r="O11" s="63"/>
      <c r="P11" s="956"/>
      <c r="Q11" s="63"/>
      <c r="R11" s="63"/>
      <c r="T11" s="956"/>
      <c r="U11" s="956"/>
      <c r="V11" s="956"/>
      <c r="W11" s="956"/>
      <c r="Y11" s="956"/>
      <c r="Z11" s="63"/>
      <c r="AA11" s="63"/>
      <c r="AB11" s="63"/>
      <c r="AC11" s="63"/>
      <c r="AD11" s="63"/>
    </row>
    <row r="12" spans="1:30" s="666" customFormat="1" x14ac:dyDescent="0.35">
      <c r="B12" s="982"/>
      <c r="C12" s="24"/>
      <c r="D12" s="24"/>
      <c r="E12" s="964">
        <v>0</v>
      </c>
      <c r="F12" s="25">
        <v>0</v>
      </c>
      <c r="G12" s="24">
        <v>20</v>
      </c>
      <c r="H12" s="666">
        <f t="shared" ref="H12:H13" si="0">D12+G12</f>
        <v>20</v>
      </c>
      <c r="I12" s="82"/>
      <c r="J12" s="62"/>
      <c r="K12" s="965">
        <v>0</v>
      </c>
      <c r="L12" s="954">
        <f t="shared" ref="L12:L13" si="1">E12-E12*F12</f>
        <v>0</v>
      </c>
      <c r="M12" s="954">
        <f t="shared" ref="M12:M13" si="2">L12/G12/12</f>
        <v>0</v>
      </c>
      <c r="N12" s="954">
        <f t="shared" ref="N12:N13" si="3">IF(K12&gt;0,0,IF(OR(Z12&gt;AA12,AB12&lt;AC12),0,IF(AND(AB12&gt;=AC12,AB12&lt;=AA12),M12*((AB12-AC12)*12),IF(AND(AC12&lt;=Z12,AA12&gt;=Z12),((AA12-Z12)*12)*M12,IF(AB12&gt;AA12,12*M12,0)))))</f>
        <v>0</v>
      </c>
      <c r="O12" s="666">
        <f t="shared" ref="O12:O13" si="4">IF(K12=0,0,IF(AND(AD12&gt;=AC12,AD12&lt;=AB12),((AD12-AC12)*12)*M12,0))</f>
        <v>0</v>
      </c>
      <c r="P12" s="954">
        <f t="shared" ref="P12:P13" si="5">IF(O12&gt;0,O12,N12)</f>
        <v>0</v>
      </c>
      <c r="Q12" s="668">
        <v>1</v>
      </c>
      <c r="R12" s="667">
        <f t="shared" ref="R12:R13" si="6">Q12*P12</f>
        <v>0</v>
      </c>
      <c r="T12" s="966">
        <f t="shared" ref="T12:T13" si="7">IF(Z12&gt;AA12,0,IF(AB12&lt;AC12,L12,IF(AND(AB12&gt;=AC12,AB12&lt;=AA12),(L12-P12),IF(AND(AC12&lt;=Z12,AA12&gt;=Z12),0,IF(AB12&gt;AA12,((AC12-Z12)*12)*M12,0)))))</f>
        <v>0</v>
      </c>
      <c r="U12" s="966">
        <f t="shared" ref="U12:U13" si="8">IF(K12&gt;0,0,X12+R12*W12)*W12</f>
        <v>0</v>
      </c>
      <c r="V12" s="954">
        <f t="shared" ref="V12:V13" si="9">T12*Q12</f>
        <v>0</v>
      </c>
      <c r="W12" s="954">
        <v>1</v>
      </c>
      <c r="X12" s="954">
        <f t="shared" ref="X12:X13" si="10">V12*W12</f>
        <v>0</v>
      </c>
      <c r="Y12" s="954">
        <f t="shared" ref="Y12:Y13" si="11">IF(K12&gt;0,(E12-X12)/2,IF(Z12&gt;=AC12,(((E12*Q12)*W12)-U12)/2,((((E12*Q12)*W12)-X12)+(((E12*Q12)*W12)-U12))/2))</f>
        <v>0</v>
      </c>
      <c r="Z12" s="669">
        <f t="shared" ref="Z12:Z13" si="12">$D12+(($C12-1)/12)</f>
        <v>-8.3333333333333329E-2</v>
      </c>
      <c r="AA12" s="666">
        <f t="shared" ref="AA12:AA13" si="13">($G$7+1)-($D$7/12)</f>
        <v>2021</v>
      </c>
      <c r="AB12" s="669">
        <f t="shared" ref="AB12:AB13" si="14">$H12+(($C12-1)/12)</f>
        <v>19.916666666666668</v>
      </c>
      <c r="AC12" s="666">
        <f t="shared" ref="AC12:AC13" si="15">$E$7+($F$7/12)</f>
        <v>2020</v>
      </c>
      <c r="AD12" s="666">
        <f t="shared" ref="AD12:AD13" si="16">$J12+(($I12-1)/12)</f>
        <v>-8.3333333333333329E-2</v>
      </c>
    </row>
    <row r="13" spans="1:30" s="666" customFormat="1" x14ac:dyDescent="0.35">
      <c r="B13" s="982"/>
      <c r="C13" s="131"/>
      <c r="D13" s="131"/>
      <c r="E13" s="967">
        <v>0</v>
      </c>
      <c r="F13" s="671">
        <v>0</v>
      </c>
      <c r="G13" s="131">
        <v>20</v>
      </c>
      <c r="H13" s="666">
        <f t="shared" si="0"/>
        <v>20</v>
      </c>
      <c r="I13" s="62"/>
      <c r="J13" s="62"/>
      <c r="K13" s="965">
        <v>0</v>
      </c>
      <c r="L13" s="954">
        <f t="shared" si="1"/>
        <v>0</v>
      </c>
      <c r="M13" s="954">
        <f t="shared" si="2"/>
        <v>0</v>
      </c>
      <c r="N13" s="954">
        <f t="shared" si="3"/>
        <v>0</v>
      </c>
      <c r="O13" s="666">
        <f t="shared" si="4"/>
        <v>0</v>
      </c>
      <c r="P13" s="954">
        <f t="shared" si="5"/>
        <v>0</v>
      </c>
      <c r="Q13" s="668">
        <v>7</v>
      </c>
      <c r="R13" s="667">
        <f t="shared" si="6"/>
        <v>0</v>
      </c>
      <c r="T13" s="966">
        <f t="shared" si="7"/>
        <v>0</v>
      </c>
      <c r="U13" s="966">
        <f t="shared" si="8"/>
        <v>0</v>
      </c>
      <c r="V13" s="954">
        <f t="shared" si="9"/>
        <v>0</v>
      </c>
      <c r="W13" s="954">
        <v>7</v>
      </c>
      <c r="X13" s="954">
        <f t="shared" si="10"/>
        <v>0</v>
      </c>
      <c r="Y13" s="954">
        <f t="shared" si="11"/>
        <v>0</v>
      </c>
      <c r="Z13" s="669">
        <f t="shared" si="12"/>
        <v>-8.3333333333333329E-2</v>
      </c>
      <c r="AA13" s="666">
        <f t="shared" si="13"/>
        <v>2021</v>
      </c>
      <c r="AB13" s="669">
        <f t="shared" si="14"/>
        <v>19.916666666666668</v>
      </c>
      <c r="AC13" s="666">
        <f t="shared" si="15"/>
        <v>2020</v>
      </c>
      <c r="AD13" s="666">
        <f t="shared" si="16"/>
        <v>-8.3333333333333329E-2</v>
      </c>
    </row>
    <row r="14" spans="1:30" x14ac:dyDescent="0.35">
      <c r="B14" s="54"/>
      <c r="C14" s="55"/>
      <c r="D14" s="55"/>
      <c r="E14" s="968"/>
      <c r="F14" s="53"/>
      <c r="G14" s="55"/>
      <c r="Q14" s="66"/>
      <c r="R14" s="56"/>
      <c r="Z14" s="67"/>
      <c r="AB14" s="67"/>
    </row>
    <row r="15" spans="1:30" s="69" customFormat="1" x14ac:dyDescent="0.35">
      <c r="B15" s="68" t="s">
        <v>238</v>
      </c>
      <c r="E15" s="969">
        <f>SUM(E12:E14)</f>
        <v>0</v>
      </c>
      <c r="F15" s="70"/>
      <c r="K15" s="969">
        <f t="shared" ref="K15:P15" si="17">SUM(K12:K14)</f>
        <v>0</v>
      </c>
      <c r="L15" s="969">
        <f t="shared" si="17"/>
        <v>0</v>
      </c>
      <c r="M15" s="969">
        <f t="shared" si="17"/>
        <v>0</v>
      </c>
      <c r="N15" s="969">
        <f t="shared" si="17"/>
        <v>0</v>
      </c>
      <c r="O15" s="71">
        <f t="shared" si="17"/>
        <v>0</v>
      </c>
      <c r="P15" s="969">
        <f t="shared" si="17"/>
        <v>0</v>
      </c>
      <c r="Q15" s="71">
        <f>SUM(Q13:Q14)</f>
        <v>7</v>
      </c>
      <c r="R15" s="71">
        <f>SUM(R13:R14)</f>
        <v>0</v>
      </c>
      <c r="S15" s="71"/>
      <c r="T15" s="969">
        <f>SUM(T12:T14)</f>
        <v>0</v>
      </c>
      <c r="U15" s="969">
        <f>SUM(U12:U14)</f>
        <v>0</v>
      </c>
      <c r="V15" s="969">
        <f>SUM(V13:V14)</f>
        <v>0</v>
      </c>
      <c r="W15" s="969">
        <f>SUM(W13:W14)</f>
        <v>7</v>
      </c>
      <c r="X15" s="969">
        <f>SUM(X13:X14)</f>
        <v>0</v>
      </c>
      <c r="Y15" s="969">
        <f>SUM(Y12:Y14)</f>
        <v>0</v>
      </c>
      <c r="Z15" s="72"/>
      <c r="AB15" s="72"/>
    </row>
    <row r="16" spans="1:30" x14ac:dyDescent="0.35">
      <c r="B16" s="54"/>
      <c r="C16" s="55"/>
      <c r="D16" s="55"/>
      <c r="E16" s="968"/>
      <c r="F16" s="53"/>
      <c r="G16" s="55"/>
      <c r="Q16" s="66"/>
      <c r="R16" s="56"/>
      <c r="Z16" s="67"/>
      <c r="AB16" s="67"/>
    </row>
    <row r="17" spans="2:30" x14ac:dyDescent="0.35">
      <c r="B17" s="64" t="s">
        <v>79</v>
      </c>
      <c r="C17" s="55"/>
      <c r="D17" s="55"/>
      <c r="E17" s="968"/>
      <c r="F17" s="53"/>
      <c r="G17" s="55"/>
      <c r="Q17" s="66"/>
      <c r="R17" s="56"/>
      <c r="Z17" s="67"/>
      <c r="AB17" s="67"/>
    </row>
    <row r="18" spans="2:30" s="666" customFormat="1" x14ac:dyDescent="0.35">
      <c r="B18" s="50"/>
      <c r="C18" s="24"/>
      <c r="D18" s="24"/>
      <c r="E18" s="964"/>
      <c r="F18" s="25">
        <v>0</v>
      </c>
      <c r="G18" s="24">
        <v>15</v>
      </c>
      <c r="H18" s="666">
        <f t="shared" ref="H18:H19" si="18">D18+G18</f>
        <v>15</v>
      </c>
      <c r="I18" s="665"/>
      <c r="J18" s="665"/>
      <c r="K18" s="970">
        <v>0</v>
      </c>
      <c r="L18" s="954">
        <f t="shared" ref="L18:L19" si="19">E18-E18*F18</f>
        <v>0</v>
      </c>
      <c r="M18" s="954">
        <f t="shared" ref="M18:M19" si="20">L18/G18/12</f>
        <v>0</v>
      </c>
      <c r="N18" s="954">
        <f t="shared" ref="N18:N19" si="21">IF(K18&gt;0,0,IF(OR(Z18&gt;AA18,AB18&lt;AC18),0,IF(AND(AB18&gt;=AC18,AB18&lt;=AA18),M18*((AB18-AC18)*12),IF(AND(AC18&lt;=Z18,AA18&gt;=Z18),((AA18-Z18)*12)*M18,IF(AB18&gt;AA18,12*M18,0)))))</f>
        <v>0</v>
      </c>
      <c r="O18" s="666">
        <f t="shared" ref="O18:O19" si="22">IF(K18=0,0,IF(AND(AD18&gt;=AC18,AD18&lt;=AB18),((AD18-AC18)*12)*M18,0))</f>
        <v>0</v>
      </c>
      <c r="P18" s="954">
        <f t="shared" ref="P18:P19" si="23">IF(O18&gt;0,O18,N18)</f>
        <v>0</v>
      </c>
      <c r="Q18" s="668">
        <v>1</v>
      </c>
      <c r="R18" s="667">
        <f t="shared" ref="R18:R19" si="24">Q18*SUM(N18:O18)</f>
        <v>0</v>
      </c>
      <c r="T18" s="966">
        <f t="shared" ref="T18:T19" si="25">IF(Z18&gt;AA18,0,IF(AB18&lt;AC18,L18,IF(AND(AB18&gt;=AC18,AB18&lt;=AA18),(L18-P18),IF(AND(AC18&lt;=Z18,AA18&gt;=Z18),0,IF(AB18&gt;AA18,((AC18-Z18)*12)*M18,0)))))</f>
        <v>0</v>
      </c>
      <c r="U18" s="966">
        <f t="shared" ref="U18:U19" si="26">IF(K18&gt;0,0,X18+R18*W18)*W18</f>
        <v>0</v>
      </c>
      <c r="V18" s="954">
        <f t="shared" ref="V18:V19" si="27">T18*Q18</f>
        <v>0</v>
      </c>
      <c r="W18" s="954">
        <v>1</v>
      </c>
      <c r="X18" s="954">
        <f t="shared" ref="X18:X19" si="28">V18*W18</f>
        <v>0</v>
      </c>
      <c r="Y18" s="954">
        <f t="shared" ref="Y18:Y19" si="29">IF(K18&gt;0,(E18-X18)/2,IF(Z18&gt;=AC18,(((E18*Q18)*W18)-U18)/2,((((E18*Q18)*W18)-X18)+(((E18*Q18)*W18)-U18))/2))</f>
        <v>0</v>
      </c>
      <c r="Z18" s="669">
        <f t="shared" ref="Z18:Z19" si="30">$D18+(($C18-1)/12)</f>
        <v>-8.3333333333333329E-2</v>
      </c>
      <c r="AA18" s="666">
        <f t="shared" ref="AA18:AA19" si="31">($G$7+1)-($D$7/12)</f>
        <v>2021</v>
      </c>
      <c r="AB18" s="669">
        <f t="shared" ref="AB18:AB19" si="32">$H18+(($C18-1)/12)</f>
        <v>14.916666666666666</v>
      </c>
      <c r="AC18" s="666">
        <f t="shared" ref="AC18:AC19" si="33">$E$7+($F$7/12)</f>
        <v>2020</v>
      </c>
      <c r="AD18" s="666">
        <f t="shared" ref="AD18:AD19" si="34">$J18+(($I18-1)/12)</f>
        <v>-8.3333333333333329E-2</v>
      </c>
    </row>
    <row r="19" spans="2:30" s="666" customFormat="1" x14ac:dyDescent="0.35">
      <c r="B19" s="50"/>
      <c r="C19" s="24"/>
      <c r="D19" s="24"/>
      <c r="E19" s="964"/>
      <c r="F19" s="25">
        <v>0</v>
      </c>
      <c r="G19" s="24">
        <v>15</v>
      </c>
      <c r="H19" s="666">
        <f t="shared" si="18"/>
        <v>15</v>
      </c>
      <c r="I19" s="665"/>
      <c r="J19" s="665"/>
      <c r="K19" s="970">
        <v>0</v>
      </c>
      <c r="L19" s="954">
        <f t="shared" si="19"/>
        <v>0</v>
      </c>
      <c r="M19" s="954">
        <f t="shared" si="20"/>
        <v>0</v>
      </c>
      <c r="N19" s="954">
        <f t="shared" si="21"/>
        <v>0</v>
      </c>
      <c r="O19" s="666">
        <f t="shared" si="22"/>
        <v>0</v>
      </c>
      <c r="P19" s="954">
        <f t="shared" si="23"/>
        <v>0</v>
      </c>
      <c r="Q19" s="668">
        <v>1</v>
      </c>
      <c r="R19" s="667">
        <f t="shared" si="24"/>
        <v>0</v>
      </c>
      <c r="T19" s="966">
        <f t="shared" si="25"/>
        <v>0</v>
      </c>
      <c r="U19" s="966">
        <f t="shared" si="26"/>
        <v>0</v>
      </c>
      <c r="V19" s="954">
        <f t="shared" si="27"/>
        <v>0</v>
      </c>
      <c r="W19" s="954">
        <v>1</v>
      </c>
      <c r="X19" s="954">
        <f t="shared" si="28"/>
        <v>0</v>
      </c>
      <c r="Y19" s="954">
        <f t="shared" si="29"/>
        <v>0</v>
      </c>
      <c r="Z19" s="669">
        <f t="shared" si="30"/>
        <v>-8.3333333333333329E-2</v>
      </c>
      <c r="AA19" s="666">
        <f t="shared" si="31"/>
        <v>2021</v>
      </c>
      <c r="AB19" s="669">
        <f t="shared" si="32"/>
        <v>14.916666666666666</v>
      </c>
      <c r="AC19" s="666">
        <f t="shared" si="33"/>
        <v>2020</v>
      </c>
      <c r="AD19" s="666">
        <f t="shared" si="34"/>
        <v>-8.3333333333333329E-2</v>
      </c>
    </row>
    <row r="20" spans="2:30" x14ac:dyDescent="0.35">
      <c r="B20" s="73"/>
      <c r="C20" s="55"/>
      <c r="D20" s="55"/>
      <c r="E20" s="968"/>
      <c r="F20" s="53"/>
      <c r="G20" s="55"/>
      <c r="Q20" s="66"/>
      <c r="R20" s="56"/>
      <c r="Z20" s="67"/>
      <c r="AB20" s="67"/>
    </row>
    <row r="21" spans="2:30" s="69" customFormat="1" x14ac:dyDescent="0.35">
      <c r="B21" s="68" t="s">
        <v>80</v>
      </c>
      <c r="E21" s="969">
        <f>SUM(E18:E20)</f>
        <v>0</v>
      </c>
      <c r="F21" s="70"/>
      <c r="K21" s="969">
        <f t="shared" ref="K21:P21" si="35">SUM(K18:K20)</f>
        <v>0</v>
      </c>
      <c r="L21" s="969">
        <f t="shared" si="35"/>
        <v>0</v>
      </c>
      <c r="M21" s="969">
        <f t="shared" si="35"/>
        <v>0</v>
      </c>
      <c r="N21" s="969">
        <f t="shared" si="35"/>
        <v>0</v>
      </c>
      <c r="O21" s="71">
        <f t="shared" si="35"/>
        <v>0</v>
      </c>
      <c r="P21" s="71">
        <f t="shared" si="35"/>
        <v>0</v>
      </c>
      <c r="Q21" s="71">
        <f>SUM(Q19:Q20)</f>
        <v>1</v>
      </c>
      <c r="R21" s="71">
        <f>SUM(R19:R20)</f>
        <v>0</v>
      </c>
      <c r="S21" s="71"/>
      <c r="T21" s="969">
        <f>SUM(T18:T20)</f>
        <v>0</v>
      </c>
      <c r="U21" s="969">
        <f>SUM(U18:U20)</f>
        <v>0</v>
      </c>
      <c r="V21" s="969">
        <f>SUM(V19:V20)</f>
        <v>0</v>
      </c>
      <c r="W21" s="969">
        <f>SUM(W19:W20)</f>
        <v>1</v>
      </c>
      <c r="X21" s="969">
        <f>SUM(X19:X20)</f>
        <v>0</v>
      </c>
      <c r="Y21" s="969">
        <f>SUM(Y18:Y20)</f>
        <v>0</v>
      </c>
      <c r="Z21" s="72"/>
      <c r="AB21" s="72"/>
    </row>
    <row r="22" spans="2:30" x14ac:dyDescent="0.35">
      <c r="B22" s="64"/>
      <c r="C22" s="55"/>
      <c r="D22" s="55"/>
      <c r="E22" s="968"/>
      <c r="F22" s="53"/>
      <c r="G22" s="55"/>
      <c r="K22" s="968"/>
      <c r="L22" s="968"/>
      <c r="M22" s="968"/>
      <c r="N22" s="968"/>
      <c r="O22" s="74"/>
      <c r="P22" s="968"/>
      <c r="Q22" s="74"/>
      <c r="R22" s="74"/>
      <c r="S22" s="74"/>
      <c r="T22" s="968"/>
      <c r="U22" s="968"/>
      <c r="V22" s="968"/>
      <c r="W22" s="968"/>
      <c r="X22" s="968"/>
      <c r="Y22" s="968"/>
      <c r="Z22" s="67"/>
      <c r="AB22" s="67"/>
    </row>
    <row r="23" spans="2:30" x14ac:dyDescent="0.35">
      <c r="B23" s="64" t="s">
        <v>792</v>
      </c>
    </row>
    <row r="24" spans="2:30" s="666" customFormat="1" x14ac:dyDescent="0.35">
      <c r="B24" s="50"/>
      <c r="C24" s="24"/>
      <c r="D24" s="24"/>
      <c r="E24" s="964"/>
      <c r="F24" s="25">
        <v>0</v>
      </c>
      <c r="G24" s="24">
        <v>40</v>
      </c>
      <c r="H24" s="666">
        <f>D24+G24</f>
        <v>40</v>
      </c>
      <c r="I24" s="665"/>
      <c r="J24" s="665"/>
      <c r="K24" s="970">
        <v>0</v>
      </c>
      <c r="L24" s="954">
        <f>E24-E24*F24</f>
        <v>0</v>
      </c>
      <c r="M24" s="954">
        <f>L24/G24/12</f>
        <v>0</v>
      </c>
      <c r="N24" s="954">
        <f>IF(K24&gt;0,0,IF(OR(Z24&gt;AA24,AB24&lt;AC24),0,IF(AND(AB24&gt;=AC24,AB24&lt;=AA24),M24*((AB24-AC24)*12),IF(AND(AC24&lt;=Z24,AA24&gt;=Z24),((AA24-Z24)*12)*M24,IF(AB24&gt;AA24,12*M24,0)))))</f>
        <v>0</v>
      </c>
      <c r="O24" s="666">
        <f>IF(K24=0,0,IF(AND(AD24&gt;=AC24,AD24&lt;=AB24),((AD24-AC24)*12)*M24,0))</f>
        <v>0</v>
      </c>
      <c r="P24" s="954">
        <f>IF(O24&gt;0,O24,N24)</f>
        <v>0</v>
      </c>
      <c r="Q24" s="668">
        <v>1</v>
      </c>
      <c r="R24" s="667">
        <f>Q24*SUM(N24:O24)</f>
        <v>0</v>
      </c>
      <c r="T24" s="966">
        <f>IF(Z24&gt;AA24,0,IF(AB24&lt;AC24,L24,IF(AND(AB24&gt;=AC24,AB24&lt;=AA24),(L24-P24),IF(AND(AC24&lt;=Z24,AA24&gt;=Z24),0,IF(AB24&gt;AA24,((AC24-Z24)*12)*M24,0)))))</f>
        <v>0</v>
      </c>
      <c r="U24" s="966">
        <f>IF(K24&gt;0,0,X24+R24*W24)*W24</f>
        <v>0</v>
      </c>
      <c r="V24" s="954">
        <f>T24*Q24</f>
        <v>0</v>
      </c>
      <c r="W24" s="954">
        <v>1</v>
      </c>
      <c r="X24" s="954">
        <f>V24*W24</f>
        <v>0</v>
      </c>
      <c r="Y24" s="954">
        <f>IF(K24&gt;0,(E24-X24)/2,IF(Z24&gt;=AC24,(((E24*Q24)*W24)-U24)/2,((((E24*Q24)*W24)-X24)+(((E24*Q24)*W24)-U24))/2))</f>
        <v>0</v>
      </c>
      <c r="Z24" s="669">
        <f>(+$D24+(($C24-1)/12))</f>
        <v>-8.3333333333333329E-2</v>
      </c>
      <c r="AA24" s="666">
        <f>($G$7+1)-($D$7/12)</f>
        <v>2021</v>
      </c>
      <c r="AB24" s="669">
        <f>$H24+(($C24-1)/12)</f>
        <v>39.916666666666664</v>
      </c>
      <c r="AC24" s="666">
        <f>$E$7+($F$7/12)</f>
        <v>2020</v>
      </c>
      <c r="AD24" s="666">
        <f>$J24+(($I24-1)/12)</f>
        <v>-8.3333333333333329E-2</v>
      </c>
    </row>
    <row r="25" spans="2:30" s="666" customFormat="1" x14ac:dyDescent="0.35">
      <c r="B25" s="50"/>
      <c r="C25" s="24"/>
      <c r="D25" s="24"/>
      <c r="E25" s="964"/>
      <c r="F25" s="25">
        <v>0</v>
      </c>
      <c r="G25" s="24">
        <v>40</v>
      </c>
      <c r="H25" s="666">
        <f>D25+G25</f>
        <v>40</v>
      </c>
      <c r="I25" s="665"/>
      <c r="J25" s="665"/>
      <c r="K25" s="970">
        <v>0</v>
      </c>
      <c r="L25" s="954">
        <f>E25-E25*F25</f>
        <v>0</v>
      </c>
      <c r="M25" s="954">
        <f>L25/G25/12</f>
        <v>0</v>
      </c>
      <c r="N25" s="954">
        <f>IF(K25&gt;0,0,IF(OR(Z25&gt;AA25,AB25&lt;AC25),0,IF(AND(AB25&gt;=AC25,AB25&lt;=AA25),M25*((AB25-AC25)*12),IF(AND(AC25&lt;=Z25,AA25&gt;=Z25),((AA25-Z25)*12)*M25,IF(AB25&gt;AA25,12*M25,0)))))</f>
        <v>0</v>
      </c>
      <c r="O25" s="666">
        <f>IF(K25=0,0,IF(AND(AD25&gt;=AC25,AD25&lt;=AB25),((AD25-AC25)*12)*M25,0))</f>
        <v>0</v>
      </c>
      <c r="P25" s="954">
        <f>IF(O25&gt;0,O25,N25)</f>
        <v>0</v>
      </c>
      <c r="Q25" s="668">
        <v>1</v>
      </c>
      <c r="R25" s="667">
        <f>Q25*SUM(N25:O25)</f>
        <v>0</v>
      </c>
      <c r="T25" s="966">
        <f>IF(Z25&gt;AA25,0,IF(AB25&lt;AC25,L25,IF(AND(AB25&gt;=AC25,AB25&lt;=AA25),(L25-P25),IF(AND(AC25&lt;=Z25,AA25&gt;=Z25),0,IF(AB25&gt;AA25,((AC25-Z25)*12)*M25,0)))))</f>
        <v>0</v>
      </c>
      <c r="U25" s="966">
        <f>IF(K25&gt;0,0,X25+R25*W25)*W25</f>
        <v>0</v>
      </c>
      <c r="V25" s="954">
        <f>T25*Q25</f>
        <v>0</v>
      </c>
      <c r="W25" s="954">
        <v>1</v>
      </c>
      <c r="X25" s="954">
        <f>V25*W25</f>
        <v>0</v>
      </c>
      <c r="Y25" s="954">
        <f>IF(K25&gt;0,(E25-X25)/2,IF(Z25&gt;=AC25,(((E25*Q25)*W25)-U25)/2,((((E25*Q25)*W25)-X25)+(((E25*Q25)*W25)-U25))/2))</f>
        <v>0</v>
      </c>
      <c r="Z25" s="669">
        <f>$D25+(($C25-1)/12)</f>
        <v>-8.3333333333333329E-2</v>
      </c>
      <c r="AA25" s="666">
        <f>($G$7+1)-($D$7/12)</f>
        <v>2021</v>
      </c>
      <c r="AB25" s="669">
        <f>$H25+(($C25-1)/12)</f>
        <v>39.916666666666664</v>
      </c>
      <c r="AC25" s="666">
        <f>$E$7+($F$7/12)</f>
        <v>2020</v>
      </c>
      <c r="AD25" s="666">
        <f>$J25+(($I25-1)/12)</f>
        <v>-8.3333333333333329E-2</v>
      </c>
    </row>
    <row r="26" spans="2:30" x14ac:dyDescent="0.35">
      <c r="B26" s="73"/>
    </row>
    <row r="27" spans="2:30" s="69" customFormat="1" x14ac:dyDescent="0.35">
      <c r="B27" s="68" t="s">
        <v>72</v>
      </c>
      <c r="E27" s="969">
        <f>SUM(E24:E26)</f>
        <v>0</v>
      </c>
      <c r="K27" s="969">
        <f t="shared" ref="K27:R27" si="36">SUM(K24:K26)</f>
        <v>0</v>
      </c>
      <c r="L27" s="969">
        <f t="shared" si="36"/>
        <v>0</v>
      </c>
      <c r="M27" s="969">
        <f t="shared" si="36"/>
        <v>0</v>
      </c>
      <c r="N27" s="969">
        <f t="shared" si="36"/>
        <v>0</v>
      </c>
      <c r="O27" s="71">
        <f t="shared" si="36"/>
        <v>0</v>
      </c>
      <c r="P27" s="969">
        <f t="shared" si="36"/>
        <v>0</v>
      </c>
      <c r="Q27" s="71">
        <f t="shared" si="36"/>
        <v>2</v>
      </c>
      <c r="R27" s="71">
        <f t="shared" si="36"/>
        <v>0</v>
      </c>
      <c r="S27" s="71"/>
      <c r="T27" s="969">
        <f t="shared" ref="T27:Y27" si="37">SUM(T24:T26)</f>
        <v>0</v>
      </c>
      <c r="U27" s="969">
        <f t="shared" si="37"/>
        <v>0</v>
      </c>
      <c r="V27" s="969">
        <f t="shared" si="37"/>
        <v>0</v>
      </c>
      <c r="W27" s="969">
        <f t="shared" si="37"/>
        <v>2</v>
      </c>
      <c r="X27" s="969">
        <f t="shared" si="37"/>
        <v>0</v>
      </c>
      <c r="Y27" s="969">
        <f t="shared" si="37"/>
        <v>0</v>
      </c>
    </row>
    <row r="28" spans="2:30" x14ac:dyDescent="0.35">
      <c r="B28" s="64"/>
      <c r="C28" s="55"/>
      <c r="D28" s="55"/>
      <c r="E28" s="968"/>
      <c r="F28" s="53"/>
      <c r="G28" s="55"/>
      <c r="K28" s="968"/>
      <c r="L28" s="968"/>
      <c r="M28" s="968"/>
      <c r="N28" s="968"/>
      <c r="O28" s="74"/>
      <c r="P28" s="968"/>
      <c r="Q28" s="74"/>
      <c r="R28" s="74"/>
      <c r="S28" s="74"/>
      <c r="T28" s="968"/>
      <c r="U28" s="968"/>
      <c r="V28" s="968"/>
      <c r="W28" s="968"/>
      <c r="X28" s="968"/>
      <c r="Y28" s="968"/>
      <c r="Z28" s="67"/>
      <c r="AB28" s="67"/>
    </row>
    <row r="29" spans="2:30" x14ac:dyDescent="0.35">
      <c r="B29" s="872" t="s">
        <v>793</v>
      </c>
      <c r="C29" s="873"/>
      <c r="D29" s="873"/>
      <c r="E29" s="983"/>
      <c r="F29" s="873"/>
      <c r="G29" s="873"/>
      <c r="H29" s="873"/>
      <c r="I29" s="873"/>
    </row>
    <row r="30" spans="2:30" s="666" customFormat="1" x14ac:dyDescent="0.35">
      <c r="B30" s="50" t="s">
        <v>134</v>
      </c>
      <c r="C30" s="24">
        <v>8</v>
      </c>
      <c r="D30" s="24">
        <v>2019</v>
      </c>
      <c r="E30" s="984">
        <v>475000</v>
      </c>
      <c r="F30" s="25">
        <v>0</v>
      </c>
      <c r="G30" s="24">
        <v>15</v>
      </c>
      <c r="H30" s="666">
        <f t="shared" ref="H30:H32" si="38">D30+G30</f>
        <v>2034</v>
      </c>
      <c r="I30" s="665"/>
      <c r="J30" s="665"/>
      <c r="K30" s="970">
        <v>0</v>
      </c>
      <c r="L30" s="954">
        <f t="shared" ref="L30:L32" si="39">E30-E30*F30</f>
        <v>475000</v>
      </c>
      <c r="M30" s="954">
        <f t="shared" ref="M30:M32" si="40">L30/G30/12</f>
        <v>2638.8888888888891</v>
      </c>
      <c r="N30" s="954">
        <f t="shared" ref="N30:N32" si="41">IF(K30&gt;0,0,IF(OR(Z30&gt;AA30,AB30&lt;AC30),0,IF(AND(AB30&gt;=AC30,AB30&lt;=AA30),M30*((AB30-AC30)*12),IF(AND(AC30&lt;=Z30,AA30&gt;=Z30),((AA30-Z30)*12)*M30,IF(AB30&gt;AA30,12*M30,0)))))</f>
        <v>31666.666666666672</v>
      </c>
      <c r="O30" s="666">
        <f t="shared" ref="O30:O32" si="42">IF(K30=0,0,IF(AND(AD30&gt;=AC30,AD30&lt;=AB30),((AD30-AC30)*12)*M30,0))</f>
        <v>0</v>
      </c>
      <c r="P30" s="954">
        <f t="shared" ref="P30:P32" si="43">IF(O30&gt;0,O30,N30)</f>
        <v>31666.666666666672</v>
      </c>
      <c r="Q30" s="668">
        <v>1</v>
      </c>
      <c r="R30" s="667">
        <f t="shared" ref="R30:R31" si="44">Q30*SUM(N30:O30)</f>
        <v>31666.666666666672</v>
      </c>
      <c r="T30" s="966">
        <f t="shared" ref="T30:T32" si="45">IF(Z30&gt;AA30,0,IF(AB30&lt;AC30,L30,IF(AND(AB30&gt;=AC30,AB30&lt;=AA30),(L30-P30),IF(AND(AC30&lt;=Z30,AA30&gt;=Z30),0,IF(AB30&gt;AA30,((AC30-Z30)*12)*M30,0)))))</f>
        <v>13194.444444446846</v>
      </c>
      <c r="U30" s="966">
        <f t="shared" ref="U30:U32" si="46">IF(K30&gt;0,0,X30+R30*W30)*W30</f>
        <v>44861.111111113518</v>
      </c>
      <c r="V30" s="954">
        <f t="shared" ref="V30:V32" si="47">T30*Q30</f>
        <v>13194.444444446846</v>
      </c>
      <c r="W30" s="954">
        <v>1</v>
      </c>
      <c r="X30" s="954">
        <f t="shared" ref="X30:X32" si="48">V30*W30</f>
        <v>13194.444444446846</v>
      </c>
      <c r="Y30" s="954">
        <f t="shared" ref="Y30:Y32" si="49">IF(K30&gt;0,(E30-X30)/2,IF(Z30&gt;=AC30,(((E30*Q30)*W30)-U30)/2,((((E30*Q30)*W30)-X30)+(((E30*Q30)*W30)-U30))/2))</f>
        <v>445972.2222222198</v>
      </c>
      <c r="Z30" s="669">
        <f>$D30+(($C30-1)/12)</f>
        <v>2019.5833333333333</v>
      </c>
      <c r="AA30" s="666">
        <f t="shared" ref="AA30:AA32" si="50">($G$7+1)-($D$7/12)</f>
        <v>2021</v>
      </c>
      <c r="AB30" s="669">
        <f t="shared" ref="AB30:AB32" si="51">$H30+(($C30-1)/12)</f>
        <v>2034.5833333333333</v>
      </c>
      <c r="AC30" s="666">
        <f t="shared" ref="AC30:AC32" si="52">$E$7+($F$7/12)</f>
        <v>2020</v>
      </c>
      <c r="AD30" s="666">
        <f t="shared" ref="AD30:AD32" si="53">$J30+(($I30-1)/12)</f>
        <v>-8.3333333333333329E-2</v>
      </c>
    </row>
    <row r="31" spans="2:30" s="666" customFormat="1" x14ac:dyDescent="0.35">
      <c r="B31" s="50"/>
      <c r="C31" s="24"/>
      <c r="D31" s="24"/>
      <c r="E31" s="971">
        <v>0</v>
      </c>
      <c r="F31" s="25">
        <v>0</v>
      </c>
      <c r="G31" s="24"/>
      <c r="H31" s="666">
        <f t="shared" si="38"/>
        <v>0</v>
      </c>
      <c r="I31" s="665"/>
      <c r="J31" s="665"/>
      <c r="K31" s="970">
        <v>0</v>
      </c>
      <c r="L31" s="954">
        <f t="shared" si="39"/>
        <v>0</v>
      </c>
      <c r="M31" s="954" t="e">
        <f t="shared" si="40"/>
        <v>#DIV/0!</v>
      </c>
      <c r="N31" s="955">
        <f t="shared" si="41"/>
        <v>0</v>
      </c>
      <c r="O31" s="666">
        <f t="shared" si="42"/>
        <v>0</v>
      </c>
      <c r="P31" s="954">
        <f t="shared" si="43"/>
        <v>0</v>
      </c>
      <c r="Q31" s="668">
        <v>1</v>
      </c>
      <c r="R31" s="667">
        <f t="shared" si="44"/>
        <v>0</v>
      </c>
      <c r="T31" s="966">
        <f t="shared" si="45"/>
        <v>0</v>
      </c>
      <c r="U31" s="966">
        <f t="shared" si="46"/>
        <v>0</v>
      </c>
      <c r="V31" s="954">
        <f t="shared" si="47"/>
        <v>0</v>
      </c>
      <c r="W31" s="954">
        <v>1</v>
      </c>
      <c r="X31" s="954">
        <f t="shared" si="48"/>
        <v>0</v>
      </c>
      <c r="Y31" s="954">
        <f t="shared" si="49"/>
        <v>0</v>
      </c>
      <c r="Z31" s="669">
        <f>$D31+(($C31-1)/12)</f>
        <v>-8.3333333333333329E-2</v>
      </c>
      <c r="AA31" s="666">
        <f t="shared" si="50"/>
        <v>2021</v>
      </c>
      <c r="AB31" s="669">
        <f t="shared" si="51"/>
        <v>-8.3333333333333329E-2</v>
      </c>
      <c r="AC31" s="666">
        <f t="shared" si="52"/>
        <v>2020</v>
      </c>
      <c r="AD31" s="666">
        <f t="shared" si="53"/>
        <v>-8.3333333333333329E-2</v>
      </c>
    </row>
    <row r="32" spans="2:30" s="666" customFormat="1" x14ac:dyDescent="0.35">
      <c r="B32" s="50"/>
      <c r="C32" s="24"/>
      <c r="D32" s="24"/>
      <c r="E32" s="971">
        <v>0</v>
      </c>
      <c r="F32" s="25">
        <v>0</v>
      </c>
      <c r="G32" s="24"/>
      <c r="H32" s="666">
        <f t="shared" si="38"/>
        <v>0</v>
      </c>
      <c r="I32" s="665"/>
      <c r="J32" s="665"/>
      <c r="K32" s="970">
        <v>0</v>
      </c>
      <c r="L32" s="954">
        <f t="shared" si="39"/>
        <v>0</v>
      </c>
      <c r="M32" s="954" t="e">
        <f t="shared" si="40"/>
        <v>#DIV/0!</v>
      </c>
      <c r="N32" s="954">
        <f t="shared" si="41"/>
        <v>0</v>
      </c>
      <c r="O32" s="666">
        <f t="shared" si="42"/>
        <v>0</v>
      </c>
      <c r="P32" s="954">
        <f t="shared" si="43"/>
        <v>0</v>
      </c>
      <c r="Q32" s="668">
        <v>1</v>
      </c>
      <c r="R32" s="667">
        <f>Q32*P32</f>
        <v>0</v>
      </c>
      <c r="T32" s="966">
        <f t="shared" si="45"/>
        <v>0</v>
      </c>
      <c r="U32" s="966">
        <f t="shared" si="46"/>
        <v>0</v>
      </c>
      <c r="V32" s="954">
        <f t="shared" si="47"/>
        <v>0</v>
      </c>
      <c r="W32" s="954">
        <v>1</v>
      </c>
      <c r="X32" s="954">
        <f t="shared" si="48"/>
        <v>0</v>
      </c>
      <c r="Y32" s="954">
        <f t="shared" si="49"/>
        <v>0</v>
      </c>
      <c r="Z32" s="669">
        <f>$D32+(($C32-1)/12)</f>
        <v>-8.3333333333333329E-2</v>
      </c>
      <c r="AA32" s="666">
        <f t="shared" si="50"/>
        <v>2021</v>
      </c>
      <c r="AB32" s="669">
        <f t="shared" si="51"/>
        <v>-8.3333333333333329E-2</v>
      </c>
      <c r="AC32" s="666">
        <f t="shared" si="52"/>
        <v>2020</v>
      </c>
      <c r="AD32" s="666">
        <f t="shared" si="53"/>
        <v>-8.3333333333333329E-2</v>
      </c>
    </row>
    <row r="33" spans="2:30" x14ac:dyDescent="0.35">
      <c r="B33" s="73"/>
      <c r="C33" s="55"/>
      <c r="D33" s="55"/>
      <c r="E33" s="968"/>
      <c r="F33" s="53"/>
      <c r="G33" s="55"/>
      <c r="Q33" s="66"/>
      <c r="R33" s="56"/>
      <c r="Z33" s="67"/>
      <c r="AB33" s="67"/>
    </row>
    <row r="34" spans="2:30" s="69" customFormat="1" x14ac:dyDescent="0.35">
      <c r="B34" s="64" t="s">
        <v>85</v>
      </c>
      <c r="E34" s="969">
        <f>SUM(E30:E33)</f>
        <v>475000</v>
      </c>
      <c r="F34" s="70"/>
      <c r="K34" s="969">
        <f t="shared" ref="K34:R34" si="54">SUM(K30:K33)</f>
        <v>0</v>
      </c>
      <c r="L34" s="969">
        <f t="shared" si="54"/>
        <v>475000</v>
      </c>
      <c r="M34" s="969" t="e">
        <f t="shared" si="54"/>
        <v>#DIV/0!</v>
      </c>
      <c r="N34" s="969">
        <f t="shared" si="54"/>
        <v>31666.666666666672</v>
      </c>
      <c r="O34" s="71">
        <f t="shared" si="54"/>
        <v>0</v>
      </c>
      <c r="P34" s="969">
        <f t="shared" si="54"/>
        <v>31666.666666666672</v>
      </c>
      <c r="Q34" s="71">
        <f t="shared" si="54"/>
        <v>3</v>
      </c>
      <c r="R34" s="71">
        <f t="shared" si="54"/>
        <v>31666.666666666672</v>
      </c>
      <c r="S34" s="71"/>
      <c r="T34" s="969">
        <f t="shared" ref="T34:Y34" si="55">SUM(T30:T33)</f>
        <v>13194.444444446846</v>
      </c>
      <c r="U34" s="969">
        <f t="shared" si="55"/>
        <v>44861.111111113518</v>
      </c>
      <c r="V34" s="969">
        <f t="shared" si="55"/>
        <v>13194.444444446846</v>
      </c>
      <c r="W34" s="969">
        <f t="shared" si="55"/>
        <v>3</v>
      </c>
      <c r="X34" s="969">
        <f t="shared" si="55"/>
        <v>13194.444444446846</v>
      </c>
      <c r="Y34" s="969">
        <f t="shared" si="55"/>
        <v>445972.2222222198</v>
      </c>
      <c r="Z34" s="72"/>
      <c r="AB34" s="72"/>
    </row>
    <row r="35" spans="2:30" x14ac:dyDescent="0.35">
      <c r="B35" s="64"/>
      <c r="C35" s="55"/>
      <c r="D35" s="55"/>
      <c r="E35" s="968"/>
      <c r="F35" s="53"/>
      <c r="G35" s="55"/>
      <c r="K35" s="968"/>
      <c r="L35" s="968"/>
      <c r="M35" s="968"/>
      <c r="N35" s="968"/>
      <c r="O35" s="74"/>
      <c r="P35" s="968"/>
      <c r="Q35" s="74"/>
      <c r="R35" s="74"/>
      <c r="S35" s="74"/>
      <c r="T35" s="968"/>
      <c r="U35" s="968"/>
      <c r="V35" s="968"/>
      <c r="W35" s="968"/>
      <c r="X35" s="968"/>
      <c r="Y35" s="968"/>
      <c r="Z35" s="67"/>
      <c r="AB35" s="67"/>
    </row>
    <row r="36" spans="2:30" x14ac:dyDescent="0.35">
      <c r="B36" s="64" t="s">
        <v>86</v>
      </c>
    </row>
    <row r="37" spans="2:30" s="666" customFormat="1" x14ac:dyDescent="0.35">
      <c r="B37" s="50" t="s">
        <v>140</v>
      </c>
      <c r="C37" s="24">
        <v>8</v>
      </c>
      <c r="D37" s="24">
        <v>2019</v>
      </c>
      <c r="E37" s="964">
        <v>700000</v>
      </c>
      <c r="F37" s="25">
        <v>0</v>
      </c>
      <c r="G37" s="24">
        <v>15</v>
      </c>
      <c r="H37" s="666">
        <f t="shared" ref="H37:H40" si="56">D37+G37</f>
        <v>2034</v>
      </c>
      <c r="I37" s="665"/>
      <c r="J37" s="665"/>
      <c r="K37" s="970">
        <v>0</v>
      </c>
      <c r="L37" s="954">
        <f t="shared" ref="L37:L40" si="57">E37-E37*F37</f>
        <v>700000</v>
      </c>
      <c r="M37" s="954">
        <f t="shared" ref="M37:M40" si="58">L37/G37/12</f>
        <v>3888.8888888888887</v>
      </c>
      <c r="N37" s="954">
        <f t="shared" ref="N37:N40" si="59">IF(K37&gt;0,0,IF(OR(Z37&gt;AA37,AB37&lt;AC37),0,IF(AND(AB37&gt;=AC37,AB37&lt;=AA37),M37*((AB37-AC37)*12),IF(AND(AC37&lt;=Z37,AA37&gt;=Z37),((AA37-Z37)*12)*M37,IF(AB37&gt;AA37,12*M37,0)))))</f>
        <v>46666.666666666664</v>
      </c>
      <c r="O37" s="666">
        <f t="shared" ref="O37:O40" si="60">IF(K37=0,0,IF(AND(AD37&gt;=AC37,AD37&lt;=AB37),((AD37-AC37)*12)*M37,0))</f>
        <v>0</v>
      </c>
      <c r="P37" s="954">
        <f t="shared" ref="P37:P40" si="61">IF(O37&gt;0,O37,N37)</f>
        <v>46666.666666666664</v>
      </c>
      <c r="Q37" s="668">
        <v>1</v>
      </c>
      <c r="R37" s="667">
        <f t="shared" ref="R37" si="62">Q37*SUM(N37:O37)</f>
        <v>46666.666666666664</v>
      </c>
      <c r="T37" s="966">
        <f t="shared" ref="T37:T40" si="63">IF(Z37&gt;AA37,0,IF(AB37&lt;AC37,L37,IF(AND(AB37&gt;=AC37,AB37&lt;=AA37),(L37-P37),IF(AND(AC37&lt;=Z37,AA37&gt;=Z37),0,IF(AB37&gt;AA37,((AC37-Z37)*12)*M37,0)))))</f>
        <v>19444.444444447981</v>
      </c>
      <c r="U37" s="966">
        <f t="shared" ref="U37:U40" si="64">IF(K37&gt;0,0,X37+R37*W37)*W37</f>
        <v>66111.111111114646</v>
      </c>
      <c r="V37" s="954">
        <f t="shared" ref="V37:V40" si="65">T37*Q37</f>
        <v>19444.444444447981</v>
      </c>
      <c r="W37" s="954">
        <v>1</v>
      </c>
      <c r="X37" s="954">
        <f t="shared" ref="X37:X40" si="66">V37*W37</f>
        <v>19444.444444447981</v>
      </c>
      <c r="Y37" s="954">
        <f t="shared" ref="Y37:Y40" si="67">IF(K37&gt;0,(E37-X37)/2,IF(Z37&gt;=AC37,(((E37*Q37)*W37)-U37)/2,((((E37*Q37)*W37)-X37)+(((E37*Q37)*W37)-U37))/2))</f>
        <v>657222.22222221876</v>
      </c>
      <c r="Z37" s="669">
        <f>$D37+(($C37-1)/12)</f>
        <v>2019.5833333333333</v>
      </c>
      <c r="AA37" s="666">
        <f t="shared" ref="AA37:AA40" si="68">($G$7+1)-($D$7/12)</f>
        <v>2021</v>
      </c>
      <c r="AB37" s="669">
        <f t="shared" ref="AB37:AB40" si="69">$H37+(($C37-1)/12)</f>
        <v>2034.5833333333333</v>
      </c>
      <c r="AC37" s="666">
        <f t="shared" ref="AC37:AC40" si="70">$E$7+($F$7/12)</f>
        <v>2020</v>
      </c>
      <c r="AD37" s="666">
        <f t="shared" ref="AD37:AD40" si="71">$J37+(($I37-1)/12)</f>
        <v>-8.3333333333333329E-2</v>
      </c>
    </row>
    <row r="38" spans="2:30" s="666" customFormat="1" x14ac:dyDescent="0.35">
      <c r="B38" s="982" t="s">
        <v>91</v>
      </c>
      <c r="C38" s="24">
        <v>8</v>
      </c>
      <c r="D38" s="24">
        <v>2019</v>
      </c>
      <c r="E38" s="967"/>
      <c r="F38" s="671">
        <v>0</v>
      </c>
      <c r="G38" s="131"/>
      <c r="H38" s="666">
        <f t="shared" si="56"/>
        <v>2019</v>
      </c>
      <c r="I38" s="665"/>
      <c r="J38" s="665"/>
      <c r="K38" s="970">
        <v>0</v>
      </c>
      <c r="L38" s="954">
        <f t="shared" si="57"/>
        <v>0</v>
      </c>
      <c r="M38" s="954" t="e">
        <f t="shared" si="58"/>
        <v>#DIV/0!</v>
      </c>
      <c r="N38" s="954">
        <f t="shared" si="59"/>
        <v>0</v>
      </c>
      <c r="O38" s="666">
        <f t="shared" si="60"/>
        <v>0</v>
      </c>
      <c r="P38" s="954">
        <f t="shared" si="61"/>
        <v>0</v>
      </c>
      <c r="Q38" s="668">
        <v>1</v>
      </c>
      <c r="R38" s="667">
        <f t="shared" ref="R38:R39" si="72">Q38*SUM(N38:O38)</f>
        <v>0</v>
      </c>
      <c r="T38" s="966">
        <f t="shared" si="63"/>
        <v>0</v>
      </c>
      <c r="U38" s="966">
        <f t="shared" si="64"/>
        <v>0</v>
      </c>
      <c r="V38" s="954">
        <f t="shared" si="65"/>
        <v>0</v>
      </c>
      <c r="W38" s="954">
        <v>1</v>
      </c>
      <c r="X38" s="954">
        <f t="shared" si="66"/>
        <v>0</v>
      </c>
      <c r="Y38" s="954">
        <f t="shared" si="67"/>
        <v>0</v>
      </c>
      <c r="Z38" s="669">
        <f t="shared" ref="Z38:Z40" si="73">$D38+(($C38-1)/12)</f>
        <v>2019.5833333333333</v>
      </c>
      <c r="AA38" s="666">
        <f t="shared" si="68"/>
        <v>2021</v>
      </c>
      <c r="AB38" s="669">
        <f t="shared" si="69"/>
        <v>2019.5833333333333</v>
      </c>
      <c r="AC38" s="666">
        <f t="shared" si="70"/>
        <v>2020</v>
      </c>
      <c r="AD38" s="666">
        <f t="shared" si="71"/>
        <v>-8.3333333333333329E-2</v>
      </c>
    </row>
    <row r="39" spans="2:30" s="666" customFormat="1" x14ac:dyDescent="0.35">
      <c r="B39" s="982" t="s">
        <v>304</v>
      </c>
      <c r="C39" s="24">
        <v>8</v>
      </c>
      <c r="D39" s="24">
        <v>2019</v>
      </c>
      <c r="E39" s="967"/>
      <c r="F39" s="671">
        <v>0</v>
      </c>
      <c r="G39" s="131"/>
      <c r="H39" s="666">
        <f t="shared" si="56"/>
        <v>2019</v>
      </c>
      <c r="I39" s="665"/>
      <c r="J39" s="665"/>
      <c r="K39" s="970">
        <v>0</v>
      </c>
      <c r="L39" s="954">
        <f t="shared" si="57"/>
        <v>0</v>
      </c>
      <c r="M39" s="954" t="e">
        <f t="shared" si="58"/>
        <v>#DIV/0!</v>
      </c>
      <c r="N39" s="954">
        <f t="shared" si="59"/>
        <v>0</v>
      </c>
      <c r="O39" s="666">
        <f t="shared" si="60"/>
        <v>0</v>
      </c>
      <c r="P39" s="954">
        <f t="shared" si="61"/>
        <v>0</v>
      </c>
      <c r="Q39" s="668">
        <v>1</v>
      </c>
      <c r="R39" s="667">
        <f t="shared" si="72"/>
        <v>0</v>
      </c>
      <c r="T39" s="966">
        <f t="shared" si="63"/>
        <v>0</v>
      </c>
      <c r="U39" s="966">
        <f t="shared" si="64"/>
        <v>0</v>
      </c>
      <c r="V39" s="954">
        <f t="shared" si="65"/>
        <v>0</v>
      </c>
      <c r="W39" s="954">
        <v>1</v>
      </c>
      <c r="X39" s="954">
        <f t="shared" si="66"/>
        <v>0</v>
      </c>
      <c r="Y39" s="954">
        <f t="shared" si="67"/>
        <v>0</v>
      </c>
      <c r="Z39" s="669">
        <f t="shared" si="73"/>
        <v>2019.5833333333333</v>
      </c>
      <c r="AA39" s="666">
        <f t="shared" si="68"/>
        <v>2021</v>
      </c>
      <c r="AB39" s="669">
        <f t="shared" si="69"/>
        <v>2019.5833333333333</v>
      </c>
      <c r="AC39" s="666">
        <f t="shared" si="70"/>
        <v>2020</v>
      </c>
      <c r="AD39" s="666">
        <f t="shared" si="71"/>
        <v>-8.3333333333333329E-2</v>
      </c>
    </row>
    <row r="40" spans="2:30" s="666" customFormat="1" x14ac:dyDescent="0.35">
      <c r="B40" s="982" t="s">
        <v>305</v>
      </c>
      <c r="C40" s="24">
        <v>8</v>
      </c>
      <c r="D40" s="24">
        <v>2019</v>
      </c>
      <c r="E40" s="967"/>
      <c r="F40" s="671">
        <v>0</v>
      </c>
      <c r="G40" s="131"/>
      <c r="H40" s="666">
        <f t="shared" si="56"/>
        <v>2019</v>
      </c>
      <c r="I40" s="665"/>
      <c r="J40" s="665"/>
      <c r="K40" s="970">
        <v>0</v>
      </c>
      <c r="L40" s="954">
        <f t="shared" si="57"/>
        <v>0</v>
      </c>
      <c r="M40" s="954" t="e">
        <f t="shared" si="58"/>
        <v>#DIV/0!</v>
      </c>
      <c r="N40" s="954">
        <f t="shared" si="59"/>
        <v>0</v>
      </c>
      <c r="O40" s="666">
        <f t="shared" si="60"/>
        <v>0</v>
      </c>
      <c r="P40" s="954">
        <f t="shared" si="61"/>
        <v>0</v>
      </c>
      <c r="Q40" s="668">
        <v>1</v>
      </c>
      <c r="R40" s="667">
        <f>Q40*SUM(N40:O40)</f>
        <v>0</v>
      </c>
      <c r="T40" s="966">
        <f t="shared" si="63"/>
        <v>0</v>
      </c>
      <c r="U40" s="966">
        <f t="shared" si="64"/>
        <v>0</v>
      </c>
      <c r="V40" s="954">
        <f t="shared" si="65"/>
        <v>0</v>
      </c>
      <c r="W40" s="954">
        <v>1</v>
      </c>
      <c r="X40" s="954">
        <f t="shared" si="66"/>
        <v>0</v>
      </c>
      <c r="Y40" s="954">
        <f t="shared" si="67"/>
        <v>0</v>
      </c>
      <c r="Z40" s="669">
        <f t="shared" si="73"/>
        <v>2019.5833333333333</v>
      </c>
      <c r="AA40" s="666">
        <f t="shared" si="68"/>
        <v>2021</v>
      </c>
      <c r="AB40" s="669">
        <f t="shared" si="69"/>
        <v>2019.5833333333333</v>
      </c>
      <c r="AC40" s="666">
        <f t="shared" si="70"/>
        <v>2020</v>
      </c>
      <c r="AD40" s="666">
        <f t="shared" si="71"/>
        <v>-8.3333333333333329E-2</v>
      </c>
    </row>
    <row r="41" spans="2:30" x14ac:dyDescent="0.35">
      <c r="B41" s="73"/>
      <c r="C41" s="55"/>
      <c r="D41" s="55"/>
      <c r="E41" s="968"/>
      <c r="F41" s="53"/>
      <c r="G41" s="55"/>
      <c r="Q41" s="66"/>
      <c r="R41" s="56"/>
      <c r="Z41" s="67"/>
      <c r="AB41" s="67"/>
    </row>
    <row r="42" spans="2:30" s="69" customFormat="1" x14ac:dyDescent="0.35">
      <c r="B42" s="64" t="s">
        <v>87</v>
      </c>
      <c r="E42" s="969">
        <f>SUM(E37:E41)</f>
        <v>700000</v>
      </c>
      <c r="F42" s="70"/>
      <c r="K42" s="969">
        <f>SUM(K37:K41)</f>
        <v>0</v>
      </c>
      <c r="L42" s="969">
        <f>SUM(L37:L41)</f>
        <v>700000</v>
      </c>
      <c r="M42" s="969" t="e">
        <f>SUM(M37:M41)</f>
        <v>#DIV/0!</v>
      </c>
      <c r="N42" s="969">
        <f>SUM(N37:N41)</f>
        <v>46666.666666666664</v>
      </c>
      <c r="O42" s="71">
        <f>SUM(O38:O41)</f>
        <v>0</v>
      </c>
      <c r="P42" s="969">
        <f>SUM(P38:P41)</f>
        <v>0</v>
      </c>
      <c r="Q42" s="71">
        <f>SUM(Q38:Q41)</f>
        <v>3</v>
      </c>
      <c r="R42" s="71">
        <f>SUM(R38:R41)</f>
        <v>0</v>
      </c>
      <c r="S42" s="71"/>
      <c r="T42" s="969">
        <f>SUM(T37:T41)</f>
        <v>19444.444444447981</v>
      </c>
      <c r="U42" s="969">
        <f>SUM(U37:U41)</f>
        <v>66111.111111114646</v>
      </c>
      <c r="V42" s="969">
        <f>SUM(V38:V41)</f>
        <v>0</v>
      </c>
      <c r="W42" s="969">
        <f>SUM(W38:W41)</f>
        <v>3</v>
      </c>
      <c r="X42" s="969">
        <f>SUM(X38:X41)</f>
        <v>0</v>
      </c>
      <c r="Y42" s="969">
        <f>SUM(Y37:Y41)</f>
        <v>657222.22222221876</v>
      </c>
      <c r="Z42" s="72"/>
      <c r="AB42" s="72"/>
    </row>
    <row r="43" spans="2:30" x14ac:dyDescent="0.35">
      <c r="B43" s="64"/>
      <c r="C43" s="55"/>
      <c r="D43" s="55"/>
      <c r="E43" s="968"/>
      <c r="F43" s="53"/>
      <c r="G43" s="55"/>
      <c r="Q43" s="66"/>
      <c r="R43" s="56"/>
      <c r="Z43" s="67"/>
      <c r="AB43" s="67"/>
    </row>
    <row r="44" spans="2:30" x14ac:dyDescent="0.35">
      <c r="B44" s="75" t="s">
        <v>88</v>
      </c>
      <c r="C44" s="55"/>
      <c r="D44" s="55"/>
      <c r="E44" s="968"/>
      <c r="F44" s="53"/>
      <c r="G44" s="55"/>
      <c r="Q44" s="66"/>
      <c r="R44" s="56"/>
      <c r="Z44" s="67"/>
      <c r="AB44" s="67"/>
    </row>
    <row r="45" spans="2:30" s="666" customFormat="1" x14ac:dyDescent="0.35">
      <c r="B45" s="985" t="s">
        <v>90</v>
      </c>
      <c r="C45" s="24">
        <v>8</v>
      </c>
      <c r="D45" s="24">
        <v>2019</v>
      </c>
      <c r="E45" s="964">
        <v>610000</v>
      </c>
      <c r="F45" s="25">
        <v>0</v>
      </c>
      <c r="G45" s="24">
        <v>15</v>
      </c>
      <c r="H45" s="666">
        <f t="shared" ref="H45:H49" si="74">D45+G45</f>
        <v>2034</v>
      </c>
      <c r="I45" s="665"/>
      <c r="J45" s="665"/>
      <c r="K45" s="970">
        <v>0</v>
      </c>
      <c r="L45" s="954">
        <f t="shared" ref="L45:L49" si="75">E45-E45*F45</f>
        <v>610000</v>
      </c>
      <c r="M45" s="954">
        <f t="shared" ref="M45:M49" si="76">L45/G45/12</f>
        <v>3388.8888888888887</v>
      </c>
      <c r="N45" s="954">
        <f t="shared" ref="N45:N49" si="77">IF(K45&gt;0,0,IF(OR(Z45&gt;AA45,AB45&lt;AC45),0,IF(AND(AB45&gt;=AC45,AB45&lt;=AA45),M45*((AB45-AC45)*12),IF(AND(AC45&lt;=Z45,AA45&gt;=Z45),((AA45-Z45)*12)*M45,IF(AB45&gt;AA45,12*M45,0)))))</f>
        <v>40666.666666666664</v>
      </c>
      <c r="O45" s="666">
        <f t="shared" ref="O45:O49" si="78">IF(K45=0,0,IF(AND(AD45&gt;=AC45,AD45&lt;=AB45),((AD45-AC45)*12)*M45,0))</f>
        <v>0</v>
      </c>
      <c r="P45" s="954">
        <f t="shared" ref="P45:P49" si="79">IF(O45&gt;0,O45,N45)</f>
        <v>40666.666666666664</v>
      </c>
      <c r="Q45" s="668">
        <v>1</v>
      </c>
      <c r="R45" s="667">
        <f t="shared" ref="R45:R49" si="80">Q45*SUM(N45:O45)</f>
        <v>40666.666666666664</v>
      </c>
      <c r="T45" s="966">
        <f t="shared" ref="T45:T49" si="81">IF(Z45&gt;AA45,0,IF(AB45&lt;AC45,L45,IF(AND(AB45&gt;=AC45,AB45&lt;=AA45),(L45-P45),IF(AND(AC45&lt;=Z45,AA45&gt;=Z45),0,IF(AB45&gt;AA45,((AC45-Z45)*12)*M45,0)))))</f>
        <v>16944.444444447527</v>
      </c>
      <c r="U45" s="966">
        <f t="shared" ref="U45:U49" si="82">IF(K45&gt;0,0,X45+R45*W45)*W45</f>
        <v>57611.111111114195</v>
      </c>
      <c r="V45" s="954">
        <f t="shared" ref="V45:V49" si="83">T45*Q45</f>
        <v>16944.444444447527</v>
      </c>
      <c r="W45" s="954">
        <v>1</v>
      </c>
      <c r="X45" s="954">
        <f t="shared" ref="X45:X49" si="84">V45*W45</f>
        <v>16944.444444447527</v>
      </c>
      <c r="Y45" s="954">
        <f t="shared" ref="Y45:Y49" si="85">IF(K45&gt;0,(E45-X45)/2,IF(Z45&gt;=AC45,(((E45*Q45)*W45)-U45)/2,((((E45*Q45)*W45)-X45)+(((E45*Q45)*W45)-U45))/2))</f>
        <v>572722.22222221922</v>
      </c>
      <c r="Z45" s="669">
        <f>$D45+(($C45-1)/12)</f>
        <v>2019.5833333333333</v>
      </c>
      <c r="AA45" s="666">
        <f t="shared" ref="AA45:AA49" si="86">($G$7+1)-($D$7/12)</f>
        <v>2021</v>
      </c>
      <c r="AB45" s="669">
        <f t="shared" ref="AB45:AB49" si="87">$H45+(($C45-1)/12)</f>
        <v>2034.5833333333333</v>
      </c>
      <c r="AC45" s="666">
        <f t="shared" ref="AC45:AC49" si="88">$E$7+($F$7/12)</f>
        <v>2020</v>
      </c>
      <c r="AD45" s="666">
        <f t="shared" ref="AD45:AD49" si="89">$J45+(($I45-1)/12)</f>
        <v>-8.3333333333333329E-2</v>
      </c>
    </row>
    <row r="46" spans="2:30" s="666" customFormat="1" x14ac:dyDescent="0.35">
      <c r="B46" s="985"/>
      <c r="C46" s="24">
        <v>8</v>
      </c>
      <c r="D46" s="24">
        <v>2019</v>
      </c>
      <c r="E46" s="964"/>
      <c r="F46" s="25">
        <v>0</v>
      </c>
      <c r="G46" s="24"/>
      <c r="H46" s="666">
        <f t="shared" si="74"/>
        <v>2019</v>
      </c>
      <c r="I46" s="665"/>
      <c r="J46" s="665"/>
      <c r="K46" s="970">
        <v>0</v>
      </c>
      <c r="L46" s="954">
        <f t="shared" si="75"/>
        <v>0</v>
      </c>
      <c r="M46" s="954" t="e">
        <f t="shared" si="76"/>
        <v>#DIV/0!</v>
      </c>
      <c r="N46" s="954">
        <f t="shared" si="77"/>
        <v>0</v>
      </c>
      <c r="O46" s="666">
        <f t="shared" si="78"/>
        <v>0</v>
      </c>
      <c r="P46" s="954">
        <f t="shared" si="79"/>
        <v>0</v>
      </c>
      <c r="Q46" s="668">
        <v>1</v>
      </c>
      <c r="R46" s="667">
        <f t="shared" si="80"/>
        <v>0</v>
      </c>
      <c r="T46" s="966">
        <f t="shared" si="81"/>
        <v>0</v>
      </c>
      <c r="U46" s="966">
        <f t="shared" si="82"/>
        <v>0</v>
      </c>
      <c r="V46" s="954">
        <f t="shared" si="83"/>
        <v>0</v>
      </c>
      <c r="W46" s="954">
        <v>1</v>
      </c>
      <c r="X46" s="954">
        <f t="shared" si="84"/>
        <v>0</v>
      </c>
      <c r="Y46" s="954">
        <f t="shared" si="85"/>
        <v>0</v>
      </c>
      <c r="Z46" s="669">
        <f t="shared" ref="Z46:Z49" si="90">$D46+(($C46-1)/12)</f>
        <v>2019.5833333333333</v>
      </c>
      <c r="AA46" s="666">
        <f t="shared" si="86"/>
        <v>2021</v>
      </c>
      <c r="AB46" s="669">
        <f t="shared" si="87"/>
        <v>2019.5833333333333</v>
      </c>
      <c r="AC46" s="666">
        <f t="shared" si="88"/>
        <v>2020</v>
      </c>
      <c r="AD46" s="666">
        <f t="shared" si="89"/>
        <v>-8.3333333333333329E-2</v>
      </c>
    </row>
    <row r="47" spans="2:30" s="666" customFormat="1" x14ac:dyDescent="0.35">
      <c r="B47" s="985"/>
      <c r="C47" s="24">
        <v>8</v>
      </c>
      <c r="D47" s="24">
        <v>2019</v>
      </c>
      <c r="E47" s="964"/>
      <c r="F47" s="25">
        <v>0</v>
      </c>
      <c r="G47" s="24"/>
      <c r="H47" s="666">
        <f t="shared" si="74"/>
        <v>2019</v>
      </c>
      <c r="I47" s="665"/>
      <c r="J47" s="665"/>
      <c r="K47" s="970">
        <v>0</v>
      </c>
      <c r="L47" s="954">
        <f t="shared" si="75"/>
        <v>0</v>
      </c>
      <c r="M47" s="954" t="e">
        <f t="shared" si="76"/>
        <v>#DIV/0!</v>
      </c>
      <c r="N47" s="954">
        <f t="shared" si="77"/>
        <v>0</v>
      </c>
      <c r="O47" s="666">
        <f t="shared" si="78"/>
        <v>0</v>
      </c>
      <c r="P47" s="954">
        <f t="shared" si="79"/>
        <v>0</v>
      </c>
      <c r="Q47" s="668">
        <v>1</v>
      </c>
      <c r="R47" s="667">
        <f t="shared" si="80"/>
        <v>0</v>
      </c>
      <c r="T47" s="966">
        <f t="shared" si="81"/>
        <v>0</v>
      </c>
      <c r="U47" s="966">
        <f t="shared" si="82"/>
        <v>0</v>
      </c>
      <c r="V47" s="954">
        <f t="shared" si="83"/>
        <v>0</v>
      </c>
      <c r="W47" s="954">
        <v>1</v>
      </c>
      <c r="X47" s="954">
        <f t="shared" si="84"/>
        <v>0</v>
      </c>
      <c r="Y47" s="954">
        <f t="shared" si="85"/>
        <v>0</v>
      </c>
      <c r="Z47" s="669">
        <f t="shared" si="90"/>
        <v>2019.5833333333333</v>
      </c>
      <c r="AA47" s="666">
        <f t="shared" si="86"/>
        <v>2021</v>
      </c>
      <c r="AB47" s="669">
        <f t="shared" si="87"/>
        <v>2019.5833333333333</v>
      </c>
      <c r="AC47" s="666">
        <f t="shared" si="88"/>
        <v>2020</v>
      </c>
      <c r="AD47" s="666">
        <f t="shared" si="89"/>
        <v>-8.3333333333333329E-2</v>
      </c>
    </row>
    <row r="48" spans="2:30" s="666" customFormat="1" x14ac:dyDescent="0.35">
      <c r="B48" s="985"/>
      <c r="C48" s="24">
        <v>8</v>
      </c>
      <c r="D48" s="24">
        <v>2019</v>
      </c>
      <c r="E48" s="967"/>
      <c r="F48" s="671">
        <v>0</v>
      </c>
      <c r="G48" s="131"/>
      <c r="H48" s="666">
        <f t="shared" si="74"/>
        <v>2019</v>
      </c>
      <c r="I48" s="665"/>
      <c r="J48" s="665"/>
      <c r="K48" s="970">
        <v>0</v>
      </c>
      <c r="L48" s="954">
        <f t="shared" si="75"/>
        <v>0</v>
      </c>
      <c r="M48" s="954" t="e">
        <f t="shared" si="76"/>
        <v>#DIV/0!</v>
      </c>
      <c r="N48" s="954">
        <f t="shared" si="77"/>
        <v>0</v>
      </c>
      <c r="O48" s="666">
        <f t="shared" si="78"/>
        <v>0</v>
      </c>
      <c r="P48" s="954">
        <f t="shared" si="79"/>
        <v>0</v>
      </c>
      <c r="Q48" s="668">
        <v>1</v>
      </c>
      <c r="R48" s="667">
        <f t="shared" si="80"/>
        <v>0</v>
      </c>
      <c r="T48" s="966">
        <f t="shared" si="81"/>
        <v>0</v>
      </c>
      <c r="U48" s="966">
        <f t="shared" si="82"/>
        <v>0</v>
      </c>
      <c r="V48" s="954">
        <f t="shared" si="83"/>
        <v>0</v>
      </c>
      <c r="W48" s="954">
        <v>1</v>
      </c>
      <c r="X48" s="954">
        <f t="shared" si="84"/>
        <v>0</v>
      </c>
      <c r="Y48" s="954">
        <f t="shared" si="85"/>
        <v>0</v>
      </c>
      <c r="Z48" s="669">
        <f t="shared" si="90"/>
        <v>2019.5833333333333</v>
      </c>
      <c r="AA48" s="666">
        <f t="shared" si="86"/>
        <v>2021</v>
      </c>
      <c r="AB48" s="669">
        <f t="shared" si="87"/>
        <v>2019.5833333333333</v>
      </c>
      <c r="AC48" s="666">
        <f t="shared" si="88"/>
        <v>2020</v>
      </c>
      <c r="AD48" s="666">
        <f t="shared" si="89"/>
        <v>-8.3333333333333329E-2</v>
      </c>
    </row>
    <row r="49" spans="2:30" s="666" customFormat="1" x14ac:dyDescent="0.35">
      <c r="B49" s="985"/>
      <c r="C49" s="24">
        <v>8</v>
      </c>
      <c r="D49" s="24">
        <v>2019</v>
      </c>
      <c r="E49" s="967"/>
      <c r="F49" s="671">
        <v>0</v>
      </c>
      <c r="G49" s="131"/>
      <c r="H49" s="666">
        <f t="shared" si="74"/>
        <v>2019</v>
      </c>
      <c r="I49" s="665"/>
      <c r="J49" s="665"/>
      <c r="K49" s="970">
        <v>0</v>
      </c>
      <c r="L49" s="954">
        <f t="shared" si="75"/>
        <v>0</v>
      </c>
      <c r="M49" s="954" t="e">
        <f t="shared" si="76"/>
        <v>#DIV/0!</v>
      </c>
      <c r="N49" s="954">
        <f t="shared" si="77"/>
        <v>0</v>
      </c>
      <c r="O49" s="666">
        <f t="shared" si="78"/>
        <v>0</v>
      </c>
      <c r="P49" s="954">
        <f t="shared" si="79"/>
        <v>0</v>
      </c>
      <c r="Q49" s="668">
        <v>1</v>
      </c>
      <c r="R49" s="667">
        <f t="shared" si="80"/>
        <v>0</v>
      </c>
      <c r="T49" s="966">
        <f t="shared" si="81"/>
        <v>0</v>
      </c>
      <c r="U49" s="966">
        <f t="shared" si="82"/>
        <v>0</v>
      </c>
      <c r="V49" s="954">
        <f t="shared" si="83"/>
        <v>0</v>
      </c>
      <c r="W49" s="954">
        <v>1</v>
      </c>
      <c r="X49" s="954">
        <f t="shared" si="84"/>
        <v>0</v>
      </c>
      <c r="Y49" s="954">
        <f t="shared" si="85"/>
        <v>0</v>
      </c>
      <c r="Z49" s="669">
        <f t="shared" si="90"/>
        <v>2019.5833333333333</v>
      </c>
      <c r="AA49" s="666">
        <f t="shared" si="86"/>
        <v>2021</v>
      </c>
      <c r="AB49" s="669">
        <f t="shared" si="87"/>
        <v>2019.5833333333333</v>
      </c>
      <c r="AC49" s="666">
        <f t="shared" si="88"/>
        <v>2020</v>
      </c>
      <c r="AD49" s="666">
        <f t="shared" si="89"/>
        <v>-8.3333333333333329E-2</v>
      </c>
    </row>
    <row r="50" spans="2:30" x14ac:dyDescent="0.35">
      <c r="B50" s="76"/>
      <c r="C50" s="55"/>
      <c r="D50" s="55"/>
      <c r="E50" s="968"/>
      <c r="F50" s="53"/>
      <c r="G50" s="55"/>
      <c r="Q50" s="66"/>
      <c r="R50" s="56"/>
      <c r="Z50" s="67"/>
      <c r="AB50" s="67"/>
    </row>
    <row r="51" spans="2:30" s="69" customFormat="1" x14ac:dyDescent="0.35">
      <c r="B51" s="75" t="s">
        <v>89</v>
      </c>
      <c r="E51" s="969">
        <f>SUM(E45:E50)</f>
        <v>610000</v>
      </c>
      <c r="K51" s="969">
        <f>SUM(K45:K50)</f>
        <v>0</v>
      </c>
      <c r="L51" s="969">
        <f>SUM(L45:L50)</f>
        <v>610000</v>
      </c>
      <c r="M51" s="969" t="e">
        <f>SUM(M45:M50)</f>
        <v>#DIV/0!</v>
      </c>
      <c r="N51" s="969">
        <f>SUM(N45:N50)</f>
        <v>40666.666666666664</v>
      </c>
      <c r="O51" s="71">
        <f>SUM(O46:O50)</f>
        <v>0</v>
      </c>
      <c r="P51" s="969">
        <f>SUM(P46:P50)</f>
        <v>0</v>
      </c>
      <c r="Q51" s="71">
        <f>SUM(Q46:Q50)</f>
        <v>4</v>
      </c>
      <c r="R51" s="71">
        <f>SUM(R46:R50)</f>
        <v>0</v>
      </c>
      <c r="S51" s="71"/>
      <c r="T51" s="969">
        <f>SUM(T45:T50)</f>
        <v>16944.444444447527</v>
      </c>
      <c r="U51" s="969">
        <f>SUM(U45:U50)</f>
        <v>57611.111111114195</v>
      </c>
      <c r="V51" s="969">
        <f>SUM(V46:V50)</f>
        <v>0</v>
      </c>
      <c r="W51" s="969">
        <f>SUM(W46:W50)</f>
        <v>4</v>
      </c>
      <c r="X51" s="969">
        <f>SUM(X46:X50)</f>
        <v>0</v>
      </c>
      <c r="Y51" s="969">
        <f>SUM(Y45:Y50)</f>
        <v>572722.22222221922</v>
      </c>
    </row>
    <row r="52" spans="2:30" x14ac:dyDescent="0.35">
      <c r="B52" s="64"/>
    </row>
    <row r="53" spans="2:30" x14ac:dyDescent="0.35">
      <c r="B53" s="75" t="s">
        <v>108</v>
      </c>
    </row>
    <row r="54" spans="2:30" s="666" customFormat="1" x14ac:dyDescent="0.35">
      <c r="B54" s="23" t="s">
        <v>111</v>
      </c>
      <c r="C54" s="24">
        <v>8</v>
      </c>
      <c r="D54" s="24">
        <v>2019</v>
      </c>
      <c r="E54" s="964">
        <v>25000</v>
      </c>
      <c r="F54" s="25">
        <v>0</v>
      </c>
      <c r="G54" s="24">
        <v>15</v>
      </c>
      <c r="H54" s="666">
        <f t="shared" ref="H54:H57" si="91">D54+G54</f>
        <v>2034</v>
      </c>
      <c r="I54" s="665"/>
      <c r="J54" s="665"/>
      <c r="K54" s="970">
        <v>0</v>
      </c>
      <c r="L54" s="954">
        <f t="shared" ref="L54:L57" si="92">E54-E54*F54</f>
        <v>25000</v>
      </c>
      <c r="M54" s="954">
        <f t="shared" ref="M54:M57" si="93">L54/G54/12</f>
        <v>138.88888888888889</v>
      </c>
      <c r="N54" s="954">
        <f t="shared" ref="N54:N57" si="94">IF(K54&gt;0,0,IF(OR(Z54&gt;AA54,AB54&lt;AC54),0,IF(AND(AB54&gt;=AC54,AB54&lt;=AA54),M54*((AB54-AC54)*12),IF(AND(AC54&lt;=Z54,AA54&gt;=Z54),((AA54-Z54)*12)*M54,IF(AB54&gt;AA54,12*M54,0)))))</f>
        <v>1666.6666666666665</v>
      </c>
      <c r="O54" s="666">
        <f t="shared" ref="O54:O57" si="95">IF(K54=0,0,IF(AND(AD54&gt;=AC54,AD54&lt;=AB54),((AD54-AC54)*12)*M54,0))</f>
        <v>0</v>
      </c>
      <c r="P54" s="954">
        <f t="shared" ref="P54:P57" si="96">IF(O54&gt;0,O54,N54)</f>
        <v>1666.6666666666665</v>
      </c>
      <c r="Q54" s="668">
        <v>1</v>
      </c>
      <c r="R54" s="667">
        <f>Q54*SUM(N54:O54)</f>
        <v>1666.6666666666665</v>
      </c>
      <c r="T54" s="966">
        <f t="shared" ref="T54:T57" si="97">IF(Z54&gt;AA54,0,IF(AB54&lt;AC54,L54,IF(AND(AB54&gt;=AC54,AB54&lt;=AA54),(L54-P54),IF(AND(AC54&lt;=Z54,AA54&gt;=Z54),0,IF(AB54&gt;AA54,((AC54-Z54)*12)*M54,0)))))</f>
        <v>694.44444444457076</v>
      </c>
      <c r="U54" s="966">
        <f t="shared" ref="U54:U57" si="98">IF(K54&gt;0,0,X54+R54*W54)*W54</f>
        <v>2361.1111111112373</v>
      </c>
      <c r="V54" s="954">
        <f t="shared" ref="V54:V57" si="99">T54*Q54</f>
        <v>694.44444444457076</v>
      </c>
      <c r="W54" s="954">
        <v>1</v>
      </c>
      <c r="X54" s="954">
        <f t="shared" ref="X54:X57" si="100">V54*W54</f>
        <v>694.44444444457076</v>
      </c>
      <c r="Y54" s="954">
        <f t="shared" ref="Y54:Y57" si="101">IF(K54&gt;0,(E54-X54)/2,IF(Z54&gt;=AC54,(((E54*Q54)*W54)-U54)/2,((((E54*Q54)*W54)-X54)+(((E54*Q54)*W54)-U54))/2))</f>
        <v>23472.222222222095</v>
      </c>
      <c r="Z54" s="666">
        <f t="shared" ref="Z54:Z57" si="102">$D54+(($C54-1)/12)</f>
        <v>2019.5833333333333</v>
      </c>
      <c r="AA54" s="666">
        <f t="shared" ref="AA54:AA57" si="103">($G$7+1)-($D$7/12)</f>
        <v>2021</v>
      </c>
      <c r="AB54" s="666">
        <f t="shared" ref="AB54:AB57" si="104">$H54+(($C54-1)/12)</f>
        <v>2034.5833333333333</v>
      </c>
      <c r="AC54" s="666">
        <f t="shared" ref="AC54:AC57" si="105">$E$7+($F$7/12)</f>
        <v>2020</v>
      </c>
      <c r="AD54" s="666">
        <f t="shared" ref="AD54:AD57" si="106">$J54+(($I54-1)/12)</f>
        <v>-8.3333333333333329E-2</v>
      </c>
    </row>
    <row r="55" spans="2:30" s="666" customFormat="1" x14ac:dyDescent="0.35">
      <c r="B55" s="23" t="s">
        <v>574</v>
      </c>
      <c r="C55" s="24">
        <v>8</v>
      </c>
      <c r="D55" s="24">
        <v>2019</v>
      </c>
      <c r="E55" s="964">
        <v>10000</v>
      </c>
      <c r="F55" s="25">
        <v>0</v>
      </c>
      <c r="G55" s="24">
        <v>15</v>
      </c>
      <c r="H55" s="666">
        <f t="shared" si="91"/>
        <v>2034</v>
      </c>
      <c r="I55" s="665"/>
      <c r="J55" s="665"/>
      <c r="K55" s="970">
        <v>0</v>
      </c>
      <c r="L55" s="954">
        <f t="shared" si="92"/>
        <v>10000</v>
      </c>
      <c r="M55" s="954">
        <f t="shared" si="93"/>
        <v>55.55555555555555</v>
      </c>
      <c r="N55" s="954">
        <f t="shared" si="94"/>
        <v>666.66666666666663</v>
      </c>
      <c r="O55" s="666">
        <f t="shared" si="95"/>
        <v>0</v>
      </c>
      <c r="P55" s="954">
        <f t="shared" si="96"/>
        <v>666.66666666666663</v>
      </c>
      <c r="Q55" s="668">
        <v>1</v>
      </c>
      <c r="R55" s="667">
        <f t="shared" ref="R55:R57" si="107">Q55*SUM(N55:O55)</f>
        <v>666.66666666666663</v>
      </c>
      <c r="T55" s="966">
        <f t="shared" si="97"/>
        <v>277.77777777782831</v>
      </c>
      <c r="U55" s="966">
        <f t="shared" si="98"/>
        <v>944.44444444449493</v>
      </c>
      <c r="V55" s="954">
        <f t="shared" si="99"/>
        <v>277.77777777782831</v>
      </c>
      <c r="W55" s="954">
        <v>1</v>
      </c>
      <c r="X55" s="954">
        <f t="shared" si="100"/>
        <v>277.77777777782831</v>
      </c>
      <c r="Y55" s="954">
        <f t="shared" si="101"/>
        <v>9388.8888888888396</v>
      </c>
      <c r="Z55" s="669">
        <f t="shared" si="102"/>
        <v>2019.5833333333333</v>
      </c>
      <c r="AA55" s="666">
        <f t="shared" si="103"/>
        <v>2021</v>
      </c>
      <c r="AB55" s="669">
        <f t="shared" si="104"/>
        <v>2034.5833333333333</v>
      </c>
      <c r="AC55" s="666">
        <f t="shared" si="105"/>
        <v>2020</v>
      </c>
      <c r="AD55" s="666">
        <f t="shared" si="106"/>
        <v>-8.3333333333333329E-2</v>
      </c>
    </row>
    <row r="56" spans="2:30" s="666" customFormat="1" x14ac:dyDescent="0.35">
      <c r="B56" s="23"/>
      <c r="C56" s="24">
        <v>8</v>
      </c>
      <c r="D56" s="24">
        <v>2019</v>
      </c>
      <c r="E56" s="964"/>
      <c r="F56" s="25">
        <v>0</v>
      </c>
      <c r="G56" s="24"/>
      <c r="H56" s="666">
        <f t="shared" si="91"/>
        <v>2019</v>
      </c>
      <c r="I56" s="665"/>
      <c r="J56" s="665"/>
      <c r="K56" s="970">
        <v>0</v>
      </c>
      <c r="L56" s="954">
        <f t="shared" si="92"/>
        <v>0</v>
      </c>
      <c r="M56" s="954" t="e">
        <f t="shared" si="93"/>
        <v>#DIV/0!</v>
      </c>
      <c r="N56" s="954">
        <f t="shared" si="94"/>
        <v>0</v>
      </c>
      <c r="O56" s="666">
        <f t="shared" si="95"/>
        <v>0</v>
      </c>
      <c r="P56" s="954">
        <f t="shared" si="96"/>
        <v>0</v>
      </c>
      <c r="Q56" s="668">
        <v>1</v>
      </c>
      <c r="R56" s="667">
        <f t="shared" si="107"/>
        <v>0</v>
      </c>
      <c r="T56" s="966">
        <f t="shared" si="97"/>
        <v>0</v>
      </c>
      <c r="U56" s="966">
        <f t="shared" si="98"/>
        <v>0</v>
      </c>
      <c r="V56" s="954">
        <f t="shared" si="99"/>
        <v>0</v>
      </c>
      <c r="W56" s="954">
        <v>1</v>
      </c>
      <c r="X56" s="954">
        <f t="shared" si="100"/>
        <v>0</v>
      </c>
      <c r="Y56" s="954">
        <f t="shared" si="101"/>
        <v>0</v>
      </c>
      <c r="Z56" s="669">
        <f t="shared" si="102"/>
        <v>2019.5833333333333</v>
      </c>
      <c r="AA56" s="666">
        <f t="shared" si="103"/>
        <v>2021</v>
      </c>
      <c r="AB56" s="669">
        <f t="shared" si="104"/>
        <v>2019.5833333333333</v>
      </c>
      <c r="AC56" s="666">
        <f t="shared" si="105"/>
        <v>2020</v>
      </c>
      <c r="AD56" s="666">
        <f t="shared" si="106"/>
        <v>-8.3333333333333329E-2</v>
      </c>
    </row>
    <row r="57" spans="2:30" s="666" customFormat="1" x14ac:dyDescent="0.35">
      <c r="B57" s="23"/>
      <c r="C57" s="24">
        <v>8</v>
      </c>
      <c r="D57" s="24">
        <v>2019</v>
      </c>
      <c r="E57" s="964"/>
      <c r="F57" s="25">
        <v>0</v>
      </c>
      <c r="G57" s="24"/>
      <c r="H57" s="666">
        <f t="shared" si="91"/>
        <v>2019</v>
      </c>
      <c r="I57" s="665"/>
      <c r="J57" s="665"/>
      <c r="K57" s="970">
        <v>0</v>
      </c>
      <c r="L57" s="954">
        <f t="shared" si="92"/>
        <v>0</v>
      </c>
      <c r="M57" s="954" t="e">
        <f t="shared" si="93"/>
        <v>#DIV/0!</v>
      </c>
      <c r="N57" s="954">
        <f t="shared" si="94"/>
        <v>0</v>
      </c>
      <c r="O57" s="666">
        <f t="shared" si="95"/>
        <v>0</v>
      </c>
      <c r="P57" s="954">
        <f t="shared" si="96"/>
        <v>0</v>
      </c>
      <c r="Q57" s="668">
        <v>1</v>
      </c>
      <c r="R57" s="667">
        <f t="shared" si="107"/>
        <v>0</v>
      </c>
      <c r="T57" s="966">
        <f t="shared" si="97"/>
        <v>0</v>
      </c>
      <c r="U57" s="966">
        <f t="shared" si="98"/>
        <v>0</v>
      </c>
      <c r="V57" s="954">
        <f t="shared" si="99"/>
        <v>0</v>
      </c>
      <c r="W57" s="954">
        <v>1</v>
      </c>
      <c r="X57" s="954">
        <f t="shared" si="100"/>
        <v>0</v>
      </c>
      <c r="Y57" s="954">
        <f t="shared" si="101"/>
        <v>0</v>
      </c>
      <c r="Z57" s="669">
        <f t="shared" si="102"/>
        <v>2019.5833333333333</v>
      </c>
      <c r="AA57" s="666">
        <f t="shared" si="103"/>
        <v>2021</v>
      </c>
      <c r="AB57" s="669">
        <f t="shared" si="104"/>
        <v>2019.5833333333333</v>
      </c>
      <c r="AC57" s="666">
        <f t="shared" si="105"/>
        <v>2020</v>
      </c>
      <c r="AD57" s="666">
        <f t="shared" si="106"/>
        <v>-8.3333333333333329E-2</v>
      </c>
    </row>
    <row r="58" spans="2:30" x14ac:dyDescent="0.35">
      <c r="B58" s="76"/>
      <c r="C58" s="55"/>
      <c r="D58" s="55"/>
      <c r="E58" s="968"/>
      <c r="F58" s="53"/>
      <c r="G58" s="55"/>
      <c r="Q58" s="66"/>
      <c r="R58" s="56"/>
      <c r="Z58" s="67"/>
      <c r="AB58" s="67"/>
    </row>
    <row r="59" spans="2:30" s="69" customFormat="1" x14ac:dyDescent="0.35">
      <c r="B59" s="75" t="s">
        <v>109</v>
      </c>
      <c r="E59" s="969">
        <f>SUM(E54:E58)</f>
        <v>35000</v>
      </c>
      <c r="K59" s="969">
        <f t="shared" ref="K59:R59" si="108">SUM(K54:K58)</f>
        <v>0</v>
      </c>
      <c r="L59" s="969">
        <f t="shared" si="108"/>
        <v>35000</v>
      </c>
      <c r="M59" s="969" t="e">
        <f t="shared" si="108"/>
        <v>#DIV/0!</v>
      </c>
      <c r="N59" s="969">
        <f t="shared" si="108"/>
        <v>2333.333333333333</v>
      </c>
      <c r="O59" s="71">
        <f t="shared" si="108"/>
        <v>0</v>
      </c>
      <c r="P59" s="969">
        <f t="shared" si="108"/>
        <v>2333.333333333333</v>
      </c>
      <c r="Q59" s="71">
        <f t="shared" si="108"/>
        <v>4</v>
      </c>
      <c r="R59" s="71">
        <f t="shared" si="108"/>
        <v>2333.333333333333</v>
      </c>
      <c r="S59" s="71"/>
      <c r="T59" s="969">
        <f t="shared" ref="T59:Y59" si="109">SUM(T54:T58)</f>
        <v>972.22222222239907</v>
      </c>
      <c r="U59" s="969">
        <f t="shared" si="109"/>
        <v>3305.5555555557321</v>
      </c>
      <c r="V59" s="969">
        <f t="shared" si="109"/>
        <v>972.22222222239907</v>
      </c>
      <c r="W59" s="969">
        <f t="shared" si="109"/>
        <v>4</v>
      </c>
      <c r="X59" s="969">
        <f t="shared" si="109"/>
        <v>972.22222222239907</v>
      </c>
      <c r="Y59" s="969">
        <f t="shared" si="109"/>
        <v>32861.111111110935</v>
      </c>
    </row>
    <row r="60" spans="2:30" s="69" customFormat="1" x14ac:dyDescent="0.35">
      <c r="B60" s="68"/>
      <c r="E60" s="969"/>
      <c r="K60" s="969"/>
      <c r="L60" s="969"/>
      <c r="M60" s="969"/>
      <c r="N60" s="969"/>
      <c r="O60" s="71"/>
      <c r="P60" s="969"/>
      <c r="Q60" s="71"/>
      <c r="R60" s="71"/>
      <c r="S60" s="71"/>
      <c r="T60" s="969"/>
      <c r="U60" s="969"/>
      <c r="V60" s="969"/>
      <c r="W60" s="969"/>
      <c r="X60" s="969"/>
      <c r="Y60" s="969"/>
    </row>
    <row r="61" spans="2:30" x14ac:dyDescent="0.35">
      <c r="B61" s="75" t="s">
        <v>762</v>
      </c>
    </row>
    <row r="62" spans="2:30" s="666" customFormat="1" x14ac:dyDescent="0.35">
      <c r="B62" s="23"/>
      <c r="C62" s="24"/>
      <c r="D62" s="24"/>
      <c r="E62" s="964">
        <v>0</v>
      </c>
      <c r="F62" s="25">
        <v>0</v>
      </c>
      <c r="G62" s="24">
        <v>10</v>
      </c>
      <c r="H62" s="666">
        <f>D62+G62</f>
        <v>10</v>
      </c>
      <c r="I62" s="665">
        <v>1</v>
      </c>
      <c r="J62" s="665">
        <v>2008</v>
      </c>
      <c r="K62" s="972">
        <v>0</v>
      </c>
      <c r="L62" s="954">
        <f>E62-E62*F62</f>
        <v>0</v>
      </c>
      <c r="M62" s="954">
        <f>L62/G62/12</f>
        <v>0</v>
      </c>
      <c r="N62" s="954">
        <f>IF(K62&gt;0,0,IF(OR(Z62&gt;AA62,AB62&lt;AC62),0,IF(AND(AB62&gt;=AC62,AB62&lt;=AA62),M62*((AB62-AC62)*12),IF(AND(AC62&lt;=Z62,AA62&gt;=Z62),((AA62-Z62)*12)*M62,IF(AB62&gt;AA62,12*M62,0)))))</f>
        <v>0</v>
      </c>
      <c r="O62" s="666">
        <f>IF(K62=0,0,IF(AND(AD62&gt;=AC62,AD62&lt;=AB62),((AD62-AC62)*12)*M62,0))</f>
        <v>0</v>
      </c>
      <c r="P62" s="954">
        <f>IF(O62&gt;0,O62,N62)</f>
        <v>0</v>
      </c>
      <c r="Q62" s="668">
        <v>1</v>
      </c>
      <c r="R62" s="667">
        <f>Q62*P62</f>
        <v>0</v>
      </c>
      <c r="T62" s="966">
        <f>IF(Z62&gt;AA62,0,IF(AB62&lt;AC62,L62,IF(AND(AB62&gt;=AC62,AB62&lt;=AA62),(L62-P62),IF(AND(AC62&lt;=Z62,AA62&gt;=Z62),0,IF(AB62&gt;AA62,((AC62-Z62)*12)*M62,0)))))</f>
        <v>0</v>
      </c>
      <c r="U62" s="966">
        <f>IF(K62&gt;0,0,X62+R62*W62)*W62</f>
        <v>0</v>
      </c>
      <c r="V62" s="954">
        <f>T62*Q62</f>
        <v>0</v>
      </c>
      <c r="W62" s="954">
        <v>1</v>
      </c>
      <c r="X62" s="954">
        <f>V62*W62</f>
        <v>0</v>
      </c>
      <c r="Y62" s="954">
        <f>IF(K62&gt;0,(E62-X62)/2,IF(Z62&gt;=AC62,(((E62*Q62)*W62)-U62)/2,((((E62*Q62)*W62)-X62)+(((E62*Q62)*W62)-U62))/2))</f>
        <v>0</v>
      </c>
      <c r="Z62" s="669">
        <f>$D62+(($C62-1)/12)</f>
        <v>-8.3333333333333329E-2</v>
      </c>
      <c r="AA62" s="666">
        <f>($G$7+1)-($D$7/12)</f>
        <v>2021</v>
      </c>
      <c r="AB62" s="669">
        <f>$H62+(($C62-1)/12)</f>
        <v>9.9166666666666661</v>
      </c>
      <c r="AC62" s="666">
        <f>$E$7+($F$7/12)</f>
        <v>2020</v>
      </c>
      <c r="AD62" s="666">
        <f>$J62+(($I62-1)/12)</f>
        <v>2008</v>
      </c>
    </row>
    <row r="63" spans="2:30" s="666" customFormat="1" x14ac:dyDescent="0.35">
      <c r="B63" s="23"/>
      <c r="C63" s="24"/>
      <c r="D63" s="24"/>
      <c r="E63" s="964">
        <v>0</v>
      </c>
      <c r="F63" s="25">
        <v>0</v>
      </c>
      <c r="G63" s="24">
        <v>10</v>
      </c>
      <c r="H63" s="666">
        <f>D63+G63</f>
        <v>10</v>
      </c>
      <c r="I63" s="665">
        <v>1</v>
      </c>
      <c r="J63" s="665">
        <v>2008</v>
      </c>
      <c r="K63" s="972">
        <v>0</v>
      </c>
      <c r="L63" s="954">
        <f>E63-E63*F63</f>
        <v>0</v>
      </c>
      <c r="M63" s="954">
        <f>L63/G63/12</f>
        <v>0</v>
      </c>
      <c r="N63" s="954">
        <f>IF(K63&gt;0,0,IF(OR(Z63&gt;AA63,AB63&lt;AC63),0,IF(AND(AB63&gt;=AC63,AB63&lt;=AA63),M63*((AB63-AC63)*12),IF(AND(AC63&lt;=Z63,AA63&gt;=Z63),((AA63-Z63)*12)*M63,IF(AB63&gt;AA63,12*M63,0)))))</f>
        <v>0</v>
      </c>
      <c r="O63" s="666">
        <f>IF(K63=0,0,IF(AND(AD63&gt;=AC63,AD63&lt;=AB63),((AD63-AC63)*12)*M63,0))</f>
        <v>0</v>
      </c>
      <c r="P63" s="954">
        <f>IF(O63&gt;0,O63,N63)</f>
        <v>0</v>
      </c>
      <c r="Q63" s="668">
        <v>1</v>
      </c>
      <c r="R63" s="667">
        <f>Q63*SUM(N63:O63)</f>
        <v>0</v>
      </c>
      <c r="T63" s="966">
        <f>IF(Z63&gt;AA63,0,IF(AB63&lt;AC63,L63,IF(AND(AB63&gt;=AC63,AB63&lt;=AA63),(L63-P63),IF(AND(AC63&lt;=Z63,AA63&gt;=Z63),0,IF(AB63&gt;AA63,((AC63-Z63)*12)*M63,0)))))</f>
        <v>0</v>
      </c>
      <c r="U63" s="966">
        <f>IF(K63&gt;0,0,X63+R63*W63)*W63</f>
        <v>0</v>
      </c>
      <c r="V63" s="954">
        <f>T63*Q63</f>
        <v>0</v>
      </c>
      <c r="W63" s="954">
        <v>1</v>
      </c>
      <c r="X63" s="954">
        <f>V63*W63</f>
        <v>0</v>
      </c>
      <c r="Y63" s="954">
        <f>IF(K63&gt;0,(E63-X63)/2,IF(Z63&gt;=AC63,(((E63*Q63)*W63)-U63)/2,((((E63*Q63)*W63)-X63)+(((E63*Q63)*W63)-U63))/2))</f>
        <v>0</v>
      </c>
      <c r="Z63" s="669">
        <f>(+$D63+(($C63-1)/12))</f>
        <v>-8.3333333333333329E-2</v>
      </c>
      <c r="AA63" s="666">
        <f>($G$7+1)-($D$7/12)</f>
        <v>2021</v>
      </c>
      <c r="AB63" s="669">
        <f>$H63+(($C63-1)/12)</f>
        <v>9.9166666666666661</v>
      </c>
      <c r="AC63" s="666">
        <f>$E$7+($F$7/12)</f>
        <v>2020</v>
      </c>
      <c r="AD63" s="666">
        <f>$J63+(($I63-1)/12)</f>
        <v>2008</v>
      </c>
    </row>
    <row r="64" spans="2:30" s="666" customFormat="1" x14ac:dyDescent="0.35">
      <c r="B64" s="23"/>
      <c r="C64" s="24"/>
      <c r="D64" s="24"/>
      <c r="E64" s="964">
        <v>0</v>
      </c>
      <c r="F64" s="25">
        <v>0</v>
      </c>
      <c r="G64" s="24">
        <v>10</v>
      </c>
      <c r="H64" s="666">
        <f>D64+G64</f>
        <v>10</v>
      </c>
      <c r="I64" s="665">
        <v>1</v>
      </c>
      <c r="J64" s="665">
        <v>2008</v>
      </c>
      <c r="K64" s="972">
        <v>0</v>
      </c>
      <c r="L64" s="954">
        <f>E64-E64*F64</f>
        <v>0</v>
      </c>
      <c r="M64" s="954">
        <f>L64/G64/12</f>
        <v>0</v>
      </c>
      <c r="N64" s="954">
        <f>IF(K64&gt;0,0,IF(OR(Z64&gt;AA64,AB64&lt;AC64),0,IF(AND(AB64&gt;=AC64,AB64&lt;=AA64),M64*((AB64-AC64)*12),IF(AND(AC64&lt;=Z64,AA64&gt;=Z64),((AA64-Z64)*12)*M64,IF(AB64&gt;AA64,12*M64,0)))))</f>
        <v>0</v>
      </c>
      <c r="O64" s="666">
        <f>IF(K64=0,0,IF(AND(AD64&gt;=AC64,AD64&lt;=AB64),((AD64-AC64)*12)*M64,0))</f>
        <v>0</v>
      </c>
      <c r="P64" s="954">
        <f>IF(O64&gt;0,O64,N64)</f>
        <v>0</v>
      </c>
      <c r="Q64" s="668">
        <v>1</v>
      </c>
      <c r="R64" s="667">
        <f>Q64*SUM(N64:O64)</f>
        <v>0</v>
      </c>
      <c r="T64" s="966">
        <f>IF(Z64&gt;AA64,0,IF(AB64&lt;AC64,L64,IF(AND(AB64&gt;=AC64,AB64&lt;=AA64),(L64-P64),IF(AND(AC64&lt;=Z64,AA64&gt;=Z64),0,IF(AB64&gt;AA64,((AC64-Z64)*12)*M64,0)))))</f>
        <v>0</v>
      </c>
      <c r="U64" s="966">
        <f>IF(K64&gt;0,0,X64+R64*W64)*W64</f>
        <v>0</v>
      </c>
      <c r="V64" s="954">
        <f>T64*Q64</f>
        <v>0</v>
      </c>
      <c r="W64" s="954">
        <v>1</v>
      </c>
      <c r="X64" s="954">
        <f>V64*W64</f>
        <v>0</v>
      </c>
      <c r="Y64" s="954">
        <f>IF(K64&gt;0,(E64-X64)/2,IF(Z64&gt;=AC64,(((E64*Q64)*W64)-U64)/2,((((E64*Q64)*W64)-X64)+(((E64*Q64)*W64)-U64))/2))</f>
        <v>0</v>
      </c>
      <c r="Z64" s="669">
        <f>$D64+(($C64-1)/12)</f>
        <v>-8.3333333333333329E-2</v>
      </c>
      <c r="AA64" s="666">
        <f>($G$7+1)-($D$7/12)</f>
        <v>2021</v>
      </c>
      <c r="AB64" s="669">
        <f>$H64+(($C64-1)/12)</f>
        <v>9.9166666666666661</v>
      </c>
      <c r="AC64" s="666">
        <f>$E$7+($F$7/12)</f>
        <v>2020</v>
      </c>
      <c r="AD64" s="666">
        <f>$J64+(($I64-1)/12)</f>
        <v>2008</v>
      </c>
    </row>
    <row r="65" spans="2:30" x14ac:dyDescent="0.35">
      <c r="B65" s="76"/>
    </row>
    <row r="66" spans="2:30" s="69" customFormat="1" x14ac:dyDescent="0.35">
      <c r="B66" s="75" t="s">
        <v>107</v>
      </c>
      <c r="E66" s="969">
        <f>SUM(E62:E65)</f>
        <v>0</v>
      </c>
      <c r="K66" s="969">
        <f t="shared" ref="K66:R66" si="110">SUM(K62:K65)</f>
        <v>0</v>
      </c>
      <c r="L66" s="969">
        <f t="shared" si="110"/>
        <v>0</v>
      </c>
      <c r="M66" s="969">
        <f t="shared" si="110"/>
        <v>0</v>
      </c>
      <c r="N66" s="969">
        <f t="shared" si="110"/>
        <v>0</v>
      </c>
      <c r="O66" s="71">
        <f t="shared" si="110"/>
        <v>0</v>
      </c>
      <c r="P66" s="969">
        <f t="shared" si="110"/>
        <v>0</v>
      </c>
      <c r="Q66" s="71">
        <f t="shared" si="110"/>
        <v>3</v>
      </c>
      <c r="R66" s="71">
        <f t="shared" si="110"/>
        <v>0</v>
      </c>
      <c r="S66" s="71"/>
      <c r="T66" s="969">
        <f t="shared" ref="T66:Y66" si="111">SUM(T62:T65)</f>
        <v>0</v>
      </c>
      <c r="U66" s="969">
        <f>SUM(U62:U65)</f>
        <v>0</v>
      </c>
      <c r="V66" s="969">
        <f t="shared" si="111"/>
        <v>0</v>
      </c>
      <c r="W66" s="969">
        <f t="shared" si="111"/>
        <v>3</v>
      </c>
      <c r="X66" s="969">
        <f t="shared" si="111"/>
        <v>0</v>
      </c>
      <c r="Y66" s="969">
        <f t="shared" si="111"/>
        <v>0</v>
      </c>
    </row>
    <row r="67" spans="2:30" s="69" customFormat="1" x14ac:dyDescent="0.35">
      <c r="B67" s="75"/>
      <c r="E67" s="969"/>
      <c r="K67" s="969"/>
      <c r="L67" s="969"/>
      <c r="M67" s="969"/>
      <c r="N67" s="969"/>
      <c r="O67" s="71"/>
      <c r="P67" s="969"/>
      <c r="Q67" s="71"/>
      <c r="R67" s="71"/>
      <c r="S67" s="71"/>
      <c r="T67" s="969"/>
      <c r="U67" s="969"/>
      <c r="V67" s="969"/>
      <c r="W67" s="969"/>
      <c r="X67" s="969"/>
      <c r="Y67" s="969"/>
    </row>
    <row r="68" spans="2:30" x14ac:dyDescent="0.35">
      <c r="B68" s="75" t="s">
        <v>762</v>
      </c>
    </row>
    <row r="69" spans="2:30" s="666" customFormat="1" x14ac:dyDescent="0.35">
      <c r="B69" s="23"/>
      <c r="C69" s="24"/>
      <c r="D69" s="24"/>
      <c r="E69" s="964"/>
      <c r="F69" s="25">
        <v>0</v>
      </c>
      <c r="G69" s="24">
        <v>15</v>
      </c>
      <c r="H69" s="666">
        <f>D69+G69</f>
        <v>15</v>
      </c>
      <c r="I69" s="665"/>
      <c r="J69" s="665"/>
      <c r="K69" s="970">
        <v>0</v>
      </c>
      <c r="L69" s="954">
        <f>E69-E69*F69</f>
        <v>0</v>
      </c>
      <c r="M69" s="954">
        <f>L69/G69/12</f>
        <v>0</v>
      </c>
      <c r="N69" s="954">
        <f>IF(K69&gt;0,0,IF(OR(Z69&gt;AA69,AB69&lt;AC69),0,IF(AND(AB69&gt;=AC69,AB69&lt;=AA69),M69*((AB69-AC69)*12),IF(AND(AC69&lt;=Z69,AA69&gt;=Z69),((AA69-Z69)*12)*M69,IF(AB69&gt;AA69,12*M69,0)))))</f>
        <v>0</v>
      </c>
      <c r="O69" s="666">
        <f>IF(K69=0,0,IF(AND(AD69&gt;=AC69,AD69&lt;=AB69),((AD69-AC69)*12)*M69,0))</f>
        <v>0</v>
      </c>
      <c r="P69" s="954">
        <f>IF(O69&gt;0,O69,N69)</f>
        <v>0</v>
      </c>
      <c r="Q69" s="668">
        <v>1</v>
      </c>
      <c r="R69" s="667">
        <f>Q69*SUM(N69:O69)</f>
        <v>0</v>
      </c>
      <c r="T69" s="966">
        <f>IF(Z69&gt;AA69,0,IF(AB69&lt;AC69,L69,IF(AND(AB69&gt;=AC69,AB69&lt;=AA69),(L69-P69),IF(AND(AC69&lt;=Z69,AA69&gt;=Z69),0,IF(AB69&gt;AA69,((AC69-Z69)*12)*M69,0)))))</f>
        <v>0</v>
      </c>
      <c r="U69" s="966">
        <f>IF(K69&gt;0,0,X69+R69*W69)*W69</f>
        <v>0</v>
      </c>
      <c r="V69" s="954">
        <f>T69*Q69</f>
        <v>0</v>
      </c>
      <c r="W69" s="954">
        <v>1</v>
      </c>
      <c r="X69" s="954">
        <f>V69*W69</f>
        <v>0</v>
      </c>
      <c r="Y69" s="954">
        <f>IF(K69&gt;0,(E69-X69)/2,IF(Z69&gt;=AC69,(((E69*Q69)*W69)-U69)/2,((((E69*Q69)*W69)-X69)+(((E69*Q69)*W69)-U69))/2))</f>
        <v>0</v>
      </c>
      <c r="Z69" s="669">
        <f>$D69+(($C69-1)/12)</f>
        <v>-8.3333333333333329E-2</v>
      </c>
      <c r="AA69" s="666">
        <f>($G$7+1)-($D$7/12)</f>
        <v>2021</v>
      </c>
      <c r="AB69" s="669">
        <f>$H69+(($C69-1)/12)</f>
        <v>14.916666666666666</v>
      </c>
      <c r="AC69" s="666">
        <f>$E$7+($F$7/12)</f>
        <v>2020</v>
      </c>
      <c r="AD69" s="666">
        <f>$J69+(($I69-1)/12)</f>
        <v>-8.3333333333333329E-2</v>
      </c>
    </row>
    <row r="70" spans="2:30" x14ac:dyDescent="0.35">
      <c r="B70" s="76"/>
    </row>
    <row r="71" spans="2:30" s="69" customFormat="1" x14ac:dyDescent="0.35">
      <c r="B71" s="75" t="s">
        <v>105</v>
      </c>
      <c r="E71" s="969">
        <f>SUM(E69:E70)</f>
        <v>0</v>
      </c>
      <c r="K71" s="969">
        <f t="shared" ref="K71:R71" si="112">SUM(K69:K70)</f>
        <v>0</v>
      </c>
      <c r="L71" s="969">
        <f t="shared" si="112"/>
        <v>0</v>
      </c>
      <c r="M71" s="969">
        <f t="shared" si="112"/>
        <v>0</v>
      </c>
      <c r="N71" s="969">
        <f t="shared" si="112"/>
        <v>0</v>
      </c>
      <c r="O71" s="71">
        <f t="shared" si="112"/>
        <v>0</v>
      </c>
      <c r="P71" s="969">
        <f t="shared" si="112"/>
        <v>0</v>
      </c>
      <c r="Q71" s="71">
        <f t="shared" si="112"/>
        <v>1</v>
      </c>
      <c r="R71" s="71">
        <f t="shared" si="112"/>
        <v>0</v>
      </c>
      <c r="S71" s="71"/>
      <c r="T71" s="969">
        <f t="shared" ref="T71:Y71" si="113">SUM(T69:T70)</f>
        <v>0</v>
      </c>
      <c r="U71" s="969">
        <f t="shared" si="113"/>
        <v>0</v>
      </c>
      <c r="V71" s="969">
        <f t="shared" si="113"/>
        <v>0</v>
      </c>
      <c r="W71" s="969">
        <f t="shared" si="113"/>
        <v>1</v>
      </c>
      <c r="X71" s="969">
        <f t="shared" si="113"/>
        <v>0</v>
      </c>
      <c r="Y71" s="969">
        <f t="shared" si="113"/>
        <v>0</v>
      </c>
    </row>
    <row r="72" spans="2:30" s="69" customFormat="1" x14ac:dyDescent="0.35">
      <c r="B72" s="75"/>
      <c r="E72" s="969"/>
      <c r="K72" s="969"/>
      <c r="L72" s="969"/>
      <c r="M72" s="969"/>
      <c r="N72" s="969"/>
      <c r="O72" s="71"/>
      <c r="P72" s="969"/>
      <c r="Q72" s="71"/>
      <c r="R72" s="71"/>
      <c r="S72" s="71"/>
      <c r="T72" s="969"/>
      <c r="U72" s="969"/>
      <c r="V72" s="969"/>
      <c r="W72" s="969"/>
      <c r="X72" s="969"/>
      <c r="Y72" s="969"/>
    </row>
    <row r="73" spans="2:30" x14ac:dyDescent="0.35">
      <c r="B73" s="75" t="s">
        <v>99</v>
      </c>
    </row>
    <row r="74" spans="2:30" s="666" customFormat="1" x14ac:dyDescent="0.35">
      <c r="B74" s="23" t="s">
        <v>99</v>
      </c>
      <c r="C74" s="24">
        <v>8</v>
      </c>
      <c r="D74" s="24">
        <v>2019</v>
      </c>
      <c r="E74" s="964">
        <v>7500</v>
      </c>
      <c r="F74" s="25">
        <v>0</v>
      </c>
      <c r="G74" s="24">
        <v>7</v>
      </c>
      <c r="H74" s="666">
        <f t="shared" ref="H74:H78" si="114">D74+G74</f>
        <v>2026</v>
      </c>
      <c r="I74" s="665"/>
      <c r="J74" s="665"/>
      <c r="K74" s="970">
        <v>0</v>
      </c>
      <c r="L74" s="954">
        <f t="shared" ref="L74:L78" si="115">E74-E74*F74</f>
        <v>7500</v>
      </c>
      <c r="M74" s="954">
        <f t="shared" ref="M74:M78" si="116">L74/G74/12</f>
        <v>89.285714285714278</v>
      </c>
      <c r="N74" s="954">
        <f t="shared" ref="N74:N78" si="117">IF(K74&gt;0,0,IF(OR(Z74&gt;AA74,AB74&lt;AC74),0,IF(AND(AB74&gt;=AC74,AB74&lt;=AA74),M74*((AB74-AC74)*12),IF(AND(AC74&lt;=Z74,AA74&gt;=Z74),((AA74-Z74)*12)*M74,IF(AB74&gt;AA74,12*M74,0)))))</f>
        <v>1071.4285714285713</v>
      </c>
      <c r="O74" s="666">
        <f t="shared" ref="O74:O78" si="118">IF(K74=0,0,IF(AND(AD74&gt;=AC74,AD74&lt;=AB74),((AD74-AC74)*12)*M74,0))</f>
        <v>0</v>
      </c>
      <c r="P74" s="954">
        <f t="shared" ref="P74:P78" si="119">IF(O74&gt;0,O74,N74)</f>
        <v>1071.4285714285713</v>
      </c>
      <c r="Q74" s="668">
        <v>1</v>
      </c>
      <c r="R74" s="667">
        <f>Q74*P74</f>
        <v>1071.4285714285713</v>
      </c>
      <c r="T74" s="966">
        <f t="shared" ref="T74:T78" si="120">IF(Z74&gt;AA74,0,IF(AB74&lt;AC74,L74,IF(AND(AB74&gt;=AC74,AB74&lt;=AA74),(L74-P74),IF(AND(AC74&lt;=Z74,AA74&gt;=Z74),0,IF(AB74&gt;AA74,((AC74-Z74)*12)*M74,0)))))</f>
        <v>446.42857142865262</v>
      </c>
      <c r="U74" s="966">
        <f t="shared" ref="U74:U78" si="121">IF(K74&gt;0,0,X74+R74*W74)*W74</f>
        <v>1517.8571428572241</v>
      </c>
      <c r="V74" s="954">
        <f t="shared" ref="V74:V78" si="122">T74*Q74</f>
        <v>446.42857142865262</v>
      </c>
      <c r="W74" s="954">
        <v>1</v>
      </c>
      <c r="X74" s="954">
        <f t="shared" ref="X74:X78" si="123">V74*W74</f>
        <v>446.42857142865262</v>
      </c>
      <c r="Y74" s="954">
        <f t="shared" ref="Y74:Y78" si="124">IF(K74&gt;0,(E74-X74)/2,IF(Z74&gt;=AC74,(((E74*Q74)*W74)-U74)/2,((((E74*Q74)*W74)-X74)+(((E74*Q74)*W74)-U74))/2))</f>
        <v>6517.8571428570613</v>
      </c>
      <c r="Z74" s="669">
        <f>$D74+(($C74-1)/12)</f>
        <v>2019.5833333333333</v>
      </c>
      <c r="AA74" s="666">
        <f t="shared" ref="AA74:AA78" si="125">($G$7+1)-($D$7/12)</f>
        <v>2021</v>
      </c>
      <c r="AB74" s="669">
        <f t="shared" ref="AB74:AB78" si="126">$H74+(($C74-1)/12)</f>
        <v>2026.5833333333333</v>
      </c>
      <c r="AC74" s="666">
        <f t="shared" ref="AC74:AC78" si="127">$E$7+($F$7/12)</f>
        <v>2020</v>
      </c>
      <c r="AD74" s="666">
        <f t="shared" ref="AD74:AD78" si="128">$J74+(($I74-1)/12)</f>
        <v>-8.3333333333333329E-2</v>
      </c>
    </row>
    <row r="75" spans="2:30" s="666" customFormat="1" x14ac:dyDescent="0.35">
      <c r="B75" s="23" t="s">
        <v>102</v>
      </c>
      <c r="C75" s="24">
        <v>8</v>
      </c>
      <c r="D75" s="24">
        <v>2019</v>
      </c>
      <c r="E75" s="964">
        <v>70000</v>
      </c>
      <c r="F75" s="25">
        <v>0</v>
      </c>
      <c r="G75" s="24">
        <v>5</v>
      </c>
      <c r="H75" s="666">
        <f t="shared" si="114"/>
        <v>2024</v>
      </c>
      <c r="I75" s="665"/>
      <c r="J75" s="665"/>
      <c r="K75" s="970">
        <v>0</v>
      </c>
      <c r="L75" s="954">
        <f t="shared" si="115"/>
        <v>70000</v>
      </c>
      <c r="M75" s="954">
        <f t="shared" si="116"/>
        <v>1166.6666666666667</v>
      </c>
      <c r="N75" s="954">
        <f t="shared" si="117"/>
        <v>14000</v>
      </c>
      <c r="O75" s="666">
        <f t="shared" si="118"/>
        <v>0</v>
      </c>
      <c r="P75" s="954">
        <f t="shared" si="119"/>
        <v>14000</v>
      </c>
      <c r="Q75" s="668">
        <v>1</v>
      </c>
      <c r="R75" s="667">
        <f t="shared" ref="R75:R77" si="129">Q75*SUM(N75:O75)</f>
        <v>14000</v>
      </c>
      <c r="T75" s="966">
        <f t="shared" si="120"/>
        <v>5833.3333333343944</v>
      </c>
      <c r="U75" s="966">
        <f t="shared" si="121"/>
        <v>19833.333333334394</v>
      </c>
      <c r="V75" s="954">
        <f t="shared" si="122"/>
        <v>5833.3333333343944</v>
      </c>
      <c r="W75" s="954">
        <v>1</v>
      </c>
      <c r="X75" s="954">
        <f t="shared" si="123"/>
        <v>5833.3333333343944</v>
      </c>
      <c r="Y75" s="954">
        <f t="shared" si="124"/>
        <v>57166.666666665609</v>
      </c>
      <c r="Z75" s="669">
        <f>(+$D75+(($C75-1)/12))</f>
        <v>2019.5833333333333</v>
      </c>
      <c r="AA75" s="666">
        <f t="shared" si="125"/>
        <v>2021</v>
      </c>
      <c r="AB75" s="669">
        <f t="shared" si="126"/>
        <v>2024.5833333333333</v>
      </c>
      <c r="AC75" s="666">
        <f t="shared" si="127"/>
        <v>2020</v>
      </c>
      <c r="AD75" s="666">
        <f t="shared" si="128"/>
        <v>-8.3333333333333329E-2</v>
      </c>
    </row>
    <row r="76" spans="2:30" s="666" customFormat="1" x14ac:dyDescent="0.35">
      <c r="B76" s="23" t="s">
        <v>171</v>
      </c>
      <c r="C76" s="24">
        <v>8</v>
      </c>
      <c r="D76" s="24">
        <v>2019</v>
      </c>
      <c r="E76" s="964">
        <v>13000</v>
      </c>
      <c r="F76" s="25">
        <v>0</v>
      </c>
      <c r="G76" s="24">
        <v>10</v>
      </c>
      <c r="H76" s="666">
        <f t="shared" si="114"/>
        <v>2029</v>
      </c>
      <c r="I76" s="665"/>
      <c r="J76" s="665"/>
      <c r="K76" s="970">
        <v>0</v>
      </c>
      <c r="L76" s="954">
        <f t="shared" si="115"/>
        <v>13000</v>
      </c>
      <c r="M76" s="954">
        <f t="shared" si="116"/>
        <v>108.33333333333333</v>
      </c>
      <c r="N76" s="954">
        <f t="shared" si="117"/>
        <v>1300</v>
      </c>
      <c r="O76" s="666">
        <f t="shared" si="118"/>
        <v>0</v>
      </c>
      <c r="P76" s="954">
        <f t="shared" si="119"/>
        <v>1300</v>
      </c>
      <c r="Q76" s="668">
        <v>1</v>
      </c>
      <c r="R76" s="667">
        <f t="shared" si="129"/>
        <v>1300</v>
      </c>
      <c r="T76" s="966">
        <f t="shared" si="120"/>
        <v>541.6666666667652</v>
      </c>
      <c r="U76" s="966">
        <f t="shared" si="121"/>
        <v>1841.6666666667652</v>
      </c>
      <c r="V76" s="954">
        <f t="shared" si="122"/>
        <v>541.6666666667652</v>
      </c>
      <c r="W76" s="954">
        <v>1</v>
      </c>
      <c r="X76" s="954">
        <f t="shared" si="123"/>
        <v>541.6666666667652</v>
      </c>
      <c r="Y76" s="954">
        <f t="shared" si="124"/>
        <v>11808.333333333234</v>
      </c>
      <c r="Z76" s="669">
        <f>$D76+(($C76-1)/12)</f>
        <v>2019.5833333333333</v>
      </c>
      <c r="AA76" s="666">
        <f t="shared" si="125"/>
        <v>2021</v>
      </c>
      <c r="AB76" s="669">
        <f t="shared" si="126"/>
        <v>2029.5833333333333</v>
      </c>
      <c r="AC76" s="666">
        <f t="shared" si="127"/>
        <v>2020</v>
      </c>
      <c r="AD76" s="666">
        <f t="shared" si="128"/>
        <v>-8.3333333333333329E-2</v>
      </c>
    </row>
    <row r="77" spans="2:30" s="666" customFormat="1" x14ac:dyDescent="0.35">
      <c r="B77" s="23" t="s">
        <v>794</v>
      </c>
      <c r="C77" s="24">
        <v>8</v>
      </c>
      <c r="D77" s="24">
        <v>2019</v>
      </c>
      <c r="E77" s="964">
        <v>60000</v>
      </c>
      <c r="F77" s="25">
        <v>0</v>
      </c>
      <c r="G77" s="24">
        <v>7</v>
      </c>
      <c r="H77" s="666">
        <f t="shared" si="114"/>
        <v>2026</v>
      </c>
      <c r="I77" s="665"/>
      <c r="J77" s="665"/>
      <c r="K77" s="970">
        <v>0</v>
      </c>
      <c r="L77" s="954">
        <f t="shared" si="115"/>
        <v>60000</v>
      </c>
      <c r="M77" s="954">
        <f t="shared" si="116"/>
        <v>714.28571428571422</v>
      </c>
      <c r="N77" s="954">
        <f t="shared" si="117"/>
        <v>8571.4285714285706</v>
      </c>
      <c r="O77" s="666">
        <f t="shared" si="118"/>
        <v>0</v>
      </c>
      <c r="P77" s="954">
        <f t="shared" si="119"/>
        <v>8571.4285714285706</v>
      </c>
      <c r="Q77" s="668">
        <v>1</v>
      </c>
      <c r="R77" s="667">
        <f t="shared" si="129"/>
        <v>8571.4285714285706</v>
      </c>
      <c r="T77" s="966">
        <f t="shared" si="120"/>
        <v>3571.4285714292209</v>
      </c>
      <c r="U77" s="966">
        <f t="shared" si="121"/>
        <v>12142.857142857792</v>
      </c>
      <c r="V77" s="954">
        <f t="shared" si="122"/>
        <v>3571.4285714292209</v>
      </c>
      <c r="W77" s="954">
        <v>1</v>
      </c>
      <c r="X77" s="954">
        <f t="shared" si="123"/>
        <v>3571.4285714292209</v>
      </c>
      <c r="Y77" s="954">
        <f t="shared" si="124"/>
        <v>52142.85714285649</v>
      </c>
      <c r="Z77" s="669">
        <f>(+$D77+(($C77-1)/12))</f>
        <v>2019.5833333333333</v>
      </c>
      <c r="AA77" s="666">
        <f t="shared" si="125"/>
        <v>2021</v>
      </c>
      <c r="AB77" s="669">
        <f t="shared" si="126"/>
        <v>2026.5833333333333</v>
      </c>
      <c r="AC77" s="666">
        <f t="shared" si="127"/>
        <v>2020</v>
      </c>
      <c r="AD77" s="666">
        <f t="shared" si="128"/>
        <v>-8.3333333333333329E-2</v>
      </c>
    </row>
    <row r="78" spans="2:30" s="666" customFormat="1" x14ac:dyDescent="0.35">
      <c r="B78" s="985"/>
      <c r="C78" s="952">
        <v>8</v>
      </c>
      <c r="D78" s="952"/>
      <c r="E78" s="984"/>
      <c r="F78" s="953">
        <v>0</v>
      </c>
      <c r="G78" s="952"/>
      <c r="H78" s="666">
        <f t="shared" si="114"/>
        <v>0</v>
      </c>
      <c r="I78" s="665"/>
      <c r="J78" s="665"/>
      <c r="K78" s="970">
        <v>0</v>
      </c>
      <c r="L78" s="954">
        <f t="shared" si="115"/>
        <v>0</v>
      </c>
      <c r="M78" s="954" t="e">
        <f t="shared" si="116"/>
        <v>#DIV/0!</v>
      </c>
      <c r="N78" s="954">
        <f t="shared" si="117"/>
        <v>0</v>
      </c>
      <c r="O78" s="666">
        <f t="shared" si="118"/>
        <v>0</v>
      </c>
      <c r="P78" s="954">
        <f t="shared" si="119"/>
        <v>0</v>
      </c>
      <c r="Q78" s="668">
        <v>1</v>
      </c>
      <c r="R78" s="667">
        <f>Q78*SUM(N78:O78)</f>
        <v>0</v>
      </c>
      <c r="T78" s="966">
        <f t="shared" si="120"/>
        <v>0</v>
      </c>
      <c r="U78" s="966">
        <f t="shared" si="121"/>
        <v>0</v>
      </c>
      <c r="V78" s="954">
        <f t="shared" si="122"/>
        <v>0</v>
      </c>
      <c r="W78" s="954">
        <v>1</v>
      </c>
      <c r="X78" s="954">
        <f t="shared" si="123"/>
        <v>0</v>
      </c>
      <c r="Y78" s="954">
        <f t="shared" si="124"/>
        <v>0</v>
      </c>
      <c r="Z78" s="669">
        <f>$D78+(($C78-1)/12)</f>
        <v>0.58333333333333337</v>
      </c>
      <c r="AA78" s="666">
        <f t="shared" si="125"/>
        <v>2021</v>
      </c>
      <c r="AB78" s="669">
        <f t="shared" si="126"/>
        <v>0.58333333333333337</v>
      </c>
      <c r="AC78" s="666">
        <f t="shared" si="127"/>
        <v>2020</v>
      </c>
      <c r="AD78" s="666">
        <f t="shared" si="128"/>
        <v>-8.3333333333333329E-2</v>
      </c>
    </row>
    <row r="79" spans="2:30" x14ac:dyDescent="0.35">
      <c r="B79" s="76"/>
    </row>
    <row r="80" spans="2:30" s="69" customFormat="1" x14ac:dyDescent="0.35">
      <c r="B80" s="75" t="s">
        <v>100</v>
      </c>
      <c r="E80" s="969">
        <f>SUM(E74:E79)</f>
        <v>150500</v>
      </c>
      <c r="K80" s="969">
        <f>SUM(K74:K79)</f>
        <v>0</v>
      </c>
      <c r="L80" s="969">
        <f>SUM(L74:L79)</f>
        <v>150500</v>
      </c>
      <c r="M80" s="969" t="e">
        <f>SUM(M74:M79)</f>
        <v>#DIV/0!</v>
      </c>
      <c r="N80" s="969">
        <f>SUM(N74:N79)</f>
        <v>24942.857142857141</v>
      </c>
      <c r="O80" s="71">
        <f>SUM(O78:O79)</f>
        <v>0</v>
      </c>
      <c r="P80" s="969">
        <f>SUM(P78:P79)</f>
        <v>0</v>
      </c>
      <c r="Q80" s="71">
        <f>SUM(Q78:Q79)</f>
        <v>1</v>
      </c>
      <c r="R80" s="71">
        <f>SUM(R78:R79)</f>
        <v>0</v>
      </c>
      <c r="S80" s="71"/>
      <c r="T80" s="969">
        <f>SUM(T74:T79)</f>
        <v>10392.857142859033</v>
      </c>
      <c r="U80" s="969">
        <f>SUM(U74:U79)</f>
        <v>35335.714285716182</v>
      </c>
      <c r="V80" s="969">
        <f>SUM(V78:V79)</f>
        <v>0</v>
      </c>
      <c r="W80" s="969">
        <f>SUM(W78:W79)</f>
        <v>1</v>
      </c>
      <c r="X80" s="969">
        <f>SUM(X78:X79)</f>
        <v>0</v>
      </c>
      <c r="Y80" s="969">
        <f>SUM(Y74:Y79)</f>
        <v>127635.7142857124</v>
      </c>
    </row>
    <row r="81" spans="2:30" x14ac:dyDescent="0.35">
      <c r="B81" s="64"/>
    </row>
    <row r="82" spans="2:30" x14ac:dyDescent="0.35">
      <c r="B82" s="75" t="s">
        <v>73</v>
      </c>
    </row>
    <row r="83" spans="2:30" s="666" customFormat="1" x14ac:dyDescent="0.35">
      <c r="B83" s="23" t="s">
        <v>175</v>
      </c>
      <c r="C83" s="24">
        <v>5</v>
      </c>
      <c r="D83" s="24">
        <v>1993</v>
      </c>
      <c r="E83" s="964">
        <v>561</v>
      </c>
      <c r="F83" s="25">
        <v>0</v>
      </c>
      <c r="G83" s="24">
        <v>7</v>
      </c>
      <c r="H83" s="666">
        <f t="shared" ref="H83:H110" si="130">D83+G83</f>
        <v>2000</v>
      </c>
      <c r="I83" s="665"/>
      <c r="J83" s="665"/>
      <c r="K83" s="970">
        <v>0</v>
      </c>
      <c r="L83" s="954">
        <f t="shared" ref="L83:L110" si="131">E83-E83*F83</f>
        <v>561</v>
      </c>
      <c r="M83" s="954">
        <f t="shared" ref="M83:M110" si="132">L83/G83/12</f>
        <v>6.6785714285714279</v>
      </c>
      <c r="N83" s="954">
        <f t="shared" ref="N83:N110" si="133">IF(K83&gt;0,0,IF(OR(Z83&gt;AA83,AB83&lt;AC83),0,IF(AND(AB83&gt;=AC83,AB83&lt;=AA83),M83*((AB83-AC83)*12),IF(AND(AC83&lt;=Z83,AA83&gt;=Z83),((AA83-Z83)*12)*M83,IF(AB83&gt;AA83,12*M83,0)))))</f>
        <v>0</v>
      </c>
      <c r="O83" s="666">
        <f t="shared" ref="O83:O110" si="134">IF(K83=0,0,IF(AND(AD83&gt;=AC83,AD83&lt;=AB83),((AD83-AC83)*12)*M83,0))</f>
        <v>0</v>
      </c>
      <c r="P83" s="954">
        <f t="shared" ref="P83:P110" si="135">IF(O83&gt;0,O83,N83)</f>
        <v>0</v>
      </c>
      <c r="Q83" s="668">
        <v>1</v>
      </c>
      <c r="R83" s="667">
        <f t="shared" ref="R83:R84" si="136">Q83*SUM(N83:O83)</f>
        <v>0</v>
      </c>
      <c r="T83" s="966">
        <f t="shared" ref="T83:T110" si="137">IF(Z83&gt;AA83,0,IF(AB83&lt;AC83,L83,IF(AND(AB83&gt;=AC83,AB83&lt;=AA83),(L83-P83),IF(AND(AC83&lt;=Z83,AA83&gt;=Z83),0,IF(AB83&gt;AA83,((AC83-Z83)*12)*M83,0)))))</f>
        <v>561</v>
      </c>
      <c r="U83" s="966">
        <f t="shared" ref="U83:U110" si="138">IF(K83&gt;0,0,X83+R83*W83)*W83</f>
        <v>561</v>
      </c>
      <c r="V83" s="954">
        <f t="shared" ref="V83:V110" si="139">T83*Q83</f>
        <v>561</v>
      </c>
      <c r="W83" s="954">
        <v>1</v>
      </c>
      <c r="X83" s="954">
        <f t="shared" ref="X83:X110" si="140">V83*W83</f>
        <v>561</v>
      </c>
      <c r="Y83" s="954">
        <f t="shared" ref="Y83:Y110" si="141">IF(K83&gt;0,(E83-X83)/2,IF(Z83&gt;=AC83,(((E83*Q83)*W83)-U83)/2,((((E83*Q83)*W83)-X83)+(((E83*Q83)*W83)-U83))/2))</f>
        <v>0</v>
      </c>
      <c r="Z83" s="669">
        <f t="shared" ref="Z83:Z110" si="142">$D83+(($C83-1)/12)</f>
        <v>1993.3333333333333</v>
      </c>
      <c r="AA83" s="666">
        <f t="shared" ref="AA83:AA110" si="143">($G$7+1)-($D$7/12)</f>
        <v>2021</v>
      </c>
      <c r="AB83" s="669">
        <f t="shared" ref="AB83:AB110" si="144">$H83+(($C83-1)/12)</f>
        <v>2000.3333333333333</v>
      </c>
      <c r="AC83" s="666">
        <f t="shared" ref="AC83:AC110" si="145">$E$7+($F$7/12)</f>
        <v>2020</v>
      </c>
      <c r="AD83" s="666">
        <f t="shared" ref="AD83:AD110" si="146">$J83+(($I83-1)/12)</f>
        <v>-8.3333333333333329E-2</v>
      </c>
    </row>
    <row r="84" spans="2:30" s="666" customFormat="1" x14ac:dyDescent="0.35">
      <c r="B84" s="23" t="s">
        <v>174</v>
      </c>
      <c r="C84" s="24">
        <v>3</v>
      </c>
      <c r="D84" s="24">
        <v>1994</v>
      </c>
      <c r="E84" s="964">
        <v>227</v>
      </c>
      <c r="F84" s="25">
        <v>0</v>
      </c>
      <c r="G84" s="24">
        <v>10</v>
      </c>
      <c r="H84" s="666">
        <f t="shared" si="130"/>
        <v>2004</v>
      </c>
      <c r="I84" s="665"/>
      <c r="J84" s="665"/>
      <c r="K84" s="970">
        <v>0</v>
      </c>
      <c r="L84" s="954">
        <f t="shared" si="131"/>
        <v>227</v>
      </c>
      <c r="M84" s="954">
        <f t="shared" si="132"/>
        <v>1.8916666666666666</v>
      </c>
      <c r="N84" s="954">
        <f t="shared" si="133"/>
        <v>0</v>
      </c>
      <c r="O84" s="666">
        <f t="shared" si="134"/>
        <v>0</v>
      </c>
      <c r="P84" s="954">
        <f t="shared" si="135"/>
        <v>0</v>
      </c>
      <c r="Q84" s="668">
        <v>1</v>
      </c>
      <c r="R84" s="667">
        <f t="shared" si="136"/>
        <v>0</v>
      </c>
      <c r="T84" s="966">
        <f t="shared" si="137"/>
        <v>227</v>
      </c>
      <c r="U84" s="966">
        <f t="shared" si="138"/>
        <v>227</v>
      </c>
      <c r="V84" s="954">
        <f t="shared" si="139"/>
        <v>227</v>
      </c>
      <c r="W84" s="954">
        <v>1</v>
      </c>
      <c r="X84" s="954">
        <f t="shared" si="140"/>
        <v>227</v>
      </c>
      <c r="Y84" s="954">
        <f t="shared" si="141"/>
        <v>0</v>
      </c>
      <c r="Z84" s="669">
        <f t="shared" si="142"/>
        <v>1994.1666666666667</v>
      </c>
      <c r="AA84" s="666">
        <f t="shared" si="143"/>
        <v>2021</v>
      </c>
      <c r="AB84" s="669">
        <f t="shared" si="144"/>
        <v>2004.1666666666667</v>
      </c>
      <c r="AC84" s="666">
        <f t="shared" si="145"/>
        <v>2020</v>
      </c>
      <c r="AD84" s="666">
        <f t="shared" si="146"/>
        <v>-8.3333333333333329E-2</v>
      </c>
    </row>
    <row r="85" spans="2:30" s="666" customFormat="1" x14ac:dyDescent="0.35">
      <c r="B85" s="23" t="s">
        <v>174</v>
      </c>
      <c r="C85" s="24">
        <v>4</v>
      </c>
      <c r="D85" s="24">
        <v>1994</v>
      </c>
      <c r="E85" s="964">
        <v>150</v>
      </c>
      <c r="F85" s="25">
        <v>0</v>
      </c>
      <c r="G85" s="24">
        <v>10</v>
      </c>
      <c r="H85" s="666">
        <f t="shared" si="130"/>
        <v>2004</v>
      </c>
      <c r="I85" s="665"/>
      <c r="J85" s="665"/>
      <c r="K85" s="970">
        <v>0</v>
      </c>
      <c r="L85" s="954">
        <f t="shared" si="131"/>
        <v>150</v>
      </c>
      <c r="M85" s="954">
        <f t="shared" si="132"/>
        <v>1.25</v>
      </c>
      <c r="N85" s="954">
        <f t="shared" si="133"/>
        <v>0</v>
      </c>
      <c r="O85" s="666">
        <f t="shared" si="134"/>
        <v>0</v>
      </c>
      <c r="P85" s="954">
        <f t="shared" si="135"/>
        <v>0</v>
      </c>
      <c r="Q85" s="668">
        <v>1</v>
      </c>
      <c r="R85" s="667">
        <f>Q85*SUM(N85:O85)</f>
        <v>0</v>
      </c>
      <c r="T85" s="966">
        <f t="shared" si="137"/>
        <v>150</v>
      </c>
      <c r="U85" s="966">
        <f t="shared" si="138"/>
        <v>150</v>
      </c>
      <c r="V85" s="954">
        <f t="shared" si="139"/>
        <v>150</v>
      </c>
      <c r="W85" s="954">
        <v>1</v>
      </c>
      <c r="X85" s="954">
        <f t="shared" si="140"/>
        <v>150</v>
      </c>
      <c r="Y85" s="954">
        <f t="shared" si="141"/>
        <v>0</v>
      </c>
      <c r="Z85" s="666">
        <f t="shared" si="142"/>
        <v>1994.25</v>
      </c>
      <c r="AA85" s="666">
        <f t="shared" si="143"/>
        <v>2021</v>
      </c>
      <c r="AB85" s="666">
        <f t="shared" si="144"/>
        <v>2004.25</v>
      </c>
      <c r="AC85" s="666">
        <f t="shared" si="145"/>
        <v>2020</v>
      </c>
      <c r="AD85" s="666">
        <f t="shared" si="146"/>
        <v>-8.3333333333333329E-2</v>
      </c>
    </row>
    <row r="86" spans="2:30" s="666" customFormat="1" x14ac:dyDescent="0.35">
      <c r="B86" s="23" t="s">
        <v>176</v>
      </c>
      <c r="C86" s="24">
        <v>5</v>
      </c>
      <c r="D86" s="24">
        <v>1994</v>
      </c>
      <c r="E86" s="964">
        <v>174</v>
      </c>
      <c r="F86" s="25">
        <v>0</v>
      </c>
      <c r="G86" s="24">
        <v>10</v>
      </c>
      <c r="H86" s="666">
        <f t="shared" si="130"/>
        <v>2004</v>
      </c>
      <c r="I86" s="665"/>
      <c r="J86" s="665"/>
      <c r="K86" s="970">
        <v>0</v>
      </c>
      <c r="L86" s="954">
        <f t="shared" si="131"/>
        <v>174</v>
      </c>
      <c r="M86" s="954">
        <f t="shared" si="132"/>
        <v>1.45</v>
      </c>
      <c r="N86" s="954">
        <f t="shared" si="133"/>
        <v>0</v>
      </c>
      <c r="O86" s="666">
        <f t="shared" si="134"/>
        <v>0</v>
      </c>
      <c r="P86" s="954">
        <f t="shared" si="135"/>
        <v>0</v>
      </c>
      <c r="Q86" s="668">
        <v>1</v>
      </c>
      <c r="R86" s="667">
        <f>Q86*P86</f>
        <v>0</v>
      </c>
      <c r="T86" s="966">
        <f t="shared" si="137"/>
        <v>174</v>
      </c>
      <c r="U86" s="966">
        <f t="shared" si="138"/>
        <v>174</v>
      </c>
      <c r="V86" s="954">
        <f t="shared" si="139"/>
        <v>174</v>
      </c>
      <c r="W86" s="954">
        <v>1</v>
      </c>
      <c r="X86" s="954">
        <f t="shared" si="140"/>
        <v>174</v>
      </c>
      <c r="Y86" s="954">
        <f t="shared" si="141"/>
        <v>0</v>
      </c>
      <c r="Z86" s="669">
        <f t="shared" si="142"/>
        <v>1994.3333333333333</v>
      </c>
      <c r="AA86" s="666">
        <f t="shared" si="143"/>
        <v>2021</v>
      </c>
      <c r="AB86" s="669">
        <f t="shared" si="144"/>
        <v>2004.3333333333333</v>
      </c>
      <c r="AC86" s="666">
        <f t="shared" si="145"/>
        <v>2020</v>
      </c>
      <c r="AD86" s="666">
        <f t="shared" si="146"/>
        <v>-8.3333333333333329E-2</v>
      </c>
    </row>
    <row r="87" spans="2:30" s="666" customFormat="1" x14ac:dyDescent="0.35">
      <c r="B87" s="23" t="s">
        <v>177</v>
      </c>
      <c r="C87" s="24">
        <v>11</v>
      </c>
      <c r="D87" s="24">
        <v>1995</v>
      </c>
      <c r="E87" s="964">
        <v>360</v>
      </c>
      <c r="F87" s="25">
        <v>0</v>
      </c>
      <c r="G87" s="24">
        <v>10</v>
      </c>
      <c r="H87" s="666">
        <f t="shared" si="130"/>
        <v>2005</v>
      </c>
      <c r="I87" s="665"/>
      <c r="J87" s="665"/>
      <c r="K87" s="970">
        <v>0</v>
      </c>
      <c r="L87" s="954">
        <f t="shared" si="131"/>
        <v>360</v>
      </c>
      <c r="M87" s="954">
        <f t="shared" si="132"/>
        <v>3</v>
      </c>
      <c r="N87" s="954">
        <f t="shared" si="133"/>
        <v>0</v>
      </c>
      <c r="O87" s="666">
        <f t="shared" si="134"/>
        <v>0</v>
      </c>
      <c r="P87" s="954">
        <f t="shared" si="135"/>
        <v>0</v>
      </c>
      <c r="Q87" s="668">
        <v>1</v>
      </c>
      <c r="R87" s="667">
        <f t="shared" ref="R87:R89" si="147">Q87*SUM(N87:O87)</f>
        <v>0</v>
      </c>
      <c r="T87" s="966">
        <f t="shared" si="137"/>
        <v>360</v>
      </c>
      <c r="U87" s="966">
        <f t="shared" si="138"/>
        <v>360</v>
      </c>
      <c r="V87" s="954">
        <f t="shared" si="139"/>
        <v>360</v>
      </c>
      <c r="W87" s="954">
        <v>1</v>
      </c>
      <c r="X87" s="954">
        <f t="shared" si="140"/>
        <v>360</v>
      </c>
      <c r="Y87" s="954">
        <f t="shared" si="141"/>
        <v>0</v>
      </c>
      <c r="Z87" s="669">
        <f t="shared" si="142"/>
        <v>1995.8333333333333</v>
      </c>
      <c r="AA87" s="666">
        <f t="shared" si="143"/>
        <v>2021</v>
      </c>
      <c r="AB87" s="669">
        <f t="shared" si="144"/>
        <v>2005.8333333333333</v>
      </c>
      <c r="AC87" s="666">
        <f t="shared" si="145"/>
        <v>2020</v>
      </c>
      <c r="AD87" s="666">
        <f t="shared" si="146"/>
        <v>-8.3333333333333329E-2</v>
      </c>
    </row>
    <row r="88" spans="2:30" s="666" customFormat="1" x14ac:dyDescent="0.35">
      <c r="B88" s="23" t="s">
        <v>96</v>
      </c>
      <c r="C88" s="24">
        <v>4</v>
      </c>
      <c r="D88" s="24">
        <v>2001</v>
      </c>
      <c r="E88" s="964">
        <v>16829.740000000002</v>
      </c>
      <c r="F88" s="25">
        <v>0</v>
      </c>
      <c r="G88" s="24">
        <v>8</v>
      </c>
      <c r="H88" s="666">
        <f t="shared" si="130"/>
        <v>2009</v>
      </c>
      <c r="I88" s="665"/>
      <c r="J88" s="665"/>
      <c r="K88" s="970">
        <v>0</v>
      </c>
      <c r="L88" s="954">
        <f t="shared" si="131"/>
        <v>16829.740000000002</v>
      </c>
      <c r="M88" s="954">
        <f t="shared" si="132"/>
        <v>175.30979166666668</v>
      </c>
      <c r="N88" s="954">
        <f t="shared" si="133"/>
        <v>0</v>
      </c>
      <c r="O88" s="666">
        <f t="shared" si="134"/>
        <v>0</v>
      </c>
      <c r="P88" s="954">
        <f t="shared" si="135"/>
        <v>0</v>
      </c>
      <c r="Q88" s="668">
        <v>1</v>
      </c>
      <c r="R88" s="667">
        <f t="shared" si="147"/>
        <v>0</v>
      </c>
      <c r="T88" s="966">
        <f t="shared" si="137"/>
        <v>16829.740000000002</v>
      </c>
      <c r="U88" s="966">
        <f t="shared" si="138"/>
        <v>16829.740000000002</v>
      </c>
      <c r="V88" s="954">
        <f t="shared" si="139"/>
        <v>16829.740000000002</v>
      </c>
      <c r="W88" s="954">
        <v>1</v>
      </c>
      <c r="X88" s="954">
        <f t="shared" si="140"/>
        <v>16829.740000000002</v>
      </c>
      <c r="Y88" s="954">
        <f t="shared" si="141"/>
        <v>0</v>
      </c>
      <c r="Z88" s="669">
        <f t="shared" si="142"/>
        <v>2001.25</v>
      </c>
      <c r="AA88" s="666">
        <f t="shared" si="143"/>
        <v>2021</v>
      </c>
      <c r="AB88" s="669">
        <f t="shared" si="144"/>
        <v>2009.25</v>
      </c>
      <c r="AC88" s="666">
        <f t="shared" si="145"/>
        <v>2020</v>
      </c>
      <c r="AD88" s="666">
        <f t="shared" si="146"/>
        <v>-8.3333333333333329E-2</v>
      </c>
    </row>
    <row r="89" spans="2:30" s="666" customFormat="1" x14ac:dyDescent="0.35">
      <c r="B89" s="23" t="s">
        <v>178</v>
      </c>
      <c r="C89" s="24">
        <v>7</v>
      </c>
      <c r="D89" s="24">
        <v>2001</v>
      </c>
      <c r="E89" s="964">
        <v>2157.84</v>
      </c>
      <c r="F89" s="25">
        <v>0</v>
      </c>
      <c r="G89" s="24">
        <v>5</v>
      </c>
      <c r="H89" s="666">
        <f t="shared" si="130"/>
        <v>2006</v>
      </c>
      <c r="I89" s="665"/>
      <c r="J89" s="665"/>
      <c r="K89" s="970">
        <v>0</v>
      </c>
      <c r="L89" s="954">
        <f t="shared" si="131"/>
        <v>2157.84</v>
      </c>
      <c r="M89" s="954">
        <f t="shared" si="132"/>
        <v>35.964000000000006</v>
      </c>
      <c r="N89" s="954">
        <f t="shared" si="133"/>
        <v>0</v>
      </c>
      <c r="O89" s="666">
        <f t="shared" si="134"/>
        <v>0</v>
      </c>
      <c r="P89" s="954">
        <f t="shared" si="135"/>
        <v>0</v>
      </c>
      <c r="Q89" s="668">
        <v>1</v>
      </c>
      <c r="R89" s="667">
        <f t="shared" si="147"/>
        <v>0</v>
      </c>
      <c r="T89" s="966">
        <f t="shared" si="137"/>
        <v>2157.84</v>
      </c>
      <c r="U89" s="966">
        <f t="shared" si="138"/>
        <v>2157.84</v>
      </c>
      <c r="V89" s="954">
        <f t="shared" si="139"/>
        <v>2157.84</v>
      </c>
      <c r="W89" s="954">
        <v>1</v>
      </c>
      <c r="X89" s="954">
        <f t="shared" si="140"/>
        <v>2157.84</v>
      </c>
      <c r="Y89" s="954">
        <f t="shared" si="141"/>
        <v>0</v>
      </c>
      <c r="Z89" s="669">
        <f t="shared" si="142"/>
        <v>2001.5</v>
      </c>
      <c r="AA89" s="666">
        <f t="shared" si="143"/>
        <v>2021</v>
      </c>
      <c r="AB89" s="669">
        <f t="shared" si="144"/>
        <v>2006.5</v>
      </c>
      <c r="AC89" s="666">
        <f t="shared" si="145"/>
        <v>2020</v>
      </c>
      <c r="AD89" s="666">
        <f t="shared" si="146"/>
        <v>-8.3333333333333329E-2</v>
      </c>
    </row>
    <row r="90" spans="2:30" s="666" customFormat="1" x14ac:dyDescent="0.35">
      <c r="B90" s="23" t="s">
        <v>316</v>
      </c>
      <c r="C90" s="24">
        <v>4</v>
      </c>
      <c r="D90" s="24">
        <v>2002</v>
      </c>
      <c r="E90" s="964">
        <v>717</v>
      </c>
      <c r="F90" s="25">
        <v>0</v>
      </c>
      <c r="G90" s="24">
        <v>5</v>
      </c>
      <c r="H90" s="666">
        <f t="shared" si="130"/>
        <v>2007</v>
      </c>
      <c r="I90" s="665"/>
      <c r="J90" s="665"/>
      <c r="K90" s="970">
        <v>0</v>
      </c>
      <c r="L90" s="954">
        <f t="shared" si="131"/>
        <v>717</v>
      </c>
      <c r="M90" s="954">
        <f t="shared" si="132"/>
        <v>11.950000000000001</v>
      </c>
      <c r="N90" s="954">
        <f t="shared" si="133"/>
        <v>0</v>
      </c>
      <c r="O90" s="666">
        <f t="shared" si="134"/>
        <v>0</v>
      </c>
      <c r="P90" s="954">
        <f t="shared" si="135"/>
        <v>0</v>
      </c>
      <c r="Q90" s="668">
        <v>2</v>
      </c>
      <c r="R90" s="667">
        <f t="shared" ref="R90" si="148">Q90*SUM(N90:O90)</f>
        <v>0</v>
      </c>
      <c r="T90" s="966">
        <f t="shared" si="137"/>
        <v>717</v>
      </c>
      <c r="U90" s="966">
        <f t="shared" si="138"/>
        <v>5736</v>
      </c>
      <c r="V90" s="954">
        <f t="shared" si="139"/>
        <v>1434</v>
      </c>
      <c r="W90" s="954">
        <v>2</v>
      </c>
      <c r="X90" s="954">
        <f t="shared" si="140"/>
        <v>2868</v>
      </c>
      <c r="Y90" s="954">
        <f t="shared" si="141"/>
        <v>-1434</v>
      </c>
      <c r="Z90" s="669">
        <f t="shared" si="142"/>
        <v>2002.25</v>
      </c>
      <c r="AA90" s="666">
        <f t="shared" si="143"/>
        <v>2021</v>
      </c>
      <c r="AB90" s="669">
        <f t="shared" si="144"/>
        <v>2007.25</v>
      </c>
      <c r="AC90" s="666">
        <f t="shared" si="145"/>
        <v>2020</v>
      </c>
      <c r="AD90" s="666">
        <f t="shared" si="146"/>
        <v>-8.3333333333333329E-2</v>
      </c>
    </row>
    <row r="91" spans="2:30" s="666" customFormat="1" x14ac:dyDescent="0.35">
      <c r="B91" s="23" t="s">
        <v>97</v>
      </c>
      <c r="C91" s="24">
        <v>6</v>
      </c>
      <c r="D91" s="24">
        <v>2002</v>
      </c>
      <c r="E91" s="964">
        <v>436.74</v>
      </c>
      <c r="F91" s="25">
        <v>0</v>
      </c>
      <c r="G91" s="24">
        <v>5</v>
      </c>
      <c r="H91" s="666">
        <f t="shared" si="130"/>
        <v>2007</v>
      </c>
      <c r="I91" s="665"/>
      <c r="J91" s="665"/>
      <c r="K91" s="970">
        <v>0</v>
      </c>
      <c r="L91" s="954">
        <f t="shared" si="131"/>
        <v>436.74</v>
      </c>
      <c r="M91" s="954">
        <f t="shared" si="132"/>
        <v>7.2789999999999999</v>
      </c>
      <c r="N91" s="954">
        <f t="shared" si="133"/>
        <v>0</v>
      </c>
      <c r="O91" s="666">
        <f t="shared" si="134"/>
        <v>0</v>
      </c>
      <c r="P91" s="954">
        <f t="shared" si="135"/>
        <v>0</v>
      </c>
      <c r="Q91" s="668">
        <v>1</v>
      </c>
      <c r="R91" s="667">
        <f>Q91*SUM(N91:O91)</f>
        <v>0</v>
      </c>
      <c r="T91" s="966">
        <f t="shared" si="137"/>
        <v>436.74</v>
      </c>
      <c r="U91" s="966">
        <f t="shared" si="138"/>
        <v>436.74</v>
      </c>
      <c r="V91" s="954">
        <f t="shared" si="139"/>
        <v>436.74</v>
      </c>
      <c r="W91" s="954">
        <v>1</v>
      </c>
      <c r="X91" s="954">
        <f t="shared" si="140"/>
        <v>436.74</v>
      </c>
      <c r="Y91" s="954">
        <f t="shared" si="141"/>
        <v>0</v>
      </c>
      <c r="Z91" s="666">
        <f t="shared" si="142"/>
        <v>2002.4166666666667</v>
      </c>
      <c r="AA91" s="666">
        <f t="shared" si="143"/>
        <v>2021</v>
      </c>
      <c r="AB91" s="666">
        <f t="shared" si="144"/>
        <v>2007.4166666666667</v>
      </c>
      <c r="AC91" s="666">
        <f t="shared" si="145"/>
        <v>2020</v>
      </c>
      <c r="AD91" s="666">
        <f t="shared" si="146"/>
        <v>-8.3333333333333329E-2</v>
      </c>
    </row>
    <row r="92" spans="2:30" s="666" customFormat="1" x14ac:dyDescent="0.35">
      <c r="B92" s="23" t="s">
        <v>98</v>
      </c>
      <c r="C92" s="24">
        <v>7</v>
      </c>
      <c r="D92" s="24">
        <v>2004</v>
      </c>
      <c r="E92" s="964">
        <v>3974.4</v>
      </c>
      <c r="F92" s="25">
        <v>0</v>
      </c>
      <c r="G92" s="24">
        <v>5</v>
      </c>
      <c r="H92" s="666">
        <f t="shared" si="130"/>
        <v>2009</v>
      </c>
      <c r="I92" s="665"/>
      <c r="J92" s="665"/>
      <c r="K92" s="970">
        <v>0</v>
      </c>
      <c r="L92" s="954">
        <f t="shared" si="131"/>
        <v>3974.4</v>
      </c>
      <c r="M92" s="954">
        <f t="shared" si="132"/>
        <v>66.239999999999995</v>
      </c>
      <c r="N92" s="954">
        <f t="shared" si="133"/>
        <v>0</v>
      </c>
      <c r="O92" s="666">
        <f t="shared" si="134"/>
        <v>0</v>
      </c>
      <c r="P92" s="954">
        <f t="shared" si="135"/>
        <v>0</v>
      </c>
      <c r="Q92" s="668">
        <v>1</v>
      </c>
      <c r="R92" s="667">
        <f t="shared" ref="R92:R95" si="149">Q92*SUM(N92:O92)</f>
        <v>0</v>
      </c>
      <c r="T92" s="966">
        <f t="shared" si="137"/>
        <v>3974.4</v>
      </c>
      <c r="U92" s="966">
        <f t="shared" si="138"/>
        <v>3974.4</v>
      </c>
      <c r="V92" s="954">
        <f t="shared" si="139"/>
        <v>3974.4</v>
      </c>
      <c r="W92" s="954">
        <v>1</v>
      </c>
      <c r="X92" s="954">
        <f t="shared" si="140"/>
        <v>3974.4</v>
      </c>
      <c r="Y92" s="954">
        <f t="shared" si="141"/>
        <v>0</v>
      </c>
      <c r="Z92" s="669">
        <f t="shared" si="142"/>
        <v>2004.5</v>
      </c>
      <c r="AA92" s="666">
        <f t="shared" si="143"/>
        <v>2021</v>
      </c>
      <c r="AB92" s="669">
        <f t="shared" si="144"/>
        <v>2009.5</v>
      </c>
      <c r="AC92" s="666">
        <f t="shared" si="145"/>
        <v>2020</v>
      </c>
      <c r="AD92" s="666">
        <f t="shared" si="146"/>
        <v>-8.3333333333333329E-2</v>
      </c>
    </row>
    <row r="93" spans="2:30" s="666" customFormat="1" x14ac:dyDescent="0.35">
      <c r="B93" s="23" t="s">
        <v>179</v>
      </c>
      <c r="C93" s="24">
        <v>7</v>
      </c>
      <c r="D93" s="24">
        <v>2005</v>
      </c>
      <c r="E93" s="964">
        <v>1350</v>
      </c>
      <c r="F93" s="25">
        <v>0</v>
      </c>
      <c r="G93" s="24">
        <v>5</v>
      </c>
      <c r="H93" s="666">
        <f t="shared" si="130"/>
        <v>2010</v>
      </c>
      <c r="I93" s="665"/>
      <c r="J93" s="665"/>
      <c r="K93" s="970">
        <v>0</v>
      </c>
      <c r="L93" s="954">
        <f t="shared" si="131"/>
        <v>1350</v>
      </c>
      <c r="M93" s="954">
        <f t="shared" si="132"/>
        <v>22.5</v>
      </c>
      <c r="N93" s="954">
        <f t="shared" si="133"/>
        <v>0</v>
      </c>
      <c r="O93" s="666">
        <f t="shared" si="134"/>
        <v>0</v>
      </c>
      <c r="P93" s="954">
        <f t="shared" si="135"/>
        <v>0</v>
      </c>
      <c r="Q93" s="668">
        <v>1</v>
      </c>
      <c r="R93" s="667">
        <f t="shared" si="149"/>
        <v>0</v>
      </c>
      <c r="T93" s="966">
        <f t="shared" si="137"/>
        <v>1350</v>
      </c>
      <c r="U93" s="966">
        <f t="shared" si="138"/>
        <v>1350</v>
      </c>
      <c r="V93" s="954">
        <f t="shared" si="139"/>
        <v>1350</v>
      </c>
      <c r="W93" s="954">
        <v>1</v>
      </c>
      <c r="X93" s="954">
        <f t="shared" si="140"/>
        <v>1350</v>
      </c>
      <c r="Y93" s="954">
        <f t="shared" si="141"/>
        <v>0</v>
      </c>
      <c r="Z93" s="669">
        <f t="shared" si="142"/>
        <v>2005.5</v>
      </c>
      <c r="AA93" s="666">
        <f t="shared" si="143"/>
        <v>2021</v>
      </c>
      <c r="AB93" s="669">
        <f t="shared" si="144"/>
        <v>2010.5</v>
      </c>
      <c r="AC93" s="666">
        <f t="shared" si="145"/>
        <v>2020</v>
      </c>
      <c r="AD93" s="666">
        <f t="shared" si="146"/>
        <v>-8.3333333333333329E-2</v>
      </c>
    </row>
    <row r="94" spans="2:30" s="666" customFormat="1" x14ac:dyDescent="0.35">
      <c r="B94" s="23" t="s">
        <v>180</v>
      </c>
      <c r="C94" s="24">
        <v>12</v>
      </c>
      <c r="D94" s="24">
        <v>2005</v>
      </c>
      <c r="E94" s="964">
        <v>2698.92</v>
      </c>
      <c r="F94" s="25">
        <v>0</v>
      </c>
      <c r="G94" s="24">
        <v>5</v>
      </c>
      <c r="H94" s="666">
        <f t="shared" si="130"/>
        <v>2010</v>
      </c>
      <c r="I94" s="665"/>
      <c r="J94" s="665"/>
      <c r="K94" s="970">
        <v>0</v>
      </c>
      <c r="L94" s="954">
        <f t="shared" si="131"/>
        <v>2698.92</v>
      </c>
      <c r="M94" s="954">
        <f t="shared" si="132"/>
        <v>44.981999999999999</v>
      </c>
      <c r="N94" s="954">
        <f t="shared" si="133"/>
        <v>0</v>
      </c>
      <c r="O94" s="666">
        <f t="shared" si="134"/>
        <v>0</v>
      </c>
      <c r="P94" s="954">
        <f t="shared" si="135"/>
        <v>0</v>
      </c>
      <c r="Q94" s="668">
        <v>1</v>
      </c>
      <c r="R94" s="667">
        <f t="shared" si="149"/>
        <v>0</v>
      </c>
      <c r="T94" s="966">
        <f t="shared" si="137"/>
        <v>2698.92</v>
      </c>
      <c r="U94" s="966">
        <f t="shared" si="138"/>
        <v>2698.92</v>
      </c>
      <c r="V94" s="954">
        <f t="shared" si="139"/>
        <v>2698.92</v>
      </c>
      <c r="W94" s="954">
        <v>1</v>
      </c>
      <c r="X94" s="954">
        <f t="shared" si="140"/>
        <v>2698.92</v>
      </c>
      <c r="Y94" s="954">
        <f t="shared" si="141"/>
        <v>0</v>
      </c>
      <c r="Z94" s="669">
        <f t="shared" si="142"/>
        <v>2005.9166666666667</v>
      </c>
      <c r="AA94" s="666">
        <f t="shared" si="143"/>
        <v>2021</v>
      </c>
      <c r="AB94" s="669">
        <f t="shared" si="144"/>
        <v>2010.9166666666667</v>
      </c>
      <c r="AC94" s="666">
        <f t="shared" si="145"/>
        <v>2020</v>
      </c>
      <c r="AD94" s="666">
        <f t="shared" si="146"/>
        <v>-8.3333333333333329E-2</v>
      </c>
    </row>
    <row r="95" spans="2:30" s="666" customFormat="1" x14ac:dyDescent="0.35">
      <c r="B95" s="23" t="s">
        <v>181</v>
      </c>
      <c r="C95" s="24">
        <v>3</v>
      </c>
      <c r="D95" s="24">
        <v>2006</v>
      </c>
      <c r="E95" s="964">
        <v>813.27</v>
      </c>
      <c r="F95" s="25">
        <v>0</v>
      </c>
      <c r="G95" s="24">
        <v>5</v>
      </c>
      <c r="H95" s="666">
        <f t="shared" si="130"/>
        <v>2011</v>
      </c>
      <c r="I95" s="665"/>
      <c r="J95" s="665"/>
      <c r="K95" s="970">
        <v>0</v>
      </c>
      <c r="L95" s="954">
        <f t="shared" si="131"/>
        <v>813.27</v>
      </c>
      <c r="M95" s="954">
        <f t="shared" si="132"/>
        <v>13.554499999999999</v>
      </c>
      <c r="N95" s="954">
        <f t="shared" si="133"/>
        <v>0</v>
      </c>
      <c r="O95" s="666">
        <f t="shared" si="134"/>
        <v>0</v>
      </c>
      <c r="P95" s="954">
        <f t="shared" si="135"/>
        <v>0</v>
      </c>
      <c r="Q95" s="668">
        <v>1</v>
      </c>
      <c r="R95" s="667">
        <f t="shared" si="149"/>
        <v>0</v>
      </c>
      <c r="T95" s="966">
        <f t="shared" si="137"/>
        <v>813.27</v>
      </c>
      <c r="U95" s="966">
        <f t="shared" si="138"/>
        <v>813.27</v>
      </c>
      <c r="V95" s="954">
        <f t="shared" si="139"/>
        <v>813.27</v>
      </c>
      <c r="W95" s="954">
        <v>1</v>
      </c>
      <c r="X95" s="954">
        <f t="shared" si="140"/>
        <v>813.27</v>
      </c>
      <c r="Y95" s="954">
        <f t="shared" si="141"/>
        <v>0</v>
      </c>
      <c r="Z95" s="669">
        <f t="shared" si="142"/>
        <v>2006.1666666666667</v>
      </c>
      <c r="AA95" s="666">
        <f t="shared" si="143"/>
        <v>2021</v>
      </c>
      <c r="AB95" s="669">
        <f t="shared" si="144"/>
        <v>2011.1666666666667</v>
      </c>
      <c r="AC95" s="666">
        <f t="shared" si="145"/>
        <v>2020</v>
      </c>
      <c r="AD95" s="666">
        <f t="shared" si="146"/>
        <v>-8.3333333333333329E-2</v>
      </c>
    </row>
    <row r="96" spans="2:30" s="666" customFormat="1" x14ac:dyDescent="0.35">
      <c r="B96" s="23" t="s">
        <v>182</v>
      </c>
      <c r="C96" s="24">
        <v>11</v>
      </c>
      <c r="D96" s="24">
        <v>2006</v>
      </c>
      <c r="E96" s="964">
        <v>863.98</v>
      </c>
      <c r="F96" s="25">
        <v>0</v>
      </c>
      <c r="G96" s="24">
        <v>5</v>
      </c>
      <c r="H96" s="666">
        <f t="shared" si="130"/>
        <v>2011</v>
      </c>
      <c r="I96" s="665"/>
      <c r="J96" s="665"/>
      <c r="K96" s="970">
        <v>0</v>
      </c>
      <c r="L96" s="954">
        <f t="shared" si="131"/>
        <v>863.98</v>
      </c>
      <c r="M96" s="954">
        <f t="shared" si="132"/>
        <v>14.399666666666667</v>
      </c>
      <c r="N96" s="954">
        <f t="shared" si="133"/>
        <v>0</v>
      </c>
      <c r="O96" s="666">
        <f t="shared" si="134"/>
        <v>0</v>
      </c>
      <c r="P96" s="954">
        <f t="shared" si="135"/>
        <v>0</v>
      </c>
      <c r="Q96" s="668">
        <v>1</v>
      </c>
      <c r="R96" s="667">
        <f>Q96*SUM(N96:O96)</f>
        <v>0</v>
      </c>
      <c r="T96" s="966">
        <f t="shared" si="137"/>
        <v>863.98</v>
      </c>
      <c r="U96" s="966">
        <f t="shared" si="138"/>
        <v>863.98</v>
      </c>
      <c r="V96" s="954">
        <f t="shared" si="139"/>
        <v>863.98</v>
      </c>
      <c r="W96" s="954">
        <v>1</v>
      </c>
      <c r="X96" s="954">
        <f t="shared" si="140"/>
        <v>863.98</v>
      </c>
      <c r="Y96" s="954">
        <f t="shared" si="141"/>
        <v>0</v>
      </c>
      <c r="Z96" s="666">
        <f t="shared" si="142"/>
        <v>2006.8333333333333</v>
      </c>
      <c r="AA96" s="666">
        <f t="shared" si="143"/>
        <v>2021</v>
      </c>
      <c r="AB96" s="666">
        <f t="shared" si="144"/>
        <v>2011.8333333333333</v>
      </c>
      <c r="AC96" s="666">
        <f t="shared" si="145"/>
        <v>2020</v>
      </c>
      <c r="AD96" s="666">
        <f t="shared" si="146"/>
        <v>-8.3333333333333329E-2</v>
      </c>
    </row>
    <row r="97" spans="2:30" s="666" customFormat="1" x14ac:dyDescent="0.35">
      <c r="B97" s="23" t="s">
        <v>183</v>
      </c>
      <c r="C97" s="24">
        <v>10</v>
      </c>
      <c r="D97" s="24">
        <v>2007</v>
      </c>
      <c r="E97" s="964">
        <v>646.66</v>
      </c>
      <c r="F97" s="25">
        <v>0</v>
      </c>
      <c r="G97" s="24">
        <v>5</v>
      </c>
      <c r="H97" s="666">
        <f t="shared" si="130"/>
        <v>2012</v>
      </c>
      <c r="I97" s="665"/>
      <c r="J97" s="665"/>
      <c r="K97" s="970">
        <v>0</v>
      </c>
      <c r="L97" s="954">
        <f t="shared" si="131"/>
        <v>646.66</v>
      </c>
      <c r="M97" s="954">
        <f t="shared" si="132"/>
        <v>10.777666666666667</v>
      </c>
      <c r="N97" s="954">
        <f t="shared" si="133"/>
        <v>0</v>
      </c>
      <c r="O97" s="666">
        <f t="shared" si="134"/>
        <v>0</v>
      </c>
      <c r="P97" s="954">
        <f t="shared" si="135"/>
        <v>0</v>
      </c>
      <c r="Q97" s="668">
        <v>1</v>
      </c>
      <c r="R97" s="667">
        <f>Q97*P97</f>
        <v>0</v>
      </c>
      <c r="T97" s="966">
        <f t="shared" si="137"/>
        <v>646.66</v>
      </c>
      <c r="U97" s="966">
        <f t="shared" si="138"/>
        <v>646.66</v>
      </c>
      <c r="V97" s="954">
        <f t="shared" si="139"/>
        <v>646.66</v>
      </c>
      <c r="W97" s="954">
        <v>1</v>
      </c>
      <c r="X97" s="954">
        <f t="shared" si="140"/>
        <v>646.66</v>
      </c>
      <c r="Y97" s="954">
        <f t="shared" si="141"/>
        <v>0</v>
      </c>
      <c r="Z97" s="669">
        <f t="shared" si="142"/>
        <v>2007.75</v>
      </c>
      <c r="AA97" s="666">
        <f t="shared" si="143"/>
        <v>2021</v>
      </c>
      <c r="AB97" s="669">
        <f t="shared" si="144"/>
        <v>2012.75</v>
      </c>
      <c r="AC97" s="666">
        <f t="shared" si="145"/>
        <v>2020</v>
      </c>
      <c r="AD97" s="666">
        <f t="shared" si="146"/>
        <v>-8.3333333333333329E-2</v>
      </c>
    </row>
    <row r="98" spans="2:30" s="666" customFormat="1" x14ac:dyDescent="0.35">
      <c r="B98" s="23" t="s">
        <v>184</v>
      </c>
      <c r="C98" s="24">
        <v>3</v>
      </c>
      <c r="D98" s="24">
        <v>2008</v>
      </c>
      <c r="E98" s="964">
        <v>3298.14</v>
      </c>
      <c r="F98" s="25">
        <v>0</v>
      </c>
      <c r="G98" s="24">
        <v>5</v>
      </c>
      <c r="H98" s="666">
        <f t="shared" si="130"/>
        <v>2013</v>
      </c>
      <c r="I98" s="665"/>
      <c r="J98" s="665"/>
      <c r="K98" s="970">
        <v>0</v>
      </c>
      <c r="L98" s="954">
        <f t="shared" si="131"/>
        <v>3298.14</v>
      </c>
      <c r="M98" s="954">
        <f t="shared" si="132"/>
        <v>54.968999999999994</v>
      </c>
      <c r="N98" s="954">
        <f t="shared" si="133"/>
        <v>0</v>
      </c>
      <c r="O98" s="666">
        <f t="shared" si="134"/>
        <v>0</v>
      </c>
      <c r="P98" s="954">
        <f t="shared" si="135"/>
        <v>0</v>
      </c>
      <c r="Q98" s="668">
        <v>1</v>
      </c>
      <c r="R98" s="667">
        <f t="shared" ref="R98:R110" si="150">Q98*SUM(N98:O98)</f>
        <v>0</v>
      </c>
      <c r="T98" s="966">
        <f t="shared" si="137"/>
        <v>3298.14</v>
      </c>
      <c r="U98" s="966">
        <f t="shared" si="138"/>
        <v>3298.14</v>
      </c>
      <c r="V98" s="954">
        <f t="shared" si="139"/>
        <v>3298.14</v>
      </c>
      <c r="W98" s="954">
        <v>1</v>
      </c>
      <c r="X98" s="954">
        <f t="shared" si="140"/>
        <v>3298.14</v>
      </c>
      <c r="Y98" s="954">
        <f t="shared" si="141"/>
        <v>0</v>
      </c>
      <c r="Z98" s="669">
        <f t="shared" si="142"/>
        <v>2008.1666666666667</v>
      </c>
      <c r="AA98" s="666">
        <f t="shared" si="143"/>
        <v>2021</v>
      </c>
      <c r="AB98" s="669">
        <f t="shared" si="144"/>
        <v>2013.1666666666667</v>
      </c>
      <c r="AC98" s="666">
        <f t="shared" si="145"/>
        <v>2020</v>
      </c>
      <c r="AD98" s="666">
        <f t="shared" si="146"/>
        <v>-8.3333333333333329E-2</v>
      </c>
    </row>
    <row r="99" spans="2:30" s="666" customFormat="1" x14ac:dyDescent="0.35">
      <c r="B99" s="23" t="s">
        <v>185</v>
      </c>
      <c r="C99" s="24">
        <v>3</v>
      </c>
      <c r="D99" s="24">
        <v>2008</v>
      </c>
      <c r="E99" s="964">
        <v>884</v>
      </c>
      <c r="F99" s="25">
        <v>0</v>
      </c>
      <c r="G99" s="24">
        <v>5</v>
      </c>
      <c r="H99" s="666">
        <f t="shared" si="130"/>
        <v>2013</v>
      </c>
      <c r="I99" s="665"/>
      <c r="J99" s="665"/>
      <c r="K99" s="970">
        <v>0</v>
      </c>
      <c r="L99" s="954">
        <f t="shared" si="131"/>
        <v>884</v>
      </c>
      <c r="M99" s="954">
        <f t="shared" si="132"/>
        <v>14.733333333333334</v>
      </c>
      <c r="N99" s="954">
        <f t="shared" si="133"/>
        <v>0</v>
      </c>
      <c r="O99" s="666">
        <f t="shared" si="134"/>
        <v>0</v>
      </c>
      <c r="P99" s="954">
        <f t="shared" si="135"/>
        <v>0</v>
      </c>
      <c r="Q99" s="668">
        <v>1</v>
      </c>
      <c r="R99" s="667">
        <f t="shared" si="150"/>
        <v>0</v>
      </c>
      <c r="T99" s="966">
        <f t="shared" si="137"/>
        <v>884</v>
      </c>
      <c r="U99" s="966">
        <f t="shared" si="138"/>
        <v>884</v>
      </c>
      <c r="V99" s="954">
        <f t="shared" si="139"/>
        <v>884</v>
      </c>
      <c r="W99" s="954">
        <v>1</v>
      </c>
      <c r="X99" s="954">
        <f t="shared" si="140"/>
        <v>884</v>
      </c>
      <c r="Y99" s="954">
        <f t="shared" si="141"/>
        <v>0</v>
      </c>
      <c r="Z99" s="669">
        <f t="shared" si="142"/>
        <v>2008.1666666666667</v>
      </c>
      <c r="AA99" s="666">
        <f t="shared" si="143"/>
        <v>2021</v>
      </c>
      <c r="AB99" s="669">
        <f t="shared" si="144"/>
        <v>2013.1666666666667</v>
      </c>
      <c r="AC99" s="666">
        <f t="shared" si="145"/>
        <v>2020</v>
      </c>
      <c r="AD99" s="666">
        <f t="shared" si="146"/>
        <v>-8.3333333333333329E-2</v>
      </c>
    </row>
    <row r="100" spans="2:30" s="666" customFormat="1" x14ac:dyDescent="0.35">
      <c r="B100" s="23" t="s">
        <v>186</v>
      </c>
      <c r="C100" s="24">
        <v>6</v>
      </c>
      <c r="D100" s="24">
        <v>2008</v>
      </c>
      <c r="E100" s="964">
        <v>726.28</v>
      </c>
      <c r="F100" s="25">
        <v>0</v>
      </c>
      <c r="G100" s="24">
        <v>5</v>
      </c>
      <c r="H100" s="666">
        <f t="shared" si="130"/>
        <v>2013</v>
      </c>
      <c r="I100" s="665"/>
      <c r="J100" s="665"/>
      <c r="K100" s="970">
        <v>0</v>
      </c>
      <c r="L100" s="954">
        <f t="shared" si="131"/>
        <v>726.28</v>
      </c>
      <c r="M100" s="954">
        <f t="shared" si="132"/>
        <v>12.104666666666667</v>
      </c>
      <c r="N100" s="954">
        <f t="shared" si="133"/>
        <v>0</v>
      </c>
      <c r="O100" s="666">
        <f t="shared" si="134"/>
        <v>0</v>
      </c>
      <c r="P100" s="954">
        <f t="shared" si="135"/>
        <v>0</v>
      </c>
      <c r="Q100" s="668">
        <v>1</v>
      </c>
      <c r="R100" s="667">
        <f t="shared" si="150"/>
        <v>0</v>
      </c>
      <c r="T100" s="966">
        <f t="shared" si="137"/>
        <v>726.28</v>
      </c>
      <c r="U100" s="966">
        <f t="shared" si="138"/>
        <v>726.28</v>
      </c>
      <c r="V100" s="954">
        <f t="shared" si="139"/>
        <v>726.28</v>
      </c>
      <c r="W100" s="954">
        <v>1</v>
      </c>
      <c r="X100" s="954">
        <f t="shared" si="140"/>
        <v>726.28</v>
      </c>
      <c r="Y100" s="954">
        <f t="shared" si="141"/>
        <v>0</v>
      </c>
      <c r="Z100" s="669">
        <f t="shared" si="142"/>
        <v>2008.4166666666667</v>
      </c>
      <c r="AA100" s="666">
        <f t="shared" si="143"/>
        <v>2021</v>
      </c>
      <c r="AB100" s="669">
        <f t="shared" si="144"/>
        <v>2013.4166666666667</v>
      </c>
      <c r="AC100" s="666">
        <f t="shared" si="145"/>
        <v>2020</v>
      </c>
      <c r="AD100" s="666">
        <f t="shared" si="146"/>
        <v>-8.3333333333333329E-2</v>
      </c>
    </row>
    <row r="101" spans="2:30" s="666" customFormat="1" x14ac:dyDescent="0.35">
      <c r="B101" s="23" t="s">
        <v>187</v>
      </c>
      <c r="C101" s="24">
        <v>7</v>
      </c>
      <c r="D101" s="24">
        <v>2008</v>
      </c>
      <c r="E101" s="964">
        <v>983.11</v>
      </c>
      <c r="F101" s="25">
        <v>0</v>
      </c>
      <c r="G101" s="24">
        <v>5</v>
      </c>
      <c r="H101" s="666">
        <f t="shared" si="130"/>
        <v>2013</v>
      </c>
      <c r="I101" s="665"/>
      <c r="J101" s="665"/>
      <c r="K101" s="970">
        <v>0</v>
      </c>
      <c r="L101" s="954">
        <f t="shared" si="131"/>
        <v>983.11</v>
      </c>
      <c r="M101" s="954">
        <f t="shared" si="132"/>
        <v>16.385166666666667</v>
      </c>
      <c r="N101" s="954">
        <f t="shared" si="133"/>
        <v>0</v>
      </c>
      <c r="O101" s="666">
        <f t="shared" si="134"/>
        <v>0</v>
      </c>
      <c r="P101" s="954">
        <f t="shared" si="135"/>
        <v>0</v>
      </c>
      <c r="Q101" s="668">
        <v>1</v>
      </c>
      <c r="R101" s="667">
        <f t="shared" si="150"/>
        <v>0</v>
      </c>
      <c r="T101" s="966">
        <f t="shared" si="137"/>
        <v>983.11</v>
      </c>
      <c r="U101" s="966">
        <f t="shared" si="138"/>
        <v>983.11</v>
      </c>
      <c r="V101" s="954">
        <f t="shared" si="139"/>
        <v>983.11</v>
      </c>
      <c r="W101" s="954">
        <v>1</v>
      </c>
      <c r="X101" s="954">
        <f t="shared" si="140"/>
        <v>983.11</v>
      </c>
      <c r="Y101" s="954">
        <f t="shared" si="141"/>
        <v>0</v>
      </c>
      <c r="Z101" s="669">
        <f t="shared" si="142"/>
        <v>2008.5</v>
      </c>
      <c r="AA101" s="666">
        <f t="shared" si="143"/>
        <v>2021</v>
      </c>
      <c r="AB101" s="669">
        <f t="shared" si="144"/>
        <v>2013.5</v>
      </c>
      <c r="AC101" s="666">
        <f t="shared" si="145"/>
        <v>2020</v>
      </c>
      <c r="AD101" s="666">
        <f t="shared" si="146"/>
        <v>-8.3333333333333329E-2</v>
      </c>
    </row>
    <row r="102" spans="2:30" s="666" customFormat="1" x14ac:dyDescent="0.35">
      <c r="B102" s="23" t="s">
        <v>188</v>
      </c>
      <c r="C102" s="24">
        <v>8</v>
      </c>
      <c r="D102" s="24">
        <v>2008</v>
      </c>
      <c r="E102" s="964">
        <v>1419.99</v>
      </c>
      <c r="F102" s="25">
        <v>0</v>
      </c>
      <c r="G102" s="24">
        <v>5</v>
      </c>
      <c r="H102" s="666">
        <f t="shared" si="130"/>
        <v>2013</v>
      </c>
      <c r="I102" s="665"/>
      <c r="J102" s="665"/>
      <c r="K102" s="970">
        <v>0</v>
      </c>
      <c r="L102" s="954">
        <f t="shared" si="131"/>
        <v>1419.99</v>
      </c>
      <c r="M102" s="954">
        <f t="shared" si="132"/>
        <v>23.666499999999999</v>
      </c>
      <c r="N102" s="954">
        <f t="shared" si="133"/>
        <v>0</v>
      </c>
      <c r="O102" s="666">
        <f t="shared" si="134"/>
        <v>0</v>
      </c>
      <c r="P102" s="954">
        <f t="shared" si="135"/>
        <v>0</v>
      </c>
      <c r="Q102" s="668">
        <v>1</v>
      </c>
      <c r="R102" s="667">
        <f t="shared" si="150"/>
        <v>0</v>
      </c>
      <c r="T102" s="966">
        <f t="shared" si="137"/>
        <v>1419.99</v>
      </c>
      <c r="U102" s="966">
        <f t="shared" si="138"/>
        <v>1419.99</v>
      </c>
      <c r="V102" s="954">
        <f t="shared" si="139"/>
        <v>1419.99</v>
      </c>
      <c r="W102" s="954">
        <v>1</v>
      </c>
      <c r="X102" s="954">
        <f t="shared" si="140"/>
        <v>1419.99</v>
      </c>
      <c r="Y102" s="954">
        <f t="shared" si="141"/>
        <v>0</v>
      </c>
      <c r="Z102" s="669">
        <f t="shared" si="142"/>
        <v>2008.5833333333333</v>
      </c>
      <c r="AA102" s="666">
        <f t="shared" si="143"/>
        <v>2021</v>
      </c>
      <c r="AB102" s="669">
        <f t="shared" si="144"/>
        <v>2013.5833333333333</v>
      </c>
      <c r="AC102" s="666">
        <f t="shared" si="145"/>
        <v>2020</v>
      </c>
      <c r="AD102" s="666">
        <f t="shared" si="146"/>
        <v>-8.3333333333333329E-2</v>
      </c>
    </row>
    <row r="103" spans="2:30" s="666" customFormat="1" x14ac:dyDescent="0.35">
      <c r="B103" s="23" t="s">
        <v>189</v>
      </c>
      <c r="C103" s="24">
        <v>11</v>
      </c>
      <c r="D103" s="24">
        <v>2008</v>
      </c>
      <c r="E103" s="964">
        <v>767.63</v>
      </c>
      <c r="F103" s="25">
        <v>0</v>
      </c>
      <c r="G103" s="24">
        <v>5</v>
      </c>
      <c r="H103" s="666">
        <f t="shared" si="130"/>
        <v>2013</v>
      </c>
      <c r="I103" s="665"/>
      <c r="J103" s="665"/>
      <c r="K103" s="970">
        <v>0</v>
      </c>
      <c r="L103" s="954">
        <f t="shared" si="131"/>
        <v>767.63</v>
      </c>
      <c r="M103" s="954">
        <f t="shared" si="132"/>
        <v>12.793833333333334</v>
      </c>
      <c r="N103" s="954">
        <f t="shared" si="133"/>
        <v>0</v>
      </c>
      <c r="O103" s="666">
        <f t="shared" si="134"/>
        <v>0</v>
      </c>
      <c r="P103" s="954">
        <f t="shared" si="135"/>
        <v>0</v>
      </c>
      <c r="Q103" s="668">
        <v>1</v>
      </c>
      <c r="R103" s="667">
        <f t="shared" ref="R103:R109" si="151">Q103*SUM(N103:O103)</f>
        <v>0</v>
      </c>
      <c r="T103" s="966">
        <f t="shared" si="137"/>
        <v>767.63</v>
      </c>
      <c r="U103" s="966">
        <f t="shared" si="138"/>
        <v>767.63</v>
      </c>
      <c r="V103" s="954">
        <f t="shared" si="139"/>
        <v>767.63</v>
      </c>
      <c r="W103" s="954">
        <v>1</v>
      </c>
      <c r="X103" s="954">
        <f t="shared" si="140"/>
        <v>767.63</v>
      </c>
      <c r="Y103" s="954">
        <f t="shared" si="141"/>
        <v>0</v>
      </c>
      <c r="Z103" s="669">
        <f t="shared" si="142"/>
        <v>2008.8333333333333</v>
      </c>
      <c r="AA103" s="666">
        <f t="shared" si="143"/>
        <v>2021</v>
      </c>
      <c r="AB103" s="669">
        <f t="shared" si="144"/>
        <v>2013.8333333333333</v>
      </c>
      <c r="AC103" s="666">
        <f t="shared" si="145"/>
        <v>2020</v>
      </c>
      <c r="AD103" s="666">
        <f t="shared" si="146"/>
        <v>-8.3333333333333329E-2</v>
      </c>
    </row>
    <row r="104" spans="2:30" s="666" customFormat="1" x14ac:dyDescent="0.35">
      <c r="B104" s="467" t="s">
        <v>309</v>
      </c>
      <c r="C104" s="131">
        <v>6</v>
      </c>
      <c r="D104" s="131">
        <v>2011</v>
      </c>
      <c r="E104" s="967">
        <v>1577</v>
      </c>
      <c r="F104" s="671">
        <v>0</v>
      </c>
      <c r="G104" s="131">
        <v>5</v>
      </c>
      <c r="H104" s="666">
        <f t="shared" si="130"/>
        <v>2016</v>
      </c>
      <c r="I104" s="665"/>
      <c r="J104" s="665"/>
      <c r="K104" s="970">
        <v>0</v>
      </c>
      <c r="L104" s="954">
        <f t="shared" si="131"/>
        <v>1577</v>
      </c>
      <c r="M104" s="954">
        <f t="shared" si="132"/>
        <v>26.283333333333331</v>
      </c>
      <c r="N104" s="954">
        <f t="shared" si="133"/>
        <v>0</v>
      </c>
      <c r="O104" s="666">
        <f t="shared" si="134"/>
        <v>0</v>
      </c>
      <c r="P104" s="954">
        <f t="shared" si="135"/>
        <v>0</v>
      </c>
      <c r="Q104" s="668">
        <v>2</v>
      </c>
      <c r="R104" s="667">
        <f t="shared" si="151"/>
        <v>0</v>
      </c>
      <c r="T104" s="966">
        <f t="shared" si="137"/>
        <v>1577</v>
      </c>
      <c r="U104" s="966">
        <f t="shared" si="138"/>
        <v>12616</v>
      </c>
      <c r="V104" s="954">
        <f t="shared" si="139"/>
        <v>3154</v>
      </c>
      <c r="W104" s="954">
        <v>2</v>
      </c>
      <c r="X104" s="954">
        <f t="shared" si="140"/>
        <v>6308</v>
      </c>
      <c r="Y104" s="954">
        <f t="shared" si="141"/>
        <v>-3154</v>
      </c>
      <c r="Z104" s="669">
        <f t="shared" si="142"/>
        <v>2011.4166666666667</v>
      </c>
      <c r="AA104" s="666">
        <f t="shared" si="143"/>
        <v>2021</v>
      </c>
      <c r="AB104" s="669">
        <f t="shared" si="144"/>
        <v>2016.4166666666667</v>
      </c>
      <c r="AC104" s="666">
        <f t="shared" si="145"/>
        <v>2020</v>
      </c>
      <c r="AD104" s="666">
        <f t="shared" si="146"/>
        <v>-8.3333333333333329E-2</v>
      </c>
    </row>
    <row r="105" spans="2:30" s="666" customFormat="1" x14ac:dyDescent="0.35">
      <c r="B105" s="467" t="s">
        <v>310</v>
      </c>
      <c r="C105" s="131">
        <v>9</v>
      </c>
      <c r="D105" s="131">
        <v>2011</v>
      </c>
      <c r="E105" s="967">
        <v>557</v>
      </c>
      <c r="F105" s="671">
        <v>0</v>
      </c>
      <c r="G105" s="131">
        <v>5</v>
      </c>
      <c r="H105" s="666">
        <f t="shared" si="130"/>
        <v>2016</v>
      </c>
      <c r="I105" s="665"/>
      <c r="J105" s="665"/>
      <c r="K105" s="970">
        <v>0</v>
      </c>
      <c r="L105" s="954">
        <f t="shared" si="131"/>
        <v>557</v>
      </c>
      <c r="M105" s="954">
        <f t="shared" si="132"/>
        <v>9.2833333333333332</v>
      </c>
      <c r="N105" s="954">
        <f t="shared" si="133"/>
        <v>0</v>
      </c>
      <c r="O105" s="666">
        <f t="shared" si="134"/>
        <v>0</v>
      </c>
      <c r="P105" s="954">
        <f t="shared" si="135"/>
        <v>0</v>
      </c>
      <c r="Q105" s="668">
        <v>3</v>
      </c>
      <c r="R105" s="667">
        <f t="shared" si="151"/>
        <v>0</v>
      </c>
      <c r="T105" s="966">
        <f t="shared" si="137"/>
        <v>557</v>
      </c>
      <c r="U105" s="966">
        <f t="shared" si="138"/>
        <v>15039</v>
      </c>
      <c r="V105" s="954">
        <f t="shared" si="139"/>
        <v>1671</v>
      </c>
      <c r="W105" s="954">
        <v>3</v>
      </c>
      <c r="X105" s="954">
        <f t="shared" si="140"/>
        <v>5013</v>
      </c>
      <c r="Y105" s="954">
        <f t="shared" si="141"/>
        <v>-5013</v>
      </c>
      <c r="Z105" s="669">
        <f t="shared" si="142"/>
        <v>2011.6666666666667</v>
      </c>
      <c r="AA105" s="666">
        <f t="shared" si="143"/>
        <v>2021</v>
      </c>
      <c r="AB105" s="669">
        <f t="shared" si="144"/>
        <v>2016.6666666666667</v>
      </c>
      <c r="AC105" s="666">
        <f t="shared" si="145"/>
        <v>2020</v>
      </c>
      <c r="AD105" s="666">
        <f t="shared" si="146"/>
        <v>-8.3333333333333329E-2</v>
      </c>
    </row>
    <row r="106" spans="2:30" s="666" customFormat="1" x14ac:dyDescent="0.35">
      <c r="B106" s="467" t="s">
        <v>311</v>
      </c>
      <c r="C106" s="131">
        <v>12</v>
      </c>
      <c r="D106" s="131">
        <v>2011</v>
      </c>
      <c r="E106" s="967">
        <v>648</v>
      </c>
      <c r="F106" s="671">
        <v>0</v>
      </c>
      <c r="G106" s="131">
        <v>5</v>
      </c>
      <c r="H106" s="666">
        <f t="shared" si="130"/>
        <v>2016</v>
      </c>
      <c r="I106" s="665"/>
      <c r="J106" s="665"/>
      <c r="K106" s="970">
        <v>0</v>
      </c>
      <c r="L106" s="954">
        <f t="shared" si="131"/>
        <v>648</v>
      </c>
      <c r="M106" s="954">
        <f t="shared" si="132"/>
        <v>10.799999999999999</v>
      </c>
      <c r="N106" s="954">
        <f t="shared" si="133"/>
        <v>0</v>
      </c>
      <c r="O106" s="666">
        <f t="shared" si="134"/>
        <v>0</v>
      </c>
      <c r="P106" s="954">
        <f t="shared" si="135"/>
        <v>0</v>
      </c>
      <c r="Q106" s="668">
        <v>4</v>
      </c>
      <c r="R106" s="667">
        <f t="shared" si="151"/>
        <v>0</v>
      </c>
      <c r="T106" s="966">
        <f t="shared" si="137"/>
        <v>648</v>
      </c>
      <c r="U106" s="966">
        <f t="shared" si="138"/>
        <v>41472</v>
      </c>
      <c r="V106" s="954">
        <f t="shared" si="139"/>
        <v>2592</v>
      </c>
      <c r="W106" s="954">
        <v>4</v>
      </c>
      <c r="X106" s="954">
        <f t="shared" si="140"/>
        <v>10368</v>
      </c>
      <c r="Y106" s="954">
        <f t="shared" si="141"/>
        <v>-15552</v>
      </c>
      <c r="Z106" s="669">
        <f t="shared" si="142"/>
        <v>2011.9166666666667</v>
      </c>
      <c r="AA106" s="666">
        <f t="shared" si="143"/>
        <v>2021</v>
      </c>
      <c r="AB106" s="669">
        <f t="shared" si="144"/>
        <v>2016.9166666666667</v>
      </c>
      <c r="AC106" s="666">
        <f t="shared" si="145"/>
        <v>2020</v>
      </c>
      <c r="AD106" s="666">
        <f t="shared" si="146"/>
        <v>-8.3333333333333329E-2</v>
      </c>
    </row>
    <row r="107" spans="2:30" s="666" customFormat="1" x14ac:dyDescent="0.35">
      <c r="B107" s="467" t="s">
        <v>312</v>
      </c>
      <c r="C107" s="131">
        <v>5</v>
      </c>
      <c r="D107" s="131">
        <v>2012</v>
      </c>
      <c r="E107" s="967">
        <v>1254</v>
      </c>
      <c r="F107" s="671">
        <v>0</v>
      </c>
      <c r="G107" s="131">
        <v>5</v>
      </c>
      <c r="H107" s="666">
        <f t="shared" si="130"/>
        <v>2017</v>
      </c>
      <c r="I107" s="665"/>
      <c r="J107" s="665"/>
      <c r="K107" s="970">
        <v>0</v>
      </c>
      <c r="L107" s="954">
        <f t="shared" si="131"/>
        <v>1254</v>
      </c>
      <c r="M107" s="954">
        <f t="shared" si="132"/>
        <v>20.900000000000002</v>
      </c>
      <c r="N107" s="954">
        <f t="shared" si="133"/>
        <v>0</v>
      </c>
      <c r="O107" s="666">
        <f t="shared" si="134"/>
        <v>0</v>
      </c>
      <c r="P107" s="954">
        <f t="shared" si="135"/>
        <v>0</v>
      </c>
      <c r="Q107" s="668">
        <v>5</v>
      </c>
      <c r="R107" s="667">
        <f t="shared" si="151"/>
        <v>0</v>
      </c>
      <c r="T107" s="966">
        <f t="shared" si="137"/>
        <v>1254</v>
      </c>
      <c r="U107" s="966">
        <f t="shared" si="138"/>
        <v>156750</v>
      </c>
      <c r="V107" s="954">
        <f t="shared" si="139"/>
        <v>6270</v>
      </c>
      <c r="W107" s="954">
        <v>5</v>
      </c>
      <c r="X107" s="954">
        <f t="shared" si="140"/>
        <v>31350</v>
      </c>
      <c r="Y107" s="954">
        <f t="shared" si="141"/>
        <v>-62700</v>
      </c>
      <c r="Z107" s="669">
        <f t="shared" si="142"/>
        <v>2012.3333333333333</v>
      </c>
      <c r="AA107" s="666">
        <f t="shared" si="143"/>
        <v>2021</v>
      </c>
      <c r="AB107" s="669">
        <f t="shared" si="144"/>
        <v>2017.3333333333333</v>
      </c>
      <c r="AC107" s="666">
        <f t="shared" si="145"/>
        <v>2020</v>
      </c>
      <c r="AD107" s="666">
        <f t="shared" si="146"/>
        <v>-8.3333333333333329E-2</v>
      </c>
    </row>
    <row r="108" spans="2:30" s="666" customFormat="1" x14ac:dyDescent="0.35">
      <c r="B108" s="467" t="s">
        <v>313</v>
      </c>
      <c r="C108" s="131">
        <v>9</v>
      </c>
      <c r="D108" s="131">
        <v>2012</v>
      </c>
      <c r="E108" s="967">
        <v>411</v>
      </c>
      <c r="F108" s="671">
        <v>0</v>
      </c>
      <c r="G108" s="131">
        <v>5</v>
      </c>
      <c r="H108" s="666">
        <f t="shared" si="130"/>
        <v>2017</v>
      </c>
      <c r="I108" s="665"/>
      <c r="J108" s="665"/>
      <c r="K108" s="970">
        <v>0</v>
      </c>
      <c r="L108" s="954">
        <f t="shared" si="131"/>
        <v>411</v>
      </c>
      <c r="M108" s="954">
        <f t="shared" si="132"/>
        <v>6.8500000000000005</v>
      </c>
      <c r="N108" s="954">
        <f t="shared" si="133"/>
        <v>0</v>
      </c>
      <c r="O108" s="666">
        <f t="shared" si="134"/>
        <v>0</v>
      </c>
      <c r="P108" s="954">
        <f t="shared" si="135"/>
        <v>0</v>
      </c>
      <c r="Q108" s="668">
        <v>6</v>
      </c>
      <c r="R108" s="667">
        <f t="shared" si="151"/>
        <v>0</v>
      </c>
      <c r="T108" s="966">
        <f t="shared" si="137"/>
        <v>411</v>
      </c>
      <c r="U108" s="966">
        <f t="shared" si="138"/>
        <v>88776</v>
      </c>
      <c r="V108" s="954">
        <f t="shared" si="139"/>
        <v>2466</v>
      </c>
      <c r="W108" s="954">
        <v>6</v>
      </c>
      <c r="X108" s="954">
        <f t="shared" si="140"/>
        <v>14796</v>
      </c>
      <c r="Y108" s="954">
        <f t="shared" si="141"/>
        <v>-36990</v>
      </c>
      <c r="Z108" s="669">
        <f t="shared" si="142"/>
        <v>2012.6666666666667</v>
      </c>
      <c r="AA108" s="666">
        <f t="shared" si="143"/>
        <v>2021</v>
      </c>
      <c r="AB108" s="669">
        <f t="shared" si="144"/>
        <v>2017.6666666666667</v>
      </c>
      <c r="AC108" s="666">
        <f t="shared" si="145"/>
        <v>2020</v>
      </c>
      <c r="AD108" s="666">
        <f t="shared" si="146"/>
        <v>-8.3333333333333329E-2</v>
      </c>
    </row>
    <row r="109" spans="2:30" s="666" customFormat="1" x14ac:dyDescent="0.35">
      <c r="B109" s="467" t="s">
        <v>314</v>
      </c>
      <c r="C109" s="131">
        <v>11</v>
      </c>
      <c r="D109" s="131">
        <v>2012</v>
      </c>
      <c r="E109" s="967">
        <v>982</v>
      </c>
      <c r="F109" s="671">
        <v>0</v>
      </c>
      <c r="G109" s="131">
        <v>5</v>
      </c>
      <c r="H109" s="666">
        <f t="shared" si="130"/>
        <v>2017</v>
      </c>
      <c r="I109" s="665"/>
      <c r="J109" s="665"/>
      <c r="K109" s="970">
        <v>0</v>
      </c>
      <c r="L109" s="954">
        <f t="shared" si="131"/>
        <v>982</v>
      </c>
      <c r="M109" s="954">
        <f t="shared" si="132"/>
        <v>16.366666666666667</v>
      </c>
      <c r="N109" s="954">
        <f t="shared" si="133"/>
        <v>0</v>
      </c>
      <c r="O109" s="666">
        <f t="shared" si="134"/>
        <v>0</v>
      </c>
      <c r="P109" s="954">
        <f t="shared" si="135"/>
        <v>0</v>
      </c>
      <c r="Q109" s="668">
        <v>7</v>
      </c>
      <c r="R109" s="667">
        <f t="shared" si="151"/>
        <v>0</v>
      </c>
      <c r="T109" s="966">
        <f t="shared" si="137"/>
        <v>982</v>
      </c>
      <c r="U109" s="966">
        <f t="shared" si="138"/>
        <v>336826</v>
      </c>
      <c r="V109" s="954">
        <f t="shared" si="139"/>
        <v>6874</v>
      </c>
      <c r="W109" s="954">
        <v>7</v>
      </c>
      <c r="X109" s="954">
        <f t="shared" si="140"/>
        <v>48118</v>
      </c>
      <c r="Y109" s="954">
        <f t="shared" si="141"/>
        <v>-144354</v>
      </c>
      <c r="Z109" s="669">
        <f t="shared" si="142"/>
        <v>2012.8333333333333</v>
      </c>
      <c r="AA109" s="666">
        <f t="shared" si="143"/>
        <v>2021</v>
      </c>
      <c r="AB109" s="669">
        <f t="shared" si="144"/>
        <v>2017.8333333333333</v>
      </c>
      <c r="AC109" s="666">
        <f t="shared" si="145"/>
        <v>2020</v>
      </c>
      <c r="AD109" s="666">
        <f t="shared" si="146"/>
        <v>-8.3333333333333329E-2</v>
      </c>
    </row>
    <row r="110" spans="2:30" s="666" customFormat="1" x14ac:dyDescent="0.35">
      <c r="B110" s="467" t="s">
        <v>315</v>
      </c>
      <c r="C110" s="131">
        <v>11</v>
      </c>
      <c r="D110" s="131">
        <v>2012</v>
      </c>
      <c r="E110" s="967">
        <v>899</v>
      </c>
      <c r="F110" s="671">
        <v>0</v>
      </c>
      <c r="G110" s="131">
        <v>10</v>
      </c>
      <c r="H110" s="666">
        <f t="shared" si="130"/>
        <v>2022</v>
      </c>
      <c r="I110" s="665"/>
      <c r="J110" s="665"/>
      <c r="K110" s="970">
        <v>0</v>
      </c>
      <c r="L110" s="954">
        <f t="shared" si="131"/>
        <v>899</v>
      </c>
      <c r="M110" s="954">
        <f t="shared" si="132"/>
        <v>7.4916666666666671</v>
      </c>
      <c r="N110" s="954">
        <f t="shared" si="133"/>
        <v>89.9</v>
      </c>
      <c r="O110" s="666">
        <f t="shared" si="134"/>
        <v>0</v>
      </c>
      <c r="P110" s="954">
        <f t="shared" si="135"/>
        <v>89.9</v>
      </c>
      <c r="Q110" s="668">
        <v>1</v>
      </c>
      <c r="R110" s="667">
        <f t="shared" si="150"/>
        <v>89.9</v>
      </c>
      <c r="T110" s="966">
        <f t="shared" si="137"/>
        <v>644.28333333334024</v>
      </c>
      <c r="U110" s="966">
        <f t="shared" si="138"/>
        <v>734.18333333334022</v>
      </c>
      <c r="V110" s="954">
        <f t="shared" si="139"/>
        <v>644.28333333334024</v>
      </c>
      <c r="W110" s="954">
        <v>1</v>
      </c>
      <c r="X110" s="954">
        <f t="shared" si="140"/>
        <v>644.28333333334024</v>
      </c>
      <c r="Y110" s="954">
        <f t="shared" si="141"/>
        <v>209.76666666665977</v>
      </c>
      <c r="Z110" s="669">
        <f t="shared" si="142"/>
        <v>2012.8333333333333</v>
      </c>
      <c r="AA110" s="666">
        <f t="shared" si="143"/>
        <v>2021</v>
      </c>
      <c r="AB110" s="669">
        <f t="shared" si="144"/>
        <v>2022.8333333333333</v>
      </c>
      <c r="AC110" s="666">
        <f t="shared" si="145"/>
        <v>2020</v>
      </c>
      <c r="AD110" s="666">
        <f t="shared" si="146"/>
        <v>-8.3333333333333329E-2</v>
      </c>
    </row>
    <row r="111" spans="2:30" x14ac:dyDescent="0.35">
      <c r="B111" s="76"/>
      <c r="C111" s="55"/>
      <c r="D111" s="55"/>
      <c r="E111" s="968"/>
      <c r="F111" s="53"/>
      <c r="G111" s="55"/>
      <c r="Q111" s="66"/>
      <c r="R111" s="56"/>
      <c r="Z111" s="67"/>
      <c r="AB111" s="67"/>
    </row>
    <row r="112" spans="2:30" s="69" customFormat="1" x14ac:dyDescent="0.35">
      <c r="B112" s="75" t="s">
        <v>74</v>
      </c>
      <c r="E112" s="969">
        <f>SUM(E83:E111)</f>
        <v>46367.700000000004</v>
      </c>
      <c r="K112" s="969">
        <f>SUM(K83:K111)</f>
        <v>0</v>
      </c>
      <c r="L112" s="969">
        <f>SUM(L83:L111)</f>
        <v>46367.700000000004</v>
      </c>
      <c r="M112" s="969">
        <f>SUM(M83:M111)</f>
        <v>649.85436309523811</v>
      </c>
      <c r="N112" s="969">
        <f>SUM(N83:N111)</f>
        <v>89.9</v>
      </c>
      <c r="O112" s="71">
        <f>SUM(O96:O111)</f>
        <v>0</v>
      </c>
      <c r="P112" s="969">
        <f>SUM(P96:P111)</f>
        <v>89.9</v>
      </c>
      <c r="Q112" s="71">
        <f>SUM(Q96:Q111)</f>
        <v>36</v>
      </c>
      <c r="R112" s="71">
        <f>SUM(R96:R111)</f>
        <v>89.9</v>
      </c>
      <c r="S112" s="71"/>
      <c r="T112" s="969">
        <f>SUM(T83:T111)</f>
        <v>46112.983333333344</v>
      </c>
      <c r="U112" s="969">
        <f>SUM(U83:U111)</f>
        <v>697271.8833333333</v>
      </c>
      <c r="V112" s="969">
        <f>SUM(V96:V111)</f>
        <v>33261.073333333341</v>
      </c>
      <c r="W112" s="969">
        <f>SUM(W96:W111)</f>
        <v>36</v>
      </c>
      <c r="X112" s="969">
        <f>SUM(X96:X111)</f>
        <v>126187.07333333335</v>
      </c>
      <c r="Y112" s="969">
        <f>SUM(Y83:Y111)</f>
        <v>-268987.23333333334</v>
      </c>
    </row>
    <row r="113" spans="2:30" x14ac:dyDescent="0.35">
      <c r="B113" s="75"/>
    </row>
    <row r="114" spans="2:30" x14ac:dyDescent="0.35">
      <c r="B114" s="75" t="s">
        <v>93</v>
      </c>
    </row>
    <row r="115" spans="2:30" s="666" customFormat="1" x14ac:dyDescent="0.35">
      <c r="B115" s="23" t="s">
        <v>211</v>
      </c>
      <c r="C115" s="24">
        <v>11</v>
      </c>
      <c r="D115" s="24">
        <v>1995</v>
      </c>
      <c r="E115" s="964">
        <v>17781</v>
      </c>
      <c r="F115" s="25">
        <v>0</v>
      </c>
      <c r="G115" s="24">
        <v>5</v>
      </c>
      <c r="H115" s="666">
        <f t="shared" ref="H115:H121" si="152">D115+G115</f>
        <v>2000</v>
      </c>
      <c r="I115" s="665"/>
      <c r="J115" s="665"/>
      <c r="K115" s="970">
        <v>0</v>
      </c>
      <c r="L115" s="954">
        <f t="shared" ref="L115:L121" si="153">E115-E115*F115</f>
        <v>17781</v>
      </c>
      <c r="M115" s="954">
        <f t="shared" ref="M115:M121" si="154">L115/G115/12</f>
        <v>296.34999999999997</v>
      </c>
      <c r="N115" s="954">
        <f t="shared" ref="N115:N121" si="155">IF(K115&gt;0,0,IF(OR(Z115&gt;AA115,AB115&lt;AC115),0,IF(AND(AB115&gt;=AC115,AB115&lt;=AA115),M115*((AB115-AC115)*12),IF(AND(AC115&lt;=Z115,AA115&gt;=Z115),((AA115-Z115)*12)*M115,IF(AB115&gt;AA115,12*M115,0)))))</f>
        <v>0</v>
      </c>
      <c r="O115" s="666">
        <f t="shared" ref="O115:O121" si="156">IF(K115=0,0,IF(AND(AD115&gt;=AC115,AD115&lt;=AB115),((AD115-AC115)*12)*M115,0))</f>
        <v>0</v>
      </c>
      <c r="P115" s="954">
        <f t="shared" ref="P115:P121" si="157">IF(O115&gt;0,O115,N115)</f>
        <v>0</v>
      </c>
      <c r="Q115" s="668">
        <v>1</v>
      </c>
      <c r="R115" s="667">
        <f>Q115*P115</f>
        <v>0</v>
      </c>
      <c r="T115" s="966">
        <f t="shared" ref="T115:T121" si="158">IF(Z115&gt;AA115,0,IF(AB115&lt;AC115,L115,IF(AND(AB115&gt;=AC115,AB115&lt;=AA115),(L115-P115),IF(AND(AC115&lt;=Z115,AA115&gt;=Z115),0,IF(AB115&gt;AA115,((AC115-Z115)*12)*M115,0)))))</f>
        <v>17781</v>
      </c>
      <c r="U115" s="966">
        <f t="shared" ref="U115:U121" si="159">IF(K115&gt;0,0,X115+R115*W115)*W115</f>
        <v>17781</v>
      </c>
      <c r="V115" s="954">
        <f t="shared" ref="V115:V121" si="160">T115*Q115</f>
        <v>17781</v>
      </c>
      <c r="W115" s="954">
        <v>1</v>
      </c>
      <c r="X115" s="954">
        <f t="shared" ref="X115:X121" si="161">V115*W115</f>
        <v>17781</v>
      </c>
      <c r="Y115" s="954">
        <f t="shared" ref="Y115:Y121" si="162">IF(K115&gt;0,(E115-X115)/2,IF(Z115&gt;=AC115,(((E115*Q115)*W115)-U115)/2,((((E115*Q115)*W115)-X115)+(((E115*Q115)*W115)-U115))/2))</f>
        <v>0</v>
      </c>
      <c r="Z115" s="669">
        <f t="shared" ref="Z115:Z121" si="163">$D115+(($C115-1)/12)</f>
        <v>1995.8333333333333</v>
      </c>
      <c r="AA115" s="666">
        <f t="shared" ref="AA115:AA121" si="164">($G$7+1)-($D$7/12)</f>
        <v>2021</v>
      </c>
      <c r="AB115" s="669">
        <f t="shared" ref="AB115:AB121" si="165">$H115+(($C115-1)/12)</f>
        <v>2000.8333333333333</v>
      </c>
      <c r="AC115" s="666">
        <f t="shared" ref="AC115:AC121" si="166">$E$7+($F$7/12)</f>
        <v>2020</v>
      </c>
      <c r="AD115" s="666">
        <f t="shared" ref="AD115:AD121" si="167">$J115+(($I115-1)/12)</f>
        <v>-8.3333333333333329E-2</v>
      </c>
    </row>
    <row r="116" spans="2:30" s="666" customFormat="1" x14ac:dyDescent="0.35">
      <c r="B116" s="23" t="s">
        <v>129</v>
      </c>
      <c r="C116" s="24">
        <v>12</v>
      </c>
      <c r="D116" s="24">
        <v>2002</v>
      </c>
      <c r="E116" s="964">
        <v>42983.15</v>
      </c>
      <c r="F116" s="25">
        <v>0</v>
      </c>
      <c r="G116" s="24">
        <v>5</v>
      </c>
      <c r="H116" s="666">
        <f t="shared" si="152"/>
        <v>2007</v>
      </c>
      <c r="I116" s="665"/>
      <c r="J116" s="665"/>
      <c r="K116" s="970">
        <v>0</v>
      </c>
      <c r="L116" s="954">
        <f t="shared" si="153"/>
        <v>42983.15</v>
      </c>
      <c r="M116" s="954">
        <f t="shared" si="154"/>
        <v>716.38583333333338</v>
      </c>
      <c r="N116" s="954">
        <f t="shared" si="155"/>
        <v>0</v>
      </c>
      <c r="O116" s="666">
        <f t="shared" si="156"/>
        <v>0</v>
      </c>
      <c r="P116" s="954">
        <f t="shared" si="157"/>
        <v>0</v>
      </c>
      <c r="Q116" s="668">
        <v>1</v>
      </c>
      <c r="R116" s="667">
        <f t="shared" ref="R116:R121" si="168">Q116*SUM(N116:O116)</f>
        <v>0</v>
      </c>
      <c r="T116" s="966">
        <f t="shared" si="158"/>
        <v>42983.15</v>
      </c>
      <c r="U116" s="966">
        <f t="shared" si="159"/>
        <v>42983.15</v>
      </c>
      <c r="V116" s="954">
        <f t="shared" si="160"/>
        <v>42983.15</v>
      </c>
      <c r="W116" s="954">
        <v>1</v>
      </c>
      <c r="X116" s="954">
        <f t="shared" si="161"/>
        <v>42983.15</v>
      </c>
      <c r="Y116" s="954">
        <f t="shared" si="162"/>
        <v>0</v>
      </c>
      <c r="Z116" s="669">
        <f t="shared" si="163"/>
        <v>2002.9166666666667</v>
      </c>
      <c r="AA116" s="666">
        <f t="shared" si="164"/>
        <v>2021</v>
      </c>
      <c r="AB116" s="669">
        <f t="shared" si="165"/>
        <v>2007.9166666666667</v>
      </c>
      <c r="AC116" s="666">
        <f t="shared" si="166"/>
        <v>2020</v>
      </c>
      <c r="AD116" s="666">
        <f t="shared" si="167"/>
        <v>-8.3333333333333329E-2</v>
      </c>
    </row>
    <row r="117" spans="2:30" s="666" customFormat="1" x14ac:dyDescent="0.35">
      <c r="B117" s="23" t="s">
        <v>130</v>
      </c>
      <c r="C117" s="24">
        <v>10</v>
      </c>
      <c r="D117" s="24">
        <v>2003</v>
      </c>
      <c r="E117" s="964">
        <v>3830.17</v>
      </c>
      <c r="F117" s="25">
        <v>0</v>
      </c>
      <c r="G117" s="24">
        <v>5</v>
      </c>
      <c r="H117" s="666">
        <f t="shared" si="152"/>
        <v>2008</v>
      </c>
      <c r="I117" s="665"/>
      <c r="J117" s="665"/>
      <c r="K117" s="970">
        <v>0</v>
      </c>
      <c r="L117" s="954">
        <f t="shared" si="153"/>
        <v>3830.17</v>
      </c>
      <c r="M117" s="954">
        <f t="shared" si="154"/>
        <v>63.836166666666664</v>
      </c>
      <c r="N117" s="954">
        <f t="shared" si="155"/>
        <v>0</v>
      </c>
      <c r="O117" s="666">
        <f t="shared" si="156"/>
        <v>0</v>
      </c>
      <c r="P117" s="954">
        <f t="shared" si="157"/>
        <v>0</v>
      </c>
      <c r="Q117" s="668">
        <v>1</v>
      </c>
      <c r="R117" s="667">
        <f t="shared" si="168"/>
        <v>0</v>
      </c>
      <c r="T117" s="966">
        <f t="shared" si="158"/>
        <v>3830.17</v>
      </c>
      <c r="U117" s="966">
        <f t="shared" si="159"/>
        <v>3830.17</v>
      </c>
      <c r="V117" s="954">
        <f t="shared" si="160"/>
        <v>3830.17</v>
      </c>
      <c r="W117" s="954">
        <v>1</v>
      </c>
      <c r="X117" s="954">
        <f t="shared" si="161"/>
        <v>3830.17</v>
      </c>
      <c r="Y117" s="954">
        <f t="shared" si="162"/>
        <v>0</v>
      </c>
      <c r="Z117" s="669">
        <f t="shared" si="163"/>
        <v>2003.75</v>
      </c>
      <c r="AA117" s="666">
        <f t="shared" si="164"/>
        <v>2021</v>
      </c>
      <c r="AB117" s="669">
        <f t="shared" si="165"/>
        <v>2008.75</v>
      </c>
      <c r="AC117" s="666">
        <f t="shared" si="166"/>
        <v>2020</v>
      </c>
      <c r="AD117" s="666">
        <f t="shared" si="167"/>
        <v>-8.3333333333333329E-2</v>
      </c>
    </row>
    <row r="118" spans="2:30" s="666" customFormat="1" x14ac:dyDescent="0.35">
      <c r="B118" s="23" t="s">
        <v>95</v>
      </c>
      <c r="C118" s="24">
        <v>2</v>
      </c>
      <c r="D118" s="24">
        <v>2003</v>
      </c>
      <c r="E118" s="964">
        <v>4000</v>
      </c>
      <c r="F118" s="25">
        <v>0</v>
      </c>
      <c r="G118" s="24">
        <v>5</v>
      </c>
      <c r="H118" s="666">
        <f t="shared" si="152"/>
        <v>2008</v>
      </c>
      <c r="I118" s="665"/>
      <c r="J118" s="665"/>
      <c r="K118" s="970">
        <v>0</v>
      </c>
      <c r="L118" s="954">
        <f t="shared" si="153"/>
        <v>4000</v>
      </c>
      <c r="M118" s="954">
        <f t="shared" si="154"/>
        <v>66.666666666666671</v>
      </c>
      <c r="N118" s="954">
        <f t="shared" si="155"/>
        <v>0</v>
      </c>
      <c r="O118" s="666">
        <f t="shared" si="156"/>
        <v>0</v>
      </c>
      <c r="P118" s="954">
        <f t="shared" si="157"/>
        <v>0</v>
      </c>
      <c r="Q118" s="668">
        <v>1</v>
      </c>
      <c r="R118" s="667">
        <f t="shared" si="168"/>
        <v>0</v>
      </c>
      <c r="T118" s="966">
        <f t="shared" si="158"/>
        <v>4000</v>
      </c>
      <c r="U118" s="966">
        <f t="shared" si="159"/>
        <v>4000</v>
      </c>
      <c r="V118" s="954">
        <f t="shared" si="160"/>
        <v>4000</v>
      </c>
      <c r="W118" s="954">
        <v>1</v>
      </c>
      <c r="X118" s="954">
        <f t="shared" si="161"/>
        <v>4000</v>
      </c>
      <c r="Y118" s="954">
        <f t="shared" si="162"/>
        <v>0</v>
      </c>
      <c r="Z118" s="669">
        <f t="shared" si="163"/>
        <v>2003.0833333333333</v>
      </c>
      <c r="AA118" s="666">
        <f t="shared" si="164"/>
        <v>2021</v>
      </c>
      <c r="AB118" s="669">
        <f t="shared" si="165"/>
        <v>2008.0833333333333</v>
      </c>
      <c r="AC118" s="666">
        <f t="shared" si="166"/>
        <v>2020</v>
      </c>
      <c r="AD118" s="666">
        <f t="shared" si="167"/>
        <v>-8.3333333333333329E-2</v>
      </c>
    </row>
    <row r="119" spans="2:30" s="666" customFormat="1" x14ac:dyDescent="0.35">
      <c r="B119" s="23" t="s">
        <v>131</v>
      </c>
      <c r="C119" s="24">
        <v>10</v>
      </c>
      <c r="D119" s="24">
        <v>2007</v>
      </c>
      <c r="E119" s="964">
        <v>2450.27</v>
      </c>
      <c r="F119" s="25">
        <v>0</v>
      </c>
      <c r="G119" s="24">
        <v>5</v>
      </c>
      <c r="H119" s="666">
        <f t="shared" si="152"/>
        <v>2012</v>
      </c>
      <c r="I119" s="665"/>
      <c r="J119" s="665"/>
      <c r="K119" s="970">
        <v>0</v>
      </c>
      <c r="L119" s="954">
        <f t="shared" si="153"/>
        <v>2450.27</v>
      </c>
      <c r="M119" s="954">
        <f t="shared" si="154"/>
        <v>40.837833333333329</v>
      </c>
      <c r="N119" s="954">
        <f t="shared" si="155"/>
        <v>0</v>
      </c>
      <c r="O119" s="666">
        <f t="shared" si="156"/>
        <v>0</v>
      </c>
      <c r="P119" s="954">
        <f t="shared" si="157"/>
        <v>0</v>
      </c>
      <c r="Q119" s="668">
        <v>1</v>
      </c>
      <c r="R119" s="667">
        <f t="shared" si="168"/>
        <v>0</v>
      </c>
      <c r="T119" s="966">
        <f t="shared" si="158"/>
        <v>2450.27</v>
      </c>
      <c r="U119" s="966">
        <f t="shared" si="159"/>
        <v>2450.27</v>
      </c>
      <c r="V119" s="954">
        <f t="shared" si="160"/>
        <v>2450.27</v>
      </c>
      <c r="W119" s="954">
        <v>1</v>
      </c>
      <c r="X119" s="954">
        <f t="shared" si="161"/>
        <v>2450.27</v>
      </c>
      <c r="Y119" s="954">
        <f t="shared" si="162"/>
        <v>0</v>
      </c>
      <c r="Z119" s="669">
        <f t="shared" si="163"/>
        <v>2007.75</v>
      </c>
      <c r="AA119" s="666">
        <f t="shared" si="164"/>
        <v>2021</v>
      </c>
      <c r="AB119" s="669">
        <f t="shared" si="165"/>
        <v>2012.75</v>
      </c>
      <c r="AC119" s="666">
        <f t="shared" si="166"/>
        <v>2020</v>
      </c>
      <c r="AD119" s="666">
        <f t="shared" si="167"/>
        <v>-8.3333333333333329E-2</v>
      </c>
    </row>
    <row r="120" spans="2:30" s="666" customFormat="1" x14ac:dyDescent="0.35">
      <c r="B120" s="23" t="s">
        <v>132</v>
      </c>
      <c r="C120" s="24">
        <v>2</v>
      </c>
      <c r="D120" s="24">
        <v>2008</v>
      </c>
      <c r="E120" s="964">
        <v>7656</v>
      </c>
      <c r="F120" s="25">
        <v>0</v>
      </c>
      <c r="G120" s="24">
        <v>5</v>
      </c>
      <c r="H120" s="666">
        <f t="shared" si="152"/>
        <v>2013</v>
      </c>
      <c r="I120" s="665"/>
      <c r="J120" s="665"/>
      <c r="K120" s="970">
        <v>0</v>
      </c>
      <c r="L120" s="954">
        <f t="shared" si="153"/>
        <v>7656</v>
      </c>
      <c r="M120" s="954">
        <f t="shared" si="154"/>
        <v>127.60000000000001</v>
      </c>
      <c r="N120" s="954">
        <f t="shared" si="155"/>
        <v>0</v>
      </c>
      <c r="O120" s="666">
        <f t="shared" si="156"/>
        <v>0</v>
      </c>
      <c r="P120" s="954">
        <f t="shared" si="157"/>
        <v>0</v>
      </c>
      <c r="Q120" s="668">
        <v>1</v>
      </c>
      <c r="R120" s="667">
        <f t="shared" si="168"/>
        <v>0</v>
      </c>
      <c r="T120" s="966">
        <f t="shared" si="158"/>
        <v>7656</v>
      </c>
      <c r="U120" s="966">
        <f t="shared" si="159"/>
        <v>7656</v>
      </c>
      <c r="V120" s="954">
        <f t="shared" si="160"/>
        <v>7656</v>
      </c>
      <c r="W120" s="954">
        <v>1</v>
      </c>
      <c r="X120" s="954">
        <f t="shared" si="161"/>
        <v>7656</v>
      </c>
      <c r="Y120" s="954">
        <f t="shared" si="162"/>
        <v>0</v>
      </c>
      <c r="Z120" s="669">
        <f t="shared" si="163"/>
        <v>2008.0833333333333</v>
      </c>
      <c r="AA120" s="666">
        <f t="shared" si="164"/>
        <v>2021</v>
      </c>
      <c r="AB120" s="669">
        <f t="shared" si="165"/>
        <v>2013.0833333333333</v>
      </c>
      <c r="AC120" s="666">
        <f t="shared" si="166"/>
        <v>2020</v>
      </c>
      <c r="AD120" s="666">
        <f t="shared" si="167"/>
        <v>-8.3333333333333329E-2</v>
      </c>
    </row>
    <row r="121" spans="2:30" s="666" customFormat="1" x14ac:dyDescent="0.35">
      <c r="B121" s="23" t="s">
        <v>133</v>
      </c>
      <c r="C121" s="24">
        <v>5</v>
      </c>
      <c r="D121" s="24">
        <v>2008</v>
      </c>
      <c r="E121" s="964">
        <v>3634.2</v>
      </c>
      <c r="F121" s="25">
        <v>0</v>
      </c>
      <c r="G121" s="24">
        <v>5</v>
      </c>
      <c r="H121" s="666">
        <f t="shared" si="152"/>
        <v>2013</v>
      </c>
      <c r="I121" s="665"/>
      <c r="J121" s="665"/>
      <c r="K121" s="970">
        <v>0</v>
      </c>
      <c r="L121" s="954">
        <f t="shared" si="153"/>
        <v>3634.2</v>
      </c>
      <c r="M121" s="954">
        <f t="shared" si="154"/>
        <v>60.569999999999993</v>
      </c>
      <c r="N121" s="954">
        <f t="shared" si="155"/>
        <v>0</v>
      </c>
      <c r="O121" s="666">
        <f t="shared" si="156"/>
        <v>0</v>
      </c>
      <c r="P121" s="954">
        <f t="shared" si="157"/>
        <v>0</v>
      </c>
      <c r="Q121" s="668">
        <v>1</v>
      </c>
      <c r="R121" s="667">
        <f t="shared" si="168"/>
        <v>0</v>
      </c>
      <c r="T121" s="966">
        <f t="shared" si="158"/>
        <v>3634.2</v>
      </c>
      <c r="U121" s="966">
        <f t="shared" si="159"/>
        <v>3634.2</v>
      </c>
      <c r="V121" s="954">
        <f t="shared" si="160"/>
        <v>3634.2</v>
      </c>
      <c r="W121" s="954">
        <v>1</v>
      </c>
      <c r="X121" s="954">
        <f t="shared" si="161"/>
        <v>3634.2</v>
      </c>
      <c r="Y121" s="954">
        <f t="shared" si="162"/>
        <v>0</v>
      </c>
      <c r="Z121" s="669">
        <f t="shared" si="163"/>
        <v>2008.3333333333333</v>
      </c>
      <c r="AA121" s="666">
        <f t="shared" si="164"/>
        <v>2021</v>
      </c>
      <c r="AB121" s="669">
        <f t="shared" si="165"/>
        <v>2013.3333333333333</v>
      </c>
      <c r="AC121" s="666">
        <f t="shared" si="166"/>
        <v>2020</v>
      </c>
      <c r="AD121" s="666">
        <f t="shared" si="167"/>
        <v>-8.3333333333333329E-2</v>
      </c>
    </row>
    <row r="122" spans="2:30" x14ac:dyDescent="0.35">
      <c r="B122" s="76"/>
      <c r="C122" s="55"/>
      <c r="D122" s="55"/>
      <c r="E122" s="968"/>
      <c r="F122" s="53"/>
      <c r="G122" s="55"/>
      <c r="Q122" s="66"/>
      <c r="R122" s="56"/>
      <c r="Z122" s="67"/>
      <c r="AB122" s="67"/>
    </row>
    <row r="123" spans="2:30" s="69" customFormat="1" x14ac:dyDescent="0.35">
      <c r="B123" s="75" t="s">
        <v>94</v>
      </c>
      <c r="E123" s="969">
        <f>SUM(E115:E122)</f>
        <v>82334.790000000008</v>
      </c>
      <c r="K123" s="969">
        <f t="shared" ref="K123:R123" si="169">SUM(K115:K122)</f>
        <v>0</v>
      </c>
      <c r="L123" s="969">
        <f t="shared" si="169"/>
        <v>82334.790000000008</v>
      </c>
      <c r="M123" s="969">
        <f t="shared" si="169"/>
        <v>1372.2465</v>
      </c>
      <c r="N123" s="969">
        <f t="shared" si="169"/>
        <v>0</v>
      </c>
      <c r="O123" s="71">
        <f t="shared" si="169"/>
        <v>0</v>
      </c>
      <c r="P123" s="969">
        <f t="shared" si="169"/>
        <v>0</v>
      </c>
      <c r="Q123" s="71">
        <f t="shared" si="169"/>
        <v>7</v>
      </c>
      <c r="R123" s="71">
        <f t="shared" si="169"/>
        <v>0</v>
      </c>
      <c r="S123" s="71"/>
      <c r="T123" s="969">
        <f t="shared" ref="T123:Y123" si="170">SUM(T115:T122)</f>
        <v>82334.790000000008</v>
      </c>
      <c r="U123" s="969">
        <f t="shared" si="170"/>
        <v>82334.790000000008</v>
      </c>
      <c r="V123" s="969">
        <f t="shared" si="170"/>
        <v>82334.790000000008</v>
      </c>
      <c r="W123" s="969">
        <f t="shared" si="170"/>
        <v>7</v>
      </c>
      <c r="X123" s="969">
        <f t="shared" si="170"/>
        <v>82334.790000000008</v>
      </c>
      <c r="Y123" s="969">
        <f t="shared" si="170"/>
        <v>0</v>
      </c>
    </row>
    <row r="124" spans="2:30" x14ac:dyDescent="0.35">
      <c r="B124" s="77"/>
    </row>
    <row r="125" spans="2:30" x14ac:dyDescent="0.35">
      <c r="B125" s="76"/>
      <c r="C125" s="55"/>
      <c r="D125" s="55"/>
      <c r="E125" s="968"/>
      <c r="F125" s="53"/>
      <c r="G125" s="55"/>
      <c r="Q125" s="66"/>
      <c r="R125" s="56"/>
      <c r="Z125" s="67"/>
      <c r="AB125" s="67"/>
    </row>
    <row r="126" spans="2:30" s="78" customFormat="1" x14ac:dyDescent="0.35">
      <c r="B126" s="75" t="s">
        <v>75</v>
      </c>
      <c r="E126" s="973">
        <f>E112+E80+E71+E34+E27+E21+E15+E123+E66+E59+E51+E42</f>
        <v>2099202.4900000002</v>
      </c>
      <c r="F126" s="79"/>
      <c r="K126" s="973">
        <f>K112+K80+K71+K34+K27+K21+K15+K123+K66+K59+K51+K42</f>
        <v>0</v>
      </c>
      <c r="L126" s="973">
        <f>L112+L80+L71+L34+L27+L21+L15+L123+L66+L59+L51+L42</f>
        <v>2099202.4900000002</v>
      </c>
      <c r="M126" s="973" t="e">
        <f>M112+M80+M71+M34+M27+M21+M15+M123+M66+M59+M51+M42</f>
        <v>#DIV/0!</v>
      </c>
      <c r="N126" s="973">
        <f>N112+N80+N71+N34+N27+N21+N15+N123+N66+N59+N51+N42</f>
        <v>146366.09047619047</v>
      </c>
      <c r="O126" s="80">
        <f>SUM(O13:O123)/2</f>
        <v>0</v>
      </c>
      <c r="P126" s="973">
        <f>SUM(P13:P123)/2</f>
        <v>90227.995238095231</v>
      </c>
      <c r="Q126" s="80">
        <f>SUM(Q13:Q123)/2</f>
        <v>82.5</v>
      </c>
      <c r="R126" s="80">
        <f>SUM(R13:R123)/2</f>
        <v>90227.995238095231</v>
      </c>
      <c r="S126" s="80"/>
      <c r="T126" s="973">
        <f>T112+T80+T71+T34+T27+T21+T15+T123+T66+T59+T51+T42</f>
        <v>189396.18603175713</v>
      </c>
      <c r="U126" s="973">
        <f>U112+U80+U71+U34+U27+U21+U15+U123+U66+U59+U51+U42</f>
        <v>986831.27650794759</v>
      </c>
      <c r="V126" s="973">
        <f>SUM(V13:V123)/2</f>
        <v>168736.85801587987</v>
      </c>
      <c r="W126" s="973">
        <f>SUM(W13:W123)/2</f>
        <v>82.5</v>
      </c>
      <c r="X126" s="973">
        <f>SUM(X13:X123)/2</f>
        <v>262379.85801587987</v>
      </c>
      <c r="Y126" s="973">
        <f>Y112+Y80+Y71+Y34+Y27+Y21+Y15+Y123+Y66+Y59+Y51+Y42</f>
        <v>1567426.2587301477</v>
      </c>
      <c r="Z126" s="81"/>
      <c r="AB126" s="81"/>
    </row>
    <row r="127" spans="2:30" x14ac:dyDescent="0.35">
      <c r="D127" s="468" t="s">
        <v>624</v>
      </c>
      <c r="E127" s="974">
        <f>'[3]LCBC Depn'!D73</f>
        <v>811664.1399999999</v>
      </c>
    </row>
    <row r="128" spans="2:30" x14ac:dyDescent="0.35">
      <c r="D128" s="468" t="s">
        <v>625</v>
      </c>
      <c r="E128" s="955">
        <f>'[3]LCBC Depn'!D10</f>
        <v>80000</v>
      </c>
      <c r="N128" s="975" t="s">
        <v>627</v>
      </c>
      <c r="O128" s="976"/>
      <c r="P128" s="977"/>
      <c r="Q128" s="976"/>
      <c r="R128" s="976"/>
      <c r="S128" s="976"/>
      <c r="T128" s="975" t="s">
        <v>317</v>
      </c>
      <c r="U128" s="975" t="s">
        <v>318</v>
      </c>
    </row>
    <row r="129" spans="4:21" x14ac:dyDescent="0.35">
      <c r="D129" s="670" t="s">
        <v>626</v>
      </c>
      <c r="E129" s="978">
        <f>-E27</f>
        <v>0</v>
      </c>
      <c r="I129" s="969"/>
      <c r="L129" s="969" t="s">
        <v>113</v>
      </c>
      <c r="N129" s="979">
        <f>N66+N51+N42+N34+N59</f>
        <v>121333.33333333333</v>
      </c>
      <c r="O129" s="976"/>
      <c r="P129" s="977"/>
      <c r="Q129" s="976"/>
      <c r="R129" s="976"/>
      <c r="S129" s="976"/>
      <c r="T129" s="977">
        <f>'[3]LCBC Depn'!AG161</f>
        <v>59921</v>
      </c>
      <c r="U129" s="977">
        <f>N129-T129</f>
        <v>61412.333333333328</v>
      </c>
    </row>
    <row r="130" spans="4:21" x14ac:dyDescent="0.35">
      <c r="D130" s="670" t="s">
        <v>44</v>
      </c>
      <c r="E130" s="955">
        <f>SUM(E126:E129)</f>
        <v>2990866.63</v>
      </c>
      <c r="I130" s="969"/>
      <c r="L130" s="969"/>
      <c r="N130" s="980"/>
      <c r="O130" s="976"/>
      <c r="P130" s="977"/>
      <c r="Q130" s="976"/>
      <c r="R130" s="976"/>
      <c r="S130" s="976"/>
      <c r="T130" s="977"/>
      <c r="U130" s="977"/>
    </row>
    <row r="131" spans="4:21" x14ac:dyDescent="0.35">
      <c r="D131" s="670" t="s">
        <v>623</v>
      </c>
      <c r="E131" s="978">
        <f>'[3]LCBC Depn'!C246</f>
        <v>3735681.82</v>
      </c>
      <c r="L131" s="969" t="s">
        <v>114</v>
      </c>
      <c r="N131" s="215">
        <f>(N123+N80+N27+N21+N15+N112)</f>
        <v>25032.757142857143</v>
      </c>
      <c r="O131" s="976"/>
      <c r="P131" s="977"/>
      <c r="Q131" s="976"/>
      <c r="R131" s="976"/>
      <c r="S131" s="976"/>
      <c r="T131" s="981">
        <f>'[3]LCBC Depn'!AG235-'[3]WUTC Depn'!T227</f>
        <v>24869</v>
      </c>
      <c r="U131" s="981">
        <f>N131-T131</f>
        <v>163.75714285714275</v>
      </c>
    </row>
    <row r="132" spans="4:21" x14ac:dyDescent="0.35">
      <c r="D132" s="670" t="s">
        <v>298</v>
      </c>
      <c r="E132" s="955">
        <f>E130-E131</f>
        <v>-744815.19</v>
      </c>
      <c r="N132" s="977">
        <f>SUM(N129:N131)</f>
        <v>146366.09047619047</v>
      </c>
      <c r="O132" s="976"/>
      <c r="P132" s="977"/>
      <c r="Q132" s="976"/>
      <c r="R132" s="976"/>
      <c r="S132" s="976"/>
      <c r="T132" s="977">
        <f>SUM(T129:T131)</f>
        <v>84790</v>
      </c>
      <c r="U132" s="977">
        <f>SUM(U129:U131)</f>
        <v>61576.090476190468</v>
      </c>
    </row>
  </sheetData>
  <mergeCells count="6">
    <mergeCell ref="C9:D9"/>
    <mergeCell ref="I9:K9"/>
    <mergeCell ref="M9:N9"/>
    <mergeCell ref="T9:U9"/>
    <mergeCell ref="D5:E5"/>
    <mergeCell ref="F5:G5"/>
  </mergeCells>
  <printOptions gridLines="1"/>
  <pageMargins left="0.25" right="0.25" top="0.75" bottom="0.75" header="0.3" footer="0.3"/>
  <pageSetup scale="60" fitToHeight="5" orientation="landscape" verticalDpi="300" r:id="rId1"/>
  <headerFooter alignWithMargins="0">
    <oddFooter>&amp;A</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7"/>
  <sheetViews>
    <sheetView topLeftCell="A7" workbookViewId="0">
      <selection activeCell="L34" sqref="L34"/>
    </sheetView>
  </sheetViews>
  <sheetFormatPr defaultColWidth="8.81640625" defaultRowHeight="12.5" x14ac:dyDescent="0.25"/>
  <cols>
    <col min="1" max="1" width="24.26953125" style="318" customWidth="1"/>
    <col min="2" max="2" width="32.453125" style="318" customWidth="1"/>
    <col min="3" max="3" width="11.81640625" style="313" bestFit="1" customWidth="1"/>
    <col min="4" max="4" width="10.81640625" style="875" bestFit="1" customWidth="1"/>
    <col min="5" max="5" width="6.81640625" style="314" customWidth="1"/>
    <col min="6" max="6" width="10.7265625" style="401" bestFit="1" customWidth="1"/>
    <col min="7" max="7" width="8.26953125" style="399" bestFit="1" customWidth="1"/>
    <col min="8" max="8" width="10.81640625" style="399" bestFit="1" customWidth="1"/>
    <col min="9" max="9" width="8.26953125" style="399" bestFit="1" customWidth="1"/>
    <col min="10" max="10" width="10.54296875" style="399" bestFit="1" customWidth="1"/>
    <col min="11" max="11" width="8.81640625" style="704"/>
    <col min="12" max="12" width="9.1796875" style="704" bestFit="1" customWidth="1"/>
    <col min="13" max="16384" width="8.81640625" style="704"/>
  </cols>
  <sheetData>
    <row r="1" spans="1:10" ht="13" x14ac:dyDescent="0.25">
      <c r="A1" s="874" t="s">
        <v>763</v>
      </c>
      <c r="B1" s="312"/>
      <c r="D1" s="590" t="s">
        <v>764</v>
      </c>
      <c r="F1" s="591"/>
      <c r="G1" s="593"/>
      <c r="H1" s="593"/>
      <c r="I1" s="593"/>
      <c r="J1" s="593"/>
    </row>
    <row r="2" spans="1:10" ht="14" x14ac:dyDescent="0.25">
      <c r="A2" s="317" t="s">
        <v>515</v>
      </c>
      <c r="D2" s="319" t="s">
        <v>516</v>
      </c>
    </row>
    <row r="3" spans="1:10" ht="14" x14ac:dyDescent="0.25">
      <c r="A3" s="1274">
        <v>43830</v>
      </c>
      <c r="B3" s="1275"/>
      <c r="D3" s="322" t="s">
        <v>519</v>
      </c>
      <c r="F3" s="399"/>
    </row>
    <row r="4" spans="1:10" x14ac:dyDescent="0.25">
      <c r="F4" s="399"/>
    </row>
    <row r="5" spans="1:10" x14ac:dyDescent="0.25">
      <c r="C5" s="323" t="s">
        <v>372</v>
      </c>
      <c r="D5" s="876"/>
      <c r="E5" s="325" t="s">
        <v>520</v>
      </c>
      <c r="F5" s="329" t="s">
        <v>765</v>
      </c>
      <c r="G5" s="1204" t="s">
        <v>766</v>
      </c>
      <c r="H5" s="1205" t="s">
        <v>765</v>
      </c>
      <c r="I5" s="328" t="s">
        <v>766</v>
      </c>
      <c r="J5" s="329" t="s">
        <v>765</v>
      </c>
    </row>
    <row r="6" spans="1:10" x14ac:dyDescent="0.25">
      <c r="A6" s="330"/>
      <c r="B6" s="331" t="s">
        <v>523</v>
      </c>
      <c r="C6" s="332" t="s">
        <v>524</v>
      </c>
      <c r="D6" s="877" t="s">
        <v>525</v>
      </c>
      <c r="E6" s="333" t="s">
        <v>526</v>
      </c>
      <c r="F6" s="595" t="s">
        <v>642</v>
      </c>
      <c r="G6" s="1206" t="s">
        <v>767</v>
      </c>
      <c r="H6" s="1206" t="s">
        <v>767</v>
      </c>
      <c r="I6" s="595" t="s">
        <v>768</v>
      </c>
      <c r="J6" s="595" t="s">
        <v>768</v>
      </c>
    </row>
    <row r="7" spans="1:10" x14ac:dyDescent="0.25">
      <c r="A7" s="878"/>
      <c r="B7" s="312"/>
      <c r="C7" s="359"/>
      <c r="D7" s="879"/>
      <c r="E7" s="342"/>
      <c r="F7" s="315"/>
      <c r="G7" s="315"/>
      <c r="H7" s="315"/>
      <c r="I7" s="315"/>
      <c r="J7" s="315"/>
    </row>
    <row r="8" spans="1:10" ht="13" x14ac:dyDescent="0.25">
      <c r="A8" s="339" t="s">
        <v>547</v>
      </c>
      <c r="D8" s="880"/>
      <c r="E8" s="366"/>
    </row>
    <row r="9" spans="1:10" x14ac:dyDescent="0.25">
      <c r="A9" s="318" t="s">
        <v>548</v>
      </c>
      <c r="D9" s="881"/>
      <c r="E9" s="882"/>
    </row>
    <row r="10" spans="1:10" x14ac:dyDescent="0.25">
      <c r="B10" s="312" t="s">
        <v>134</v>
      </c>
      <c r="C10" s="347">
        <v>43678</v>
      </c>
      <c r="D10" s="881">
        <v>475000</v>
      </c>
      <c r="E10" s="882">
        <v>15</v>
      </c>
      <c r="F10" s="596">
        <v>0</v>
      </c>
      <c r="G10" s="596">
        <f>IF(F10&lt;$D10,IF(F10+($D10/$E10)&lt;$D10,ROUND($D10/$E10,0),ROUND($D10-F10,0)),0)/12*5</f>
        <v>13194.583333333332</v>
      </c>
      <c r="H10" s="596">
        <f t="shared" ref="H10:H12" si="0">ROUND(SUM(F10:G10),0)</f>
        <v>13195</v>
      </c>
      <c r="I10" s="596">
        <f t="shared" ref="I10:I14" si="1">IF(H10&lt;$D10,IF(H10+($D10/$E10)&lt;$D10,ROUND($D10/$E10,0),ROUND($D10-H10,0)),0)</f>
        <v>31667</v>
      </c>
      <c r="J10" s="596">
        <f t="shared" ref="J10" si="2">ROUND(SUM(H10:I10),0)</f>
        <v>44862</v>
      </c>
    </row>
    <row r="11" spans="1:10" x14ac:dyDescent="0.25">
      <c r="A11" s="318">
        <v>1</v>
      </c>
      <c r="B11" s="312" t="s">
        <v>139</v>
      </c>
      <c r="C11" s="347">
        <v>43678</v>
      </c>
      <c r="D11" s="881">
        <v>0</v>
      </c>
      <c r="E11" s="882">
        <v>5</v>
      </c>
      <c r="F11" s="596">
        <v>0</v>
      </c>
      <c r="G11" s="596">
        <f t="shared" ref="G11:G14" si="3">IF(F11&lt;$D11,IF(F11+($D11/$E11)&lt;$D11,ROUND($D11/$E11,0),ROUND($D11-F11,0)),0)/12*5</f>
        <v>0</v>
      </c>
      <c r="H11" s="596">
        <f t="shared" si="0"/>
        <v>0</v>
      </c>
      <c r="I11" s="596">
        <f t="shared" si="1"/>
        <v>0</v>
      </c>
      <c r="J11" s="596">
        <f>ROUND(SUM(H11:I11),0)</f>
        <v>0</v>
      </c>
    </row>
    <row r="12" spans="1:10" x14ac:dyDescent="0.25">
      <c r="A12" s="318">
        <v>2</v>
      </c>
      <c r="B12" s="312" t="s">
        <v>645</v>
      </c>
      <c r="C12" s="347">
        <v>43678</v>
      </c>
      <c r="D12" s="881">
        <v>0</v>
      </c>
      <c r="E12" s="882">
        <v>5</v>
      </c>
      <c r="F12" s="596">
        <v>0</v>
      </c>
      <c r="G12" s="596">
        <f t="shared" si="3"/>
        <v>0</v>
      </c>
      <c r="H12" s="596">
        <f t="shared" si="0"/>
        <v>0</v>
      </c>
      <c r="I12" s="596">
        <f t="shared" si="1"/>
        <v>0</v>
      </c>
      <c r="J12" s="596">
        <f>ROUND(SUM(H12:I12),0)</f>
        <v>0</v>
      </c>
    </row>
    <row r="13" spans="1:10" x14ac:dyDescent="0.25">
      <c r="A13" s="318">
        <v>3</v>
      </c>
      <c r="B13" s="312" t="s">
        <v>135</v>
      </c>
      <c r="C13" s="347">
        <v>43678</v>
      </c>
      <c r="D13" s="881">
        <v>0</v>
      </c>
      <c r="E13" s="882">
        <v>10</v>
      </c>
      <c r="F13" s="596">
        <v>0</v>
      </c>
      <c r="G13" s="596">
        <f t="shared" si="3"/>
        <v>0</v>
      </c>
      <c r="H13" s="596">
        <f t="shared" ref="H13" si="4">ROUND(SUM(F13:G13),0)</f>
        <v>0</v>
      </c>
      <c r="I13" s="596">
        <f t="shared" si="1"/>
        <v>0</v>
      </c>
      <c r="J13" s="596">
        <f t="shared" ref="J13" si="5">ROUND(SUM(H13:I13),0)</f>
        <v>0</v>
      </c>
    </row>
    <row r="14" spans="1:10" x14ac:dyDescent="0.25">
      <c r="B14" s="367" t="s">
        <v>540</v>
      </c>
      <c r="C14" s="359"/>
      <c r="D14" s="881">
        <v>0</v>
      </c>
      <c r="E14" s="883"/>
      <c r="F14" s="596">
        <v>0</v>
      </c>
      <c r="G14" s="596">
        <f t="shared" si="3"/>
        <v>0</v>
      </c>
      <c r="H14" s="596">
        <f>ROUND(SUM(F14:G14),0)</f>
        <v>0</v>
      </c>
      <c r="I14" s="596">
        <f t="shared" si="1"/>
        <v>0</v>
      </c>
      <c r="J14" s="596">
        <f>ROUND(SUM(H14:I14),0)</f>
        <v>0</v>
      </c>
    </row>
    <row r="15" spans="1:10" x14ac:dyDescent="0.25">
      <c r="A15" s="318" t="s">
        <v>557</v>
      </c>
      <c r="D15" s="884">
        <f>SUM(D10:D14)</f>
        <v>475000</v>
      </c>
      <c r="E15" s="882"/>
      <c r="F15" s="362">
        <f t="shared" ref="F15:J15" si="6">SUM(F10:F14)</f>
        <v>0</v>
      </c>
      <c r="G15" s="362">
        <f t="shared" si="6"/>
        <v>13194.583333333332</v>
      </c>
      <c r="H15" s="362">
        <f t="shared" si="6"/>
        <v>13195</v>
      </c>
      <c r="I15" s="362">
        <f t="shared" si="6"/>
        <v>31667</v>
      </c>
      <c r="J15" s="362">
        <f t="shared" si="6"/>
        <v>44862</v>
      </c>
    </row>
    <row r="16" spans="1:10" x14ac:dyDescent="0.25">
      <c r="D16" s="885"/>
      <c r="E16" s="620"/>
      <c r="F16" s="314"/>
      <c r="G16" s="315"/>
      <c r="H16" s="315"/>
      <c r="I16" s="315"/>
      <c r="J16" s="315"/>
    </row>
    <row r="17" spans="1:12" x14ac:dyDescent="0.25">
      <c r="A17" s="318" t="s">
        <v>558</v>
      </c>
      <c r="C17" s="364"/>
      <c r="D17" s="880"/>
      <c r="E17" s="366"/>
      <c r="F17" s="314"/>
      <c r="G17" s="315"/>
      <c r="H17" s="315"/>
      <c r="I17" s="315"/>
      <c r="J17" s="315"/>
    </row>
    <row r="18" spans="1:12" x14ac:dyDescent="0.25">
      <c r="B18" s="312" t="s">
        <v>140</v>
      </c>
      <c r="C18" s="347">
        <v>43678</v>
      </c>
      <c r="D18" s="880">
        <v>700000</v>
      </c>
      <c r="E18" s="366">
        <v>15</v>
      </c>
      <c r="F18" s="596">
        <v>0</v>
      </c>
      <c r="G18" s="596">
        <f t="shared" ref="G18:G22" si="7">IF(F18&lt;$D18,IF(F18+($D18/$E18)&lt;$D18,ROUND($D18/$E18,0),ROUND($D18-F18,0)),0)/12*5</f>
        <v>19444.583333333332</v>
      </c>
      <c r="H18" s="596">
        <f t="shared" ref="H18:H21" si="8">ROUND(SUM(F18:G18),0)</f>
        <v>19445</v>
      </c>
      <c r="I18" s="596">
        <f t="shared" ref="I18" si="9">IF(H18&lt;$D18,IF(H18+($D18/$E18)&lt;$D18,ROUND($D18/$E18,0),ROUND($D18-H18,0)),0)</f>
        <v>46667</v>
      </c>
      <c r="J18" s="596">
        <f t="shared" ref="J18:J21" si="10">ROUND(SUM(H18:I18),0)</f>
        <v>66112</v>
      </c>
    </row>
    <row r="19" spans="1:12" s="101" customFormat="1" x14ac:dyDescent="0.25">
      <c r="A19" s="312">
        <v>1</v>
      </c>
      <c r="B19" s="367" t="s">
        <v>653</v>
      </c>
      <c r="C19" s="347">
        <v>43678</v>
      </c>
      <c r="D19" s="886">
        <v>0</v>
      </c>
      <c r="E19" s="342">
        <v>5</v>
      </c>
      <c r="F19" s="596">
        <v>0</v>
      </c>
      <c r="G19" s="596">
        <f t="shared" si="7"/>
        <v>0</v>
      </c>
      <c r="H19" s="596">
        <f t="shared" si="8"/>
        <v>0</v>
      </c>
      <c r="I19" s="596">
        <f>IF(H19&lt;$D19,IF(H19+($D19/$E19)&lt;$D19,ROUND($D19/$E19,0),ROUND($D19-H19,0)),0)</f>
        <v>0</v>
      </c>
      <c r="J19" s="596">
        <f t="shared" si="10"/>
        <v>0</v>
      </c>
    </row>
    <row r="20" spans="1:12" s="101" customFormat="1" x14ac:dyDescent="0.25">
      <c r="A20" s="312">
        <v>2</v>
      </c>
      <c r="B20" s="367" t="s">
        <v>646</v>
      </c>
      <c r="C20" s="347">
        <v>43678</v>
      </c>
      <c r="D20" s="886">
        <v>0</v>
      </c>
      <c r="E20" s="342">
        <v>5</v>
      </c>
      <c r="F20" s="596">
        <v>0</v>
      </c>
      <c r="G20" s="596">
        <f t="shared" si="7"/>
        <v>0</v>
      </c>
      <c r="H20" s="596">
        <f t="shared" si="8"/>
        <v>0</v>
      </c>
      <c r="I20" s="596">
        <f t="shared" ref="I20:I21" si="11">IF(H20&lt;$D20,IF(H20+($D20/$E20)&lt;$D20,ROUND($D20/$E20,0),ROUND($D20-H20,0)),0)</f>
        <v>0</v>
      </c>
      <c r="J20" s="596">
        <f t="shared" si="10"/>
        <v>0</v>
      </c>
    </row>
    <row r="21" spans="1:12" s="101" customFormat="1" x14ac:dyDescent="0.25">
      <c r="A21" s="312">
        <v>3</v>
      </c>
      <c r="B21" s="367" t="s">
        <v>651</v>
      </c>
      <c r="C21" s="347">
        <v>43678</v>
      </c>
      <c r="D21" s="886">
        <v>0</v>
      </c>
      <c r="E21" s="342">
        <v>5</v>
      </c>
      <c r="F21" s="596">
        <v>0</v>
      </c>
      <c r="G21" s="596">
        <f t="shared" si="7"/>
        <v>0</v>
      </c>
      <c r="H21" s="596">
        <f t="shared" si="8"/>
        <v>0</v>
      </c>
      <c r="I21" s="596">
        <f t="shared" si="11"/>
        <v>0</v>
      </c>
      <c r="J21" s="596">
        <f t="shared" si="10"/>
        <v>0</v>
      </c>
    </row>
    <row r="22" spans="1:12" s="101" customFormat="1" x14ac:dyDescent="0.25">
      <c r="A22" s="312"/>
      <c r="B22" s="367" t="s">
        <v>540</v>
      </c>
      <c r="C22" s="350"/>
      <c r="D22" s="886">
        <v>0</v>
      </c>
      <c r="E22" s="342"/>
      <c r="F22" s="342">
        <v>0</v>
      </c>
      <c r="G22" s="596">
        <f t="shared" si="7"/>
        <v>0</v>
      </c>
      <c r="H22" s="342">
        <v>0</v>
      </c>
      <c r="I22" s="342">
        <v>0</v>
      </c>
      <c r="J22" s="342">
        <v>0</v>
      </c>
    </row>
    <row r="23" spans="1:12" x14ac:dyDescent="0.25">
      <c r="A23" s="318" t="s">
        <v>563</v>
      </c>
      <c r="B23" s="372"/>
      <c r="C23" s="364"/>
      <c r="D23" s="887">
        <f>SUM(D18:D22)</f>
        <v>700000</v>
      </c>
      <c r="E23" s="366"/>
      <c r="F23" s="373">
        <f t="shared" ref="F23:J23" si="12">SUM(F18:F22)</f>
        <v>0</v>
      </c>
      <c r="G23" s="373">
        <f t="shared" si="12"/>
        <v>19444.583333333332</v>
      </c>
      <c r="H23" s="373">
        <f t="shared" si="12"/>
        <v>19445</v>
      </c>
      <c r="I23" s="373">
        <f t="shared" si="12"/>
        <v>46667</v>
      </c>
      <c r="J23" s="373">
        <f t="shared" si="12"/>
        <v>66112</v>
      </c>
    </row>
    <row r="24" spans="1:12" x14ac:dyDescent="0.25">
      <c r="B24" s="372"/>
      <c r="C24" s="364"/>
      <c r="D24" s="888"/>
      <c r="E24" s="620"/>
      <c r="F24" s="366"/>
      <c r="G24" s="342"/>
      <c r="H24" s="342"/>
      <c r="I24" s="342"/>
      <c r="J24" s="342"/>
    </row>
    <row r="25" spans="1:12" x14ac:dyDescent="0.25">
      <c r="A25" s="318" t="s">
        <v>564</v>
      </c>
      <c r="C25" s="364"/>
      <c r="D25" s="881"/>
      <c r="E25" s="882"/>
      <c r="F25" s="314"/>
      <c r="G25" s="315"/>
      <c r="H25" s="315"/>
      <c r="I25" s="315"/>
      <c r="J25" s="315"/>
    </row>
    <row r="26" spans="1:12" x14ac:dyDescent="0.25">
      <c r="B26" s="312" t="s">
        <v>90</v>
      </c>
      <c r="C26" s="347">
        <v>43678</v>
      </c>
      <c r="D26" s="880">
        <v>610000</v>
      </c>
      <c r="E26" s="366">
        <v>15</v>
      </c>
      <c r="F26" s="596">
        <v>0</v>
      </c>
      <c r="G26" s="596">
        <f t="shared" ref="G26:G31" si="13">IF(F26&lt;$D26,IF(F26+($D26/$E26)&lt;$D26,ROUND($D26/$E26,0),ROUND($D26-F26,0)),0)/12*5</f>
        <v>16944.583333333332</v>
      </c>
      <c r="H26" s="596">
        <f t="shared" ref="H26:H30" si="14">ROUND(SUM(F26:G26),0)</f>
        <v>16945</v>
      </c>
      <c r="I26" s="596">
        <f t="shared" ref="I26:I28" si="15">IF(H26&lt;$D26,IF(H26+($D26/$E26)&lt;$D26,ROUND($D26/$E26,0),ROUND($D26-H26,0)),0)</f>
        <v>40667</v>
      </c>
      <c r="J26" s="596">
        <f t="shared" ref="J26:J28" si="16">ROUND(SUM(H26:I26),0)</f>
        <v>57612</v>
      </c>
    </row>
    <row r="27" spans="1:12" s="101" customFormat="1" x14ac:dyDescent="0.25">
      <c r="A27" s="312">
        <v>1</v>
      </c>
      <c r="B27" s="367" t="s">
        <v>769</v>
      </c>
      <c r="C27" s="347">
        <v>43678</v>
      </c>
      <c r="D27" s="880">
        <v>0</v>
      </c>
      <c r="E27" s="342">
        <v>5</v>
      </c>
      <c r="F27" s="596">
        <v>0</v>
      </c>
      <c r="G27" s="596">
        <f t="shared" si="13"/>
        <v>0</v>
      </c>
      <c r="H27" s="596">
        <f t="shared" si="14"/>
        <v>0</v>
      </c>
      <c r="I27" s="596">
        <f t="shared" si="15"/>
        <v>0</v>
      </c>
      <c r="J27" s="596">
        <f t="shared" si="16"/>
        <v>0</v>
      </c>
    </row>
    <row r="28" spans="1:12" s="101" customFormat="1" x14ac:dyDescent="0.25">
      <c r="A28" s="312">
        <v>2</v>
      </c>
      <c r="B28" s="367" t="s">
        <v>770</v>
      </c>
      <c r="C28" s="347">
        <v>43678</v>
      </c>
      <c r="D28" s="880">
        <v>0</v>
      </c>
      <c r="E28" s="342">
        <v>5</v>
      </c>
      <c r="F28" s="596">
        <v>0</v>
      </c>
      <c r="G28" s="596">
        <f t="shared" si="13"/>
        <v>0</v>
      </c>
      <c r="H28" s="596">
        <f t="shared" si="14"/>
        <v>0</v>
      </c>
      <c r="I28" s="596">
        <f t="shared" si="15"/>
        <v>0</v>
      </c>
      <c r="J28" s="596">
        <f t="shared" si="16"/>
        <v>0</v>
      </c>
    </row>
    <row r="29" spans="1:12" s="101" customFormat="1" x14ac:dyDescent="0.25">
      <c r="A29" s="312">
        <v>3</v>
      </c>
      <c r="B29" s="367" t="s">
        <v>656</v>
      </c>
      <c r="C29" s="347">
        <v>43678</v>
      </c>
      <c r="D29" s="880">
        <v>0</v>
      </c>
      <c r="E29" s="342">
        <v>5</v>
      </c>
      <c r="F29" s="596">
        <v>0</v>
      </c>
      <c r="G29" s="596">
        <f t="shared" si="13"/>
        <v>0</v>
      </c>
      <c r="H29" s="596">
        <f t="shared" si="14"/>
        <v>0</v>
      </c>
      <c r="I29" s="596">
        <f>IF(H29&lt;$D29,IF(H29+($D29/$E29)&lt;$D29,ROUND($D29/$E29,0),ROUND($D29-H29,0)),0)</f>
        <v>0</v>
      </c>
      <c r="J29" s="596">
        <f>ROUND(SUM(H29:I29),0)</f>
        <v>0</v>
      </c>
    </row>
    <row r="30" spans="1:12" s="101" customFormat="1" x14ac:dyDescent="0.25">
      <c r="A30" s="312"/>
      <c r="B30" s="367" t="s">
        <v>655</v>
      </c>
      <c r="C30" s="347">
        <v>43678</v>
      </c>
      <c r="D30" s="880">
        <v>0</v>
      </c>
      <c r="E30" s="342">
        <v>5</v>
      </c>
      <c r="F30" s="596">
        <v>0</v>
      </c>
      <c r="G30" s="596">
        <f t="shared" si="13"/>
        <v>0</v>
      </c>
      <c r="H30" s="596">
        <f t="shared" si="14"/>
        <v>0</v>
      </c>
      <c r="I30" s="596">
        <f t="shared" ref="I30:I31" si="17">IF(H30&lt;$D30,IF(H30+($D30/$E30)&lt;$D30,ROUND($D30/$E30,0),ROUND($D30-H30,0)),0)</f>
        <v>0</v>
      </c>
      <c r="J30" s="596">
        <f t="shared" ref="J30" si="18">ROUND(SUM(H30:I30),0)</f>
        <v>0</v>
      </c>
    </row>
    <row r="31" spans="1:12" x14ac:dyDescent="0.25">
      <c r="B31" s="367" t="s">
        <v>540</v>
      </c>
      <c r="C31" s="350"/>
      <c r="D31" s="886">
        <v>0</v>
      </c>
      <c r="E31" s="883"/>
      <c r="F31" s="596">
        <v>0</v>
      </c>
      <c r="G31" s="596">
        <f t="shared" si="13"/>
        <v>0</v>
      </c>
      <c r="H31" s="596">
        <f t="shared" ref="H31" si="19">ROUND(SUM(F31:G31),0)</f>
        <v>0</v>
      </c>
      <c r="I31" s="596">
        <f t="shared" si="17"/>
        <v>0</v>
      </c>
      <c r="J31" s="596">
        <f t="shared" ref="J31" si="20">ROUND(SUM(H31:I31),0)</f>
        <v>0</v>
      </c>
    </row>
    <row r="32" spans="1:12" x14ac:dyDescent="0.25">
      <c r="A32" s="376" t="s">
        <v>567</v>
      </c>
      <c r="B32" s="870"/>
      <c r="C32" s="350"/>
      <c r="D32" s="887">
        <f>SUM(D26:D31)</f>
        <v>610000</v>
      </c>
      <c r="E32" s="342"/>
      <c r="F32" s="374">
        <f t="shared" ref="F32:J32" si="21">SUM(F26:F31)</f>
        <v>0</v>
      </c>
      <c r="G32" s="374">
        <f t="shared" si="21"/>
        <v>16944.583333333332</v>
      </c>
      <c r="H32" s="374">
        <f t="shared" si="21"/>
        <v>16945</v>
      </c>
      <c r="I32" s="374">
        <f t="shared" si="21"/>
        <v>40667</v>
      </c>
      <c r="J32" s="374">
        <f t="shared" si="21"/>
        <v>57612</v>
      </c>
      <c r="L32" s="906">
        <f>+D32+D23+D15</f>
        <v>1785000</v>
      </c>
    </row>
    <row r="33" spans="1:12" x14ac:dyDescent="0.25">
      <c r="A33" s="376"/>
      <c r="B33" s="377"/>
      <c r="C33" s="378"/>
      <c r="D33" s="888"/>
      <c r="E33" s="631"/>
      <c r="F33" s="342"/>
      <c r="G33" s="342"/>
      <c r="H33" s="342"/>
      <c r="I33" s="342"/>
      <c r="J33" s="342"/>
    </row>
    <row r="34" spans="1:12" x14ac:dyDescent="0.25">
      <c r="A34" s="318" t="s">
        <v>568</v>
      </c>
      <c r="B34" s="349"/>
      <c r="C34" s="350"/>
      <c r="D34" s="886"/>
      <c r="E34" s="342"/>
      <c r="F34" s="315"/>
      <c r="G34" s="315"/>
      <c r="H34" s="315"/>
      <c r="I34" s="315"/>
      <c r="J34" s="315"/>
      <c r="L34" s="704">
        <f>+L32/30</f>
        <v>59500</v>
      </c>
    </row>
    <row r="35" spans="1:12" x14ac:dyDescent="0.25">
      <c r="B35" s="312" t="s">
        <v>569</v>
      </c>
      <c r="C35" s="347">
        <v>43678</v>
      </c>
      <c r="D35" s="880">
        <v>25000</v>
      </c>
      <c r="E35" s="342">
        <v>15</v>
      </c>
      <c r="F35" s="596">
        <v>0</v>
      </c>
      <c r="G35" s="596">
        <f t="shared" ref="G35:G37" si="22">IF(F35&lt;$D35,IF(F35+($D35/$E35)&lt;$D35,ROUND($D35/$E35,0),ROUND($D35-F35,0)),0)/12*5</f>
        <v>694.58333333333326</v>
      </c>
      <c r="H35" s="596">
        <f t="shared" ref="H35:H36" si="23">ROUND(SUM(F35:G35),0)</f>
        <v>695</v>
      </c>
      <c r="I35" s="596">
        <f t="shared" ref="I35:I37" si="24">IF(H35&lt;$D35,IF(H35+($D35/$E35)&lt;$D35,ROUND($D35/$E35,0),ROUND($D35-H35,0)),0)</f>
        <v>1667</v>
      </c>
      <c r="J35" s="596">
        <f t="shared" ref="J35:J36" si="25">ROUND(SUM(H35:I35),0)</f>
        <v>2362</v>
      </c>
    </row>
    <row r="36" spans="1:12" x14ac:dyDescent="0.25">
      <c r="B36" s="312" t="s">
        <v>574</v>
      </c>
      <c r="C36" s="347">
        <v>43678</v>
      </c>
      <c r="D36" s="886">
        <v>10000</v>
      </c>
      <c r="E36" s="342">
        <v>15</v>
      </c>
      <c r="F36" s="596">
        <v>0</v>
      </c>
      <c r="G36" s="596">
        <f t="shared" si="22"/>
        <v>277.91666666666669</v>
      </c>
      <c r="H36" s="596">
        <f t="shared" si="23"/>
        <v>278</v>
      </c>
      <c r="I36" s="596">
        <f t="shared" si="24"/>
        <v>667</v>
      </c>
      <c r="J36" s="596">
        <f t="shared" si="25"/>
        <v>945</v>
      </c>
      <c r="L36" s="1221">
        <v>0.12</v>
      </c>
    </row>
    <row r="37" spans="1:12" x14ac:dyDescent="0.25">
      <c r="B37" s="367" t="s">
        <v>540</v>
      </c>
      <c r="C37" s="359"/>
      <c r="D37" s="881">
        <v>0</v>
      </c>
      <c r="E37" s="883"/>
      <c r="F37" s="596">
        <v>0</v>
      </c>
      <c r="G37" s="596">
        <f t="shared" si="22"/>
        <v>0</v>
      </c>
      <c r="H37" s="596">
        <f>ROUND(SUM(F37:G37),0)</f>
        <v>0</v>
      </c>
      <c r="I37" s="596">
        <f t="shared" si="24"/>
        <v>0</v>
      </c>
      <c r="J37" s="596">
        <f>ROUND(SUM(H37:I37),0)</f>
        <v>0</v>
      </c>
    </row>
    <row r="38" spans="1:12" x14ac:dyDescent="0.25">
      <c r="A38" s="376" t="s">
        <v>579</v>
      </c>
      <c r="B38" s="870"/>
      <c r="C38" s="350"/>
      <c r="D38" s="887">
        <f>SUM(D35:D37)</f>
        <v>35000</v>
      </c>
      <c r="E38" s="342"/>
      <c r="F38" s="374">
        <f t="shared" ref="F38:J38" si="26">SUM(F35:F37)</f>
        <v>0</v>
      </c>
      <c r="G38" s="374">
        <f t="shared" si="26"/>
        <v>972.5</v>
      </c>
      <c r="H38" s="374">
        <f t="shared" si="26"/>
        <v>973</v>
      </c>
      <c r="I38" s="374">
        <f t="shared" si="26"/>
        <v>2334</v>
      </c>
      <c r="J38" s="374">
        <f t="shared" si="26"/>
        <v>3307</v>
      </c>
      <c r="L38" s="342">
        <f>+L32*L36</f>
        <v>214200</v>
      </c>
    </row>
    <row r="39" spans="1:12" x14ac:dyDescent="0.25">
      <c r="B39" s="349"/>
      <c r="C39" s="350"/>
      <c r="D39" s="888"/>
      <c r="E39" s="631"/>
      <c r="F39" s="315"/>
      <c r="G39" s="315"/>
      <c r="H39" s="315"/>
      <c r="I39" s="315"/>
      <c r="J39" s="315"/>
    </row>
    <row r="40" spans="1:12" ht="13" thickBot="1" x14ac:dyDescent="0.3">
      <c r="A40" s="376" t="s">
        <v>582</v>
      </c>
      <c r="B40" s="312"/>
      <c r="C40" s="341"/>
      <c r="D40" s="889">
        <f>D15+D23+D32+D38</f>
        <v>1820000</v>
      </c>
      <c r="E40" s="342"/>
      <c r="F40" s="382">
        <f>F15+F23+F32+F38</f>
        <v>0</v>
      </c>
      <c r="G40" s="382">
        <f>G15+G23+G32+G38</f>
        <v>50556.25</v>
      </c>
      <c r="H40" s="382">
        <f>H15+H23+H32+H38</f>
        <v>50558</v>
      </c>
      <c r="I40" s="382">
        <f>I15+I23+I32+I38</f>
        <v>121335</v>
      </c>
      <c r="J40" s="382">
        <f>J15+J23+J32+J38</f>
        <v>171893</v>
      </c>
    </row>
    <row r="41" spans="1:12" ht="13" thickTop="1" x14ac:dyDescent="0.25">
      <c r="B41" s="312"/>
      <c r="C41" s="341"/>
      <c r="D41" s="890"/>
      <c r="E41" s="631"/>
      <c r="F41" s="399"/>
    </row>
    <row r="42" spans="1:12" x14ac:dyDescent="0.25">
      <c r="B42" s="312"/>
      <c r="C42" s="359"/>
      <c r="D42" s="881"/>
      <c r="E42" s="883"/>
      <c r="F42" s="399"/>
    </row>
    <row r="43" spans="1:12" ht="13" x14ac:dyDescent="0.25">
      <c r="A43" s="344" t="s">
        <v>583</v>
      </c>
      <c r="B43" s="312"/>
      <c r="C43" s="359"/>
      <c r="D43" s="881"/>
      <c r="E43" s="883"/>
      <c r="F43" s="399"/>
    </row>
    <row r="44" spans="1:12" x14ac:dyDescent="0.25">
      <c r="A44" s="376" t="s">
        <v>584</v>
      </c>
      <c r="B44" s="312"/>
      <c r="C44" s="350"/>
      <c r="D44" s="880"/>
      <c r="E44" s="342"/>
      <c r="F44" s="399"/>
    </row>
    <row r="45" spans="1:12" x14ac:dyDescent="0.25">
      <c r="B45" s="312" t="s">
        <v>99</v>
      </c>
      <c r="C45" s="347">
        <v>43678</v>
      </c>
      <c r="D45" s="880">
        <v>7500</v>
      </c>
      <c r="E45" s="342">
        <v>7</v>
      </c>
      <c r="F45" s="596">
        <v>0</v>
      </c>
      <c r="G45" s="596">
        <f t="shared" ref="G45:G49" si="27">IF(F45&lt;$D45,IF(F45+($D45/$E45)&lt;$D45,ROUND($D45/$E45,0),ROUND($D45-F45,0)),0)/12*5</f>
        <v>446.25</v>
      </c>
      <c r="H45" s="596">
        <f t="shared" ref="H45:H49" si="28">ROUND(SUM(F45:G45),0)</f>
        <v>446</v>
      </c>
      <c r="I45" s="596">
        <f t="shared" ref="I45:I47" si="29">IF(H45&lt;$D45,IF(H45+($D45/$E45)&lt;$D45,ROUND($D45/$E45,0),ROUND($D45-H45,0)),0)</f>
        <v>1071</v>
      </c>
      <c r="J45" s="596">
        <f t="shared" ref="J45:J48" si="30">ROUND(SUM(H45:I45),0)</f>
        <v>1517</v>
      </c>
    </row>
    <row r="46" spans="1:12" x14ac:dyDescent="0.25">
      <c r="B46" s="312" t="s">
        <v>102</v>
      </c>
      <c r="C46" s="347">
        <v>43678</v>
      </c>
      <c r="D46" s="886">
        <v>70000</v>
      </c>
      <c r="E46" s="342">
        <v>10</v>
      </c>
      <c r="F46" s="596">
        <v>0</v>
      </c>
      <c r="G46" s="596">
        <f t="shared" si="27"/>
        <v>2916.666666666667</v>
      </c>
      <c r="H46" s="596">
        <f t="shared" si="28"/>
        <v>2917</v>
      </c>
      <c r="I46" s="596">
        <f t="shared" si="29"/>
        <v>7000</v>
      </c>
      <c r="J46" s="596">
        <f t="shared" si="30"/>
        <v>9917</v>
      </c>
    </row>
    <row r="47" spans="1:12" x14ac:dyDescent="0.25">
      <c r="B47" s="383" t="s">
        <v>171</v>
      </c>
      <c r="C47" s="347">
        <v>43678</v>
      </c>
      <c r="D47" s="886">
        <v>13000</v>
      </c>
      <c r="E47" s="342">
        <v>7</v>
      </c>
      <c r="F47" s="596">
        <v>0</v>
      </c>
      <c r="G47" s="596">
        <f t="shared" si="27"/>
        <v>773.75</v>
      </c>
      <c r="H47" s="596">
        <f t="shared" si="28"/>
        <v>774</v>
      </c>
      <c r="I47" s="596">
        <f t="shared" si="29"/>
        <v>1857</v>
      </c>
      <c r="J47" s="596">
        <f t="shared" si="30"/>
        <v>2631</v>
      </c>
    </row>
    <row r="48" spans="1:12" s="101" customFormat="1" x14ac:dyDescent="0.25">
      <c r="A48" s="312"/>
      <c r="B48" s="383" t="s">
        <v>771</v>
      </c>
      <c r="C48" s="347">
        <v>43678</v>
      </c>
      <c r="D48" s="886">
        <v>60000</v>
      </c>
      <c r="E48" s="342">
        <v>10</v>
      </c>
      <c r="F48" s="596">
        <v>0</v>
      </c>
      <c r="G48" s="596">
        <f t="shared" si="27"/>
        <v>2500</v>
      </c>
      <c r="H48" s="596">
        <f t="shared" si="28"/>
        <v>2500</v>
      </c>
      <c r="I48" s="596">
        <f>IF(H48&lt;$D48,IF(H48+($D48/$E48)&lt;$D48,ROUND($D48/$E48,0),ROUND($D48-H48,0)),0)</f>
        <v>6000</v>
      </c>
      <c r="J48" s="596">
        <f t="shared" si="30"/>
        <v>8500</v>
      </c>
    </row>
    <row r="49" spans="1:10" x14ac:dyDescent="0.25">
      <c r="B49" s="367" t="s">
        <v>540</v>
      </c>
      <c r="C49" s="350"/>
      <c r="D49" s="886">
        <v>0</v>
      </c>
      <c r="E49" s="342"/>
      <c r="F49" s="596">
        <v>0</v>
      </c>
      <c r="G49" s="596">
        <f t="shared" si="27"/>
        <v>0</v>
      </c>
      <c r="H49" s="596">
        <f t="shared" si="28"/>
        <v>0</v>
      </c>
      <c r="I49" s="596">
        <f>IF(H49&lt;$D49,IF(H49+($D49/$E49)&lt;$D49,ROUND($D49/$E49,0),ROUND($D49-H49,0)),0)</f>
        <v>0</v>
      </c>
      <c r="J49" s="596">
        <v>0</v>
      </c>
    </row>
    <row r="50" spans="1:10" x14ac:dyDescent="0.25">
      <c r="A50" s="376" t="s">
        <v>586</v>
      </c>
      <c r="B50" s="870"/>
      <c r="C50" s="891" t="s">
        <v>659</v>
      </c>
      <c r="D50" s="887">
        <f>SUM(D45:D49)</f>
        <v>150500</v>
      </c>
      <c r="E50" s="342"/>
      <c r="F50" s="374">
        <f>SUM(F45:F49)</f>
        <v>0</v>
      </c>
      <c r="G50" s="374">
        <f>SUM(G45:G49)</f>
        <v>6636.666666666667</v>
      </c>
      <c r="H50" s="374">
        <f>SUM(H45:H49)</f>
        <v>6637</v>
      </c>
      <c r="I50" s="374">
        <f>SUM(I45:I49)</f>
        <v>15928</v>
      </c>
      <c r="J50" s="374">
        <f>SUM(J45:J49)</f>
        <v>22565</v>
      </c>
    </row>
    <row r="51" spans="1:10" ht="13" x14ac:dyDescent="0.25">
      <c r="A51" s="344"/>
      <c r="B51" s="312"/>
      <c r="C51" s="359"/>
      <c r="D51" s="885"/>
      <c r="E51" s="631"/>
      <c r="F51" s="315"/>
      <c r="G51" s="315"/>
      <c r="H51" s="315"/>
      <c r="I51" s="315"/>
      <c r="J51" s="315"/>
    </row>
    <row r="52" spans="1:10" x14ac:dyDescent="0.25">
      <c r="A52" s="376" t="s">
        <v>588</v>
      </c>
      <c r="B52" s="312"/>
      <c r="C52" s="350"/>
      <c r="D52" s="880"/>
      <c r="E52" s="342"/>
      <c r="F52" s="315"/>
      <c r="G52" s="315"/>
      <c r="H52" s="315"/>
      <c r="I52" s="315"/>
      <c r="J52" s="315"/>
    </row>
    <row r="53" spans="1:10" x14ac:dyDescent="0.25">
      <c r="B53" s="312" t="s">
        <v>772</v>
      </c>
      <c r="C53" s="347">
        <v>43678</v>
      </c>
      <c r="D53" s="880">
        <v>7500</v>
      </c>
      <c r="E53" s="342">
        <v>5</v>
      </c>
      <c r="F53" s="596">
        <v>0</v>
      </c>
      <c r="G53" s="596">
        <f t="shared" ref="G53:G55" si="31">IF(F53&lt;$D53,IF(F53+($D53/$E53)&lt;$D53,ROUND($D53/$E53,0),ROUND($D53-F53,0)),0)/12*5</f>
        <v>625</v>
      </c>
      <c r="H53" s="596">
        <f t="shared" ref="H53:H55" si="32">ROUND(SUM(F53:G53),0)</f>
        <v>625</v>
      </c>
      <c r="I53" s="596">
        <f t="shared" ref="I53:I55" si="33">IF(H53&lt;$D53,IF(H53+($D53/$E53)&lt;$D53,ROUND($D53/$E53,0),ROUND($D53-H53,0)),0)</f>
        <v>1500</v>
      </c>
      <c r="J53" s="596">
        <f t="shared" ref="J53:J55" si="34">ROUND(SUM(H53:I53),0)</f>
        <v>2125</v>
      </c>
    </row>
    <row r="54" spans="1:10" x14ac:dyDescent="0.25">
      <c r="B54" s="349" t="s">
        <v>96</v>
      </c>
      <c r="C54" s="347">
        <v>43678</v>
      </c>
      <c r="D54" s="886">
        <v>7500</v>
      </c>
      <c r="E54" s="342">
        <v>5</v>
      </c>
      <c r="F54" s="596">
        <v>0</v>
      </c>
      <c r="G54" s="596">
        <f t="shared" si="31"/>
        <v>625</v>
      </c>
      <c r="H54" s="596">
        <f t="shared" si="32"/>
        <v>625</v>
      </c>
      <c r="I54" s="596">
        <f t="shared" si="33"/>
        <v>1500</v>
      </c>
      <c r="J54" s="596">
        <f t="shared" si="34"/>
        <v>2125</v>
      </c>
    </row>
    <row r="55" spans="1:10" s="101" customFormat="1" x14ac:dyDescent="0.25">
      <c r="A55" s="312"/>
      <c r="B55" s="367" t="s">
        <v>540</v>
      </c>
      <c r="C55" s="359"/>
      <c r="D55" s="881">
        <v>0</v>
      </c>
      <c r="E55" s="883"/>
      <c r="F55" s="596"/>
      <c r="G55" s="596">
        <f t="shared" si="31"/>
        <v>0</v>
      </c>
      <c r="H55" s="596">
        <f t="shared" si="32"/>
        <v>0</v>
      </c>
      <c r="I55" s="596">
        <f t="shared" si="33"/>
        <v>0</v>
      </c>
      <c r="J55" s="596">
        <f t="shared" si="34"/>
        <v>0</v>
      </c>
    </row>
    <row r="56" spans="1:10" x14ac:dyDescent="0.25">
      <c r="A56" s="376" t="s">
        <v>593</v>
      </c>
      <c r="B56" s="870"/>
      <c r="C56" s="350"/>
      <c r="D56" s="887">
        <f>SUM(D53:D55)</f>
        <v>15000</v>
      </c>
      <c r="E56" s="342"/>
      <c r="F56" s="374">
        <f>SUM(F53:F55)</f>
        <v>0</v>
      </c>
      <c r="G56" s="374">
        <f>SUM(G53:G55)</f>
        <v>1250</v>
      </c>
      <c r="H56" s="374">
        <f>SUM(H53:H55)</f>
        <v>1250</v>
      </c>
      <c r="I56" s="374">
        <f>SUM(I53:I55)</f>
        <v>3000</v>
      </c>
      <c r="J56" s="374">
        <f>SUM(J53:J55)</f>
        <v>4250</v>
      </c>
    </row>
    <row r="57" spans="1:10" x14ac:dyDescent="0.25">
      <c r="A57" s="376"/>
      <c r="B57" s="870"/>
      <c r="C57" s="350"/>
      <c r="D57" s="888"/>
      <c r="E57" s="631"/>
      <c r="F57" s="342"/>
      <c r="G57" s="342"/>
      <c r="H57" s="342"/>
      <c r="I57" s="342"/>
      <c r="J57" s="342"/>
    </row>
    <row r="58" spans="1:10" ht="13" thickBot="1" x14ac:dyDescent="0.3">
      <c r="A58" s="318" t="s">
        <v>594</v>
      </c>
      <c r="B58" s="349"/>
      <c r="C58" s="350"/>
      <c r="D58" s="892">
        <f>SUM(D50,D56)</f>
        <v>165500</v>
      </c>
      <c r="E58" s="342"/>
      <c r="F58" s="345">
        <f>SUM(F50,F56)</f>
        <v>0</v>
      </c>
      <c r="G58" s="345">
        <f>SUM(G50,G56)</f>
        <v>7886.666666666667</v>
      </c>
      <c r="H58" s="345">
        <f>SUM(H50,H56)</f>
        <v>7887</v>
      </c>
      <c r="I58" s="1185">
        <f>SUM(I50,I56)</f>
        <v>18928</v>
      </c>
      <c r="J58" s="345">
        <f>SUM(J50,J56)</f>
        <v>26815</v>
      </c>
    </row>
    <row r="59" spans="1:10" ht="13" thickTop="1" x14ac:dyDescent="0.25">
      <c r="B59" s="349"/>
      <c r="C59" s="341"/>
      <c r="D59" s="893"/>
      <c r="E59" s="631"/>
      <c r="F59" s="315"/>
      <c r="G59" s="315"/>
      <c r="H59" s="315"/>
      <c r="I59" s="315"/>
      <c r="J59" s="315"/>
    </row>
    <row r="60" spans="1:10" x14ac:dyDescent="0.25">
      <c r="B60" s="349"/>
      <c r="C60" s="341"/>
      <c r="D60" s="879"/>
      <c r="E60" s="342"/>
      <c r="F60" s="315"/>
      <c r="G60" s="315"/>
      <c r="H60" s="315"/>
      <c r="I60" s="315"/>
      <c r="J60" s="315"/>
    </row>
    <row r="61" spans="1:10" ht="13" x14ac:dyDescent="0.25">
      <c r="A61" s="339" t="s">
        <v>595</v>
      </c>
      <c r="B61" s="312"/>
      <c r="C61" s="350"/>
      <c r="D61" s="880"/>
      <c r="E61" s="342"/>
      <c r="F61" s="315"/>
      <c r="G61" s="315"/>
      <c r="H61" s="315"/>
      <c r="I61" s="315"/>
      <c r="J61" s="315"/>
    </row>
    <row r="62" spans="1:10" x14ac:dyDescent="0.25">
      <c r="B62" s="349" t="s">
        <v>95</v>
      </c>
      <c r="C62" s="347">
        <v>43678</v>
      </c>
      <c r="D62" s="886">
        <v>500</v>
      </c>
      <c r="E62" s="342">
        <v>5</v>
      </c>
      <c r="F62" s="596">
        <v>0</v>
      </c>
      <c r="G62" s="596">
        <f t="shared" ref="G62:G65" si="35">IF(F62&lt;$D62,IF(F62+($D62/$E62)&lt;$D62,ROUND($D62/$E62,0),ROUND($D62-F62,0)),0)/12*5</f>
        <v>41.666666666666671</v>
      </c>
      <c r="H62" s="596">
        <f t="shared" ref="H62" si="36">ROUND(SUM(F62:G62),0)</f>
        <v>42</v>
      </c>
      <c r="I62" s="596">
        <f t="shared" ref="I62:I63" si="37">IF(H62&lt;$D62,IF(H62+($D62/$E62)&lt;$D62,ROUND($D62/$E62,0),ROUND($D62-H62,0)),0)</f>
        <v>100</v>
      </c>
      <c r="J62" s="596">
        <f t="shared" ref="J62" si="38">ROUND(SUM(H62:I62),0)</f>
        <v>142</v>
      </c>
    </row>
    <row r="63" spans="1:10" s="101" customFormat="1" x14ac:dyDescent="0.25">
      <c r="A63" s="312"/>
      <c r="B63" s="349" t="s">
        <v>773</v>
      </c>
      <c r="C63" s="347">
        <v>43678</v>
      </c>
      <c r="D63" s="886">
        <v>6500</v>
      </c>
      <c r="E63" s="342">
        <v>5</v>
      </c>
      <c r="F63" s="596">
        <v>0</v>
      </c>
      <c r="G63" s="596">
        <f t="shared" si="35"/>
        <v>541.66666666666663</v>
      </c>
      <c r="H63" s="596">
        <f>ROUND(SUM(F63:G63),0)</f>
        <v>542</v>
      </c>
      <c r="I63" s="596">
        <f t="shared" si="37"/>
        <v>1300</v>
      </c>
      <c r="J63" s="596">
        <f>ROUND(SUM(H63:I63),0)</f>
        <v>1842</v>
      </c>
    </row>
    <row r="64" spans="1:10" s="101" customFormat="1" x14ac:dyDescent="0.25">
      <c r="A64" s="312"/>
      <c r="B64" s="349" t="s">
        <v>710</v>
      </c>
      <c r="C64" s="347">
        <v>43678</v>
      </c>
      <c r="D64" s="886">
        <v>7500</v>
      </c>
      <c r="E64" s="342">
        <v>5</v>
      </c>
      <c r="F64" s="596">
        <v>0</v>
      </c>
      <c r="G64" s="596">
        <f t="shared" si="35"/>
        <v>625</v>
      </c>
      <c r="H64" s="596">
        <f>ROUND(SUM(F64:G64),0)</f>
        <v>625</v>
      </c>
      <c r="I64" s="596">
        <f>IF(H64&lt;$D64,IF(H64+($D64/$E64)&lt;$D64,ROUND($D64/$E64,0),ROUND($D64-H64,0)),0)</f>
        <v>1500</v>
      </c>
      <c r="J64" s="596">
        <f>ROUND(SUM(H64:I64),0)</f>
        <v>2125</v>
      </c>
    </row>
    <row r="65" spans="1:11" s="101" customFormat="1" x14ac:dyDescent="0.25">
      <c r="A65" s="312"/>
      <c r="B65" s="367" t="s">
        <v>540</v>
      </c>
      <c r="C65" s="350"/>
      <c r="D65" s="886">
        <v>0</v>
      </c>
      <c r="E65" s="342"/>
      <c r="F65" s="596">
        <v>0</v>
      </c>
      <c r="G65" s="596">
        <f t="shared" si="35"/>
        <v>0</v>
      </c>
      <c r="H65" s="596">
        <f>ROUND(SUM(F65:G65),0)</f>
        <v>0</v>
      </c>
      <c r="I65" s="596">
        <v>0</v>
      </c>
      <c r="J65" s="596">
        <f>ROUND(SUM(H65:I65),0)</f>
        <v>0</v>
      </c>
    </row>
    <row r="66" spans="1:11" ht="13" thickBot="1" x14ac:dyDescent="0.3">
      <c r="A66" s="318" t="s">
        <v>596</v>
      </c>
      <c r="B66" s="349"/>
      <c r="C66" s="350"/>
      <c r="D66" s="892">
        <f>SUM(D62:D65)</f>
        <v>14500</v>
      </c>
      <c r="E66" s="342"/>
      <c r="F66" s="345">
        <f t="shared" ref="F66:J66" si="39">SUM(F62:F65)</f>
        <v>0</v>
      </c>
      <c r="G66" s="345">
        <f t="shared" si="39"/>
        <v>1208.3333333333333</v>
      </c>
      <c r="H66" s="345">
        <f t="shared" si="39"/>
        <v>1209</v>
      </c>
      <c r="I66" s="1185">
        <f t="shared" si="39"/>
        <v>2900</v>
      </c>
      <c r="J66" s="345">
        <f t="shared" si="39"/>
        <v>4109</v>
      </c>
    </row>
    <row r="67" spans="1:11" ht="13" thickTop="1" x14ac:dyDescent="0.25">
      <c r="D67" s="894"/>
      <c r="E67" s="620"/>
      <c r="F67" s="596"/>
      <c r="G67" s="596"/>
      <c r="H67" s="596"/>
      <c r="I67" s="596"/>
      <c r="J67" s="596"/>
    </row>
    <row r="68" spans="1:11" ht="13" thickBot="1" x14ac:dyDescent="0.3">
      <c r="D68" s="895"/>
      <c r="E68" s="882"/>
      <c r="F68" s="385"/>
      <c r="G68" s="385"/>
      <c r="H68" s="385"/>
      <c r="I68" s="385"/>
      <c r="J68" s="385"/>
    </row>
    <row r="69" spans="1:11" ht="13.5" thickBot="1" x14ac:dyDescent="0.3">
      <c r="A69" s="339" t="s">
        <v>774</v>
      </c>
      <c r="D69" s="896">
        <f>D40+D58+D66</f>
        <v>2000000</v>
      </c>
      <c r="E69" s="882"/>
      <c r="F69" s="388">
        <f>SUM(F104+F110+F116+F40+F58+F66)</f>
        <v>0</v>
      </c>
      <c r="G69" s="388">
        <f>SUM(G104+G110+G116+G40+G58+G66)</f>
        <v>59651.25</v>
      </c>
      <c r="H69" s="388">
        <f>SUM(H104+H110+H116+H40+H58+H66)</f>
        <v>59654</v>
      </c>
      <c r="I69" s="388">
        <f>SUM(I104+I110+I116+I40+I58+I66)</f>
        <v>143163</v>
      </c>
      <c r="J69" s="388">
        <f>SUM(J104+J110+J116+J40+J58+J66)</f>
        <v>202817</v>
      </c>
    </row>
    <row r="70" spans="1:11" ht="13" thickTop="1" x14ac:dyDescent="0.25">
      <c r="D70" s="897"/>
      <c r="E70" s="882"/>
      <c r="F70" s="399"/>
    </row>
    <row r="71" spans="1:11" x14ac:dyDescent="0.25">
      <c r="D71" s="897"/>
      <c r="E71" s="882"/>
      <c r="F71" s="399"/>
    </row>
    <row r="72" spans="1:11" x14ac:dyDescent="0.25">
      <c r="D72" s="897"/>
      <c r="E72" s="882"/>
      <c r="F72" s="399"/>
    </row>
    <row r="73" spans="1:11" x14ac:dyDescent="0.25">
      <c r="F73" s="399"/>
    </row>
    <row r="74" spans="1:11" x14ac:dyDescent="0.25">
      <c r="F74" s="399"/>
    </row>
    <row r="75" spans="1:11" ht="13" x14ac:dyDescent="0.25">
      <c r="A75" s="898" t="s">
        <v>775</v>
      </c>
      <c r="F75" s="399"/>
    </row>
    <row r="76" spans="1:11" x14ac:dyDescent="0.25">
      <c r="F76" s="399"/>
    </row>
    <row r="77" spans="1:11" ht="13" x14ac:dyDescent="0.25">
      <c r="A77" s="339" t="s">
        <v>776</v>
      </c>
      <c r="C77" s="346"/>
      <c r="D77" s="876"/>
      <c r="E77" s="366"/>
      <c r="F77" s="399"/>
    </row>
    <row r="78" spans="1:11" x14ac:dyDescent="0.25">
      <c r="B78" s="312" t="s">
        <v>777</v>
      </c>
      <c r="C78" s="341" t="s">
        <v>778</v>
      </c>
      <c r="D78" s="880">
        <v>500000</v>
      </c>
      <c r="E78" s="899">
        <v>10</v>
      </c>
      <c r="F78" s="596">
        <v>0</v>
      </c>
      <c r="G78" s="596">
        <f>IF(F78&lt;$D78,IF(F78+($D78/$E78)&lt;$D78,ROUND($D78/$E78,0),ROUND($D78-F78,0)),0)</f>
        <v>50000</v>
      </c>
      <c r="H78" s="596">
        <f t="shared" ref="H78" si="40">ROUND(SUM(F78:G78),0)</f>
        <v>50000</v>
      </c>
      <c r="I78" s="596">
        <f>IF(H78&lt;$D78,IF(H78+($D78/$E78)&lt;$D78,ROUND($D78/$E78,0),ROUND($D78-H78,0)),0)</f>
        <v>50000</v>
      </c>
      <c r="J78" s="596">
        <f t="shared" ref="J78" si="41">ROUND(SUM(H78:I78),0)</f>
        <v>100000</v>
      </c>
    </row>
    <row r="79" spans="1:11" x14ac:dyDescent="0.25">
      <c r="A79" s="312"/>
      <c r="B79" s="367"/>
      <c r="C79" s="347"/>
      <c r="D79" s="886" t="s">
        <v>559</v>
      </c>
      <c r="E79" s="342"/>
      <c r="F79" s="596">
        <v>0</v>
      </c>
      <c r="G79" s="342">
        <v>0</v>
      </c>
      <c r="H79" s="596">
        <f t="shared" ref="H79" si="42">ROUND(SUM(F79:G79),0)</f>
        <v>0</v>
      </c>
      <c r="I79" s="342">
        <v>0</v>
      </c>
      <c r="J79" s="596">
        <f t="shared" ref="J79" si="43">ROUND(SUM(H79:I79),0)</f>
        <v>0</v>
      </c>
    </row>
    <row r="80" spans="1:11" s="101" customFormat="1" ht="13" thickBot="1" x14ac:dyDescent="0.3">
      <c r="A80" s="376" t="s">
        <v>779</v>
      </c>
      <c r="B80" s="318" t="s">
        <v>780</v>
      </c>
      <c r="C80" s="323"/>
      <c r="D80" s="892">
        <f>SUM(D78:D79)</f>
        <v>500000</v>
      </c>
      <c r="E80" s="366"/>
      <c r="F80" s="345">
        <f>SUM(F78:F79)</f>
        <v>0</v>
      </c>
      <c r="G80" s="345">
        <f>SUM(G78:G79)</f>
        <v>50000</v>
      </c>
      <c r="H80" s="345">
        <f>SUM(H78:H79)</f>
        <v>50000</v>
      </c>
      <c r="I80" s="345">
        <f>SUM(I78:I79)</f>
        <v>50000</v>
      </c>
      <c r="J80" s="345">
        <f>SUM(J78:J79)</f>
        <v>100000</v>
      </c>
      <c r="K80" s="704"/>
    </row>
    <row r="81" spans="1:11" ht="13" thickTop="1" x14ac:dyDescent="0.25">
      <c r="A81" s="376"/>
      <c r="C81" s="323"/>
      <c r="D81" s="886"/>
      <c r="E81" s="366"/>
      <c r="F81" s="342"/>
      <c r="G81" s="342"/>
      <c r="H81" s="342"/>
      <c r="I81" s="342"/>
      <c r="J81" s="342"/>
    </row>
    <row r="82" spans="1:11" x14ac:dyDescent="0.25">
      <c r="C82" s="323"/>
      <c r="D82" s="876"/>
      <c r="E82" s="366"/>
      <c r="F82" s="399"/>
    </row>
    <row r="83" spans="1:11" ht="13.5" thickBot="1" x14ac:dyDescent="0.3">
      <c r="A83" s="339" t="s">
        <v>781</v>
      </c>
      <c r="D83" s="896">
        <f>D69+D80</f>
        <v>2500000</v>
      </c>
      <c r="E83" s="882"/>
      <c r="F83" s="900">
        <f t="shared" ref="F83:J83" si="44">F69+F80</f>
        <v>0</v>
      </c>
      <c r="G83" s="900">
        <f t="shared" si="44"/>
        <v>109651.25</v>
      </c>
      <c r="H83" s="900">
        <f t="shared" si="44"/>
        <v>109654</v>
      </c>
      <c r="I83" s="900">
        <f t="shared" si="44"/>
        <v>193163</v>
      </c>
      <c r="J83" s="900">
        <f t="shared" si="44"/>
        <v>302817</v>
      </c>
    </row>
    <row r="84" spans="1:11" ht="13" thickTop="1" x14ac:dyDescent="0.25">
      <c r="F84" s="901"/>
      <c r="G84" s="901"/>
      <c r="H84" s="901"/>
      <c r="I84" s="901"/>
      <c r="J84" s="901"/>
    </row>
    <row r="85" spans="1:11" x14ac:dyDescent="0.25">
      <c r="D85" s="897"/>
      <c r="E85" s="882"/>
      <c r="F85" s="901"/>
      <c r="G85" s="901"/>
      <c r="H85" s="901"/>
      <c r="I85" s="901"/>
      <c r="J85" s="901"/>
    </row>
    <row r="86" spans="1:11" ht="13" x14ac:dyDescent="0.25">
      <c r="B86" s="650" t="s">
        <v>512</v>
      </c>
      <c r="C86" s="390" t="s">
        <v>599</v>
      </c>
      <c r="D86" s="902" t="s">
        <v>600</v>
      </c>
      <c r="F86" s="881"/>
      <c r="G86" s="875"/>
      <c r="H86" s="875"/>
      <c r="I86" s="901"/>
      <c r="J86" s="903"/>
      <c r="K86" s="2"/>
    </row>
    <row r="87" spans="1:11" ht="13" x14ac:dyDescent="0.25">
      <c r="B87" s="651">
        <f>A3</f>
        <v>43830</v>
      </c>
      <c r="C87" s="393" t="s">
        <v>601</v>
      </c>
      <c r="D87" s="393" t="s">
        <v>782</v>
      </c>
      <c r="F87" s="881"/>
      <c r="G87" s="875"/>
      <c r="H87" s="875"/>
      <c r="I87" s="901"/>
      <c r="J87" s="903"/>
      <c r="K87" s="2"/>
    </row>
    <row r="88" spans="1:11" x14ac:dyDescent="0.25">
      <c r="B88" s="318" t="s">
        <v>535</v>
      </c>
      <c r="C88" s="396">
        <f>D104</f>
        <v>0</v>
      </c>
      <c r="D88" s="904">
        <f>D104-J104</f>
        <v>0</v>
      </c>
      <c r="F88" s="881"/>
      <c r="G88" s="875"/>
      <c r="H88" s="875"/>
      <c r="I88" s="901"/>
      <c r="J88" s="903"/>
      <c r="K88" s="2"/>
    </row>
    <row r="89" spans="1:11" x14ac:dyDescent="0.25">
      <c r="B89" s="376" t="s">
        <v>237</v>
      </c>
      <c r="C89" s="396">
        <f>D110</f>
        <v>0</v>
      </c>
      <c r="D89" s="905">
        <f>D110-H110</f>
        <v>0</v>
      </c>
      <c r="F89" s="881"/>
      <c r="G89" s="875"/>
      <c r="H89" s="875"/>
      <c r="I89" s="901"/>
      <c r="J89" s="906"/>
      <c r="K89" s="242"/>
    </row>
    <row r="90" spans="1:11" x14ac:dyDescent="0.25">
      <c r="B90" s="376" t="s">
        <v>79</v>
      </c>
      <c r="C90" s="396">
        <f>D116</f>
        <v>0</v>
      </c>
      <c r="D90" s="905">
        <f>D116-H116</f>
        <v>0</v>
      </c>
      <c r="F90" s="881"/>
      <c r="G90" s="875"/>
      <c r="H90" s="875"/>
      <c r="I90" s="901"/>
      <c r="J90" s="906"/>
      <c r="K90" s="242"/>
    </row>
    <row r="91" spans="1:11" x14ac:dyDescent="0.25">
      <c r="B91" s="376" t="s">
        <v>603</v>
      </c>
      <c r="C91" s="396">
        <f>D40</f>
        <v>1820000</v>
      </c>
      <c r="D91" s="905">
        <f>D40-H40</f>
        <v>1769442</v>
      </c>
      <c r="F91" s="881"/>
      <c r="G91" s="875"/>
      <c r="H91" s="875"/>
      <c r="I91" s="901"/>
      <c r="J91" s="906"/>
      <c r="K91" s="242"/>
    </row>
    <row r="92" spans="1:11" x14ac:dyDescent="0.25">
      <c r="B92" s="376" t="s">
        <v>604</v>
      </c>
      <c r="C92" s="396">
        <f>D58</f>
        <v>165500</v>
      </c>
      <c r="D92" s="905">
        <f>D58-H58</f>
        <v>157613</v>
      </c>
      <c r="F92" s="881"/>
      <c r="G92" s="875"/>
      <c r="H92" s="875"/>
      <c r="I92" s="901"/>
      <c r="J92" s="906"/>
      <c r="K92" s="242"/>
    </row>
    <row r="93" spans="1:11" x14ac:dyDescent="0.25">
      <c r="B93" s="376" t="s">
        <v>605</v>
      </c>
      <c r="C93" s="396">
        <f>D66</f>
        <v>14500</v>
      </c>
      <c r="D93" s="905">
        <f>D66-H66</f>
        <v>13291</v>
      </c>
      <c r="F93" s="881"/>
      <c r="G93" s="875"/>
      <c r="H93" s="875"/>
      <c r="I93" s="901"/>
      <c r="J93" s="906"/>
      <c r="K93" s="242"/>
    </row>
    <row r="94" spans="1:11" x14ac:dyDescent="0.25">
      <c r="B94" s="318" t="s">
        <v>783</v>
      </c>
      <c r="C94" s="907">
        <f>D80</f>
        <v>500000</v>
      </c>
      <c r="D94" s="901">
        <f>D80-H80</f>
        <v>450000</v>
      </c>
      <c r="F94" s="881"/>
      <c r="G94" s="875"/>
      <c r="H94" s="875"/>
      <c r="I94" s="901"/>
      <c r="J94" s="906"/>
      <c r="K94" s="242"/>
    </row>
    <row r="95" spans="1:11" ht="13" thickBot="1" x14ac:dyDescent="0.3">
      <c r="C95" s="657">
        <f>SUM(C88:C94)</f>
        <v>2500000</v>
      </c>
      <c r="D95" s="908">
        <f>SUM(D88:D94)</f>
        <v>2390346</v>
      </c>
      <c r="F95" s="881"/>
      <c r="G95" s="875"/>
      <c r="H95" s="875"/>
      <c r="I95" s="901"/>
      <c r="J95" s="906"/>
      <c r="K95" s="242"/>
    </row>
    <row r="96" spans="1:11" ht="13" thickTop="1" x14ac:dyDescent="0.25">
      <c r="D96" s="897"/>
      <c r="E96" s="882"/>
      <c r="F96" s="901"/>
      <c r="G96" s="901"/>
      <c r="H96" s="901"/>
      <c r="I96" s="901"/>
      <c r="J96" s="901"/>
    </row>
    <row r="97" spans="1:10" x14ac:dyDescent="0.25">
      <c r="D97" s="909"/>
      <c r="E97" s="882" t="s">
        <v>784</v>
      </c>
      <c r="F97" s="901"/>
      <c r="G97" s="901"/>
      <c r="H97" s="901"/>
      <c r="I97" s="901"/>
      <c r="J97" s="901"/>
    </row>
    <row r="98" spans="1:10" ht="13" thickBot="1" x14ac:dyDescent="0.3">
      <c r="E98" s="882"/>
      <c r="F98" s="901"/>
      <c r="G98" s="901"/>
      <c r="H98" s="901"/>
      <c r="I98" s="901"/>
      <c r="J98" s="901"/>
    </row>
    <row r="99" spans="1:10" ht="13" x14ac:dyDescent="0.25">
      <c r="A99" s="910" t="s">
        <v>785</v>
      </c>
      <c r="B99" s="911"/>
      <c r="C99" s="912"/>
      <c r="D99" s="913"/>
      <c r="E99" s="914"/>
      <c r="F99" s="915"/>
      <c r="G99" s="915"/>
      <c r="H99" s="915"/>
      <c r="I99" s="915"/>
      <c r="J99" s="916"/>
    </row>
    <row r="100" spans="1:10" x14ac:dyDescent="0.25">
      <c r="A100" s="917"/>
      <c r="B100" s="918"/>
      <c r="C100" s="919"/>
      <c r="D100" s="920"/>
      <c r="E100" s="882"/>
      <c r="F100" s="921"/>
      <c r="G100" s="921"/>
      <c r="H100" s="921"/>
      <c r="I100" s="921"/>
      <c r="J100" s="922"/>
    </row>
    <row r="101" spans="1:10" ht="13" x14ac:dyDescent="0.25">
      <c r="A101" s="923" t="s">
        <v>531</v>
      </c>
      <c r="B101" s="918"/>
      <c r="C101" s="924"/>
      <c r="D101" s="920"/>
      <c r="E101" s="882"/>
      <c r="F101" s="921"/>
      <c r="G101" s="921"/>
      <c r="H101" s="921"/>
      <c r="I101" s="921"/>
      <c r="J101" s="922"/>
    </row>
    <row r="102" spans="1:10" x14ac:dyDescent="0.25">
      <c r="A102" s="917"/>
      <c r="B102" s="383" t="s">
        <v>786</v>
      </c>
      <c r="C102" s="925" t="s">
        <v>787</v>
      </c>
      <c r="D102" s="886">
        <v>0</v>
      </c>
      <c r="E102" s="926" t="s">
        <v>534</v>
      </c>
      <c r="F102" s="927">
        <v>0</v>
      </c>
      <c r="G102" s="927">
        <v>0</v>
      </c>
      <c r="H102" s="927">
        <v>0</v>
      </c>
      <c r="I102" s="927">
        <v>0</v>
      </c>
      <c r="J102" s="928">
        <v>0</v>
      </c>
    </row>
    <row r="103" spans="1:10" x14ac:dyDescent="0.25">
      <c r="A103" s="917"/>
      <c r="B103" s="918"/>
      <c r="C103" s="929"/>
      <c r="D103" s="930"/>
      <c r="E103" s="931"/>
      <c r="F103" s="927"/>
      <c r="G103" s="927"/>
      <c r="H103" s="927"/>
      <c r="I103" s="927"/>
      <c r="J103" s="928"/>
    </row>
    <row r="104" spans="1:10" ht="13" thickBot="1" x14ac:dyDescent="0.3">
      <c r="A104" s="932" t="s">
        <v>788</v>
      </c>
      <c r="B104" s="918" t="s">
        <v>535</v>
      </c>
      <c r="C104" s="929"/>
      <c r="D104" s="892">
        <f t="shared" ref="D104:E104" si="45">SUM(D102:D103)</f>
        <v>0</v>
      </c>
      <c r="E104" s="342">
        <f t="shared" si="45"/>
        <v>0</v>
      </c>
      <c r="F104" s="892">
        <f t="shared" ref="F104:J104" si="46">SUM(F102:F103)</f>
        <v>0</v>
      </c>
      <c r="G104" s="892">
        <f t="shared" si="46"/>
        <v>0</v>
      </c>
      <c r="H104" s="892">
        <f t="shared" si="46"/>
        <v>0</v>
      </c>
      <c r="I104" s="892">
        <f t="shared" si="46"/>
        <v>0</v>
      </c>
      <c r="J104" s="933">
        <f t="shared" si="46"/>
        <v>0</v>
      </c>
    </row>
    <row r="105" spans="1:10" ht="13" thickTop="1" x14ac:dyDescent="0.25">
      <c r="A105" s="917"/>
      <c r="B105" s="918"/>
      <c r="C105" s="919"/>
      <c r="D105" s="934"/>
      <c r="E105" s="882"/>
      <c r="F105" s="921"/>
      <c r="G105" s="921"/>
      <c r="H105" s="921"/>
      <c r="I105" s="921"/>
      <c r="J105" s="922"/>
    </row>
    <row r="106" spans="1:10" x14ac:dyDescent="0.25">
      <c r="A106" s="917"/>
      <c r="B106" s="918"/>
      <c r="C106" s="919"/>
      <c r="D106" s="934"/>
      <c r="E106" s="882"/>
      <c r="F106" s="921"/>
      <c r="G106" s="921"/>
      <c r="H106" s="921"/>
      <c r="I106" s="921"/>
      <c r="J106" s="922"/>
    </row>
    <row r="107" spans="1:10" ht="13" x14ac:dyDescent="0.25">
      <c r="A107" s="923" t="s">
        <v>536</v>
      </c>
      <c r="B107" s="918"/>
      <c r="C107" s="935"/>
      <c r="D107" s="936"/>
      <c r="E107" s="366"/>
      <c r="F107" s="921"/>
      <c r="G107" s="921"/>
      <c r="H107" s="921"/>
      <c r="I107" s="921"/>
      <c r="J107" s="922"/>
    </row>
    <row r="108" spans="1:10" x14ac:dyDescent="0.25">
      <c r="A108" s="917"/>
      <c r="B108" s="383" t="s">
        <v>789</v>
      </c>
      <c r="C108" s="925" t="s">
        <v>787</v>
      </c>
      <c r="D108" s="886">
        <v>0</v>
      </c>
      <c r="E108" s="342">
        <v>20</v>
      </c>
      <c r="F108" s="927">
        <v>0</v>
      </c>
      <c r="G108" s="927">
        <f>IF(F108&lt;$D108,IF(F108+($D108/$E108)&lt;$D108,ROUND($D108/$E108,0),ROUND($D108-F108,0)),0)</f>
        <v>0</v>
      </c>
      <c r="H108" s="927">
        <f t="shared" ref="H108" si="47">ROUND(SUM(F108:G108),0)</f>
        <v>0</v>
      </c>
      <c r="I108" s="927">
        <f>IF(H108&lt;$D108,IF(H108+($D108/$E108)&lt;$D108,ROUND($D108/$E108,0),ROUND($D108-H108,0)),0)</f>
        <v>0</v>
      </c>
      <c r="J108" s="928">
        <f t="shared" ref="J108" si="48">ROUND(SUM(H108:I108),0)</f>
        <v>0</v>
      </c>
    </row>
    <row r="109" spans="1:10" x14ac:dyDescent="0.25">
      <c r="A109" s="937"/>
      <c r="B109" s="367"/>
      <c r="C109" s="938"/>
      <c r="D109" s="886" t="s">
        <v>559</v>
      </c>
      <c r="E109" s="342"/>
      <c r="F109" s="927">
        <v>0</v>
      </c>
      <c r="G109" s="886">
        <v>0</v>
      </c>
      <c r="H109" s="927">
        <f t="shared" ref="H109" si="49">ROUND(SUM(F109:G109),0)</f>
        <v>0</v>
      </c>
      <c r="I109" s="886">
        <v>0</v>
      </c>
      <c r="J109" s="928">
        <f t="shared" ref="J109" si="50">ROUND(SUM(H109:I109),0)</f>
        <v>0</v>
      </c>
    </row>
    <row r="110" spans="1:10" ht="13" thickBot="1" x14ac:dyDescent="0.3">
      <c r="A110" s="939" t="s">
        <v>238</v>
      </c>
      <c r="B110" s="918"/>
      <c r="C110" s="929"/>
      <c r="D110" s="892">
        <f>SUM(D108:D109)</f>
        <v>0</v>
      </c>
      <c r="E110" s="366"/>
      <c r="F110" s="892">
        <f>SUM(F108:F109)</f>
        <v>0</v>
      </c>
      <c r="G110" s="892">
        <f>SUM(G108:G109)</f>
        <v>0</v>
      </c>
      <c r="H110" s="892">
        <f>SUM(H108:H109)</f>
        <v>0</v>
      </c>
      <c r="I110" s="892">
        <f>SUM(I108:I109)</f>
        <v>0</v>
      </c>
      <c r="J110" s="933">
        <f>SUM(J108:J109)</f>
        <v>0</v>
      </c>
    </row>
    <row r="111" spans="1:10" ht="13" thickTop="1" x14ac:dyDescent="0.25">
      <c r="A111" s="939"/>
      <c r="B111" s="918"/>
      <c r="C111" s="929"/>
      <c r="D111" s="886"/>
      <c r="E111" s="366"/>
      <c r="F111" s="886"/>
      <c r="G111" s="886"/>
      <c r="H111" s="886"/>
      <c r="I111" s="886"/>
      <c r="J111" s="940"/>
    </row>
    <row r="112" spans="1:10" x14ac:dyDescent="0.25">
      <c r="A112" s="917"/>
      <c r="B112" s="918"/>
      <c r="C112" s="919"/>
      <c r="D112" s="941"/>
      <c r="E112" s="620"/>
      <c r="F112" s="921"/>
      <c r="G112" s="921"/>
      <c r="H112" s="921"/>
      <c r="I112" s="921"/>
      <c r="J112" s="922"/>
    </row>
    <row r="113" spans="1:10" ht="13" x14ac:dyDescent="0.25">
      <c r="A113" s="923" t="s">
        <v>541</v>
      </c>
      <c r="B113" s="918"/>
      <c r="C113" s="929"/>
      <c r="D113" s="936"/>
      <c r="E113" s="366"/>
      <c r="F113" s="921"/>
      <c r="G113" s="921"/>
      <c r="H113" s="921"/>
      <c r="I113" s="921"/>
      <c r="J113" s="922"/>
    </row>
    <row r="114" spans="1:10" x14ac:dyDescent="0.25">
      <c r="A114" s="917"/>
      <c r="B114" s="383" t="s">
        <v>790</v>
      </c>
      <c r="C114" s="925" t="s">
        <v>787</v>
      </c>
      <c r="D114" s="886">
        <v>0</v>
      </c>
      <c r="E114" s="608">
        <v>15</v>
      </c>
      <c r="F114" s="927">
        <v>0</v>
      </c>
      <c r="G114" s="927">
        <f>IF(F114&lt;$D114,IF(F114+($D114/$E114)&lt;$D114,ROUND($D114/$E114,0),ROUND($D114-F114,0)),0)</f>
        <v>0</v>
      </c>
      <c r="H114" s="927">
        <f t="shared" ref="H114" si="51">ROUND(SUM(F114:G114),0)</f>
        <v>0</v>
      </c>
      <c r="I114" s="927">
        <f>IF(H114&lt;$D114,IF(H114+($D114/$E114)&lt;$D114,ROUND($D114/$E114,0),ROUND($D114-H114,0)),0)</f>
        <v>0</v>
      </c>
      <c r="J114" s="928">
        <f t="shared" ref="J114" si="52">ROUND(SUM(H114:I114),0)</f>
        <v>0</v>
      </c>
    </row>
    <row r="115" spans="1:10" x14ac:dyDescent="0.25">
      <c r="A115" s="917"/>
      <c r="B115" s="367"/>
      <c r="C115" s="378"/>
      <c r="D115" s="886"/>
      <c r="E115" s="942"/>
      <c r="F115" s="943">
        <v>0</v>
      </c>
      <c r="G115" s="943"/>
      <c r="H115" s="943">
        <v>0</v>
      </c>
      <c r="I115" s="943"/>
      <c r="J115" s="944">
        <v>0</v>
      </c>
    </row>
    <row r="116" spans="1:10" ht="13" thickBot="1" x14ac:dyDescent="0.3">
      <c r="A116" s="945" t="s">
        <v>80</v>
      </c>
      <c r="B116" s="946"/>
      <c r="C116" s="947"/>
      <c r="D116" s="948">
        <f>SUM(D114:D115)</f>
        <v>0</v>
      </c>
      <c r="E116" s="949"/>
      <c r="F116" s="948">
        <f>SUM(F114:F115)</f>
        <v>0</v>
      </c>
      <c r="G116" s="948">
        <f>SUM(G114:G115)</f>
        <v>0</v>
      </c>
      <c r="H116" s="948">
        <f>SUM(H114:H115)</f>
        <v>0</v>
      </c>
      <c r="I116" s="948">
        <f>SUM(I114:I115)</f>
        <v>0</v>
      </c>
      <c r="J116" s="950">
        <f>SUM(J114:J115)</f>
        <v>0</v>
      </c>
    </row>
    <row r="117" spans="1:10" x14ac:dyDescent="0.25">
      <c r="D117" s="876"/>
      <c r="E117" s="882"/>
      <c r="F117" s="901"/>
      <c r="G117" s="901"/>
      <c r="H117" s="901"/>
      <c r="I117" s="901"/>
      <c r="J117" s="901"/>
    </row>
    <row r="118" spans="1:10" x14ac:dyDescent="0.25">
      <c r="D118" s="876"/>
      <c r="E118" s="882"/>
      <c r="F118" s="901"/>
      <c r="G118" s="901"/>
      <c r="H118" s="901"/>
      <c r="I118" s="901"/>
      <c r="J118" s="901"/>
    </row>
    <row r="119" spans="1:10" x14ac:dyDescent="0.25">
      <c r="D119" s="876"/>
      <c r="E119" s="882"/>
      <c r="F119" s="901"/>
      <c r="G119" s="901"/>
      <c r="H119" s="901"/>
      <c r="I119" s="901"/>
      <c r="J119" s="901"/>
    </row>
    <row r="120" spans="1:10" x14ac:dyDescent="0.25">
      <c r="D120" s="876"/>
      <c r="E120" s="882"/>
      <c r="F120" s="901"/>
      <c r="G120" s="901"/>
      <c r="H120" s="901"/>
      <c r="I120" s="901"/>
      <c r="J120" s="901"/>
    </row>
    <row r="121" spans="1:10" x14ac:dyDescent="0.25">
      <c r="D121" s="876"/>
      <c r="E121" s="882"/>
      <c r="F121" s="901"/>
      <c r="G121" s="901"/>
      <c r="H121" s="901"/>
      <c r="I121" s="901"/>
      <c r="J121" s="901"/>
    </row>
    <row r="122" spans="1:10" x14ac:dyDescent="0.25">
      <c r="D122" s="876"/>
      <c r="E122" s="882"/>
      <c r="F122" s="901"/>
      <c r="G122" s="901"/>
      <c r="H122" s="901"/>
      <c r="I122" s="901"/>
      <c r="J122" s="901"/>
    </row>
    <row r="123" spans="1:10" x14ac:dyDescent="0.25">
      <c r="D123" s="876"/>
      <c r="E123" s="882"/>
      <c r="F123" s="901"/>
      <c r="G123" s="901"/>
      <c r="H123" s="901"/>
      <c r="I123" s="901"/>
      <c r="J123" s="901"/>
    </row>
    <row r="124" spans="1:10" x14ac:dyDescent="0.25">
      <c r="D124" s="876"/>
      <c r="E124" s="882"/>
      <c r="F124" s="901"/>
      <c r="G124" s="901"/>
      <c r="H124" s="901"/>
      <c r="I124" s="901"/>
      <c r="J124" s="901"/>
    </row>
    <row r="125" spans="1:10" x14ac:dyDescent="0.25">
      <c r="D125" s="876"/>
      <c r="E125" s="882"/>
      <c r="F125" s="901"/>
      <c r="G125" s="901"/>
      <c r="H125" s="901"/>
      <c r="I125" s="901"/>
      <c r="J125" s="901"/>
    </row>
    <row r="126" spans="1:10" x14ac:dyDescent="0.25">
      <c r="D126" s="876"/>
      <c r="E126" s="882"/>
      <c r="F126" s="901"/>
      <c r="G126" s="901"/>
      <c r="H126" s="901"/>
      <c r="I126" s="901"/>
      <c r="J126" s="901"/>
    </row>
    <row r="127" spans="1:10" x14ac:dyDescent="0.25">
      <c r="D127" s="876"/>
      <c r="E127" s="882"/>
      <c r="F127" s="901"/>
      <c r="G127" s="901"/>
      <c r="H127" s="901"/>
      <c r="I127" s="901"/>
      <c r="J127" s="901"/>
    </row>
    <row r="128" spans="1:10" x14ac:dyDescent="0.25">
      <c r="D128" s="876"/>
      <c r="E128" s="882"/>
      <c r="F128" s="901"/>
      <c r="G128" s="901"/>
      <c r="H128" s="901"/>
      <c r="I128" s="901"/>
      <c r="J128" s="901"/>
    </row>
    <row r="129" spans="4:10" x14ac:dyDescent="0.25">
      <c r="D129" s="876"/>
      <c r="E129" s="882"/>
      <c r="F129" s="951"/>
      <c r="G129" s="901"/>
      <c r="H129" s="901"/>
      <c r="I129" s="901"/>
      <c r="J129" s="901"/>
    </row>
    <row r="130" spans="4:10" x14ac:dyDescent="0.25">
      <c r="D130" s="876"/>
      <c r="E130" s="882"/>
      <c r="F130" s="951"/>
      <c r="G130" s="901"/>
      <c r="H130" s="901"/>
      <c r="I130" s="901"/>
      <c r="J130" s="901"/>
    </row>
    <row r="131" spans="4:10" x14ac:dyDescent="0.25">
      <c r="D131" s="876"/>
      <c r="E131" s="882"/>
      <c r="F131" s="951"/>
      <c r="G131" s="901"/>
      <c r="H131" s="901"/>
      <c r="I131" s="901"/>
      <c r="J131" s="901"/>
    </row>
    <row r="132" spans="4:10" x14ac:dyDescent="0.25">
      <c r="D132" s="876"/>
      <c r="E132" s="882"/>
      <c r="F132" s="951"/>
      <c r="G132" s="901"/>
      <c r="H132" s="901"/>
      <c r="I132" s="901"/>
      <c r="J132" s="901"/>
    </row>
    <row r="133" spans="4:10" x14ac:dyDescent="0.25">
      <c r="D133" s="876"/>
      <c r="E133" s="882"/>
      <c r="F133" s="951"/>
      <c r="G133" s="901"/>
      <c r="H133" s="901"/>
      <c r="I133" s="901"/>
      <c r="J133" s="901"/>
    </row>
    <row r="134" spans="4:10" x14ac:dyDescent="0.25">
      <c r="D134" s="876"/>
      <c r="E134" s="882"/>
      <c r="F134" s="951"/>
      <c r="G134" s="901"/>
      <c r="H134" s="901"/>
      <c r="I134" s="901"/>
      <c r="J134" s="901"/>
    </row>
    <row r="135" spans="4:10" x14ac:dyDescent="0.25">
      <c r="D135" s="876"/>
      <c r="E135" s="882"/>
      <c r="F135" s="951"/>
      <c r="G135" s="901"/>
      <c r="H135" s="901"/>
      <c r="I135" s="901"/>
      <c r="J135" s="901"/>
    </row>
    <row r="136" spans="4:10" x14ac:dyDescent="0.25">
      <c r="D136" s="876"/>
      <c r="E136" s="882"/>
      <c r="F136" s="951"/>
      <c r="G136" s="901"/>
      <c r="H136" s="901"/>
      <c r="I136" s="901"/>
      <c r="J136" s="901"/>
    </row>
    <row r="137" spans="4:10" x14ac:dyDescent="0.25">
      <c r="D137" s="876"/>
      <c r="E137" s="882"/>
      <c r="F137" s="951"/>
      <c r="G137" s="901"/>
      <c r="H137" s="901"/>
      <c r="I137" s="901"/>
      <c r="J137" s="901"/>
    </row>
    <row r="138" spans="4:10" x14ac:dyDescent="0.25">
      <c r="D138" s="876"/>
      <c r="E138" s="882"/>
      <c r="F138" s="951"/>
      <c r="G138" s="901"/>
      <c r="H138" s="901"/>
      <c r="I138" s="901"/>
      <c r="J138" s="901"/>
    </row>
    <row r="139" spans="4:10" x14ac:dyDescent="0.25">
      <c r="D139" s="876"/>
      <c r="E139" s="882"/>
      <c r="F139" s="951"/>
      <c r="G139" s="901"/>
      <c r="H139" s="901"/>
      <c r="I139" s="901"/>
      <c r="J139" s="901"/>
    </row>
    <row r="140" spans="4:10" x14ac:dyDescent="0.25">
      <c r="D140" s="876"/>
      <c r="E140" s="882"/>
      <c r="F140" s="951"/>
      <c r="G140" s="901"/>
      <c r="H140" s="901"/>
      <c r="I140" s="901"/>
      <c r="J140" s="901"/>
    </row>
    <row r="141" spans="4:10" x14ac:dyDescent="0.25">
      <c r="D141" s="876"/>
      <c r="E141" s="882"/>
      <c r="F141" s="951"/>
      <c r="G141" s="901"/>
      <c r="H141" s="901"/>
      <c r="I141" s="901"/>
      <c r="J141" s="901"/>
    </row>
    <row r="142" spans="4:10" x14ac:dyDescent="0.25">
      <c r="D142" s="876"/>
      <c r="E142" s="882"/>
      <c r="F142" s="951"/>
      <c r="G142" s="901"/>
      <c r="H142" s="901"/>
      <c r="I142" s="901"/>
      <c r="J142" s="901"/>
    </row>
    <row r="143" spans="4:10" x14ac:dyDescent="0.25">
      <c r="D143" s="876"/>
      <c r="E143" s="882"/>
      <c r="F143" s="951"/>
      <c r="G143" s="901"/>
      <c r="H143" s="901"/>
      <c r="I143" s="901"/>
      <c r="J143" s="901"/>
    </row>
    <row r="144" spans="4:10" x14ac:dyDescent="0.25">
      <c r="D144" s="876"/>
      <c r="E144" s="882"/>
      <c r="F144" s="951"/>
      <c r="G144" s="901"/>
      <c r="H144" s="901"/>
      <c r="I144" s="901"/>
      <c r="J144" s="901"/>
    </row>
    <row r="145" spans="4:10" x14ac:dyDescent="0.25">
      <c r="D145" s="876"/>
      <c r="E145" s="882"/>
      <c r="F145" s="951"/>
      <c r="G145" s="901"/>
      <c r="H145" s="901"/>
      <c r="I145" s="901"/>
      <c r="J145" s="901"/>
    </row>
    <row r="146" spans="4:10" x14ac:dyDescent="0.25">
      <c r="D146" s="876"/>
      <c r="E146" s="882"/>
      <c r="F146" s="951"/>
      <c r="G146" s="901"/>
      <c r="H146" s="901"/>
      <c r="I146" s="901"/>
      <c r="J146" s="901"/>
    </row>
    <row r="147" spans="4:10" x14ac:dyDescent="0.25">
      <c r="D147" s="876"/>
      <c r="E147" s="882"/>
      <c r="F147" s="951"/>
      <c r="G147" s="901"/>
      <c r="H147" s="901"/>
      <c r="I147" s="901"/>
      <c r="J147" s="901"/>
    </row>
    <row r="148" spans="4:10" x14ac:dyDescent="0.25">
      <c r="D148" s="876"/>
      <c r="E148" s="882"/>
      <c r="F148" s="951"/>
      <c r="G148" s="901"/>
      <c r="H148" s="901"/>
      <c r="I148" s="901"/>
      <c r="J148" s="901"/>
    </row>
    <row r="149" spans="4:10" x14ac:dyDescent="0.25">
      <c r="D149" s="876"/>
      <c r="E149" s="882"/>
      <c r="F149" s="951"/>
      <c r="G149" s="901"/>
      <c r="H149" s="901"/>
      <c r="I149" s="901"/>
      <c r="J149" s="901"/>
    </row>
    <row r="150" spans="4:10" x14ac:dyDescent="0.25">
      <c r="D150" s="876"/>
      <c r="E150" s="882"/>
      <c r="F150" s="951"/>
      <c r="G150" s="901"/>
      <c r="H150" s="901"/>
      <c r="I150" s="901"/>
      <c r="J150" s="901"/>
    </row>
    <row r="151" spans="4:10" x14ac:dyDescent="0.25">
      <c r="D151" s="876"/>
      <c r="E151" s="882"/>
      <c r="F151" s="951"/>
      <c r="G151" s="901"/>
      <c r="H151" s="901"/>
      <c r="I151" s="901"/>
      <c r="J151" s="901"/>
    </row>
    <row r="152" spans="4:10" x14ac:dyDescent="0.25">
      <c r="D152" s="876"/>
      <c r="E152" s="882"/>
      <c r="F152" s="951"/>
      <c r="G152" s="901"/>
      <c r="H152" s="901"/>
      <c r="I152" s="901"/>
      <c r="J152" s="901"/>
    </row>
    <row r="153" spans="4:10" x14ac:dyDescent="0.25">
      <c r="D153" s="876"/>
      <c r="E153" s="882"/>
      <c r="F153" s="951"/>
      <c r="G153" s="901"/>
      <c r="H153" s="901"/>
      <c r="I153" s="901"/>
      <c r="J153" s="901"/>
    </row>
    <row r="154" spans="4:10" x14ac:dyDescent="0.25">
      <c r="D154" s="876"/>
      <c r="E154" s="882"/>
      <c r="F154" s="951"/>
      <c r="G154" s="901"/>
      <c r="H154" s="901"/>
      <c r="I154" s="901"/>
      <c r="J154" s="901"/>
    </row>
    <row r="155" spans="4:10" x14ac:dyDescent="0.25">
      <c r="D155" s="876"/>
      <c r="E155" s="882"/>
      <c r="F155" s="951"/>
      <c r="G155" s="901"/>
      <c r="H155" s="901"/>
      <c r="I155" s="901"/>
      <c r="J155" s="901"/>
    </row>
    <row r="156" spans="4:10" x14ac:dyDescent="0.25">
      <c r="D156" s="876"/>
      <c r="E156" s="882"/>
      <c r="F156" s="951"/>
      <c r="G156" s="901"/>
      <c r="H156" s="901"/>
      <c r="I156" s="901"/>
      <c r="J156" s="901"/>
    </row>
    <row r="157" spans="4:10" x14ac:dyDescent="0.25">
      <c r="D157" s="876"/>
      <c r="E157" s="882"/>
      <c r="F157" s="951"/>
      <c r="G157" s="901"/>
      <c r="H157" s="901"/>
      <c r="I157" s="901"/>
      <c r="J157" s="901"/>
    </row>
    <row r="158" spans="4:10" x14ac:dyDescent="0.25">
      <c r="D158" s="876"/>
      <c r="E158" s="882"/>
      <c r="F158" s="951"/>
      <c r="G158" s="901"/>
      <c r="H158" s="901"/>
      <c r="I158" s="901"/>
      <c r="J158" s="901"/>
    </row>
    <row r="159" spans="4:10" x14ac:dyDescent="0.25">
      <c r="D159" s="876"/>
      <c r="E159" s="882"/>
      <c r="F159" s="951"/>
      <c r="G159" s="901"/>
      <c r="H159" s="901"/>
      <c r="I159" s="901"/>
      <c r="J159" s="901"/>
    </row>
    <row r="160" spans="4:10" x14ac:dyDescent="0.25">
      <c r="D160" s="876"/>
      <c r="E160" s="882"/>
      <c r="F160" s="951"/>
      <c r="G160" s="901"/>
      <c r="H160" s="901"/>
      <c r="I160" s="901"/>
      <c r="J160" s="901"/>
    </row>
    <row r="161" spans="4:10" x14ac:dyDescent="0.25">
      <c r="D161" s="876"/>
      <c r="E161" s="882"/>
      <c r="F161" s="951"/>
      <c r="G161" s="901"/>
      <c r="H161" s="901"/>
      <c r="I161" s="901"/>
      <c r="J161" s="901"/>
    </row>
    <row r="162" spans="4:10" x14ac:dyDescent="0.25">
      <c r="D162" s="876"/>
      <c r="E162" s="882"/>
      <c r="F162" s="951"/>
      <c r="G162" s="901"/>
      <c r="H162" s="901"/>
      <c r="I162" s="901"/>
      <c r="J162" s="901"/>
    </row>
    <row r="163" spans="4:10" x14ac:dyDescent="0.25">
      <c r="D163" s="876"/>
      <c r="E163" s="882"/>
      <c r="F163" s="951"/>
      <c r="G163" s="901"/>
      <c r="H163" s="901"/>
      <c r="I163" s="901"/>
      <c r="J163" s="901"/>
    </row>
    <row r="164" spans="4:10" x14ac:dyDescent="0.25">
      <c r="D164" s="876"/>
      <c r="E164" s="882"/>
      <c r="F164" s="951"/>
      <c r="G164" s="901"/>
      <c r="H164" s="901"/>
      <c r="I164" s="901"/>
      <c r="J164" s="901"/>
    </row>
    <row r="165" spans="4:10" x14ac:dyDescent="0.25">
      <c r="D165" s="876"/>
      <c r="E165" s="882"/>
      <c r="F165" s="951"/>
      <c r="G165" s="901"/>
      <c r="H165" s="901"/>
      <c r="I165" s="901"/>
      <c r="J165" s="901"/>
    </row>
    <row r="166" spans="4:10" x14ac:dyDescent="0.25">
      <c r="D166" s="876"/>
      <c r="E166" s="882"/>
      <c r="F166" s="951"/>
      <c r="G166" s="901"/>
      <c r="H166" s="901"/>
      <c r="I166" s="901"/>
      <c r="J166" s="901"/>
    </row>
    <row r="167" spans="4:10" x14ac:dyDescent="0.25">
      <c r="D167" s="876"/>
      <c r="E167" s="882"/>
      <c r="F167" s="951"/>
      <c r="G167" s="901"/>
      <c r="H167" s="901"/>
      <c r="I167" s="901"/>
      <c r="J167" s="901"/>
    </row>
    <row r="168" spans="4:10" x14ac:dyDescent="0.25">
      <c r="D168" s="876"/>
      <c r="E168" s="882"/>
      <c r="F168" s="951"/>
      <c r="G168" s="901"/>
      <c r="H168" s="901"/>
      <c r="I168" s="901"/>
      <c r="J168" s="901"/>
    </row>
    <row r="169" spans="4:10" x14ac:dyDescent="0.25">
      <c r="D169" s="876"/>
      <c r="E169" s="882"/>
      <c r="F169" s="951"/>
      <c r="G169" s="901"/>
      <c r="H169" s="901"/>
      <c r="I169" s="901"/>
      <c r="J169" s="901"/>
    </row>
    <row r="170" spans="4:10" x14ac:dyDescent="0.25">
      <c r="D170" s="876"/>
      <c r="E170" s="882"/>
      <c r="F170" s="951"/>
      <c r="G170" s="901"/>
      <c r="H170" s="901"/>
      <c r="I170" s="901"/>
      <c r="J170" s="901"/>
    </row>
    <row r="171" spans="4:10" x14ac:dyDescent="0.25">
      <c r="D171" s="876"/>
      <c r="E171" s="882"/>
      <c r="F171" s="951"/>
      <c r="G171" s="901"/>
      <c r="H171" s="901"/>
      <c r="I171" s="901"/>
      <c r="J171" s="901"/>
    </row>
    <row r="172" spans="4:10" x14ac:dyDescent="0.25">
      <c r="D172" s="876"/>
      <c r="E172" s="882"/>
      <c r="F172" s="951"/>
      <c r="G172" s="901"/>
      <c r="H172" s="901"/>
      <c r="I172" s="901"/>
      <c r="J172" s="901"/>
    </row>
    <row r="173" spans="4:10" x14ac:dyDescent="0.25">
      <c r="D173" s="876"/>
      <c r="E173" s="882"/>
      <c r="F173" s="951"/>
      <c r="G173" s="901"/>
      <c r="H173" s="901"/>
      <c r="I173" s="901"/>
      <c r="J173" s="901"/>
    </row>
    <row r="174" spans="4:10" x14ac:dyDescent="0.25">
      <c r="D174" s="876"/>
      <c r="E174" s="882"/>
      <c r="F174" s="951"/>
      <c r="G174" s="901"/>
      <c r="H174" s="901"/>
      <c r="I174" s="901"/>
      <c r="J174" s="901"/>
    </row>
    <row r="175" spans="4:10" x14ac:dyDescent="0.25">
      <c r="D175" s="876"/>
      <c r="E175" s="882"/>
      <c r="F175" s="951"/>
      <c r="G175" s="901"/>
      <c r="H175" s="901"/>
      <c r="I175" s="901"/>
      <c r="J175" s="901"/>
    </row>
    <row r="176" spans="4:10" x14ac:dyDescent="0.25">
      <c r="D176" s="876"/>
      <c r="E176" s="882"/>
      <c r="F176" s="951"/>
      <c r="G176" s="901"/>
      <c r="H176" s="901"/>
      <c r="I176" s="901"/>
      <c r="J176" s="901"/>
    </row>
    <row r="177" spans="4:10" x14ac:dyDescent="0.25">
      <c r="D177" s="876"/>
      <c r="E177" s="882"/>
      <c r="F177" s="951"/>
      <c r="G177" s="901"/>
      <c r="H177" s="901"/>
      <c r="I177" s="901"/>
      <c r="J177" s="901"/>
    </row>
    <row r="178" spans="4:10" x14ac:dyDescent="0.25">
      <c r="D178" s="876"/>
      <c r="E178" s="882"/>
      <c r="F178" s="951"/>
      <c r="G178" s="901"/>
      <c r="H178" s="901"/>
      <c r="I178" s="901"/>
      <c r="J178" s="901"/>
    </row>
    <row r="179" spans="4:10" x14ac:dyDescent="0.25">
      <c r="D179" s="876"/>
      <c r="E179" s="882"/>
      <c r="F179" s="951"/>
      <c r="G179" s="901"/>
      <c r="H179" s="901"/>
      <c r="I179" s="901"/>
      <c r="J179" s="901"/>
    </row>
    <row r="180" spans="4:10" x14ac:dyDescent="0.25">
      <c r="D180" s="876"/>
      <c r="E180" s="882"/>
      <c r="F180" s="951"/>
      <c r="G180" s="901"/>
      <c r="H180" s="901"/>
      <c r="I180" s="901"/>
      <c r="J180" s="901"/>
    </row>
    <row r="181" spans="4:10" x14ac:dyDescent="0.25">
      <c r="D181" s="876"/>
      <c r="E181" s="882"/>
      <c r="F181" s="951"/>
      <c r="G181" s="901"/>
      <c r="H181" s="901"/>
      <c r="I181" s="901"/>
      <c r="J181" s="901"/>
    </row>
    <row r="182" spans="4:10" x14ac:dyDescent="0.25">
      <c r="D182" s="876"/>
      <c r="E182" s="882"/>
      <c r="F182" s="951"/>
      <c r="G182" s="901"/>
      <c r="H182" s="901"/>
      <c r="I182" s="901"/>
      <c r="J182" s="901"/>
    </row>
    <row r="183" spans="4:10" x14ac:dyDescent="0.25">
      <c r="D183" s="876"/>
      <c r="E183" s="882"/>
      <c r="F183" s="951"/>
      <c r="G183" s="901"/>
      <c r="H183" s="901"/>
      <c r="I183" s="901"/>
      <c r="J183" s="901"/>
    </row>
    <row r="184" spans="4:10" x14ac:dyDescent="0.25">
      <c r="D184" s="876"/>
      <c r="E184" s="882"/>
      <c r="F184" s="951"/>
      <c r="G184" s="901"/>
      <c r="H184" s="901"/>
      <c r="I184" s="901"/>
      <c r="J184" s="901"/>
    </row>
    <row r="185" spans="4:10" x14ac:dyDescent="0.25">
      <c r="D185" s="876"/>
      <c r="E185" s="882"/>
      <c r="F185" s="951"/>
      <c r="G185" s="901"/>
      <c r="H185" s="901"/>
      <c r="I185" s="901"/>
      <c r="J185" s="901"/>
    </row>
    <row r="186" spans="4:10" x14ac:dyDescent="0.25">
      <c r="D186" s="876"/>
      <c r="E186" s="882"/>
      <c r="F186" s="951"/>
      <c r="G186" s="901"/>
      <c r="H186" s="901"/>
      <c r="I186" s="901"/>
      <c r="J186" s="901"/>
    </row>
    <row r="187" spans="4:10" x14ac:dyDescent="0.25">
      <c r="D187" s="876"/>
      <c r="E187" s="882"/>
      <c r="F187" s="951"/>
      <c r="G187" s="901"/>
      <c r="H187" s="901"/>
      <c r="I187" s="901"/>
      <c r="J187" s="901"/>
    </row>
    <row r="188" spans="4:10" x14ac:dyDescent="0.25">
      <c r="D188" s="876"/>
      <c r="E188" s="882"/>
      <c r="F188" s="951"/>
      <c r="G188" s="901"/>
      <c r="H188" s="901"/>
      <c r="I188" s="901"/>
      <c r="J188" s="901"/>
    </row>
    <row r="189" spans="4:10" x14ac:dyDescent="0.25">
      <c r="D189" s="876"/>
      <c r="E189" s="882"/>
    </row>
    <row r="190" spans="4:10" x14ac:dyDescent="0.25">
      <c r="D190" s="876"/>
      <c r="E190" s="882"/>
    </row>
    <row r="191" spans="4:10" x14ac:dyDescent="0.25">
      <c r="D191" s="876"/>
      <c r="E191" s="882"/>
    </row>
    <row r="192" spans="4:10" x14ac:dyDescent="0.25">
      <c r="D192" s="876"/>
      <c r="E192" s="882"/>
    </row>
    <row r="193" spans="4:5" x14ac:dyDescent="0.25">
      <c r="D193" s="876"/>
      <c r="E193" s="882"/>
    </row>
    <row r="194" spans="4:5" x14ac:dyDescent="0.25">
      <c r="D194" s="876"/>
      <c r="E194" s="882"/>
    </row>
    <row r="195" spans="4:5" x14ac:dyDescent="0.25">
      <c r="D195" s="876"/>
      <c r="E195" s="882"/>
    </row>
    <row r="196" spans="4:5" x14ac:dyDescent="0.25">
      <c r="D196" s="876"/>
      <c r="E196" s="882"/>
    </row>
    <row r="197" spans="4:5" x14ac:dyDescent="0.25">
      <c r="D197" s="876"/>
      <c r="E197" s="882"/>
    </row>
    <row r="198" spans="4:5" x14ac:dyDescent="0.25">
      <c r="D198" s="876"/>
      <c r="E198" s="882"/>
    </row>
    <row r="199" spans="4:5" x14ac:dyDescent="0.25">
      <c r="D199" s="876"/>
      <c r="E199" s="882"/>
    </row>
    <row r="200" spans="4:5" x14ac:dyDescent="0.25">
      <c r="D200" s="876"/>
      <c r="E200" s="882"/>
    </row>
    <row r="201" spans="4:5" x14ac:dyDescent="0.25">
      <c r="D201" s="876"/>
      <c r="E201" s="882"/>
    </row>
    <row r="202" spans="4:5" x14ac:dyDescent="0.25">
      <c r="D202" s="876"/>
      <c r="E202" s="882"/>
    </row>
    <row r="203" spans="4:5" x14ac:dyDescent="0.25">
      <c r="D203" s="876"/>
      <c r="E203" s="882"/>
    </row>
    <row r="204" spans="4:5" x14ac:dyDescent="0.25">
      <c r="D204" s="876"/>
      <c r="E204" s="882"/>
    </row>
    <row r="205" spans="4:5" x14ac:dyDescent="0.25">
      <c r="D205" s="876"/>
      <c r="E205" s="882"/>
    </row>
    <row r="206" spans="4:5" x14ac:dyDescent="0.25">
      <c r="D206" s="876"/>
      <c r="E206" s="882"/>
    </row>
    <row r="207" spans="4:5" x14ac:dyDescent="0.25">
      <c r="D207" s="876"/>
      <c r="E207" s="882"/>
    </row>
    <row r="208" spans="4:5" x14ac:dyDescent="0.25">
      <c r="D208" s="876"/>
      <c r="E208" s="882"/>
    </row>
    <row r="209" spans="4:5" x14ac:dyDescent="0.25">
      <c r="D209" s="876"/>
      <c r="E209" s="882"/>
    </row>
    <row r="210" spans="4:5" x14ac:dyDescent="0.25">
      <c r="D210" s="876"/>
      <c r="E210" s="882"/>
    </row>
    <row r="211" spans="4:5" x14ac:dyDescent="0.25">
      <c r="D211" s="876"/>
      <c r="E211" s="882"/>
    </row>
    <row r="212" spans="4:5" x14ac:dyDescent="0.25">
      <c r="D212" s="876"/>
      <c r="E212" s="882"/>
    </row>
    <row r="213" spans="4:5" x14ac:dyDescent="0.25">
      <c r="D213" s="876"/>
      <c r="E213" s="882"/>
    </row>
    <row r="214" spans="4:5" x14ac:dyDescent="0.25">
      <c r="D214" s="876"/>
      <c r="E214" s="882"/>
    </row>
    <row r="215" spans="4:5" x14ac:dyDescent="0.25">
      <c r="D215" s="876"/>
      <c r="E215" s="882"/>
    </row>
    <row r="216" spans="4:5" x14ac:dyDescent="0.25">
      <c r="D216" s="876"/>
      <c r="E216" s="882"/>
    </row>
    <row r="217" spans="4:5" x14ac:dyDescent="0.25">
      <c r="D217" s="876"/>
    </row>
    <row r="218" spans="4:5" x14ac:dyDescent="0.25">
      <c r="D218" s="876"/>
    </row>
    <row r="219" spans="4:5" x14ac:dyDescent="0.25">
      <c r="D219" s="876"/>
    </row>
    <row r="220" spans="4:5" x14ac:dyDescent="0.25">
      <c r="D220" s="876"/>
    </row>
    <row r="221" spans="4:5" x14ac:dyDescent="0.25">
      <c r="D221" s="876"/>
    </row>
    <row r="222" spans="4:5" x14ac:dyDescent="0.25">
      <c r="D222" s="876"/>
    </row>
    <row r="223" spans="4:5" x14ac:dyDescent="0.25">
      <c r="D223" s="876"/>
    </row>
    <row r="224" spans="4:5" x14ac:dyDescent="0.25">
      <c r="D224" s="876"/>
    </row>
    <row r="225" spans="4:4" x14ac:dyDescent="0.25">
      <c r="D225" s="876"/>
    </row>
    <row r="226" spans="4:4" x14ac:dyDescent="0.25">
      <c r="D226" s="876"/>
    </row>
    <row r="227" spans="4:4" x14ac:dyDescent="0.25">
      <c r="D227" s="876"/>
    </row>
    <row r="228" spans="4:4" x14ac:dyDescent="0.25">
      <c r="D228" s="876"/>
    </row>
    <row r="229" spans="4:4" x14ac:dyDescent="0.25">
      <c r="D229" s="876"/>
    </row>
    <row r="230" spans="4:4" x14ac:dyDescent="0.25">
      <c r="D230" s="876"/>
    </row>
    <row r="231" spans="4:4" x14ac:dyDescent="0.25">
      <c r="D231" s="876"/>
    </row>
    <row r="232" spans="4:4" x14ac:dyDescent="0.25">
      <c r="D232" s="876"/>
    </row>
    <row r="233" spans="4:4" x14ac:dyDescent="0.25">
      <c r="D233" s="876"/>
    </row>
    <row r="234" spans="4:4" x14ac:dyDescent="0.25">
      <c r="D234" s="876"/>
    </row>
    <row r="235" spans="4:4" x14ac:dyDescent="0.25">
      <c r="D235" s="876"/>
    </row>
    <row r="236" spans="4:4" x14ac:dyDescent="0.25">
      <c r="D236" s="876"/>
    </row>
    <row r="237" spans="4:4" x14ac:dyDescent="0.25">
      <c r="D237" s="876"/>
    </row>
    <row r="238" spans="4:4" x14ac:dyDescent="0.25">
      <c r="D238" s="876"/>
    </row>
    <row r="239" spans="4:4" x14ac:dyDescent="0.25">
      <c r="D239" s="876"/>
    </row>
    <row r="240" spans="4:4" x14ac:dyDescent="0.25">
      <c r="D240" s="876"/>
    </row>
    <row r="241" spans="4:4" x14ac:dyDescent="0.25">
      <c r="D241" s="876"/>
    </row>
    <row r="242" spans="4:4" x14ac:dyDescent="0.25">
      <c r="D242" s="876"/>
    </row>
    <row r="243" spans="4:4" x14ac:dyDescent="0.25">
      <c r="D243" s="876"/>
    </row>
    <row r="244" spans="4:4" x14ac:dyDescent="0.25">
      <c r="D244" s="876"/>
    </row>
    <row r="245" spans="4:4" x14ac:dyDescent="0.25">
      <c r="D245" s="876"/>
    </row>
    <row r="246" spans="4:4" x14ac:dyDescent="0.25">
      <c r="D246" s="876"/>
    </row>
    <row r="247" spans="4:4" x14ac:dyDescent="0.25">
      <c r="D247" s="876"/>
    </row>
    <row r="248" spans="4:4" x14ac:dyDescent="0.25">
      <c r="D248" s="876"/>
    </row>
    <row r="249" spans="4:4" x14ac:dyDescent="0.25">
      <c r="D249" s="876"/>
    </row>
    <row r="250" spans="4:4" x14ac:dyDescent="0.25">
      <c r="D250" s="876"/>
    </row>
    <row r="251" spans="4:4" x14ac:dyDescent="0.25">
      <c r="D251" s="876"/>
    </row>
    <row r="252" spans="4:4" x14ac:dyDescent="0.25">
      <c r="D252" s="876"/>
    </row>
    <row r="253" spans="4:4" x14ac:dyDescent="0.25">
      <c r="D253" s="876"/>
    </row>
    <row r="254" spans="4:4" x14ac:dyDescent="0.25">
      <c r="D254" s="876"/>
    </row>
    <row r="255" spans="4:4" x14ac:dyDescent="0.25">
      <c r="D255" s="876"/>
    </row>
    <row r="256" spans="4:4" x14ac:dyDescent="0.25">
      <c r="D256" s="876"/>
    </row>
    <row r="257" spans="4:4" x14ac:dyDescent="0.25">
      <c r="D257" s="876"/>
    </row>
  </sheetData>
  <mergeCells count="1">
    <mergeCell ref="A3:B3"/>
  </mergeCells>
  <printOptions gridLines="1"/>
  <pageMargins left="0.25" right="0.25" top="0.75" bottom="0.75" header="0.3" footer="0.3"/>
  <pageSetup scale="95" orientation="landscape" horizontalDpi="0" verticalDpi="0" r:id="rId1"/>
  <rowBreaks count="1" manualBreakCount="1">
    <brk id="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AR410"/>
  <sheetViews>
    <sheetView workbookViewId="0"/>
  </sheetViews>
  <sheetFormatPr defaultRowHeight="13" x14ac:dyDescent="0.3"/>
  <cols>
    <col min="1" max="1" width="5.7265625" style="318" customWidth="1"/>
    <col min="2" max="2" width="32" style="318" customWidth="1"/>
    <col min="3" max="3" width="9.7265625" style="313" bestFit="1" customWidth="1"/>
    <col min="4" max="4" width="12.26953125" style="314" bestFit="1" customWidth="1"/>
    <col min="5" max="5" width="10.54296875" style="314" bestFit="1" customWidth="1"/>
    <col min="6" max="8" width="12.7265625" style="314" hidden="1" customWidth="1"/>
    <col min="9" max="20" width="12.7265625" style="242" hidden="1" customWidth="1"/>
    <col min="21" max="21" width="13.453125" style="242" hidden="1" customWidth="1"/>
    <col min="22" max="22" width="12.7265625" style="242" hidden="1" customWidth="1"/>
    <col min="23" max="23" width="13.453125" style="242" hidden="1" customWidth="1"/>
    <col min="24" max="24" width="12.7265625" style="242" hidden="1" customWidth="1"/>
    <col min="25" max="25" width="13.453125" style="2" hidden="1" customWidth="1"/>
    <col min="26" max="26" width="12.7265625" style="2" hidden="1" customWidth="1"/>
    <col min="27" max="27" width="13.453125" style="242" hidden="1" customWidth="1"/>
    <col min="28" max="28" width="11.26953125" style="242" hidden="1" customWidth="1"/>
    <col min="29" max="29" width="8.7265625" style="242" hidden="1" customWidth="1"/>
    <col min="30" max="30" width="11.26953125" style="242" hidden="1" customWidth="1"/>
    <col min="31" max="31" width="9.26953125" style="401" hidden="1" customWidth="1"/>
    <col min="32" max="32" width="12" style="401" hidden="1" customWidth="1"/>
    <col min="33" max="33" width="8.7265625" style="399" hidden="1" customWidth="1"/>
    <col min="34" max="34" width="11.26953125" style="399" hidden="1" customWidth="1"/>
    <col min="35" max="35" width="8.7265625" style="401" hidden="1" customWidth="1"/>
    <col min="36" max="36" width="11.26953125" style="401" hidden="1" customWidth="1"/>
    <col min="37" max="37" width="8.7265625" style="401" hidden="1" customWidth="1"/>
    <col min="38" max="38" width="11.26953125" style="401" hidden="1" customWidth="1"/>
    <col min="39" max="39" width="8.7265625" style="401" hidden="1" customWidth="1"/>
    <col min="40" max="40" width="11.26953125" style="401" hidden="1" customWidth="1"/>
    <col min="41" max="41" width="8.7265625" style="594" hidden="1" customWidth="1"/>
    <col min="42" max="42" width="11.26953125" style="594" hidden="1" customWidth="1"/>
    <col min="43" max="43" width="11.1796875" style="401" customWidth="1"/>
    <col min="44" max="44" width="17" style="401" customWidth="1"/>
  </cols>
  <sheetData>
    <row r="1" spans="1:44" s="1203" customFormat="1" x14ac:dyDescent="0.3">
      <c r="A1" s="121" t="s">
        <v>899</v>
      </c>
    </row>
    <row r="2" spans="1:44" s="704" customFormat="1" x14ac:dyDescent="0.3">
      <c r="A2" s="318"/>
      <c r="B2" s="318"/>
      <c r="C2" s="313"/>
      <c r="D2" s="314"/>
      <c r="E2" s="314"/>
      <c r="F2" s="314"/>
      <c r="G2" s="314"/>
      <c r="H2" s="314"/>
      <c r="I2" s="242"/>
      <c r="J2" s="242"/>
      <c r="K2" s="242"/>
      <c r="L2" s="242"/>
      <c r="M2" s="242"/>
      <c r="N2" s="242"/>
      <c r="O2" s="242"/>
      <c r="P2" s="242"/>
      <c r="Q2" s="242"/>
      <c r="R2" s="242"/>
      <c r="S2" s="242"/>
      <c r="T2" s="242"/>
      <c r="U2" s="242"/>
      <c r="V2" s="242"/>
      <c r="W2" s="242"/>
      <c r="X2" s="242"/>
      <c r="Y2" s="2"/>
      <c r="Z2" s="2"/>
      <c r="AA2" s="242"/>
      <c r="AB2" s="242"/>
      <c r="AC2" s="242"/>
      <c r="AD2" s="242"/>
      <c r="AE2" s="401"/>
      <c r="AF2" s="401"/>
      <c r="AG2" s="399"/>
      <c r="AH2" s="399"/>
      <c r="AI2" s="401"/>
      <c r="AJ2" s="401"/>
      <c r="AK2" s="401"/>
      <c r="AL2" s="401"/>
      <c r="AM2" s="401"/>
      <c r="AN2" s="401"/>
      <c r="AO2" s="594"/>
      <c r="AP2" s="594"/>
      <c r="AQ2" s="401"/>
      <c r="AR2" s="401"/>
    </row>
    <row r="3" spans="1:44" ht="14" x14ac:dyDescent="0.3">
      <c r="A3" s="311" t="s">
        <v>513</v>
      </c>
      <c r="B3" s="312"/>
      <c r="D3" s="313"/>
      <c r="E3" s="590" t="s">
        <v>706</v>
      </c>
      <c r="H3" s="315"/>
      <c r="T3" s="316" t="s">
        <v>514</v>
      </c>
      <c r="AJ3" s="591"/>
      <c r="AK3" s="591"/>
      <c r="AL3" s="591"/>
      <c r="AM3" s="591"/>
      <c r="AN3" s="591"/>
      <c r="AO3" s="591"/>
      <c r="AP3" s="591"/>
      <c r="AQ3" s="592"/>
    </row>
    <row r="4" spans="1:44" ht="14" x14ac:dyDescent="0.3">
      <c r="A4" s="317" t="s">
        <v>515</v>
      </c>
      <c r="E4" s="319" t="s">
        <v>516</v>
      </c>
      <c r="T4" s="320" t="s">
        <v>517</v>
      </c>
      <c r="X4" s="321" t="s">
        <v>518</v>
      </c>
      <c r="Y4" s="321"/>
      <c r="Z4" s="321"/>
      <c r="AA4" s="321"/>
      <c r="AF4" s="591"/>
      <c r="AG4" s="593"/>
      <c r="AO4" s="401"/>
      <c r="AP4" s="401"/>
      <c r="AQ4" s="592" t="s">
        <v>711</v>
      </c>
      <c r="AR4" s="594"/>
    </row>
    <row r="5" spans="1:44" ht="14" x14ac:dyDescent="0.3">
      <c r="A5" s="1274">
        <v>43465</v>
      </c>
      <c r="B5" s="1275"/>
      <c r="E5" s="322" t="s">
        <v>519</v>
      </c>
      <c r="G5" s="315"/>
      <c r="H5" s="315"/>
      <c r="AO5" s="401"/>
      <c r="AP5" s="401"/>
      <c r="AQ5" s="594"/>
      <c r="AR5" s="594"/>
    </row>
    <row r="6" spans="1:44" x14ac:dyDescent="0.3">
      <c r="AO6" s="401"/>
      <c r="AP6" s="401"/>
      <c r="AQ6" s="594"/>
      <c r="AR6" s="594"/>
    </row>
    <row r="7" spans="1:44" x14ac:dyDescent="0.25">
      <c r="C7" s="323" t="s">
        <v>372</v>
      </c>
      <c r="D7" s="324"/>
      <c r="E7" s="325" t="s">
        <v>520</v>
      </c>
      <c r="F7" s="326" t="s">
        <v>521</v>
      </c>
      <c r="G7" s="327" t="s">
        <v>522</v>
      </c>
      <c r="H7" s="326" t="s">
        <v>521</v>
      </c>
      <c r="I7" s="327" t="s">
        <v>522</v>
      </c>
      <c r="J7" s="326" t="s">
        <v>521</v>
      </c>
      <c r="K7" s="327" t="s">
        <v>522</v>
      </c>
      <c r="L7" s="326" t="s">
        <v>521</v>
      </c>
      <c r="M7" s="327" t="s">
        <v>522</v>
      </c>
      <c r="N7" s="326" t="s">
        <v>521</v>
      </c>
      <c r="O7" s="327" t="s">
        <v>522</v>
      </c>
      <c r="P7" s="326" t="s">
        <v>521</v>
      </c>
      <c r="Q7" s="327" t="s">
        <v>522</v>
      </c>
      <c r="R7" s="326" t="s">
        <v>521</v>
      </c>
      <c r="S7" s="327" t="s">
        <v>522</v>
      </c>
      <c r="T7" s="326" t="s">
        <v>521</v>
      </c>
      <c r="U7" s="327" t="s">
        <v>522</v>
      </c>
      <c r="V7" s="326" t="s">
        <v>521</v>
      </c>
      <c r="W7" s="327" t="s">
        <v>522</v>
      </c>
      <c r="X7" s="326" t="s">
        <v>521</v>
      </c>
      <c r="Y7" s="328" t="s">
        <v>522</v>
      </c>
      <c r="Z7" s="329" t="s">
        <v>521</v>
      </c>
      <c r="AA7" s="327" t="s">
        <v>522</v>
      </c>
      <c r="AB7" s="326" t="s">
        <v>521</v>
      </c>
      <c r="AC7" s="327" t="s">
        <v>522</v>
      </c>
      <c r="AD7" s="326" t="s">
        <v>521</v>
      </c>
      <c r="AE7" s="327" t="s">
        <v>522</v>
      </c>
      <c r="AF7" s="326" t="s">
        <v>521</v>
      </c>
      <c r="AG7" s="328" t="s">
        <v>522</v>
      </c>
      <c r="AH7" s="329" t="s">
        <v>521</v>
      </c>
      <c r="AI7" s="328" t="s">
        <v>522</v>
      </c>
      <c r="AJ7" s="329" t="s">
        <v>521</v>
      </c>
      <c r="AK7" s="328" t="s">
        <v>522</v>
      </c>
      <c r="AL7" s="329" t="s">
        <v>521</v>
      </c>
      <c r="AM7" s="328" t="s">
        <v>522</v>
      </c>
      <c r="AN7" s="329" t="s">
        <v>521</v>
      </c>
      <c r="AO7" s="328" t="s">
        <v>522</v>
      </c>
      <c r="AP7" s="329" t="s">
        <v>521</v>
      </c>
      <c r="AQ7" s="728" t="s">
        <v>522</v>
      </c>
      <c r="AR7" s="729" t="s">
        <v>521</v>
      </c>
    </row>
    <row r="8" spans="1:44" x14ac:dyDescent="0.3">
      <c r="A8" s="330"/>
      <c r="B8" s="331" t="s">
        <v>523</v>
      </c>
      <c r="C8" s="332" t="s">
        <v>524</v>
      </c>
      <c r="D8" s="333" t="s">
        <v>525</v>
      </c>
      <c r="E8" s="333" t="s">
        <v>526</v>
      </c>
      <c r="F8" s="334">
        <v>1999</v>
      </c>
      <c r="G8" s="334">
        <v>2000</v>
      </c>
      <c r="H8" s="334">
        <v>2000</v>
      </c>
      <c r="I8" s="335">
        <v>2001</v>
      </c>
      <c r="J8" s="335">
        <v>2001</v>
      </c>
      <c r="K8" s="335">
        <v>2002</v>
      </c>
      <c r="L8" s="335">
        <v>2002</v>
      </c>
      <c r="M8" s="335">
        <v>2003</v>
      </c>
      <c r="N8" s="335">
        <v>2003</v>
      </c>
      <c r="O8" s="335">
        <v>2004</v>
      </c>
      <c r="P8" s="335">
        <v>2004</v>
      </c>
      <c r="Q8" s="335">
        <v>2005</v>
      </c>
      <c r="R8" s="335">
        <v>2005</v>
      </c>
      <c r="S8" s="335">
        <v>2006</v>
      </c>
      <c r="T8" s="335">
        <v>2006</v>
      </c>
      <c r="U8" s="336">
        <v>2007</v>
      </c>
      <c r="V8" s="336">
        <v>2007</v>
      </c>
      <c r="W8" s="336">
        <v>2008</v>
      </c>
      <c r="X8" s="336">
        <v>2008</v>
      </c>
      <c r="Y8" s="337" t="s">
        <v>527</v>
      </c>
      <c r="Z8" s="337" t="s">
        <v>527</v>
      </c>
      <c r="AA8" s="336" t="s">
        <v>528</v>
      </c>
      <c r="AB8" s="336" t="s">
        <v>528</v>
      </c>
      <c r="AC8" s="338" t="s">
        <v>529</v>
      </c>
      <c r="AD8" s="338" t="s">
        <v>529</v>
      </c>
      <c r="AE8" s="338" t="s">
        <v>367</v>
      </c>
      <c r="AF8" s="338" t="s">
        <v>367</v>
      </c>
      <c r="AG8" s="595" t="s">
        <v>530</v>
      </c>
      <c r="AH8" s="595" t="s">
        <v>530</v>
      </c>
      <c r="AI8" s="595" t="s">
        <v>638</v>
      </c>
      <c r="AJ8" s="595" t="s">
        <v>638</v>
      </c>
      <c r="AK8" s="595" t="s">
        <v>639</v>
      </c>
      <c r="AL8" s="595" t="s">
        <v>639</v>
      </c>
      <c r="AM8" s="595" t="s">
        <v>640</v>
      </c>
      <c r="AN8" s="595" t="s">
        <v>640</v>
      </c>
      <c r="AO8" s="595" t="s">
        <v>641</v>
      </c>
      <c r="AP8" s="595" t="s">
        <v>641</v>
      </c>
      <c r="AQ8" s="730" t="s">
        <v>642</v>
      </c>
      <c r="AR8" s="730" t="s">
        <v>642</v>
      </c>
    </row>
    <row r="9" spans="1:44" x14ac:dyDescent="0.3">
      <c r="A9" s="339" t="s">
        <v>531</v>
      </c>
      <c r="C9" s="340"/>
      <c r="AO9" s="401"/>
      <c r="AP9" s="401"/>
      <c r="AQ9" s="594"/>
      <c r="AR9" s="594"/>
    </row>
    <row r="10" spans="1:44" x14ac:dyDescent="0.25">
      <c r="B10" s="312" t="s">
        <v>532</v>
      </c>
      <c r="C10" s="341" t="s">
        <v>533</v>
      </c>
      <c r="D10" s="342">
        <v>80000</v>
      </c>
      <c r="E10" s="329" t="s">
        <v>534</v>
      </c>
      <c r="F10" s="596">
        <v>0</v>
      </c>
      <c r="G10" s="596">
        <v>0</v>
      </c>
      <c r="H10" s="596">
        <v>0</v>
      </c>
      <c r="I10" s="596">
        <v>0</v>
      </c>
      <c r="J10" s="596">
        <v>0</v>
      </c>
      <c r="K10" s="596">
        <v>0</v>
      </c>
      <c r="L10" s="596">
        <v>0</v>
      </c>
      <c r="M10" s="596">
        <v>0</v>
      </c>
      <c r="N10" s="596">
        <v>0</v>
      </c>
      <c r="O10" s="596">
        <v>0</v>
      </c>
      <c r="P10" s="596">
        <v>0</v>
      </c>
      <c r="Q10" s="596">
        <v>0</v>
      </c>
      <c r="R10" s="596">
        <v>0</v>
      </c>
      <c r="S10" s="596">
        <v>0</v>
      </c>
      <c r="T10" s="596">
        <v>0</v>
      </c>
      <c r="U10" s="596">
        <v>0</v>
      </c>
      <c r="V10" s="596">
        <v>0</v>
      </c>
      <c r="W10" s="596">
        <v>0</v>
      </c>
      <c r="X10" s="596">
        <v>0</v>
      </c>
      <c r="Y10" s="596">
        <v>0</v>
      </c>
      <c r="Z10" s="596">
        <v>0</v>
      </c>
      <c r="AA10" s="596">
        <v>0</v>
      </c>
      <c r="AB10" s="596">
        <v>0</v>
      </c>
      <c r="AC10" s="596">
        <v>0</v>
      </c>
      <c r="AD10" s="596">
        <v>0</v>
      </c>
      <c r="AE10" s="596">
        <v>0</v>
      </c>
      <c r="AF10" s="596">
        <v>0</v>
      </c>
      <c r="AG10" s="596">
        <v>0</v>
      </c>
      <c r="AH10" s="596">
        <v>0</v>
      </c>
      <c r="AI10" s="596">
        <v>0</v>
      </c>
      <c r="AJ10" s="596">
        <v>0</v>
      </c>
      <c r="AK10" s="596">
        <v>0</v>
      </c>
      <c r="AL10" s="596">
        <v>0</v>
      </c>
      <c r="AM10" s="596">
        <v>0</v>
      </c>
      <c r="AN10" s="596">
        <v>0</v>
      </c>
      <c r="AO10" s="596">
        <v>0</v>
      </c>
      <c r="AP10" s="596">
        <v>0</v>
      </c>
      <c r="AQ10" s="597">
        <v>0</v>
      </c>
      <c r="AR10" s="597">
        <v>0</v>
      </c>
    </row>
    <row r="11" spans="1:44" x14ac:dyDescent="0.25">
      <c r="C11" s="323"/>
      <c r="D11" s="343"/>
      <c r="E11" s="326"/>
      <c r="F11" s="598"/>
      <c r="G11" s="598"/>
      <c r="H11" s="598"/>
      <c r="I11" s="598"/>
      <c r="J11" s="598"/>
      <c r="K11" s="598"/>
      <c r="L11" s="598"/>
      <c r="M11" s="598"/>
      <c r="N11" s="598"/>
      <c r="O11" s="598"/>
      <c r="P11" s="598"/>
      <c r="Q11" s="598"/>
      <c r="R11" s="598"/>
      <c r="S11" s="598"/>
      <c r="T11" s="598"/>
      <c r="U11" s="598"/>
      <c r="V11" s="598"/>
      <c r="W11" s="598"/>
      <c r="X11" s="598"/>
      <c r="Y11" s="596"/>
      <c r="Z11" s="596"/>
      <c r="AA11" s="598"/>
      <c r="AB11" s="598"/>
      <c r="AC11" s="598"/>
      <c r="AD11" s="598"/>
      <c r="AE11" s="598"/>
      <c r="AF11" s="598"/>
      <c r="AG11" s="596"/>
      <c r="AH11" s="596"/>
      <c r="AI11" s="598"/>
      <c r="AJ11" s="598"/>
      <c r="AK11" s="598"/>
      <c r="AL11" s="598"/>
      <c r="AM11" s="598"/>
      <c r="AN11" s="598"/>
      <c r="AO11" s="598"/>
      <c r="AP11" s="598"/>
      <c r="AQ11" s="599"/>
      <c r="AR11" s="599"/>
    </row>
    <row r="12" spans="1:44" ht="13.5" thickBot="1" x14ac:dyDescent="0.3">
      <c r="A12" s="339" t="s">
        <v>238</v>
      </c>
      <c r="B12" s="344" t="s">
        <v>535</v>
      </c>
      <c r="C12" s="323"/>
      <c r="D12" s="345">
        <f t="shared" ref="D12:AH12" si="0">SUM(D10:D11)</f>
        <v>80000</v>
      </c>
      <c r="E12" s="345">
        <f t="shared" si="0"/>
        <v>0</v>
      </c>
      <c r="F12" s="345">
        <f t="shared" si="0"/>
        <v>0</v>
      </c>
      <c r="G12" s="345">
        <f t="shared" si="0"/>
        <v>0</v>
      </c>
      <c r="H12" s="345">
        <f t="shared" si="0"/>
        <v>0</v>
      </c>
      <c r="I12" s="345">
        <f t="shared" si="0"/>
        <v>0</v>
      </c>
      <c r="J12" s="345">
        <f t="shared" si="0"/>
        <v>0</v>
      </c>
      <c r="K12" s="345">
        <f t="shared" si="0"/>
        <v>0</v>
      </c>
      <c r="L12" s="345">
        <f t="shared" si="0"/>
        <v>0</v>
      </c>
      <c r="M12" s="345">
        <f t="shared" si="0"/>
        <v>0</v>
      </c>
      <c r="N12" s="345">
        <f t="shared" si="0"/>
        <v>0</v>
      </c>
      <c r="O12" s="345">
        <f t="shared" si="0"/>
        <v>0</v>
      </c>
      <c r="P12" s="345">
        <f t="shared" si="0"/>
        <v>0</v>
      </c>
      <c r="Q12" s="345">
        <f t="shared" si="0"/>
        <v>0</v>
      </c>
      <c r="R12" s="345">
        <f t="shared" si="0"/>
        <v>0</v>
      </c>
      <c r="S12" s="345">
        <f t="shared" si="0"/>
        <v>0</v>
      </c>
      <c r="T12" s="345">
        <f t="shared" si="0"/>
        <v>0</v>
      </c>
      <c r="U12" s="345">
        <f t="shared" si="0"/>
        <v>0</v>
      </c>
      <c r="V12" s="345">
        <f t="shared" si="0"/>
        <v>0</v>
      </c>
      <c r="W12" s="345">
        <f t="shared" si="0"/>
        <v>0</v>
      </c>
      <c r="X12" s="345">
        <f t="shared" si="0"/>
        <v>0</v>
      </c>
      <c r="Y12" s="345">
        <f t="shared" si="0"/>
        <v>0</v>
      </c>
      <c r="Z12" s="345">
        <f t="shared" si="0"/>
        <v>0</v>
      </c>
      <c r="AA12" s="345">
        <f t="shared" si="0"/>
        <v>0</v>
      </c>
      <c r="AB12" s="345">
        <f t="shared" si="0"/>
        <v>0</v>
      </c>
      <c r="AC12" s="345">
        <f t="shared" si="0"/>
        <v>0</v>
      </c>
      <c r="AD12" s="345">
        <f t="shared" si="0"/>
        <v>0</v>
      </c>
      <c r="AE12" s="345">
        <f t="shared" si="0"/>
        <v>0</v>
      </c>
      <c r="AF12" s="345">
        <f t="shared" si="0"/>
        <v>0</v>
      </c>
      <c r="AG12" s="345">
        <f t="shared" si="0"/>
        <v>0</v>
      </c>
      <c r="AH12" s="345">
        <f t="shared" si="0"/>
        <v>0</v>
      </c>
      <c r="AI12" s="345">
        <f t="shared" ref="AI12:AR12" si="1">SUM(AI10:AI11)</f>
        <v>0</v>
      </c>
      <c r="AJ12" s="345">
        <f t="shared" si="1"/>
        <v>0</v>
      </c>
      <c r="AK12" s="345">
        <f t="shared" si="1"/>
        <v>0</v>
      </c>
      <c r="AL12" s="345">
        <f t="shared" si="1"/>
        <v>0</v>
      </c>
      <c r="AM12" s="345">
        <f t="shared" si="1"/>
        <v>0</v>
      </c>
      <c r="AN12" s="345">
        <f t="shared" si="1"/>
        <v>0</v>
      </c>
      <c r="AO12" s="345">
        <f t="shared" si="1"/>
        <v>0</v>
      </c>
      <c r="AP12" s="345">
        <f t="shared" si="1"/>
        <v>0</v>
      </c>
      <c r="AQ12" s="600">
        <f t="shared" si="1"/>
        <v>0</v>
      </c>
      <c r="AR12" s="600">
        <f t="shared" si="1"/>
        <v>0</v>
      </c>
    </row>
    <row r="13" spans="1:44" ht="13.5" thickTop="1" x14ac:dyDescent="0.3">
      <c r="C13" s="323"/>
      <c r="D13" s="324"/>
      <c r="E13" s="324"/>
      <c r="AO13" s="401"/>
      <c r="AP13" s="401"/>
      <c r="AQ13" s="594"/>
      <c r="AR13" s="594"/>
    </row>
    <row r="14" spans="1:44" x14ac:dyDescent="0.3">
      <c r="A14" s="339" t="s">
        <v>536</v>
      </c>
      <c r="C14" s="346"/>
      <c r="D14" s="324"/>
      <c r="E14" s="324"/>
      <c r="AO14" s="401"/>
      <c r="AP14" s="401"/>
      <c r="AQ14" s="594"/>
      <c r="AR14" s="594"/>
    </row>
    <row r="15" spans="1:44" x14ac:dyDescent="0.25">
      <c r="B15" s="312" t="s">
        <v>76</v>
      </c>
      <c r="C15" s="347">
        <v>30512</v>
      </c>
      <c r="D15" s="348">
        <v>30142</v>
      </c>
      <c r="E15" s="348">
        <v>20</v>
      </c>
      <c r="F15" s="596">
        <v>24862</v>
      </c>
      <c r="G15" s="596">
        <f t="shared" ref="G15:I19" si="2">IF(F15&lt;$D15,IF(F15+($D15/$E15)&lt;$D15,ROUND($D15/$E15,0),ROUND($D15-F15,0)),0)</f>
        <v>1507</v>
      </c>
      <c r="H15" s="596">
        <f t="shared" ref="H15:H18" si="3">ROUND(SUM(F15:G15),0)</f>
        <v>26369</v>
      </c>
      <c r="I15" s="596">
        <f t="shared" si="2"/>
        <v>1507</v>
      </c>
      <c r="J15" s="596">
        <f t="shared" ref="J15:J18" si="4">ROUND(SUM(H15:I15),0)</f>
        <v>27876</v>
      </c>
      <c r="K15" s="596">
        <f t="shared" ref="K15:M19" si="5">IF(J15&lt;$D15,IF(J15+($D15/$E15)&lt;$D15,ROUND($D15/$E15,0),ROUND($D15-J15,0)),0)</f>
        <v>1507</v>
      </c>
      <c r="L15" s="596">
        <f t="shared" ref="L15:L18" si="6">ROUND(SUM(J15:K15),0)</f>
        <v>29383</v>
      </c>
      <c r="M15" s="596">
        <f t="shared" si="5"/>
        <v>759</v>
      </c>
      <c r="N15" s="596">
        <f t="shared" ref="N15:N19" si="7">ROUND(SUM(L15:M15),0)</f>
        <v>30142</v>
      </c>
      <c r="O15" s="596">
        <f t="shared" ref="O15:Q19" si="8">IF(N15&lt;$D15,IF(N15+($D15/$E15)&lt;$D15,ROUND($D15/$E15,0),ROUND($D15-N15,0)),0)</f>
        <v>0</v>
      </c>
      <c r="P15" s="596">
        <f t="shared" ref="P15:P19" si="9">ROUND(SUM(N15:O15),0)</f>
        <v>30142</v>
      </c>
      <c r="Q15" s="596">
        <f t="shared" si="8"/>
        <v>0</v>
      </c>
      <c r="R15" s="596">
        <f t="shared" ref="R15:R19" si="10">ROUND(SUM(P15:Q15),0)</f>
        <v>30142</v>
      </c>
      <c r="S15" s="596">
        <f t="shared" ref="S15:S19" si="11">IF(R15&lt;$D15,IF(R15+($D15/$E15)&lt;$D15,ROUND($D15/$E15,0),ROUND($D15-R15,0)),0)</f>
        <v>0</v>
      </c>
      <c r="T15" s="596">
        <f t="shared" ref="T15:T19" si="12">ROUND(SUM(R15:S15),0)</f>
        <v>30142</v>
      </c>
      <c r="U15" s="596">
        <f t="shared" ref="U15:U19" si="13">IF(T15&lt;$D15,IF(T15+($D15/$E15)&lt;$D15,ROUND($D15/$E15,0),ROUND($D15-T15,0)),0)</f>
        <v>0</v>
      </c>
      <c r="V15" s="596">
        <f t="shared" ref="V15:V25" si="14">ROUND(SUM(T15:U15),0)</f>
        <v>30142</v>
      </c>
      <c r="W15" s="596">
        <f t="shared" ref="W15:W25" si="15">IF(V15&lt;$D15,IF(V15+($D15/$E15)&lt;$D15,ROUND($D15/$E15,0),ROUND($D15-V15,0)),0)</f>
        <v>0</v>
      </c>
      <c r="X15" s="596">
        <f t="shared" ref="X15:X25" si="16">ROUND(SUM(V15:W15),0)</f>
        <v>30142</v>
      </c>
      <c r="Y15" s="596">
        <f t="shared" ref="Y15:Y29" si="17">IF(X15&lt;$D15,IF(X15+($D15/$E15)&lt;$D15,ROUND($D15/$E15,0),ROUND($D15-X15,0)),0)</f>
        <v>0</v>
      </c>
      <c r="Z15" s="596">
        <f t="shared" ref="Z15:Z25" si="18">ROUND(SUM(X15:Y15),0)</f>
        <v>30142</v>
      </c>
      <c r="AA15" s="596">
        <f t="shared" ref="AA15:AA29" si="19">IF(Z15&lt;$D15,IF(Z15+($D15/$E15)&lt;$D15,ROUND($D15/$E15,0),ROUND($D15-Z15,0)),0)</f>
        <v>0</v>
      </c>
      <c r="AB15" s="596">
        <f t="shared" ref="AB15:AB25" si="20">ROUND(SUM(Z15:AA15),0)</f>
        <v>30142</v>
      </c>
      <c r="AC15" s="596">
        <f t="shared" ref="AC15:AC29" si="21">IF(AB15&lt;$D15,IF(AB15+($D15/$E15)&lt;$D15,ROUND($D15/$E15,0),ROUND($D15-AB15,0)),0)</f>
        <v>0</v>
      </c>
      <c r="AD15" s="596">
        <f t="shared" ref="AD15:AD25" si="22">ROUND(SUM(AB15:AC15),0)</f>
        <v>30142</v>
      </c>
      <c r="AE15" s="596">
        <f t="shared" ref="AE15:AE29" si="23">IF(AD15&lt;$D15,IF(AD15+($D15/$E15)&lt;$D15,ROUND($D15/$E15,0),ROUND($D15-AD15,0)),0)</f>
        <v>0</v>
      </c>
      <c r="AF15" s="596">
        <f t="shared" ref="AF15:AF25" si="24">ROUND(SUM(AD15:AE15),0)</f>
        <v>30142</v>
      </c>
      <c r="AG15" s="596">
        <f t="shared" ref="AG15:AG35" si="25">IF(AF15&lt;$D15,IF(AF15+($D15/$E15)&lt;$D15,ROUND($D15/$E15,0),ROUND($D15-AF15,0)),0)</f>
        <v>0</v>
      </c>
      <c r="AH15" s="596">
        <f t="shared" ref="AH15:AH25" si="26">ROUND(SUM(AF15:AG15),0)</f>
        <v>30142</v>
      </c>
      <c r="AI15" s="596">
        <f t="shared" ref="AI15:AI35" si="27">IF(AH15&lt;$D15,IF(AH15+($D15/$E15)&lt;$D15,ROUND($D15/$E15,0),ROUND($D15-AH15,0)),0)</f>
        <v>0</v>
      </c>
      <c r="AJ15" s="596">
        <f t="shared" ref="AJ15:AJ25" si="28">ROUND(SUM(AH15:AI15),0)</f>
        <v>30142</v>
      </c>
      <c r="AK15" s="596">
        <f t="shared" ref="AK15:AK35" si="29">IF(AJ15&lt;$D15,IF(AJ15+($D15/$E15)&lt;$D15,ROUND($D15/$E15,0),ROUND($D15-AJ15,0)),0)</f>
        <v>0</v>
      </c>
      <c r="AL15" s="596">
        <f t="shared" ref="AL15:AL25" si="30">ROUND(SUM(AJ15:AK15),0)</f>
        <v>30142</v>
      </c>
      <c r="AM15" s="596">
        <f t="shared" ref="AM15:AM35" si="31">IF(AL15&lt;$D15,IF(AL15+($D15/$E15)&lt;$D15,ROUND($D15/$E15,0),ROUND($D15-AL15,0)),0)</f>
        <v>0</v>
      </c>
      <c r="AN15" s="596">
        <f t="shared" ref="AN15:AN25" si="32">ROUND(SUM(AL15:AM15),0)</f>
        <v>30142</v>
      </c>
      <c r="AO15" s="596">
        <f t="shared" ref="AO15:AO35" si="33">IF(AN15&lt;$D15,IF(AN15+($D15/$E15)&lt;$D15,ROUND($D15/$E15,0),ROUND($D15-AN15,0)),0)</f>
        <v>0</v>
      </c>
      <c r="AP15" s="596">
        <f t="shared" ref="AP15:AP25" si="34">ROUND(SUM(AN15:AO15),0)</f>
        <v>30142</v>
      </c>
      <c r="AQ15" s="597">
        <f t="shared" ref="AQ15:AQ35" si="35">IF(AP15&lt;$D15,IF(AP15+($D15/$E15)&lt;$D15,ROUND($D15/$E15,0),ROUND($D15-AP15,0)),0)</f>
        <v>0</v>
      </c>
      <c r="AR15" s="597">
        <f t="shared" ref="AR15:AR25" si="36">ROUND(SUM(AP15:AQ15),0)</f>
        <v>30142</v>
      </c>
    </row>
    <row r="16" spans="1:44" x14ac:dyDescent="0.25">
      <c r="A16" s="312"/>
      <c r="B16" s="312" t="s">
        <v>77</v>
      </c>
      <c r="C16" s="347">
        <v>34486</v>
      </c>
      <c r="D16" s="342">
        <v>5014</v>
      </c>
      <c r="E16" s="342">
        <v>40</v>
      </c>
      <c r="F16" s="596">
        <v>699</v>
      </c>
      <c r="G16" s="596">
        <f t="shared" si="2"/>
        <v>125</v>
      </c>
      <c r="H16" s="596">
        <f t="shared" si="3"/>
        <v>824</v>
      </c>
      <c r="I16" s="596">
        <f t="shared" si="2"/>
        <v>125</v>
      </c>
      <c r="J16" s="596">
        <f t="shared" si="4"/>
        <v>949</v>
      </c>
      <c r="K16" s="596">
        <f t="shared" si="5"/>
        <v>125</v>
      </c>
      <c r="L16" s="596">
        <f t="shared" si="6"/>
        <v>1074</v>
      </c>
      <c r="M16" s="596">
        <f t="shared" si="5"/>
        <v>125</v>
      </c>
      <c r="N16" s="596">
        <f t="shared" si="7"/>
        <v>1199</v>
      </c>
      <c r="O16" s="596">
        <f t="shared" si="8"/>
        <v>125</v>
      </c>
      <c r="P16" s="596">
        <f t="shared" si="9"/>
        <v>1324</v>
      </c>
      <c r="Q16" s="596">
        <f t="shared" si="8"/>
        <v>125</v>
      </c>
      <c r="R16" s="596">
        <f t="shared" si="10"/>
        <v>1449</v>
      </c>
      <c r="S16" s="596">
        <f t="shared" si="11"/>
        <v>125</v>
      </c>
      <c r="T16" s="596">
        <f t="shared" si="12"/>
        <v>1574</v>
      </c>
      <c r="U16" s="596">
        <f t="shared" si="13"/>
        <v>125</v>
      </c>
      <c r="V16" s="596">
        <f t="shared" si="14"/>
        <v>1699</v>
      </c>
      <c r="W16" s="596">
        <f t="shared" si="15"/>
        <v>125</v>
      </c>
      <c r="X16" s="596">
        <f t="shared" si="16"/>
        <v>1824</v>
      </c>
      <c r="Y16" s="596">
        <f t="shared" si="17"/>
        <v>125</v>
      </c>
      <c r="Z16" s="596">
        <f t="shared" si="18"/>
        <v>1949</v>
      </c>
      <c r="AA16" s="596">
        <f t="shared" si="19"/>
        <v>125</v>
      </c>
      <c r="AB16" s="596">
        <f t="shared" si="20"/>
        <v>2074</v>
      </c>
      <c r="AC16" s="596">
        <f t="shared" si="21"/>
        <v>125</v>
      </c>
      <c r="AD16" s="596">
        <f t="shared" si="22"/>
        <v>2199</v>
      </c>
      <c r="AE16" s="596">
        <f t="shared" si="23"/>
        <v>125</v>
      </c>
      <c r="AF16" s="596">
        <f t="shared" si="24"/>
        <v>2324</v>
      </c>
      <c r="AG16" s="596">
        <f t="shared" si="25"/>
        <v>125</v>
      </c>
      <c r="AH16" s="596">
        <f t="shared" si="26"/>
        <v>2449</v>
      </c>
      <c r="AI16" s="596">
        <f t="shared" si="27"/>
        <v>125</v>
      </c>
      <c r="AJ16" s="596">
        <f t="shared" si="28"/>
        <v>2574</v>
      </c>
      <c r="AK16" s="596">
        <f t="shared" si="29"/>
        <v>125</v>
      </c>
      <c r="AL16" s="596">
        <f t="shared" si="30"/>
        <v>2699</v>
      </c>
      <c r="AM16" s="596">
        <f t="shared" si="31"/>
        <v>125</v>
      </c>
      <c r="AN16" s="596">
        <f t="shared" si="32"/>
        <v>2824</v>
      </c>
      <c r="AO16" s="596">
        <f t="shared" si="33"/>
        <v>125</v>
      </c>
      <c r="AP16" s="596">
        <f t="shared" si="34"/>
        <v>2949</v>
      </c>
      <c r="AQ16" s="597">
        <f t="shared" si="35"/>
        <v>125</v>
      </c>
      <c r="AR16" s="597">
        <f t="shared" si="36"/>
        <v>3074</v>
      </c>
    </row>
    <row r="17" spans="1:44" x14ac:dyDescent="0.25">
      <c r="B17" s="349" t="s">
        <v>537</v>
      </c>
      <c r="C17" s="350">
        <v>35186</v>
      </c>
      <c r="D17" s="342">
        <v>9369</v>
      </c>
      <c r="E17" s="348">
        <v>20</v>
      </c>
      <c r="F17" s="596">
        <v>1638</v>
      </c>
      <c r="G17" s="596">
        <f t="shared" si="2"/>
        <v>468</v>
      </c>
      <c r="H17" s="596">
        <f t="shared" si="3"/>
        <v>2106</v>
      </c>
      <c r="I17" s="596">
        <f t="shared" si="2"/>
        <v>468</v>
      </c>
      <c r="J17" s="596">
        <f t="shared" si="4"/>
        <v>2574</v>
      </c>
      <c r="K17" s="596">
        <f t="shared" si="5"/>
        <v>468</v>
      </c>
      <c r="L17" s="596">
        <f t="shared" si="6"/>
        <v>3042</v>
      </c>
      <c r="M17" s="596">
        <f t="shared" si="5"/>
        <v>468</v>
      </c>
      <c r="N17" s="596">
        <f t="shared" si="7"/>
        <v>3510</v>
      </c>
      <c r="O17" s="596">
        <f t="shared" si="8"/>
        <v>468</v>
      </c>
      <c r="P17" s="596">
        <f t="shared" si="9"/>
        <v>3978</v>
      </c>
      <c r="Q17" s="596">
        <f t="shared" si="8"/>
        <v>468</v>
      </c>
      <c r="R17" s="596">
        <f t="shared" si="10"/>
        <v>4446</v>
      </c>
      <c r="S17" s="596">
        <f t="shared" si="11"/>
        <v>468</v>
      </c>
      <c r="T17" s="596">
        <f t="shared" si="12"/>
        <v>4914</v>
      </c>
      <c r="U17" s="596">
        <f t="shared" si="13"/>
        <v>468</v>
      </c>
      <c r="V17" s="596">
        <f t="shared" si="14"/>
        <v>5382</v>
      </c>
      <c r="W17" s="596">
        <f t="shared" si="15"/>
        <v>468</v>
      </c>
      <c r="X17" s="596">
        <f t="shared" si="16"/>
        <v>5850</v>
      </c>
      <c r="Y17" s="596">
        <f t="shared" si="17"/>
        <v>468</v>
      </c>
      <c r="Z17" s="596">
        <f t="shared" si="18"/>
        <v>6318</v>
      </c>
      <c r="AA17" s="596">
        <f t="shared" si="19"/>
        <v>468</v>
      </c>
      <c r="AB17" s="596">
        <f t="shared" si="20"/>
        <v>6786</v>
      </c>
      <c r="AC17" s="596">
        <f t="shared" si="21"/>
        <v>468</v>
      </c>
      <c r="AD17" s="596">
        <f t="shared" si="22"/>
        <v>7254</v>
      </c>
      <c r="AE17" s="596">
        <f t="shared" si="23"/>
        <v>468</v>
      </c>
      <c r="AF17" s="596">
        <f t="shared" si="24"/>
        <v>7722</v>
      </c>
      <c r="AG17" s="596">
        <f t="shared" si="25"/>
        <v>468</v>
      </c>
      <c r="AH17" s="596">
        <f t="shared" si="26"/>
        <v>8190</v>
      </c>
      <c r="AI17" s="596">
        <f t="shared" si="27"/>
        <v>468</v>
      </c>
      <c r="AJ17" s="596">
        <f t="shared" si="28"/>
        <v>8658</v>
      </c>
      <c r="AK17" s="596">
        <f t="shared" si="29"/>
        <v>468</v>
      </c>
      <c r="AL17" s="596">
        <f t="shared" si="30"/>
        <v>9126</v>
      </c>
      <c r="AM17" s="596">
        <f t="shared" si="31"/>
        <v>243</v>
      </c>
      <c r="AN17" s="596">
        <f t="shared" si="32"/>
        <v>9369</v>
      </c>
      <c r="AO17" s="596">
        <f t="shared" si="33"/>
        <v>0</v>
      </c>
      <c r="AP17" s="596">
        <f t="shared" si="34"/>
        <v>9369</v>
      </c>
      <c r="AQ17" s="597">
        <f t="shared" si="35"/>
        <v>0</v>
      </c>
      <c r="AR17" s="597">
        <f t="shared" si="36"/>
        <v>9369</v>
      </c>
    </row>
    <row r="18" spans="1:44" x14ac:dyDescent="0.25">
      <c r="B18" s="349" t="s">
        <v>119</v>
      </c>
      <c r="C18" s="350">
        <v>35186</v>
      </c>
      <c r="D18" s="342">
        <v>2646</v>
      </c>
      <c r="E18" s="348">
        <v>20</v>
      </c>
      <c r="F18" s="596">
        <v>462</v>
      </c>
      <c r="G18" s="596">
        <f t="shared" si="2"/>
        <v>132</v>
      </c>
      <c r="H18" s="596">
        <f t="shared" si="3"/>
        <v>594</v>
      </c>
      <c r="I18" s="596">
        <f t="shared" si="2"/>
        <v>132</v>
      </c>
      <c r="J18" s="596">
        <f t="shared" si="4"/>
        <v>726</v>
      </c>
      <c r="K18" s="596">
        <f t="shared" si="5"/>
        <v>132</v>
      </c>
      <c r="L18" s="596">
        <f t="shared" si="6"/>
        <v>858</v>
      </c>
      <c r="M18" s="596">
        <f t="shared" si="5"/>
        <v>132</v>
      </c>
      <c r="N18" s="596">
        <f t="shared" si="7"/>
        <v>990</v>
      </c>
      <c r="O18" s="596">
        <f t="shared" si="8"/>
        <v>132</v>
      </c>
      <c r="P18" s="596">
        <f t="shared" si="9"/>
        <v>1122</v>
      </c>
      <c r="Q18" s="596">
        <f t="shared" si="8"/>
        <v>132</v>
      </c>
      <c r="R18" s="596">
        <f t="shared" si="10"/>
        <v>1254</v>
      </c>
      <c r="S18" s="596">
        <f t="shared" si="11"/>
        <v>132</v>
      </c>
      <c r="T18" s="596">
        <f t="shared" si="12"/>
        <v>1386</v>
      </c>
      <c r="U18" s="596">
        <f t="shared" si="13"/>
        <v>132</v>
      </c>
      <c r="V18" s="596">
        <f t="shared" si="14"/>
        <v>1518</v>
      </c>
      <c r="W18" s="596">
        <f t="shared" si="15"/>
        <v>132</v>
      </c>
      <c r="X18" s="596">
        <f t="shared" si="16"/>
        <v>1650</v>
      </c>
      <c r="Y18" s="596">
        <f t="shared" si="17"/>
        <v>132</v>
      </c>
      <c r="Z18" s="596">
        <f t="shared" si="18"/>
        <v>1782</v>
      </c>
      <c r="AA18" s="596">
        <f t="shared" si="19"/>
        <v>132</v>
      </c>
      <c r="AB18" s="596">
        <f t="shared" si="20"/>
        <v>1914</v>
      </c>
      <c r="AC18" s="596">
        <f t="shared" si="21"/>
        <v>132</v>
      </c>
      <c r="AD18" s="596">
        <f t="shared" si="22"/>
        <v>2046</v>
      </c>
      <c r="AE18" s="596">
        <f t="shared" si="23"/>
        <v>132</v>
      </c>
      <c r="AF18" s="596">
        <f t="shared" si="24"/>
        <v>2178</v>
      </c>
      <c r="AG18" s="596">
        <f t="shared" si="25"/>
        <v>132</v>
      </c>
      <c r="AH18" s="596">
        <f t="shared" si="26"/>
        <v>2310</v>
      </c>
      <c r="AI18" s="596">
        <f t="shared" si="27"/>
        <v>132</v>
      </c>
      <c r="AJ18" s="596">
        <f t="shared" si="28"/>
        <v>2442</v>
      </c>
      <c r="AK18" s="596">
        <f t="shared" si="29"/>
        <v>132</v>
      </c>
      <c r="AL18" s="596">
        <f t="shared" si="30"/>
        <v>2574</v>
      </c>
      <c r="AM18" s="596">
        <f t="shared" si="31"/>
        <v>72</v>
      </c>
      <c r="AN18" s="596">
        <f t="shared" si="32"/>
        <v>2646</v>
      </c>
      <c r="AO18" s="596">
        <f t="shared" si="33"/>
        <v>0</v>
      </c>
      <c r="AP18" s="596">
        <f t="shared" si="34"/>
        <v>2646</v>
      </c>
      <c r="AQ18" s="597">
        <f t="shared" si="35"/>
        <v>0</v>
      </c>
      <c r="AR18" s="597">
        <f t="shared" si="36"/>
        <v>2646</v>
      </c>
    </row>
    <row r="19" spans="1:44" x14ac:dyDescent="0.25">
      <c r="B19" s="349" t="s">
        <v>78</v>
      </c>
      <c r="C19" s="350">
        <v>36191</v>
      </c>
      <c r="D19" s="342">
        <v>2068.21</v>
      </c>
      <c r="E19" s="348">
        <v>39</v>
      </c>
      <c r="F19" s="596">
        <v>53</v>
      </c>
      <c r="G19" s="596">
        <f t="shared" si="2"/>
        <v>53</v>
      </c>
      <c r="H19" s="596">
        <f>ROUND(SUM(F19:G19),0)</f>
        <v>106</v>
      </c>
      <c r="I19" s="596">
        <f t="shared" si="2"/>
        <v>53</v>
      </c>
      <c r="J19" s="596">
        <f>ROUND(SUM(H19:I19),0)</f>
        <v>159</v>
      </c>
      <c r="K19" s="596">
        <f t="shared" si="5"/>
        <v>53</v>
      </c>
      <c r="L19" s="596">
        <f>ROUND(SUM(J19:K19),0)</f>
        <v>212</v>
      </c>
      <c r="M19" s="596">
        <f t="shared" si="5"/>
        <v>53</v>
      </c>
      <c r="N19" s="596">
        <f t="shared" si="7"/>
        <v>265</v>
      </c>
      <c r="O19" s="596">
        <f t="shared" si="8"/>
        <v>53</v>
      </c>
      <c r="P19" s="596">
        <f t="shared" si="9"/>
        <v>318</v>
      </c>
      <c r="Q19" s="596">
        <f t="shared" si="8"/>
        <v>53</v>
      </c>
      <c r="R19" s="596">
        <f t="shared" si="10"/>
        <v>371</v>
      </c>
      <c r="S19" s="596">
        <f t="shared" si="11"/>
        <v>53</v>
      </c>
      <c r="T19" s="596">
        <f t="shared" si="12"/>
        <v>424</v>
      </c>
      <c r="U19" s="596">
        <f t="shared" si="13"/>
        <v>53</v>
      </c>
      <c r="V19" s="596">
        <f t="shared" si="14"/>
        <v>477</v>
      </c>
      <c r="W19" s="596">
        <f t="shared" si="15"/>
        <v>53</v>
      </c>
      <c r="X19" s="596">
        <f t="shared" si="16"/>
        <v>530</v>
      </c>
      <c r="Y19" s="596">
        <f t="shared" si="17"/>
        <v>53</v>
      </c>
      <c r="Z19" s="596">
        <f t="shared" si="18"/>
        <v>583</v>
      </c>
      <c r="AA19" s="596">
        <f t="shared" si="19"/>
        <v>53</v>
      </c>
      <c r="AB19" s="596">
        <f t="shared" si="20"/>
        <v>636</v>
      </c>
      <c r="AC19" s="596">
        <f t="shared" si="21"/>
        <v>53</v>
      </c>
      <c r="AD19" s="596">
        <f t="shared" si="22"/>
        <v>689</v>
      </c>
      <c r="AE19" s="596">
        <f t="shared" si="23"/>
        <v>53</v>
      </c>
      <c r="AF19" s="596">
        <f t="shared" si="24"/>
        <v>742</v>
      </c>
      <c r="AG19" s="596">
        <f t="shared" si="25"/>
        <v>53</v>
      </c>
      <c r="AH19" s="596">
        <f t="shared" si="26"/>
        <v>795</v>
      </c>
      <c r="AI19" s="596">
        <f t="shared" si="27"/>
        <v>53</v>
      </c>
      <c r="AJ19" s="596">
        <f t="shared" si="28"/>
        <v>848</v>
      </c>
      <c r="AK19" s="596">
        <f t="shared" si="29"/>
        <v>53</v>
      </c>
      <c r="AL19" s="596">
        <f t="shared" si="30"/>
        <v>901</v>
      </c>
      <c r="AM19" s="596">
        <f t="shared" si="31"/>
        <v>53</v>
      </c>
      <c r="AN19" s="596">
        <f t="shared" si="32"/>
        <v>954</v>
      </c>
      <c r="AO19" s="596">
        <f t="shared" si="33"/>
        <v>53</v>
      </c>
      <c r="AP19" s="596">
        <f t="shared" si="34"/>
        <v>1007</v>
      </c>
      <c r="AQ19" s="597">
        <f t="shared" si="35"/>
        <v>53</v>
      </c>
      <c r="AR19" s="597">
        <f t="shared" si="36"/>
        <v>1060</v>
      </c>
    </row>
    <row r="20" spans="1:44" s="101" customFormat="1" x14ac:dyDescent="0.25">
      <c r="A20" s="312"/>
      <c r="B20" s="349" t="s">
        <v>120</v>
      </c>
      <c r="C20" s="350">
        <v>39387</v>
      </c>
      <c r="D20" s="342">
        <v>32730.34</v>
      </c>
      <c r="E20" s="348">
        <v>39</v>
      </c>
      <c r="F20" s="596"/>
      <c r="G20" s="596"/>
      <c r="H20" s="596"/>
      <c r="I20" s="596"/>
      <c r="J20" s="596"/>
      <c r="K20" s="596"/>
      <c r="L20" s="596"/>
      <c r="M20" s="596"/>
      <c r="N20" s="596"/>
      <c r="O20" s="596"/>
      <c r="P20" s="596"/>
      <c r="Q20" s="596"/>
      <c r="R20" s="596"/>
      <c r="S20" s="596"/>
      <c r="T20" s="596">
        <v>0</v>
      </c>
      <c r="U20" s="596">
        <f>IF(T20&lt;$D20,IF(T20+($D20/$E20)&lt;$D20,ROUND($D20/$E20,0),ROUND($D20-T20,0)),0)/12*2</f>
        <v>139.83333333333334</v>
      </c>
      <c r="V20" s="596">
        <f t="shared" si="14"/>
        <v>140</v>
      </c>
      <c r="W20" s="596">
        <f t="shared" si="15"/>
        <v>839</v>
      </c>
      <c r="X20" s="596">
        <f t="shared" si="16"/>
        <v>979</v>
      </c>
      <c r="Y20" s="596">
        <f t="shared" si="17"/>
        <v>839</v>
      </c>
      <c r="Z20" s="596">
        <f t="shared" si="18"/>
        <v>1818</v>
      </c>
      <c r="AA20" s="596">
        <f t="shared" si="19"/>
        <v>839</v>
      </c>
      <c r="AB20" s="596">
        <f t="shared" si="20"/>
        <v>2657</v>
      </c>
      <c r="AC20" s="596">
        <f t="shared" si="21"/>
        <v>839</v>
      </c>
      <c r="AD20" s="596">
        <f t="shared" si="22"/>
        <v>3496</v>
      </c>
      <c r="AE20" s="596">
        <f t="shared" si="23"/>
        <v>839</v>
      </c>
      <c r="AF20" s="596">
        <f t="shared" si="24"/>
        <v>4335</v>
      </c>
      <c r="AG20" s="596">
        <f t="shared" si="25"/>
        <v>839</v>
      </c>
      <c r="AH20" s="596">
        <f t="shared" si="26"/>
        <v>5174</v>
      </c>
      <c r="AI20" s="596">
        <f t="shared" si="27"/>
        <v>839</v>
      </c>
      <c r="AJ20" s="596">
        <f t="shared" si="28"/>
        <v>6013</v>
      </c>
      <c r="AK20" s="596">
        <f t="shared" si="29"/>
        <v>839</v>
      </c>
      <c r="AL20" s="596">
        <f t="shared" si="30"/>
        <v>6852</v>
      </c>
      <c r="AM20" s="596">
        <f t="shared" si="31"/>
        <v>839</v>
      </c>
      <c r="AN20" s="596">
        <f t="shared" si="32"/>
        <v>7691</v>
      </c>
      <c r="AO20" s="596">
        <f t="shared" si="33"/>
        <v>839</v>
      </c>
      <c r="AP20" s="596">
        <f t="shared" si="34"/>
        <v>8530</v>
      </c>
      <c r="AQ20" s="597">
        <f t="shared" si="35"/>
        <v>839</v>
      </c>
      <c r="AR20" s="597">
        <f t="shared" si="36"/>
        <v>9369</v>
      </c>
    </row>
    <row r="21" spans="1:44" s="101" customFormat="1" x14ac:dyDescent="0.25">
      <c r="A21" s="312"/>
      <c r="B21" s="349" t="s">
        <v>121</v>
      </c>
      <c r="C21" s="350">
        <v>39416</v>
      </c>
      <c r="D21" s="342">
        <v>421.74</v>
      </c>
      <c r="E21" s="348">
        <v>7</v>
      </c>
      <c r="F21" s="596"/>
      <c r="G21" s="596"/>
      <c r="H21" s="596"/>
      <c r="I21" s="596"/>
      <c r="J21" s="596"/>
      <c r="K21" s="596"/>
      <c r="L21" s="596"/>
      <c r="M21" s="596"/>
      <c r="N21" s="596"/>
      <c r="O21" s="596"/>
      <c r="P21" s="596"/>
      <c r="Q21" s="596"/>
      <c r="R21" s="596"/>
      <c r="S21" s="596"/>
      <c r="T21" s="596">
        <v>0</v>
      </c>
      <c r="U21" s="596">
        <f>IF(T21&lt;$D21,IF(T21+($D21/$E21)&lt;$D21,ROUND($D21/$E21,0),ROUND($D21-T21,0)),0)/12*1</f>
        <v>5</v>
      </c>
      <c r="V21" s="596">
        <f t="shared" si="14"/>
        <v>5</v>
      </c>
      <c r="W21" s="596">
        <f t="shared" si="15"/>
        <v>60</v>
      </c>
      <c r="X21" s="596">
        <f t="shared" si="16"/>
        <v>65</v>
      </c>
      <c r="Y21" s="596">
        <f t="shared" si="17"/>
        <v>60</v>
      </c>
      <c r="Z21" s="596">
        <f t="shared" si="18"/>
        <v>125</v>
      </c>
      <c r="AA21" s="596">
        <f t="shared" si="19"/>
        <v>60</v>
      </c>
      <c r="AB21" s="596">
        <f t="shared" si="20"/>
        <v>185</v>
      </c>
      <c r="AC21" s="596">
        <f t="shared" si="21"/>
        <v>60</v>
      </c>
      <c r="AD21" s="596">
        <f t="shared" si="22"/>
        <v>245</v>
      </c>
      <c r="AE21" s="596">
        <f t="shared" si="23"/>
        <v>60</v>
      </c>
      <c r="AF21" s="596">
        <f t="shared" si="24"/>
        <v>305</v>
      </c>
      <c r="AG21" s="596">
        <f t="shared" si="25"/>
        <v>60</v>
      </c>
      <c r="AH21" s="596">
        <f t="shared" si="26"/>
        <v>365</v>
      </c>
      <c r="AI21" s="596">
        <f t="shared" si="27"/>
        <v>57</v>
      </c>
      <c r="AJ21" s="596">
        <f t="shared" si="28"/>
        <v>422</v>
      </c>
      <c r="AK21" s="596">
        <f t="shared" si="29"/>
        <v>0</v>
      </c>
      <c r="AL21" s="596">
        <f t="shared" si="30"/>
        <v>422</v>
      </c>
      <c r="AM21" s="596">
        <f t="shared" si="31"/>
        <v>0</v>
      </c>
      <c r="AN21" s="596">
        <f t="shared" si="32"/>
        <v>422</v>
      </c>
      <c r="AO21" s="596">
        <f t="shared" si="33"/>
        <v>0</v>
      </c>
      <c r="AP21" s="596">
        <f t="shared" si="34"/>
        <v>422</v>
      </c>
      <c r="AQ21" s="597">
        <f t="shared" si="35"/>
        <v>0</v>
      </c>
      <c r="AR21" s="597">
        <f t="shared" si="36"/>
        <v>422</v>
      </c>
    </row>
    <row r="22" spans="1:44" s="101" customFormat="1" x14ac:dyDescent="0.25">
      <c r="A22" s="312"/>
      <c r="B22" s="349" t="s">
        <v>122</v>
      </c>
      <c r="C22" s="350">
        <v>39386</v>
      </c>
      <c r="D22" s="342">
        <v>3334.66</v>
      </c>
      <c r="E22" s="348">
        <v>15</v>
      </c>
      <c r="F22" s="596"/>
      <c r="G22" s="596"/>
      <c r="H22" s="596"/>
      <c r="I22" s="596"/>
      <c r="J22" s="596"/>
      <c r="K22" s="596"/>
      <c r="L22" s="596"/>
      <c r="M22" s="596"/>
      <c r="N22" s="596"/>
      <c r="O22" s="596"/>
      <c r="P22" s="596"/>
      <c r="Q22" s="596"/>
      <c r="R22" s="596"/>
      <c r="S22" s="596"/>
      <c r="T22" s="596">
        <v>0</v>
      </c>
      <c r="U22" s="596">
        <f>IF(T22&lt;$D22,IF(T22+($D22/$E22)&lt;$D22,ROUND($D22/$E22,0),ROUND($D22-T22,0)),0)/12*2</f>
        <v>37</v>
      </c>
      <c r="V22" s="596">
        <f t="shared" si="14"/>
        <v>37</v>
      </c>
      <c r="W22" s="596">
        <f t="shared" si="15"/>
        <v>222</v>
      </c>
      <c r="X22" s="596">
        <f t="shared" si="16"/>
        <v>259</v>
      </c>
      <c r="Y22" s="596">
        <f t="shared" si="17"/>
        <v>222</v>
      </c>
      <c r="Z22" s="596">
        <f t="shared" si="18"/>
        <v>481</v>
      </c>
      <c r="AA22" s="596">
        <f t="shared" si="19"/>
        <v>222</v>
      </c>
      <c r="AB22" s="596">
        <f t="shared" si="20"/>
        <v>703</v>
      </c>
      <c r="AC22" s="596">
        <f t="shared" si="21"/>
        <v>222</v>
      </c>
      <c r="AD22" s="596">
        <f t="shared" si="22"/>
        <v>925</v>
      </c>
      <c r="AE22" s="596">
        <f t="shared" si="23"/>
        <v>222</v>
      </c>
      <c r="AF22" s="596">
        <f t="shared" si="24"/>
        <v>1147</v>
      </c>
      <c r="AG22" s="596">
        <f t="shared" si="25"/>
        <v>222</v>
      </c>
      <c r="AH22" s="596">
        <f t="shared" si="26"/>
        <v>1369</v>
      </c>
      <c r="AI22" s="596">
        <f t="shared" si="27"/>
        <v>222</v>
      </c>
      <c r="AJ22" s="596">
        <f t="shared" si="28"/>
        <v>1591</v>
      </c>
      <c r="AK22" s="596">
        <f t="shared" si="29"/>
        <v>222</v>
      </c>
      <c r="AL22" s="596">
        <f t="shared" si="30"/>
        <v>1813</v>
      </c>
      <c r="AM22" s="596">
        <f t="shared" si="31"/>
        <v>222</v>
      </c>
      <c r="AN22" s="596">
        <f t="shared" si="32"/>
        <v>2035</v>
      </c>
      <c r="AO22" s="596">
        <f t="shared" si="33"/>
        <v>222</v>
      </c>
      <c r="AP22" s="596">
        <f t="shared" si="34"/>
        <v>2257</v>
      </c>
      <c r="AQ22" s="597">
        <f t="shared" si="35"/>
        <v>222</v>
      </c>
      <c r="AR22" s="597">
        <f t="shared" si="36"/>
        <v>2479</v>
      </c>
    </row>
    <row r="23" spans="1:44" s="101" customFormat="1" x14ac:dyDescent="0.25">
      <c r="A23" s="312"/>
      <c r="B23" s="349" t="s">
        <v>123</v>
      </c>
      <c r="C23" s="350">
        <v>39386</v>
      </c>
      <c r="D23" s="342">
        <v>2450</v>
      </c>
      <c r="E23" s="348">
        <v>7</v>
      </c>
      <c r="F23" s="596"/>
      <c r="G23" s="596"/>
      <c r="H23" s="596"/>
      <c r="I23" s="596"/>
      <c r="J23" s="596"/>
      <c r="K23" s="596"/>
      <c r="L23" s="596"/>
      <c r="M23" s="596"/>
      <c r="N23" s="596"/>
      <c r="O23" s="596"/>
      <c r="P23" s="596"/>
      <c r="Q23" s="596"/>
      <c r="R23" s="596"/>
      <c r="S23" s="596"/>
      <c r="T23" s="596">
        <v>0</v>
      </c>
      <c r="U23" s="596">
        <f>IF(T23&lt;$D23,IF(T23+($D23/$E23)&lt;$D23,ROUND($D23/$E23,0),ROUND($D23-T23,0)),0)/12*2</f>
        <v>58.333333333333336</v>
      </c>
      <c r="V23" s="596">
        <f t="shared" si="14"/>
        <v>58</v>
      </c>
      <c r="W23" s="596">
        <f t="shared" si="15"/>
        <v>350</v>
      </c>
      <c r="X23" s="596">
        <f t="shared" si="16"/>
        <v>408</v>
      </c>
      <c r="Y23" s="596">
        <f t="shared" si="17"/>
        <v>350</v>
      </c>
      <c r="Z23" s="596">
        <f t="shared" si="18"/>
        <v>758</v>
      </c>
      <c r="AA23" s="596">
        <f t="shared" si="19"/>
        <v>350</v>
      </c>
      <c r="AB23" s="596">
        <f t="shared" si="20"/>
        <v>1108</v>
      </c>
      <c r="AC23" s="596">
        <f t="shared" si="21"/>
        <v>350</v>
      </c>
      <c r="AD23" s="596">
        <f t="shared" si="22"/>
        <v>1458</v>
      </c>
      <c r="AE23" s="596">
        <f t="shared" si="23"/>
        <v>350</v>
      </c>
      <c r="AF23" s="596">
        <f t="shared" si="24"/>
        <v>1808</v>
      </c>
      <c r="AG23" s="596">
        <f t="shared" si="25"/>
        <v>350</v>
      </c>
      <c r="AH23" s="596">
        <f t="shared" si="26"/>
        <v>2158</v>
      </c>
      <c r="AI23" s="596">
        <f t="shared" si="27"/>
        <v>292</v>
      </c>
      <c r="AJ23" s="596">
        <f t="shared" si="28"/>
        <v>2450</v>
      </c>
      <c r="AK23" s="596">
        <f t="shared" si="29"/>
        <v>0</v>
      </c>
      <c r="AL23" s="596">
        <f t="shared" si="30"/>
        <v>2450</v>
      </c>
      <c r="AM23" s="596">
        <f t="shared" si="31"/>
        <v>0</v>
      </c>
      <c r="AN23" s="596">
        <f t="shared" si="32"/>
        <v>2450</v>
      </c>
      <c r="AO23" s="596">
        <f t="shared" si="33"/>
        <v>0</v>
      </c>
      <c r="AP23" s="596">
        <f t="shared" si="34"/>
        <v>2450</v>
      </c>
      <c r="AQ23" s="597">
        <f t="shared" si="35"/>
        <v>0</v>
      </c>
      <c r="AR23" s="597">
        <f t="shared" si="36"/>
        <v>2450</v>
      </c>
    </row>
    <row r="24" spans="1:44" s="101" customFormat="1" x14ac:dyDescent="0.25">
      <c r="A24" s="312"/>
      <c r="B24" s="349" t="s">
        <v>124</v>
      </c>
      <c r="C24" s="350">
        <v>39355</v>
      </c>
      <c r="D24" s="342">
        <v>881.73</v>
      </c>
      <c r="E24" s="348">
        <v>7</v>
      </c>
      <c r="F24" s="596"/>
      <c r="G24" s="596"/>
      <c r="H24" s="596"/>
      <c r="I24" s="596"/>
      <c r="J24" s="596"/>
      <c r="K24" s="596"/>
      <c r="L24" s="596"/>
      <c r="M24" s="596"/>
      <c r="N24" s="596"/>
      <c r="O24" s="596"/>
      <c r="P24" s="596"/>
      <c r="Q24" s="596"/>
      <c r="R24" s="596"/>
      <c r="S24" s="596"/>
      <c r="T24" s="596">
        <v>0</v>
      </c>
      <c r="U24" s="596">
        <f>IF(T24&lt;$D24,IF(T24+($D24/$E24)&lt;$D24,ROUND($D24/$E24,0),ROUND($D24-T24,0)),0)/12*3</f>
        <v>31.5</v>
      </c>
      <c r="V24" s="596">
        <f t="shared" si="14"/>
        <v>32</v>
      </c>
      <c r="W24" s="596">
        <f t="shared" si="15"/>
        <v>126</v>
      </c>
      <c r="X24" s="596">
        <f t="shared" si="16"/>
        <v>158</v>
      </c>
      <c r="Y24" s="596">
        <f t="shared" si="17"/>
        <v>126</v>
      </c>
      <c r="Z24" s="596">
        <f t="shared" si="18"/>
        <v>284</v>
      </c>
      <c r="AA24" s="596">
        <f t="shared" si="19"/>
        <v>126</v>
      </c>
      <c r="AB24" s="596">
        <f t="shared" si="20"/>
        <v>410</v>
      </c>
      <c r="AC24" s="596">
        <f t="shared" si="21"/>
        <v>126</v>
      </c>
      <c r="AD24" s="596">
        <f t="shared" si="22"/>
        <v>536</v>
      </c>
      <c r="AE24" s="596">
        <f t="shared" si="23"/>
        <v>126</v>
      </c>
      <c r="AF24" s="596">
        <f t="shared" si="24"/>
        <v>662</v>
      </c>
      <c r="AG24" s="596">
        <f t="shared" si="25"/>
        <v>126</v>
      </c>
      <c r="AH24" s="596">
        <f t="shared" si="26"/>
        <v>788</v>
      </c>
      <c r="AI24" s="596">
        <f t="shared" si="27"/>
        <v>94</v>
      </c>
      <c r="AJ24" s="596">
        <f t="shared" si="28"/>
        <v>882</v>
      </c>
      <c r="AK24" s="596">
        <f t="shared" si="29"/>
        <v>0</v>
      </c>
      <c r="AL24" s="596">
        <f t="shared" si="30"/>
        <v>882</v>
      </c>
      <c r="AM24" s="596">
        <f t="shared" si="31"/>
        <v>0</v>
      </c>
      <c r="AN24" s="596">
        <f t="shared" si="32"/>
        <v>882</v>
      </c>
      <c r="AO24" s="596">
        <f t="shared" si="33"/>
        <v>0</v>
      </c>
      <c r="AP24" s="596">
        <f t="shared" si="34"/>
        <v>882</v>
      </c>
      <c r="AQ24" s="597">
        <f t="shared" si="35"/>
        <v>0</v>
      </c>
      <c r="AR24" s="597">
        <f t="shared" si="36"/>
        <v>882</v>
      </c>
    </row>
    <row r="25" spans="1:44" s="101" customFormat="1" x14ac:dyDescent="0.25">
      <c r="A25" s="312"/>
      <c r="B25" s="349" t="s">
        <v>125</v>
      </c>
      <c r="C25" s="350">
        <v>39387</v>
      </c>
      <c r="D25" s="342">
        <v>711.52</v>
      </c>
      <c r="E25" s="348">
        <v>7</v>
      </c>
      <c r="F25" s="596"/>
      <c r="G25" s="596"/>
      <c r="H25" s="596"/>
      <c r="I25" s="596"/>
      <c r="J25" s="596"/>
      <c r="K25" s="596"/>
      <c r="L25" s="596"/>
      <c r="M25" s="596"/>
      <c r="N25" s="596"/>
      <c r="O25" s="596"/>
      <c r="P25" s="596"/>
      <c r="Q25" s="596"/>
      <c r="R25" s="596"/>
      <c r="S25" s="596"/>
      <c r="T25" s="596">
        <v>0</v>
      </c>
      <c r="U25" s="596">
        <f>IF(T25&lt;$D25,IF(T25+($D25/$E25)&lt;$D25,ROUND($D25/$E25,0),ROUND($D25-T25,0)),0)/12*2</f>
        <v>17</v>
      </c>
      <c r="V25" s="596">
        <f t="shared" si="14"/>
        <v>17</v>
      </c>
      <c r="W25" s="596">
        <f t="shared" si="15"/>
        <v>102</v>
      </c>
      <c r="X25" s="596">
        <f t="shared" si="16"/>
        <v>119</v>
      </c>
      <c r="Y25" s="596">
        <f t="shared" si="17"/>
        <v>102</v>
      </c>
      <c r="Z25" s="596">
        <f t="shared" si="18"/>
        <v>221</v>
      </c>
      <c r="AA25" s="596">
        <f t="shared" si="19"/>
        <v>102</v>
      </c>
      <c r="AB25" s="596">
        <f t="shared" si="20"/>
        <v>323</v>
      </c>
      <c r="AC25" s="596">
        <f t="shared" si="21"/>
        <v>102</v>
      </c>
      <c r="AD25" s="596">
        <f t="shared" si="22"/>
        <v>425</v>
      </c>
      <c r="AE25" s="596">
        <f t="shared" si="23"/>
        <v>102</v>
      </c>
      <c r="AF25" s="596">
        <f t="shared" si="24"/>
        <v>527</v>
      </c>
      <c r="AG25" s="596">
        <f t="shared" si="25"/>
        <v>102</v>
      </c>
      <c r="AH25" s="596">
        <f t="shared" si="26"/>
        <v>629</v>
      </c>
      <c r="AI25" s="596">
        <f t="shared" si="27"/>
        <v>83</v>
      </c>
      <c r="AJ25" s="596">
        <f t="shared" si="28"/>
        <v>712</v>
      </c>
      <c r="AK25" s="596">
        <f t="shared" si="29"/>
        <v>0</v>
      </c>
      <c r="AL25" s="596">
        <f t="shared" si="30"/>
        <v>712</v>
      </c>
      <c r="AM25" s="596">
        <f t="shared" si="31"/>
        <v>0</v>
      </c>
      <c r="AN25" s="596">
        <f t="shared" si="32"/>
        <v>712</v>
      </c>
      <c r="AO25" s="596">
        <f t="shared" si="33"/>
        <v>0</v>
      </c>
      <c r="AP25" s="596">
        <f t="shared" si="34"/>
        <v>712</v>
      </c>
      <c r="AQ25" s="597">
        <f t="shared" si="35"/>
        <v>0</v>
      </c>
      <c r="AR25" s="597">
        <f t="shared" si="36"/>
        <v>712</v>
      </c>
    </row>
    <row r="26" spans="1:44" s="101" customFormat="1" x14ac:dyDescent="0.25">
      <c r="A26" s="312"/>
      <c r="B26" s="349" t="s">
        <v>126</v>
      </c>
      <c r="C26" s="350">
        <v>39539</v>
      </c>
      <c r="D26" s="342">
        <v>54847.83</v>
      </c>
      <c r="E26" s="348">
        <v>39</v>
      </c>
      <c r="F26" s="596"/>
      <c r="G26" s="596"/>
      <c r="H26" s="596"/>
      <c r="I26" s="596"/>
      <c r="J26" s="596"/>
      <c r="K26" s="596"/>
      <c r="L26" s="596"/>
      <c r="M26" s="596"/>
      <c r="N26" s="596"/>
      <c r="O26" s="596"/>
      <c r="P26" s="596"/>
      <c r="Q26" s="596"/>
      <c r="R26" s="596"/>
      <c r="S26" s="596"/>
      <c r="T26" s="596"/>
      <c r="U26" s="596"/>
      <c r="V26" s="596">
        <v>0</v>
      </c>
      <c r="W26" s="596">
        <f>IF(V26&lt;$D26,IF(V26+($D26/$E26)&lt;$D26,ROUND($D26/$E26,0),ROUND($D26-V26,0)),0)/12*9</f>
        <v>1054.5</v>
      </c>
      <c r="X26" s="596">
        <f>ROUND(SUM(V26:W26),0)</f>
        <v>1055</v>
      </c>
      <c r="Y26" s="596">
        <f t="shared" si="17"/>
        <v>1406</v>
      </c>
      <c r="Z26" s="596">
        <f>ROUND(SUM(X26:Y26),0)</f>
        <v>2461</v>
      </c>
      <c r="AA26" s="596">
        <f t="shared" si="19"/>
        <v>1406</v>
      </c>
      <c r="AB26" s="596">
        <f>ROUND(SUM(Z26:AA26),0)</f>
        <v>3867</v>
      </c>
      <c r="AC26" s="596">
        <f t="shared" si="21"/>
        <v>1406</v>
      </c>
      <c r="AD26" s="596">
        <f>ROUND(SUM(AB26:AC26),0)</f>
        <v>5273</v>
      </c>
      <c r="AE26" s="596">
        <f t="shared" si="23"/>
        <v>1406</v>
      </c>
      <c r="AF26" s="596">
        <f>ROUND(SUM(AD26:AE26),0)</f>
        <v>6679</v>
      </c>
      <c r="AG26" s="596">
        <f t="shared" si="25"/>
        <v>1406</v>
      </c>
      <c r="AH26" s="596">
        <f>ROUND(SUM(AF26:AG26),0)</f>
        <v>8085</v>
      </c>
      <c r="AI26" s="596">
        <f t="shared" si="27"/>
        <v>1406</v>
      </c>
      <c r="AJ26" s="596">
        <f>ROUND(SUM(AH26:AI26),0)</f>
        <v>9491</v>
      </c>
      <c r="AK26" s="596">
        <f t="shared" si="29"/>
        <v>1406</v>
      </c>
      <c r="AL26" s="596">
        <f>ROUND(SUM(AJ26:AK26),0)</f>
        <v>10897</v>
      </c>
      <c r="AM26" s="596">
        <f t="shared" si="31"/>
        <v>1406</v>
      </c>
      <c r="AN26" s="596">
        <f>ROUND(SUM(AL26:AM26),0)</f>
        <v>12303</v>
      </c>
      <c r="AO26" s="596">
        <f t="shared" si="33"/>
        <v>1406</v>
      </c>
      <c r="AP26" s="596">
        <f>ROUND(SUM(AN26:AO26),0)</f>
        <v>13709</v>
      </c>
      <c r="AQ26" s="597">
        <f t="shared" si="35"/>
        <v>1406</v>
      </c>
      <c r="AR26" s="597">
        <f>ROUND(SUM(AP26:AQ26),0)</f>
        <v>15115</v>
      </c>
    </row>
    <row r="27" spans="1:44" s="101" customFormat="1" x14ac:dyDescent="0.25">
      <c r="A27" s="312"/>
      <c r="B27" s="349" t="s">
        <v>127</v>
      </c>
      <c r="C27" s="350">
        <v>39569</v>
      </c>
      <c r="D27" s="342">
        <v>637.74</v>
      </c>
      <c r="E27" s="348">
        <v>7</v>
      </c>
      <c r="F27" s="596"/>
      <c r="G27" s="596"/>
      <c r="H27" s="596"/>
      <c r="I27" s="596"/>
      <c r="J27" s="596"/>
      <c r="K27" s="596"/>
      <c r="L27" s="596"/>
      <c r="M27" s="596"/>
      <c r="N27" s="596"/>
      <c r="O27" s="596"/>
      <c r="P27" s="596"/>
      <c r="Q27" s="596"/>
      <c r="R27" s="596"/>
      <c r="S27" s="596"/>
      <c r="T27" s="596"/>
      <c r="U27" s="596"/>
      <c r="V27" s="596">
        <v>0</v>
      </c>
      <c r="W27" s="596">
        <f>IF(V27&lt;$D27,IF(V27+($D27/$E27)&lt;$D27,ROUND($D27/$E27,0),ROUND($D27-V27,0)),0)/12*8</f>
        <v>60.666666666666664</v>
      </c>
      <c r="X27" s="596">
        <f>ROUND(SUM(V27:W27),0)</f>
        <v>61</v>
      </c>
      <c r="Y27" s="596">
        <f t="shared" si="17"/>
        <v>91</v>
      </c>
      <c r="Z27" s="596">
        <f>ROUND(SUM(X27:Y27),0)</f>
        <v>152</v>
      </c>
      <c r="AA27" s="596">
        <f t="shared" si="19"/>
        <v>91</v>
      </c>
      <c r="AB27" s="596">
        <f>ROUND(SUM(Z27:AA27),0)</f>
        <v>243</v>
      </c>
      <c r="AC27" s="596">
        <f t="shared" si="21"/>
        <v>91</v>
      </c>
      <c r="AD27" s="596">
        <f>ROUND(SUM(AB27:AC27),0)</f>
        <v>334</v>
      </c>
      <c r="AE27" s="596">
        <f t="shared" si="23"/>
        <v>91</v>
      </c>
      <c r="AF27" s="596">
        <f>ROUND(SUM(AD27:AE27),0)</f>
        <v>425</v>
      </c>
      <c r="AG27" s="596">
        <f t="shared" si="25"/>
        <v>91</v>
      </c>
      <c r="AH27" s="596">
        <f>ROUND(SUM(AF27:AG27),0)</f>
        <v>516</v>
      </c>
      <c r="AI27" s="596">
        <f t="shared" si="27"/>
        <v>91</v>
      </c>
      <c r="AJ27" s="596">
        <f>ROUND(SUM(AH27:AI27),0)</f>
        <v>607</v>
      </c>
      <c r="AK27" s="596">
        <f t="shared" si="29"/>
        <v>31</v>
      </c>
      <c r="AL27" s="596">
        <f>ROUND(SUM(AJ27:AK27),0)</f>
        <v>638</v>
      </c>
      <c r="AM27" s="596">
        <f t="shared" si="31"/>
        <v>0</v>
      </c>
      <c r="AN27" s="596">
        <f>ROUND(SUM(AL27:AM27),0)</f>
        <v>638</v>
      </c>
      <c r="AO27" s="596">
        <f t="shared" si="33"/>
        <v>0</v>
      </c>
      <c r="AP27" s="596">
        <f>ROUND(SUM(AN27:AO27),0)</f>
        <v>638</v>
      </c>
      <c r="AQ27" s="597">
        <f t="shared" si="35"/>
        <v>0</v>
      </c>
      <c r="AR27" s="597">
        <f>ROUND(SUM(AP27:AQ27),0)</f>
        <v>638</v>
      </c>
    </row>
    <row r="28" spans="1:44" s="101" customFormat="1" x14ac:dyDescent="0.25">
      <c r="A28" s="312"/>
      <c r="B28" s="349" t="s">
        <v>126</v>
      </c>
      <c r="C28" s="350">
        <v>39695</v>
      </c>
      <c r="D28" s="342">
        <v>6240.88</v>
      </c>
      <c r="E28" s="348">
        <v>39</v>
      </c>
      <c r="F28" s="596"/>
      <c r="G28" s="596"/>
      <c r="H28" s="596"/>
      <c r="I28" s="596"/>
      <c r="J28" s="596"/>
      <c r="K28" s="596"/>
      <c r="L28" s="596"/>
      <c r="M28" s="596"/>
      <c r="N28" s="596"/>
      <c r="O28" s="596"/>
      <c r="P28" s="596"/>
      <c r="Q28" s="596"/>
      <c r="R28" s="596"/>
      <c r="S28" s="596"/>
      <c r="T28" s="596"/>
      <c r="U28" s="596"/>
      <c r="V28" s="596">
        <v>0</v>
      </c>
      <c r="W28" s="596">
        <f>IF(V28&lt;$D28,IF(V28+($D28/$E28)&lt;$D28,ROUND($D28/$E28,0),ROUND($D28-V28,0)),0)/12*4</f>
        <v>53.333333333333336</v>
      </c>
      <c r="X28" s="596">
        <f>ROUND(SUM(V28:W28),0)</f>
        <v>53</v>
      </c>
      <c r="Y28" s="596">
        <f t="shared" si="17"/>
        <v>160</v>
      </c>
      <c r="Z28" s="596">
        <f>ROUND(SUM(X28:Y28),0)</f>
        <v>213</v>
      </c>
      <c r="AA28" s="596">
        <f t="shared" si="19"/>
        <v>160</v>
      </c>
      <c r="AB28" s="596">
        <f>ROUND(SUM(Z28:AA28),0)</f>
        <v>373</v>
      </c>
      <c r="AC28" s="596">
        <f t="shared" si="21"/>
        <v>160</v>
      </c>
      <c r="AD28" s="596">
        <f>ROUND(SUM(AB28:AC28),0)</f>
        <v>533</v>
      </c>
      <c r="AE28" s="596">
        <f t="shared" si="23"/>
        <v>160</v>
      </c>
      <c r="AF28" s="596">
        <f>ROUND(SUM(AD28:AE28),0)</f>
        <v>693</v>
      </c>
      <c r="AG28" s="596">
        <f t="shared" si="25"/>
        <v>160</v>
      </c>
      <c r="AH28" s="596">
        <f>ROUND(SUM(AF28:AG28),0)</f>
        <v>853</v>
      </c>
      <c r="AI28" s="596">
        <f t="shared" si="27"/>
        <v>160</v>
      </c>
      <c r="AJ28" s="596">
        <f>ROUND(SUM(AH28:AI28),0)</f>
        <v>1013</v>
      </c>
      <c r="AK28" s="596">
        <f t="shared" si="29"/>
        <v>160</v>
      </c>
      <c r="AL28" s="596">
        <f>ROUND(SUM(AJ28:AK28),0)</f>
        <v>1173</v>
      </c>
      <c r="AM28" s="596">
        <f t="shared" si="31"/>
        <v>160</v>
      </c>
      <c r="AN28" s="596">
        <f>ROUND(SUM(AL28:AM28),0)</f>
        <v>1333</v>
      </c>
      <c r="AO28" s="596">
        <f t="shared" si="33"/>
        <v>160</v>
      </c>
      <c r="AP28" s="596">
        <f>ROUND(SUM(AN28:AO28),0)</f>
        <v>1493</v>
      </c>
      <c r="AQ28" s="597">
        <f t="shared" si="35"/>
        <v>160</v>
      </c>
      <c r="AR28" s="597">
        <f>ROUND(SUM(AP28:AQ28),0)</f>
        <v>1653</v>
      </c>
    </row>
    <row r="29" spans="1:44" s="101" customFormat="1" x14ac:dyDescent="0.25">
      <c r="A29" s="312"/>
      <c r="B29" s="349" t="s">
        <v>128</v>
      </c>
      <c r="C29" s="350">
        <v>39797</v>
      </c>
      <c r="D29" s="342">
        <f>2732.32-1</f>
        <v>2731.32</v>
      </c>
      <c r="E29" s="348">
        <v>10</v>
      </c>
      <c r="F29" s="596"/>
      <c r="G29" s="596"/>
      <c r="H29" s="596"/>
      <c r="I29" s="596"/>
      <c r="J29" s="596"/>
      <c r="K29" s="596"/>
      <c r="L29" s="596"/>
      <c r="M29" s="596"/>
      <c r="N29" s="596"/>
      <c r="O29" s="596"/>
      <c r="P29" s="596"/>
      <c r="Q29" s="596"/>
      <c r="R29" s="596"/>
      <c r="S29" s="596"/>
      <c r="T29" s="596"/>
      <c r="U29" s="596"/>
      <c r="V29" s="596">
        <v>0</v>
      </c>
      <c r="W29" s="596">
        <f>IF(V29&lt;$D29,IF(V29+($D29/$E29)&lt;$D29,ROUND($D29/$E29,0),ROUND($D29-V29,0)),0)/12*1</f>
        <v>22.75</v>
      </c>
      <c r="X29" s="596">
        <f>ROUND(SUM(V29:W29),0)</f>
        <v>23</v>
      </c>
      <c r="Y29" s="596">
        <f t="shared" si="17"/>
        <v>273</v>
      </c>
      <c r="Z29" s="596">
        <f>ROUND(SUM(X29:Y29),0)</f>
        <v>296</v>
      </c>
      <c r="AA29" s="596">
        <f t="shared" si="19"/>
        <v>273</v>
      </c>
      <c r="AB29" s="596">
        <f>ROUND(SUM(Z29:AA29),0)</f>
        <v>569</v>
      </c>
      <c r="AC29" s="596">
        <f t="shared" si="21"/>
        <v>273</v>
      </c>
      <c r="AD29" s="596">
        <f>ROUND(SUM(AB29:AC29),0)</f>
        <v>842</v>
      </c>
      <c r="AE29" s="596">
        <f t="shared" si="23"/>
        <v>273</v>
      </c>
      <c r="AF29" s="596">
        <f>ROUND(SUM(AD29:AE29),0)</f>
        <v>1115</v>
      </c>
      <c r="AG29" s="596">
        <f t="shared" si="25"/>
        <v>273</v>
      </c>
      <c r="AH29" s="596">
        <f>ROUND(SUM(AF29:AG29),0)</f>
        <v>1388</v>
      </c>
      <c r="AI29" s="596">
        <f t="shared" si="27"/>
        <v>273</v>
      </c>
      <c r="AJ29" s="596">
        <f>ROUND(SUM(AH29:AI29),0)</f>
        <v>1661</v>
      </c>
      <c r="AK29" s="596">
        <f t="shared" si="29"/>
        <v>273</v>
      </c>
      <c r="AL29" s="596">
        <f>ROUND(SUM(AJ29:AK29),0)</f>
        <v>1934</v>
      </c>
      <c r="AM29" s="596">
        <f t="shared" si="31"/>
        <v>273</v>
      </c>
      <c r="AN29" s="596">
        <f>ROUND(SUM(AL29:AM29),0)</f>
        <v>2207</v>
      </c>
      <c r="AO29" s="596">
        <f t="shared" si="33"/>
        <v>273</v>
      </c>
      <c r="AP29" s="596">
        <f>ROUND(SUM(AN29:AO29),0)</f>
        <v>2480</v>
      </c>
      <c r="AQ29" s="597">
        <f t="shared" si="35"/>
        <v>251</v>
      </c>
      <c r="AR29" s="597">
        <f>ROUND(SUM(AP29:AQ29),0)</f>
        <v>2731</v>
      </c>
    </row>
    <row r="30" spans="1:44" s="101" customFormat="1" x14ac:dyDescent="0.25">
      <c r="A30" s="312"/>
      <c r="B30" s="349" t="s">
        <v>300</v>
      </c>
      <c r="C30" s="350">
        <v>41090</v>
      </c>
      <c r="D30" s="342">
        <v>4632.3999999999996</v>
      </c>
      <c r="E30" s="348">
        <v>7</v>
      </c>
      <c r="F30" s="596"/>
      <c r="G30" s="596"/>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f t="shared" ref="AD30:AD32" si="37">ROUND(SUM(AB30:AC30),0)</f>
        <v>0</v>
      </c>
      <c r="AE30" s="596">
        <f>IF(AD30&lt;$D30,IF(AD30+($D30/$E30)&lt;$D30,ROUND($D30/$E30,0),ROUND($D30-AD30,0)),0)/12*6</f>
        <v>331</v>
      </c>
      <c r="AF30" s="596">
        <f t="shared" ref="AF30:AF35" si="38">ROUND(SUM(AD30:AE30),0)</f>
        <v>331</v>
      </c>
      <c r="AG30" s="596">
        <f t="shared" si="25"/>
        <v>662</v>
      </c>
      <c r="AH30" s="596">
        <f t="shared" ref="AH30:AH36" si="39">ROUND(SUM(AF30:AG30),0)</f>
        <v>993</v>
      </c>
      <c r="AI30" s="596">
        <f t="shared" si="27"/>
        <v>662</v>
      </c>
      <c r="AJ30" s="596">
        <f t="shared" ref="AJ30:AJ36" si="40">ROUND(SUM(AH30:AI30),0)</f>
        <v>1655</v>
      </c>
      <c r="AK30" s="596">
        <f t="shared" si="29"/>
        <v>662</v>
      </c>
      <c r="AL30" s="596">
        <f t="shared" ref="AL30:AL36" si="41">ROUND(SUM(AJ30:AK30),0)</f>
        <v>2317</v>
      </c>
      <c r="AM30" s="596">
        <f t="shared" si="31"/>
        <v>662</v>
      </c>
      <c r="AN30" s="596">
        <f t="shared" ref="AN30:AN36" si="42">ROUND(SUM(AL30:AM30),0)</f>
        <v>2979</v>
      </c>
      <c r="AO30" s="596">
        <f t="shared" si="33"/>
        <v>662</v>
      </c>
      <c r="AP30" s="596">
        <f t="shared" ref="AP30:AP36" si="43">ROUND(SUM(AN30:AO30),0)</f>
        <v>3641</v>
      </c>
      <c r="AQ30" s="597">
        <f t="shared" si="35"/>
        <v>662</v>
      </c>
      <c r="AR30" s="597">
        <f t="shared" ref="AR30:AR36" si="44">ROUND(SUM(AP30:AQ30),0)</f>
        <v>4303</v>
      </c>
    </row>
    <row r="31" spans="1:44" s="101" customFormat="1" x14ac:dyDescent="0.25">
      <c r="A31" s="312"/>
      <c r="B31" s="349" t="s">
        <v>301</v>
      </c>
      <c r="C31" s="350">
        <v>41039</v>
      </c>
      <c r="D31" s="342">
        <v>2621.4299999999998</v>
      </c>
      <c r="E31" s="348">
        <v>20</v>
      </c>
      <c r="F31" s="596"/>
      <c r="G31" s="596"/>
      <c r="H31" s="596"/>
      <c r="I31" s="596"/>
      <c r="J31" s="596"/>
      <c r="K31" s="596"/>
      <c r="L31" s="596"/>
      <c r="M31" s="596"/>
      <c r="N31" s="596"/>
      <c r="O31" s="596"/>
      <c r="P31" s="596"/>
      <c r="Q31" s="596"/>
      <c r="R31" s="596"/>
      <c r="S31" s="596"/>
      <c r="T31" s="596"/>
      <c r="U31" s="596"/>
      <c r="V31" s="596"/>
      <c r="W31" s="596"/>
      <c r="X31" s="596"/>
      <c r="Y31" s="596"/>
      <c r="Z31" s="596"/>
      <c r="AA31" s="596"/>
      <c r="AB31" s="596"/>
      <c r="AC31" s="596"/>
      <c r="AD31" s="596">
        <f t="shared" si="37"/>
        <v>0</v>
      </c>
      <c r="AE31" s="596">
        <f>IF(AD31&lt;$D31,IF(AD31+($D31/$E31)&lt;$D31,ROUND($D31/$E31,0),ROUND($D31-AD31,0)),0)/12*8</f>
        <v>87.333333333333329</v>
      </c>
      <c r="AF31" s="596">
        <f t="shared" si="38"/>
        <v>87</v>
      </c>
      <c r="AG31" s="596">
        <f t="shared" si="25"/>
        <v>131</v>
      </c>
      <c r="AH31" s="596">
        <f t="shared" si="39"/>
        <v>218</v>
      </c>
      <c r="AI31" s="596">
        <f t="shared" si="27"/>
        <v>131</v>
      </c>
      <c r="AJ31" s="596">
        <f t="shared" si="40"/>
        <v>349</v>
      </c>
      <c r="AK31" s="596">
        <f t="shared" si="29"/>
        <v>131</v>
      </c>
      <c r="AL31" s="596">
        <f t="shared" si="41"/>
        <v>480</v>
      </c>
      <c r="AM31" s="596">
        <f t="shared" si="31"/>
        <v>131</v>
      </c>
      <c r="AN31" s="596">
        <f t="shared" si="42"/>
        <v>611</v>
      </c>
      <c r="AO31" s="596">
        <f t="shared" si="33"/>
        <v>131</v>
      </c>
      <c r="AP31" s="596">
        <f t="shared" si="43"/>
        <v>742</v>
      </c>
      <c r="AQ31" s="597">
        <f t="shared" si="35"/>
        <v>131</v>
      </c>
      <c r="AR31" s="597">
        <f t="shared" si="44"/>
        <v>873</v>
      </c>
    </row>
    <row r="32" spans="1:44" s="101" customFormat="1" x14ac:dyDescent="0.25">
      <c r="A32" s="312"/>
      <c r="B32" s="349" t="s">
        <v>302</v>
      </c>
      <c r="C32" s="350">
        <v>41065</v>
      </c>
      <c r="D32" s="342">
        <v>6557.08</v>
      </c>
      <c r="E32" s="348">
        <v>20</v>
      </c>
      <c r="F32" s="596"/>
      <c r="G32" s="596"/>
      <c r="H32" s="596"/>
      <c r="I32" s="596"/>
      <c r="J32" s="596"/>
      <c r="K32" s="596"/>
      <c r="L32" s="596"/>
      <c r="M32" s="596"/>
      <c r="N32" s="596"/>
      <c r="O32" s="596"/>
      <c r="P32" s="596"/>
      <c r="Q32" s="596"/>
      <c r="R32" s="596"/>
      <c r="S32" s="596"/>
      <c r="T32" s="596"/>
      <c r="U32" s="596"/>
      <c r="V32" s="596"/>
      <c r="W32" s="596"/>
      <c r="X32" s="596"/>
      <c r="Y32" s="596"/>
      <c r="Z32" s="596"/>
      <c r="AA32" s="596"/>
      <c r="AB32" s="596"/>
      <c r="AC32" s="596"/>
      <c r="AD32" s="596">
        <f t="shared" si="37"/>
        <v>0</v>
      </c>
      <c r="AE32" s="596">
        <f>IF(AD32&lt;$D32,IF(AD32+($D32/$E32)&lt;$D32,ROUND($D32/$E32,0),ROUND($D32-AD32,0)),0)/12*7</f>
        <v>191.33333333333331</v>
      </c>
      <c r="AF32" s="596">
        <f t="shared" si="38"/>
        <v>191</v>
      </c>
      <c r="AG32" s="596">
        <f t="shared" si="25"/>
        <v>328</v>
      </c>
      <c r="AH32" s="596">
        <f t="shared" si="39"/>
        <v>519</v>
      </c>
      <c r="AI32" s="596">
        <f t="shared" si="27"/>
        <v>328</v>
      </c>
      <c r="AJ32" s="596">
        <f t="shared" si="40"/>
        <v>847</v>
      </c>
      <c r="AK32" s="596">
        <f t="shared" si="29"/>
        <v>328</v>
      </c>
      <c r="AL32" s="596">
        <f t="shared" si="41"/>
        <v>1175</v>
      </c>
      <c r="AM32" s="596">
        <f t="shared" si="31"/>
        <v>328</v>
      </c>
      <c r="AN32" s="596">
        <f t="shared" si="42"/>
        <v>1503</v>
      </c>
      <c r="AO32" s="596">
        <f t="shared" si="33"/>
        <v>328</v>
      </c>
      <c r="AP32" s="596">
        <f t="shared" si="43"/>
        <v>1831</v>
      </c>
      <c r="AQ32" s="597">
        <f t="shared" si="35"/>
        <v>328</v>
      </c>
      <c r="AR32" s="597">
        <f t="shared" si="44"/>
        <v>2159</v>
      </c>
    </row>
    <row r="33" spans="1:44" s="101" customFormat="1" x14ac:dyDescent="0.25">
      <c r="A33" s="312"/>
      <c r="B33" s="349" t="s">
        <v>538</v>
      </c>
      <c r="C33" s="350">
        <v>41065</v>
      </c>
      <c r="D33" s="342">
        <v>5957.39</v>
      </c>
      <c r="E33" s="348">
        <v>20</v>
      </c>
      <c r="F33" s="596"/>
      <c r="G33" s="596"/>
      <c r="H33" s="596"/>
      <c r="I33" s="596"/>
      <c r="J33" s="596"/>
      <c r="K33" s="596"/>
      <c r="L33" s="596"/>
      <c r="M33" s="596"/>
      <c r="N33" s="596"/>
      <c r="O33" s="596"/>
      <c r="P33" s="596"/>
      <c r="Q33" s="596"/>
      <c r="R33" s="596"/>
      <c r="S33" s="596"/>
      <c r="T33" s="596"/>
      <c r="U33" s="596"/>
      <c r="V33" s="596"/>
      <c r="W33" s="596"/>
      <c r="X33" s="596"/>
      <c r="Y33" s="596"/>
      <c r="Z33" s="596"/>
      <c r="AA33" s="596"/>
      <c r="AB33" s="596"/>
      <c r="AC33" s="596"/>
      <c r="AD33" s="596">
        <f t="shared" ref="AD33" si="45">ROUND(SUM(AB33:AC33),0)</f>
        <v>0</v>
      </c>
      <c r="AE33" s="596">
        <f>IF(AD33&lt;$D33,IF(AD33+($D33/$E33)&lt;$D33,ROUND($D33/$E33,0),ROUND($D33-AD33,0)),0)/12*7</f>
        <v>173.83333333333331</v>
      </c>
      <c r="AF33" s="596">
        <f t="shared" si="38"/>
        <v>174</v>
      </c>
      <c r="AG33" s="596">
        <f t="shared" si="25"/>
        <v>298</v>
      </c>
      <c r="AH33" s="596">
        <f t="shared" si="39"/>
        <v>472</v>
      </c>
      <c r="AI33" s="596">
        <f t="shared" si="27"/>
        <v>298</v>
      </c>
      <c r="AJ33" s="596">
        <f t="shared" si="40"/>
        <v>770</v>
      </c>
      <c r="AK33" s="596">
        <f t="shared" si="29"/>
        <v>298</v>
      </c>
      <c r="AL33" s="596">
        <f t="shared" si="41"/>
        <v>1068</v>
      </c>
      <c r="AM33" s="596">
        <f t="shared" si="31"/>
        <v>298</v>
      </c>
      <c r="AN33" s="596">
        <f t="shared" si="42"/>
        <v>1366</v>
      </c>
      <c r="AO33" s="596">
        <f t="shared" si="33"/>
        <v>298</v>
      </c>
      <c r="AP33" s="596">
        <f t="shared" si="43"/>
        <v>1664</v>
      </c>
      <c r="AQ33" s="597">
        <f t="shared" si="35"/>
        <v>298</v>
      </c>
      <c r="AR33" s="597">
        <f t="shared" si="44"/>
        <v>1962</v>
      </c>
    </row>
    <row r="34" spans="1:44" s="101" customFormat="1" x14ac:dyDescent="0.25">
      <c r="A34" s="312"/>
      <c r="B34" s="349" t="s">
        <v>539</v>
      </c>
      <c r="C34" s="350">
        <v>41091</v>
      </c>
      <c r="D34" s="342">
        <v>29189.439999999999</v>
      </c>
      <c r="E34" s="348">
        <v>7</v>
      </c>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f t="shared" ref="AD34:AD35" si="46">ROUND(SUM(AB34:AC34),0)</f>
        <v>0</v>
      </c>
      <c r="AE34" s="596">
        <f>IF(AD34&lt;$D34,IF(AD34+($D34/$E34)&lt;$D34,ROUND($D34/$E34,0),ROUND($D34-AD34,0)),0)/12*6</f>
        <v>2085</v>
      </c>
      <c r="AF34" s="596">
        <f t="shared" si="38"/>
        <v>2085</v>
      </c>
      <c r="AG34" s="596">
        <f t="shared" si="25"/>
        <v>4170</v>
      </c>
      <c r="AH34" s="596">
        <f t="shared" si="39"/>
        <v>6255</v>
      </c>
      <c r="AI34" s="596">
        <f t="shared" si="27"/>
        <v>4170</v>
      </c>
      <c r="AJ34" s="596">
        <f t="shared" si="40"/>
        <v>10425</v>
      </c>
      <c r="AK34" s="596">
        <f t="shared" si="29"/>
        <v>4170</v>
      </c>
      <c r="AL34" s="596">
        <f t="shared" si="41"/>
        <v>14595</v>
      </c>
      <c r="AM34" s="596">
        <f t="shared" si="31"/>
        <v>4170</v>
      </c>
      <c r="AN34" s="596">
        <f t="shared" si="42"/>
        <v>18765</v>
      </c>
      <c r="AO34" s="596">
        <f t="shared" si="33"/>
        <v>4170</v>
      </c>
      <c r="AP34" s="596">
        <f t="shared" si="43"/>
        <v>22935</v>
      </c>
      <c r="AQ34" s="597">
        <f t="shared" si="35"/>
        <v>4170</v>
      </c>
      <c r="AR34" s="597">
        <f t="shared" si="44"/>
        <v>27105</v>
      </c>
    </row>
    <row r="35" spans="1:44" s="101" customFormat="1" x14ac:dyDescent="0.25">
      <c r="A35" s="312"/>
      <c r="B35" s="349" t="s">
        <v>303</v>
      </c>
      <c r="C35" s="350">
        <v>41091</v>
      </c>
      <c r="D35" s="342">
        <v>60167.55</v>
      </c>
      <c r="E35" s="348">
        <v>20</v>
      </c>
      <c r="F35" s="596"/>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6">
        <f t="shared" si="46"/>
        <v>0</v>
      </c>
      <c r="AE35" s="596">
        <f>IF(AD35&lt;$D35,IF(AD35+($D35/$E35)&lt;$D35,ROUND($D35/$E35,0),ROUND($D35-AD35,0)),0)/12*6</f>
        <v>1504</v>
      </c>
      <c r="AF35" s="596">
        <f t="shared" si="38"/>
        <v>1504</v>
      </c>
      <c r="AG35" s="596">
        <f t="shared" si="25"/>
        <v>3008</v>
      </c>
      <c r="AH35" s="596">
        <f t="shared" si="39"/>
        <v>4512</v>
      </c>
      <c r="AI35" s="596">
        <f t="shared" si="27"/>
        <v>3008</v>
      </c>
      <c r="AJ35" s="596">
        <f t="shared" si="40"/>
        <v>7520</v>
      </c>
      <c r="AK35" s="596">
        <f t="shared" si="29"/>
        <v>3008</v>
      </c>
      <c r="AL35" s="596">
        <f t="shared" si="41"/>
        <v>10528</v>
      </c>
      <c r="AM35" s="596">
        <f t="shared" si="31"/>
        <v>3008</v>
      </c>
      <c r="AN35" s="596">
        <f t="shared" si="42"/>
        <v>13536</v>
      </c>
      <c r="AO35" s="596">
        <f t="shared" si="33"/>
        <v>3008</v>
      </c>
      <c r="AP35" s="596">
        <f t="shared" si="43"/>
        <v>16544</v>
      </c>
      <c r="AQ35" s="597">
        <f t="shared" si="35"/>
        <v>3008</v>
      </c>
      <c r="AR35" s="597">
        <f t="shared" si="44"/>
        <v>19552</v>
      </c>
    </row>
    <row r="36" spans="1:44" s="101" customFormat="1" x14ac:dyDescent="0.25">
      <c r="A36" s="312"/>
      <c r="B36" s="351" t="s">
        <v>540</v>
      </c>
      <c r="C36" s="352"/>
      <c r="D36" s="353" t="s">
        <v>559</v>
      </c>
      <c r="E36" s="354"/>
      <c r="F36" s="601"/>
      <c r="G36" s="601"/>
      <c r="H36" s="601"/>
      <c r="I36" s="601"/>
      <c r="J36" s="601"/>
      <c r="K36" s="601"/>
      <c r="L36" s="601"/>
      <c r="M36" s="601"/>
      <c r="N36" s="601"/>
      <c r="O36" s="601"/>
      <c r="P36" s="601"/>
      <c r="Q36" s="601"/>
      <c r="R36" s="601"/>
      <c r="S36" s="601"/>
      <c r="T36" s="601"/>
      <c r="U36" s="601"/>
      <c r="V36" s="353" t="e">
        <f>-#REF!</f>
        <v>#REF!</v>
      </c>
      <c r="W36" s="353" t="e">
        <f>-#REF!</f>
        <v>#REF!</v>
      </c>
      <c r="X36" s="353"/>
      <c r="Y36" s="342">
        <v>0</v>
      </c>
      <c r="Z36" s="342">
        <v>0</v>
      </c>
      <c r="AA36" s="353">
        <v>0</v>
      </c>
      <c r="AB36" s="353">
        <v>0</v>
      </c>
      <c r="AC36" s="353">
        <v>0</v>
      </c>
      <c r="AD36" s="353">
        <v>0</v>
      </c>
      <c r="AE36" s="353">
        <v>0</v>
      </c>
      <c r="AF36" s="353">
        <v>0</v>
      </c>
      <c r="AG36" s="353">
        <v>0</v>
      </c>
      <c r="AH36" s="601">
        <f t="shared" si="39"/>
        <v>0</v>
      </c>
      <c r="AI36" s="353">
        <v>0</v>
      </c>
      <c r="AJ36" s="601">
        <f t="shared" si="40"/>
        <v>0</v>
      </c>
      <c r="AK36" s="353">
        <v>0</v>
      </c>
      <c r="AL36" s="601">
        <f t="shared" si="41"/>
        <v>0</v>
      </c>
      <c r="AM36" s="353">
        <v>0</v>
      </c>
      <c r="AN36" s="601">
        <f t="shared" si="42"/>
        <v>0</v>
      </c>
      <c r="AO36" s="353">
        <v>0</v>
      </c>
      <c r="AP36" s="601">
        <f t="shared" si="43"/>
        <v>0</v>
      </c>
      <c r="AQ36" s="602">
        <v>0</v>
      </c>
      <c r="AR36" s="603">
        <f t="shared" si="44"/>
        <v>0</v>
      </c>
    </row>
    <row r="37" spans="1:44" ht="13.5" thickBot="1" x14ac:dyDescent="0.3">
      <c r="A37" s="339" t="s">
        <v>238</v>
      </c>
      <c r="C37" s="323"/>
      <c r="D37" s="604">
        <f>SUM(D15:D36)</f>
        <v>263352.26</v>
      </c>
      <c r="E37" s="324"/>
      <c r="F37" s="355">
        <f t="shared" ref="F37:AR37" si="47">SUM(F15:F36)</f>
        <v>27714</v>
      </c>
      <c r="G37" s="355">
        <f t="shared" si="47"/>
        <v>2285</v>
      </c>
      <c r="H37" s="355">
        <f t="shared" si="47"/>
        <v>29999</v>
      </c>
      <c r="I37" s="355">
        <f t="shared" si="47"/>
        <v>2285</v>
      </c>
      <c r="J37" s="355">
        <f t="shared" si="47"/>
        <v>32284</v>
      </c>
      <c r="K37" s="355">
        <f t="shared" si="47"/>
        <v>2285</v>
      </c>
      <c r="L37" s="355">
        <f t="shared" si="47"/>
        <v>34569</v>
      </c>
      <c r="M37" s="355">
        <f t="shared" si="47"/>
        <v>1537</v>
      </c>
      <c r="N37" s="355">
        <f t="shared" si="47"/>
        <v>36106</v>
      </c>
      <c r="O37" s="355">
        <f t="shared" si="47"/>
        <v>778</v>
      </c>
      <c r="P37" s="355">
        <f t="shared" si="47"/>
        <v>36884</v>
      </c>
      <c r="Q37" s="355">
        <f t="shared" si="47"/>
        <v>778</v>
      </c>
      <c r="R37" s="355">
        <f t="shared" si="47"/>
        <v>37662</v>
      </c>
      <c r="S37" s="355">
        <f t="shared" si="47"/>
        <v>778</v>
      </c>
      <c r="T37" s="355">
        <f t="shared" si="47"/>
        <v>38440</v>
      </c>
      <c r="U37" s="355">
        <f t="shared" si="47"/>
        <v>1066.6666666666667</v>
      </c>
      <c r="V37" s="355" t="e">
        <f t="shared" si="47"/>
        <v>#REF!</v>
      </c>
      <c r="W37" s="355" t="e">
        <f t="shared" si="47"/>
        <v>#REF!</v>
      </c>
      <c r="X37" s="355">
        <f t="shared" si="47"/>
        <v>43176</v>
      </c>
      <c r="Y37" s="345">
        <f t="shared" si="47"/>
        <v>4407</v>
      </c>
      <c r="Z37" s="345">
        <f t="shared" si="47"/>
        <v>47583</v>
      </c>
      <c r="AA37" s="355">
        <f t="shared" si="47"/>
        <v>4407</v>
      </c>
      <c r="AB37" s="355">
        <f t="shared" si="47"/>
        <v>51990</v>
      </c>
      <c r="AC37" s="355">
        <f t="shared" si="47"/>
        <v>4407</v>
      </c>
      <c r="AD37" s="355">
        <f t="shared" si="47"/>
        <v>56397</v>
      </c>
      <c r="AE37" s="355">
        <f t="shared" si="47"/>
        <v>8779.5</v>
      </c>
      <c r="AF37" s="355">
        <f t="shared" si="47"/>
        <v>65176</v>
      </c>
      <c r="AG37" s="345">
        <f t="shared" si="47"/>
        <v>13004</v>
      </c>
      <c r="AH37" s="345">
        <f t="shared" si="47"/>
        <v>78180</v>
      </c>
      <c r="AI37" s="355">
        <f t="shared" si="47"/>
        <v>12892</v>
      </c>
      <c r="AJ37" s="355">
        <f t="shared" si="47"/>
        <v>91072</v>
      </c>
      <c r="AK37" s="355">
        <f t="shared" si="47"/>
        <v>12306</v>
      </c>
      <c r="AL37" s="355">
        <f t="shared" si="47"/>
        <v>103378</v>
      </c>
      <c r="AM37" s="355">
        <f t="shared" si="47"/>
        <v>11990</v>
      </c>
      <c r="AN37" s="355">
        <f t="shared" si="47"/>
        <v>115368</v>
      </c>
      <c r="AO37" s="355">
        <f t="shared" si="47"/>
        <v>11675</v>
      </c>
      <c r="AP37" s="355">
        <f t="shared" si="47"/>
        <v>127043</v>
      </c>
      <c r="AQ37" s="605">
        <f t="shared" si="47"/>
        <v>11653</v>
      </c>
      <c r="AR37" s="605">
        <f t="shared" si="47"/>
        <v>138696</v>
      </c>
    </row>
    <row r="38" spans="1:44" ht="13.5" thickTop="1" x14ac:dyDescent="0.3">
      <c r="D38" s="606">
        <f>D37-AJ37</f>
        <v>172280.26</v>
      </c>
      <c r="E38" s="606" t="s">
        <v>643</v>
      </c>
      <c r="AO38" s="401"/>
      <c r="AP38" s="401"/>
      <c r="AQ38" s="594"/>
      <c r="AR38" s="594"/>
    </row>
    <row r="39" spans="1:44" x14ac:dyDescent="0.3">
      <c r="A39" s="339" t="s">
        <v>541</v>
      </c>
      <c r="C39" s="323"/>
      <c r="D39" s="324"/>
      <c r="E39" s="324"/>
      <c r="AO39" s="401"/>
      <c r="AP39" s="401"/>
      <c r="AQ39" s="594"/>
      <c r="AR39" s="594"/>
    </row>
    <row r="40" spans="1:44" x14ac:dyDescent="0.25">
      <c r="B40" s="312" t="s">
        <v>644</v>
      </c>
      <c r="C40" s="347">
        <v>30512</v>
      </c>
      <c r="D40" s="348">
        <v>89000</v>
      </c>
      <c r="E40" s="607">
        <v>15</v>
      </c>
      <c r="F40" s="598">
        <v>89000</v>
      </c>
      <c r="G40" s="598">
        <f>IF(F40&lt;$D40,IF(F40+($D40/$E40)&lt;$D40,ROUND($D40/$E40,0),ROUND($D40-F40,0)),0)</f>
        <v>0</v>
      </c>
      <c r="H40" s="598">
        <f t="shared" ref="H40:H53" si="48">ROUND(SUM(F40:G40),0)</f>
        <v>89000</v>
      </c>
      <c r="I40" s="598">
        <f>IF(H40&lt;$D40,IF(H40+($D40/$E40)&lt;$D40,ROUND($D40/$E40,0),ROUND($D40-H40,0)),0)</f>
        <v>0</v>
      </c>
      <c r="J40" s="598">
        <f t="shared" ref="J40:J53" si="49">ROUND(SUM(H40:I40),0)</f>
        <v>89000</v>
      </c>
      <c r="K40" s="598">
        <f t="shared" ref="K40:M54" si="50">IF(J40&lt;$D40,IF(J40+($D40/$E40)&lt;$D40,ROUND($D40/$E40,0),ROUND($D40-J40,0)),0)</f>
        <v>0</v>
      </c>
      <c r="L40" s="598">
        <f t="shared" ref="L40:L53" si="51">ROUND(SUM(J40:K40),0)</f>
        <v>89000</v>
      </c>
      <c r="M40" s="598">
        <f t="shared" si="50"/>
        <v>0</v>
      </c>
      <c r="N40" s="598">
        <f t="shared" ref="N40:N54" si="52">ROUND(SUM(L40:M40),0)</f>
        <v>89000</v>
      </c>
      <c r="O40" s="598">
        <f t="shared" ref="O40:Q55" si="53">IF(N40&lt;$D40,IF(N40+($D40/$E40)&lt;$D40,ROUND($D40/$E40,0),ROUND($D40-N40,0)),0)</f>
        <v>0</v>
      </c>
      <c r="P40" s="598">
        <f t="shared" ref="P40:P54" si="54">ROUND(SUM(N40:O40),0)</f>
        <v>89000</v>
      </c>
      <c r="Q40" s="598">
        <f t="shared" si="53"/>
        <v>0</v>
      </c>
      <c r="R40" s="598">
        <f t="shared" ref="R40:R54" si="55">ROUND(SUM(P40:Q40),0)</f>
        <v>89000</v>
      </c>
      <c r="S40" s="598">
        <f t="shared" ref="S40:S55" si="56">IF(R40&lt;$D40,IF(R40+($D40/$E40)&lt;$D40,ROUND($D40/$E40,0),ROUND($D40-R40,0)),0)</f>
        <v>0</v>
      </c>
      <c r="T40" s="598">
        <f t="shared" ref="T40:T54" si="57">ROUND(SUM(R40:S40),0)</f>
        <v>89000</v>
      </c>
      <c r="U40" s="598">
        <f t="shared" ref="U40:U55" si="58">IF(T40&lt;$D40,IF(T40+($D40/$E40)&lt;$D40,ROUND($D40/$E40,0),ROUND($D40-T40,0)),0)</f>
        <v>0</v>
      </c>
      <c r="V40" s="598">
        <f t="shared" ref="V40:V54" si="59">ROUND(SUM(T40:U40),0)</f>
        <v>89000</v>
      </c>
      <c r="W40" s="598">
        <f t="shared" ref="W40:W55" si="60">IF(V40&lt;$D40,IF(V40+($D40/$E40)&lt;$D40,ROUND($D40/$E40,0),ROUND($D40-V40,0)),0)</f>
        <v>0</v>
      </c>
      <c r="X40" s="598">
        <f t="shared" ref="X40:X54" si="61">ROUND(SUM(V40:W40),0)</f>
        <v>89000</v>
      </c>
      <c r="Y40" s="596">
        <f t="shared" ref="Y40:Y55" si="62">IF(X40&lt;$D40,IF(X40+($D40/$E40)&lt;$D40,ROUND($D40/$E40,0),ROUND($D40-X40,0)),0)</f>
        <v>0</v>
      </c>
      <c r="Z40" s="596">
        <f t="shared" ref="Z40:Z54" si="63">ROUND(SUM(X40:Y40),0)</f>
        <v>89000</v>
      </c>
      <c r="AA40" s="598">
        <f t="shared" ref="AA40:AA55" si="64">IF(Z40&lt;$D40,IF(Z40+($D40/$E40)&lt;$D40,ROUND($D40/$E40,0),ROUND($D40-Z40,0)),0)</f>
        <v>0</v>
      </c>
      <c r="AB40" s="598">
        <f t="shared" ref="AB40:AB54" si="65">ROUND(SUM(Z40:AA40),0)</f>
        <v>89000</v>
      </c>
      <c r="AC40" s="598">
        <f t="shared" ref="AC40:AC55" si="66">IF(AB40&lt;$D40,IF(AB40+($D40/$E40)&lt;$D40,ROUND($D40/$E40,0),ROUND($D40-AB40,0)),0)</f>
        <v>0</v>
      </c>
      <c r="AD40" s="598">
        <f t="shared" ref="AD40:AD54" si="67">ROUND(SUM(AB40:AC40),0)</f>
        <v>89000</v>
      </c>
      <c r="AE40" s="598">
        <f t="shared" ref="AE40:AE55" si="68">IF(AD40&lt;$D40,IF(AD40+($D40/$E40)&lt;$D40,ROUND($D40/$E40,0),ROUND($D40-AD40,0)),0)</f>
        <v>0</v>
      </c>
      <c r="AF40" s="598">
        <f t="shared" ref="AF40:AF54" si="69">ROUND(SUM(AD40:AE40),0)</f>
        <v>89000</v>
      </c>
      <c r="AG40" s="596">
        <f t="shared" ref="AG40:AG55" si="70">IF(AF40&lt;$D40,IF(AF40+($D40/$E40)&lt;$D40,ROUND($D40/$E40,0),ROUND($D40-AF40,0)),0)</f>
        <v>0</v>
      </c>
      <c r="AH40" s="596">
        <f t="shared" ref="AH40:AH54" si="71">ROUND(SUM(AF40:AG40),0)</f>
        <v>89000</v>
      </c>
      <c r="AI40" s="598">
        <f t="shared" ref="AI40:AI55" si="72">IF(AH40&lt;$D40,IF(AH40+($D40/$E40)&lt;$D40,ROUND($D40/$E40,0),ROUND($D40-AH40,0)),0)</f>
        <v>0</v>
      </c>
      <c r="AJ40" s="598">
        <f t="shared" ref="AJ40:AJ54" si="73">ROUND(SUM(AH40:AI40),0)</f>
        <v>89000</v>
      </c>
      <c r="AK40" s="598">
        <f t="shared" ref="AK40:AK55" si="74">IF(AJ40&lt;$D40,IF(AJ40+($D40/$E40)&lt;$D40,ROUND($D40/$E40,0),ROUND($D40-AJ40,0)),0)</f>
        <v>0</v>
      </c>
      <c r="AL40" s="598">
        <f t="shared" ref="AL40:AL54" si="75">ROUND(SUM(AJ40:AK40),0)</f>
        <v>89000</v>
      </c>
      <c r="AM40" s="598">
        <f t="shared" ref="AM40:AM55" si="76">IF(AL40&lt;$D40,IF(AL40+($D40/$E40)&lt;$D40,ROUND($D40/$E40,0),ROUND($D40-AL40,0)),0)</f>
        <v>0</v>
      </c>
      <c r="AN40" s="598">
        <f t="shared" ref="AN40:AN54" si="77">ROUND(SUM(AL40:AM40),0)</f>
        <v>89000</v>
      </c>
      <c r="AO40" s="598">
        <f t="shared" ref="AO40:AO55" si="78">IF(AN40&lt;$D40,IF(AN40+($D40/$E40)&lt;$D40,ROUND($D40/$E40,0),ROUND($D40-AN40,0)),0)</f>
        <v>0</v>
      </c>
      <c r="AP40" s="598">
        <f t="shared" ref="AP40:AP54" si="79">ROUND(SUM(AN40:AO40),0)</f>
        <v>89000</v>
      </c>
      <c r="AQ40" s="599">
        <f t="shared" ref="AQ40:AQ55" si="80">IF(AP40&lt;$D40,IF(AP40+($D40/$E40)&lt;$D40,ROUND($D40/$E40,0),ROUND($D40-AP40,0)),0)</f>
        <v>0</v>
      </c>
      <c r="AR40" s="599">
        <f t="shared" ref="AR40:AR54" si="81">ROUND(SUM(AP40:AQ40),0)</f>
        <v>89000</v>
      </c>
    </row>
    <row r="41" spans="1:44" x14ac:dyDescent="0.25">
      <c r="B41" s="312" t="s">
        <v>81</v>
      </c>
      <c r="C41" s="350">
        <v>31259</v>
      </c>
      <c r="D41" s="348">
        <v>6203</v>
      </c>
      <c r="E41" s="607">
        <v>15</v>
      </c>
      <c r="F41" s="598">
        <v>5967</v>
      </c>
      <c r="G41" s="598">
        <f t="shared" ref="G41:I54" si="82">IF(F41&lt;$D41,IF(F41+($D41/$E41)&lt;$D41,ROUND($D41/$E41,0),ROUND($D41-F41,0)),0)</f>
        <v>236</v>
      </c>
      <c r="H41" s="598">
        <f t="shared" si="48"/>
        <v>6203</v>
      </c>
      <c r="I41" s="598">
        <f t="shared" si="82"/>
        <v>0</v>
      </c>
      <c r="J41" s="598">
        <f t="shared" si="49"/>
        <v>6203</v>
      </c>
      <c r="K41" s="598">
        <f t="shared" si="50"/>
        <v>0</v>
      </c>
      <c r="L41" s="598">
        <f t="shared" si="51"/>
        <v>6203</v>
      </c>
      <c r="M41" s="598">
        <f t="shared" si="50"/>
        <v>0</v>
      </c>
      <c r="N41" s="598">
        <f t="shared" si="52"/>
        <v>6203</v>
      </c>
      <c r="O41" s="598">
        <f t="shared" si="53"/>
        <v>0</v>
      </c>
      <c r="P41" s="598">
        <f t="shared" si="54"/>
        <v>6203</v>
      </c>
      <c r="Q41" s="598">
        <f t="shared" si="53"/>
        <v>0</v>
      </c>
      <c r="R41" s="598">
        <f t="shared" si="55"/>
        <v>6203</v>
      </c>
      <c r="S41" s="598">
        <f t="shared" si="56"/>
        <v>0</v>
      </c>
      <c r="T41" s="598">
        <f t="shared" si="57"/>
        <v>6203</v>
      </c>
      <c r="U41" s="598">
        <f t="shared" si="58"/>
        <v>0</v>
      </c>
      <c r="V41" s="598">
        <f t="shared" si="59"/>
        <v>6203</v>
      </c>
      <c r="W41" s="598">
        <f t="shared" si="60"/>
        <v>0</v>
      </c>
      <c r="X41" s="598">
        <f t="shared" si="61"/>
        <v>6203</v>
      </c>
      <c r="Y41" s="596">
        <f t="shared" si="62"/>
        <v>0</v>
      </c>
      <c r="Z41" s="596">
        <f t="shared" si="63"/>
        <v>6203</v>
      </c>
      <c r="AA41" s="598">
        <f t="shared" si="64"/>
        <v>0</v>
      </c>
      <c r="AB41" s="598">
        <f t="shared" si="65"/>
        <v>6203</v>
      </c>
      <c r="AC41" s="598">
        <f t="shared" si="66"/>
        <v>0</v>
      </c>
      <c r="AD41" s="598">
        <f t="shared" si="67"/>
        <v>6203</v>
      </c>
      <c r="AE41" s="598">
        <f t="shared" si="68"/>
        <v>0</v>
      </c>
      <c r="AF41" s="598">
        <f t="shared" si="69"/>
        <v>6203</v>
      </c>
      <c r="AG41" s="596">
        <f t="shared" si="70"/>
        <v>0</v>
      </c>
      <c r="AH41" s="596">
        <f t="shared" si="71"/>
        <v>6203</v>
      </c>
      <c r="AI41" s="598">
        <f t="shared" si="72"/>
        <v>0</v>
      </c>
      <c r="AJ41" s="598">
        <f t="shared" si="73"/>
        <v>6203</v>
      </c>
      <c r="AK41" s="598">
        <f t="shared" si="74"/>
        <v>0</v>
      </c>
      <c r="AL41" s="598">
        <f t="shared" si="75"/>
        <v>6203</v>
      </c>
      <c r="AM41" s="598">
        <f t="shared" si="76"/>
        <v>0</v>
      </c>
      <c r="AN41" s="598">
        <f t="shared" si="77"/>
        <v>6203</v>
      </c>
      <c r="AO41" s="598">
        <f t="shared" si="78"/>
        <v>0</v>
      </c>
      <c r="AP41" s="598">
        <f t="shared" si="79"/>
        <v>6203</v>
      </c>
      <c r="AQ41" s="599">
        <f t="shared" si="80"/>
        <v>0</v>
      </c>
      <c r="AR41" s="599">
        <f t="shared" si="81"/>
        <v>6203</v>
      </c>
    </row>
    <row r="42" spans="1:44" x14ac:dyDescent="0.25">
      <c r="B42" s="312" t="s">
        <v>542</v>
      </c>
      <c r="C42" s="347">
        <v>31351</v>
      </c>
      <c r="D42" s="348">
        <v>3024</v>
      </c>
      <c r="E42" s="607">
        <v>15</v>
      </c>
      <c r="F42" s="598">
        <v>2861</v>
      </c>
      <c r="G42" s="598">
        <f t="shared" si="82"/>
        <v>163</v>
      </c>
      <c r="H42" s="598">
        <f t="shared" si="48"/>
        <v>3024</v>
      </c>
      <c r="I42" s="598">
        <f t="shared" si="82"/>
        <v>0</v>
      </c>
      <c r="J42" s="598">
        <f t="shared" si="49"/>
        <v>3024</v>
      </c>
      <c r="K42" s="598">
        <f t="shared" si="50"/>
        <v>0</v>
      </c>
      <c r="L42" s="598">
        <f t="shared" si="51"/>
        <v>3024</v>
      </c>
      <c r="M42" s="598">
        <f t="shared" si="50"/>
        <v>0</v>
      </c>
      <c r="N42" s="598">
        <f t="shared" si="52"/>
        <v>3024</v>
      </c>
      <c r="O42" s="598">
        <f t="shared" si="53"/>
        <v>0</v>
      </c>
      <c r="P42" s="598">
        <f t="shared" si="54"/>
        <v>3024</v>
      </c>
      <c r="Q42" s="598">
        <f t="shared" si="53"/>
        <v>0</v>
      </c>
      <c r="R42" s="598">
        <f t="shared" si="55"/>
        <v>3024</v>
      </c>
      <c r="S42" s="598">
        <f t="shared" si="56"/>
        <v>0</v>
      </c>
      <c r="T42" s="598">
        <f t="shared" si="57"/>
        <v>3024</v>
      </c>
      <c r="U42" s="598">
        <f t="shared" si="58"/>
        <v>0</v>
      </c>
      <c r="V42" s="598">
        <f t="shared" si="59"/>
        <v>3024</v>
      </c>
      <c r="W42" s="598">
        <f t="shared" si="60"/>
        <v>0</v>
      </c>
      <c r="X42" s="598">
        <f t="shared" si="61"/>
        <v>3024</v>
      </c>
      <c r="Y42" s="596">
        <f t="shared" si="62"/>
        <v>0</v>
      </c>
      <c r="Z42" s="596">
        <f t="shared" si="63"/>
        <v>3024</v>
      </c>
      <c r="AA42" s="598">
        <f t="shared" si="64"/>
        <v>0</v>
      </c>
      <c r="AB42" s="598">
        <f t="shared" si="65"/>
        <v>3024</v>
      </c>
      <c r="AC42" s="598">
        <f t="shared" si="66"/>
        <v>0</v>
      </c>
      <c r="AD42" s="598">
        <f t="shared" si="67"/>
        <v>3024</v>
      </c>
      <c r="AE42" s="598">
        <f t="shared" si="68"/>
        <v>0</v>
      </c>
      <c r="AF42" s="598">
        <f t="shared" si="69"/>
        <v>3024</v>
      </c>
      <c r="AG42" s="596">
        <f t="shared" si="70"/>
        <v>0</v>
      </c>
      <c r="AH42" s="596">
        <f t="shared" si="71"/>
        <v>3024</v>
      </c>
      <c r="AI42" s="598">
        <f t="shared" si="72"/>
        <v>0</v>
      </c>
      <c r="AJ42" s="598">
        <f t="shared" si="73"/>
        <v>3024</v>
      </c>
      <c r="AK42" s="598">
        <f t="shared" si="74"/>
        <v>0</v>
      </c>
      <c r="AL42" s="598">
        <f t="shared" si="75"/>
        <v>3024</v>
      </c>
      <c r="AM42" s="598">
        <f t="shared" si="76"/>
        <v>0</v>
      </c>
      <c r="AN42" s="598">
        <f t="shared" si="77"/>
        <v>3024</v>
      </c>
      <c r="AO42" s="598">
        <f t="shared" si="78"/>
        <v>0</v>
      </c>
      <c r="AP42" s="598">
        <f t="shared" si="79"/>
        <v>3024</v>
      </c>
      <c r="AQ42" s="599">
        <f t="shared" si="80"/>
        <v>0</v>
      </c>
      <c r="AR42" s="599">
        <f t="shared" si="81"/>
        <v>3024</v>
      </c>
    </row>
    <row r="43" spans="1:44" x14ac:dyDescent="0.25">
      <c r="B43" s="312" t="s">
        <v>542</v>
      </c>
      <c r="C43" s="350">
        <v>31656</v>
      </c>
      <c r="D43" s="348">
        <v>5615</v>
      </c>
      <c r="E43" s="607">
        <v>15</v>
      </c>
      <c r="F43" s="598">
        <v>4988</v>
      </c>
      <c r="G43" s="598">
        <f t="shared" si="82"/>
        <v>374</v>
      </c>
      <c r="H43" s="598">
        <f t="shared" si="48"/>
        <v>5362</v>
      </c>
      <c r="I43" s="598">
        <f t="shared" si="82"/>
        <v>253</v>
      </c>
      <c r="J43" s="598">
        <f t="shared" si="49"/>
        <v>5615</v>
      </c>
      <c r="K43" s="598">
        <f t="shared" si="50"/>
        <v>0</v>
      </c>
      <c r="L43" s="598">
        <f t="shared" si="51"/>
        <v>5615</v>
      </c>
      <c r="M43" s="598">
        <f t="shared" si="50"/>
        <v>0</v>
      </c>
      <c r="N43" s="598">
        <f t="shared" si="52"/>
        <v>5615</v>
      </c>
      <c r="O43" s="598">
        <f t="shared" si="53"/>
        <v>0</v>
      </c>
      <c r="P43" s="598">
        <f t="shared" si="54"/>
        <v>5615</v>
      </c>
      <c r="Q43" s="598">
        <f t="shared" si="53"/>
        <v>0</v>
      </c>
      <c r="R43" s="598">
        <f t="shared" si="55"/>
        <v>5615</v>
      </c>
      <c r="S43" s="598">
        <f t="shared" si="56"/>
        <v>0</v>
      </c>
      <c r="T43" s="598">
        <f t="shared" si="57"/>
        <v>5615</v>
      </c>
      <c r="U43" s="598">
        <f t="shared" si="58"/>
        <v>0</v>
      </c>
      <c r="V43" s="598">
        <f t="shared" si="59"/>
        <v>5615</v>
      </c>
      <c r="W43" s="598">
        <f t="shared" si="60"/>
        <v>0</v>
      </c>
      <c r="X43" s="598">
        <f t="shared" si="61"/>
        <v>5615</v>
      </c>
      <c r="Y43" s="596">
        <f t="shared" si="62"/>
        <v>0</v>
      </c>
      <c r="Z43" s="596">
        <f t="shared" si="63"/>
        <v>5615</v>
      </c>
      <c r="AA43" s="598">
        <f t="shared" si="64"/>
        <v>0</v>
      </c>
      <c r="AB43" s="598">
        <f t="shared" si="65"/>
        <v>5615</v>
      </c>
      <c r="AC43" s="598">
        <f t="shared" si="66"/>
        <v>0</v>
      </c>
      <c r="AD43" s="598">
        <f t="shared" si="67"/>
        <v>5615</v>
      </c>
      <c r="AE43" s="598">
        <f t="shared" si="68"/>
        <v>0</v>
      </c>
      <c r="AF43" s="598">
        <f t="shared" si="69"/>
        <v>5615</v>
      </c>
      <c r="AG43" s="596">
        <f t="shared" si="70"/>
        <v>0</v>
      </c>
      <c r="AH43" s="596">
        <f t="shared" si="71"/>
        <v>5615</v>
      </c>
      <c r="AI43" s="598">
        <f t="shared" si="72"/>
        <v>0</v>
      </c>
      <c r="AJ43" s="598">
        <f t="shared" si="73"/>
        <v>5615</v>
      </c>
      <c r="AK43" s="598">
        <f t="shared" si="74"/>
        <v>0</v>
      </c>
      <c r="AL43" s="598">
        <f t="shared" si="75"/>
        <v>5615</v>
      </c>
      <c r="AM43" s="598">
        <f t="shared" si="76"/>
        <v>0</v>
      </c>
      <c r="AN43" s="598">
        <f t="shared" si="77"/>
        <v>5615</v>
      </c>
      <c r="AO43" s="598">
        <f t="shared" si="78"/>
        <v>0</v>
      </c>
      <c r="AP43" s="598">
        <f t="shared" si="79"/>
        <v>5615</v>
      </c>
      <c r="AQ43" s="599">
        <f t="shared" si="80"/>
        <v>0</v>
      </c>
      <c r="AR43" s="599">
        <f t="shared" si="81"/>
        <v>5615</v>
      </c>
    </row>
    <row r="44" spans="1:44" x14ac:dyDescent="0.25">
      <c r="B44" s="312" t="s">
        <v>543</v>
      </c>
      <c r="C44" s="350">
        <v>31686</v>
      </c>
      <c r="D44" s="348">
        <v>16567</v>
      </c>
      <c r="E44" s="607">
        <v>15</v>
      </c>
      <c r="F44" s="598">
        <v>14629</v>
      </c>
      <c r="G44" s="598">
        <f t="shared" si="82"/>
        <v>1104</v>
      </c>
      <c r="H44" s="598">
        <f t="shared" si="48"/>
        <v>15733</v>
      </c>
      <c r="I44" s="598">
        <f t="shared" si="82"/>
        <v>834</v>
      </c>
      <c r="J44" s="598">
        <f t="shared" si="49"/>
        <v>16567</v>
      </c>
      <c r="K44" s="598">
        <f t="shared" si="50"/>
        <v>0</v>
      </c>
      <c r="L44" s="598">
        <f t="shared" si="51"/>
        <v>16567</v>
      </c>
      <c r="M44" s="598">
        <f t="shared" si="50"/>
        <v>0</v>
      </c>
      <c r="N44" s="598">
        <f t="shared" si="52"/>
        <v>16567</v>
      </c>
      <c r="O44" s="598">
        <f t="shared" si="53"/>
        <v>0</v>
      </c>
      <c r="P44" s="598">
        <f t="shared" si="54"/>
        <v>16567</v>
      </c>
      <c r="Q44" s="598">
        <f t="shared" si="53"/>
        <v>0</v>
      </c>
      <c r="R44" s="598">
        <f t="shared" si="55"/>
        <v>16567</v>
      </c>
      <c r="S44" s="598">
        <f t="shared" si="56"/>
        <v>0</v>
      </c>
      <c r="T44" s="598">
        <f t="shared" si="57"/>
        <v>16567</v>
      </c>
      <c r="U44" s="598">
        <f t="shared" si="58"/>
        <v>0</v>
      </c>
      <c r="V44" s="598">
        <f t="shared" si="59"/>
        <v>16567</v>
      </c>
      <c r="W44" s="598">
        <f t="shared" si="60"/>
        <v>0</v>
      </c>
      <c r="X44" s="598">
        <f t="shared" si="61"/>
        <v>16567</v>
      </c>
      <c r="Y44" s="596">
        <f t="shared" si="62"/>
        <v>0</v>
      </c>
      <c r="Z44" s="596">
        <f t="shared" si="63"/>
        <v>16567</v>
      </c>
      <c r="AA44" s="598">
        <f t="shared" si="64"/>
        <v>0</v>
      </c>
      <c r="AB44" s="598">
        <f t="shared" si="65"/>
        <v>16567</v>
      </c>
      <c r="AC44" s="598">
        <f t="shared" si="66"/>
        <v>0</v>
      </c>
      <c r="AD44" s="598">
        <f t="shared" si="67"/>
        <v>16567</v>
      </c>
      <c r="AE44" s="598">
        <f t="shared" si="68"/>
        <v>0</v>
      </c>
      <c r="AF44" s="598">
        <f t="shared" si="69"/>
        <v>16567</v>
      </c>
      <c r="AG44" s="596">
        <f t="shared" si="70"/>
        <v>0</v>
      </c>
      <c r="AH44" s="596">
        <f t="shared" si="71"/>
        <v>16567</v>
      </c>
      <c r="AI44" s="598">
        <f t="shared" si="72"/>
        <v>0</v>
      </c>
      <c r="AJ44" s="598">
        <f t="shared" si="73"/>
        <v>16567</v>
      </c>
      <c r="AK44" s="598">
        <f t="shared" si="74"/>
        <v>0</v>
      </c>
      <c r="AL44" s="598">
        <f t="shared" si="75"/>
        <v>16567</v>
      </c>
      <c r="AM44" s="598">
        <f t="shared" si="76"/>
        <v>0</v>
      </c>
      <c r="AN44" s="598">
        <f t="shared" si="77"/>
        <v>16567</v>
      </c>
      <c r="AO44" s="598">
        <f t="shared" si="78"/>
        <v>0</v>
      </c>
      <c r="AP44" s="598">
        <f t="shared" si="79"/>
        <v>16567</v>
      </c>
      <c r="AQ44" s="599">
        <f t="shared" si="80"/>
        <v>0</v>
      </c>
      <c r="AR44" s="599">
        <f t="shared" si="81"/>
        <v>16567</v>
      </c>
    </row>
    <row r="45" spans="1:44" x14ac:dyDescent="0.25">
      <c r="B45" s="312" t="s">
        <v>542</v>
      </c>
      <c r="C45" s="350">
        <v>31837</v>
      </c>
      <c r="D45" s="348">
        <v>6606</v>
      </c>
      <c r="E45" s="607">
        <v>15</v>
      </c>
      <c r="F45" s="598">
        <v>5501</v>
      </c>
      <c r="G45" s="598">
        <f t="shared" si="82"/>
        <v>440</v>
      </c>
      <c r="H45" s="598">
        <f t="shared" si="48"/>
        <v>5941</v>
      </c>
      <c r="I45" s="598">
        <f t="shared" si="82"/>
        <v>440</v>
      </c>
      <c r="J45" s="598">
        <f t="shared" si="49"/>
        <v>6381</v>
      </c>
      <c r="K45" s="598">
        <f t="shared" si="50"/>
        <v>225</v>
      </c>
      <c r="L45" s="598">
        <f t="shared" si="51"/>
        <v>6606</v>
      </c>
      <c r="M45" s="598">
        <f t="shared" si="50"/>
        <v>0</v>
      </c>
      <c r="N45" s="598">
        <f t="shared" si="52"/>
        <v>6606</v>
      </c>
      <c r="O45" s="598">
        <f t="shared" si="53"/>
        <v>0</v>
      </c>
      <c r="P45" s="598">
        <f t="shared" si="54"/>
        <v>6606</v>
      </c>
      <c r="Q45" s="598">
        <f t="shared" si="53"/>
        <v>0</v>
      </c>
      <c r="R45" s="598">
        <f t="shared" si="55"/>
        <v>6606</v>
      </c>
      <c r="S45" s="598">
        <f t="shared" si="56"/>
        <v>0</v>
      </c>
      <c r="T45" s="598">
        <f t="shared" si="57"/>
        <v>6606</v>
      </c>
      <c r="U45" s="598">
        <f t="shared" si="58"/>
        <v>0</v>
      </c>
      <c r="V45" s="598">
        <f t="shared" si="59"/>
        <v>6606</v>
      </c>
      <c r="W45" s="598">
        <f t="shared" si="60"/>
        <v>0</v>
      </c>
      <c r="X45" s="598">
        <f t="shared" si="61"/>
        <v>6606</v>
      </c>
      <c r="Y45" s="596">
        <f t="shared" si="62"/>
        <v>0</v>
      </c>
      <c r="Z45" s="596">
        <f t="shared" si="63"/>
        <v>6606</v>
      </c>
      <c r="AA45" s="598">
        <f t="shared" si="64"/>
        <v>0</v>
      </c>
      <c r="AB45" s="598">
        <f t="shared" si="65"/>
        <v>6606</v>
      </c>
      <c r="AC45" s="598">
        <f t="shared" si="66"/>
        <v>0</v>
      </c>
      <c r="AD45" s="598">
        <f t="shared" si="67"/>
        <v>6606</v>
      </c>
      <c r="AE45" s="598">
        <f t="shared" si="68"/>
        <v>0</v>
      </c>
      <c r="AF45" s="598">
        <f t="shared" si="69"/>
        <v>6606</v>
      </c>
      <c r="AG45" s="596">
        <f t="shared" si="70"/>
        <v>0</v>
      </c>
      <c r="AH45" s="596">
        <f t="shared" si="71"/>
        <v>6606</v>
      </c>
      <c r="AI45" s="598">
        <f t="shared" si="72"/>
        <v>0</v>
      </c>
      <c r="AJ45" s="598">
        <f t="shared" si="73"/>
        <v>6606</v>
      </c>
      <c r="AK45" s="598">
        <f t="shared" si="74"/>
        <v>0</v>
      </c>
      <c r="AL45" s="598">
        <f t="shared" si="75"/>
        <v>6606</v>
      </c>
      <c r="AM45" s="598">
        <f t="shared" si="76"/>
        <v>0</v>
      </c>
      <c r="AN45" s="598">
        <f t="shared" si="77"/>
        <v>6606</v>
      </c>
      <c r="AO45" s="598">
        <f t="shared" si="78"/>
        <v>0</v>
      </c>
      <c r="AP45" s="598">
        <f t="shared" si="79"/>
        <v>6606</v>
      </c>
      <c r="AQ45" s="599">
        <f t="shared" si="80"/>
        <v>0</v>
      </c>
      <c r="AR45" s="599">
        <f t="shared" si="81"/>
        <v>6606</v>
      </c>
    </row>
    <row r="46" spans="1:44" x14ac:dyDescent="0.25">
      <c r="B46" s="312" t="s">
        <v>543</v>
      </c>
      <c r="C46" s="350">
        <v>32082</v>
      </c>
      <c r="D46" s="348">
        <v>472</v>
      </c>
      <c r="E46" s="607">
        <v>15</v>
      </c>
      <c r="F46" s="598">
        <v>389</v>
      </c>
      <c r="G46" s="598">
        <f t="shared" si="82"/>
        <v>31</v>
      </c>
      <c r="H46" s="598">
        <f t="shared" si="48"/>
        <v>420</v>
      </c>
      <c r="I46" s="598">
        <f t="shared" si="82"/>
        <v>31</v>
      </c>
      <c r="J46" s="598">
        <f t="shared" si="49"/>
        <v>451</v>
      </c>
      <c r="K46" s="598">
        <f t="shared" si="50"/>
        <v>21</v>
      </c>
      <c r="L46" s="598">
        <f t="shared" si="51"/>
        <v>472</v>
      </c>
      <c r="M46" s="598">
        <f t="shared" si="50"/>
        <v>0</v>
      </c>
      <c r="N46" s="598">
        <f t="shared" si="52"/>
        <v>472</v>
      </c>
      <c r="O46" s="598">
        <f t="shared" si="53"/>
        <v>0</v>
      </c>
      <c r="P46" s="598">
        <f t="shared" si="54"/>
        <v>472</v>
      </c>
      <c r="Q46" s="598">
        <f t="shared" si="53"/>
        <v>0</v>
      </c>
      <c r="R46" s="598">
        <f t="shared" si="55"/>
        <v>472</v>
      </c>
      <c r="S46" s="598">
        <f t="shared" si="56"/>
        <v>0</v>
      </c>
      <c r="T46" s="598">
        <f t="shared" si="57"/>
        <v>472</v>
      </c>
      <c r="U46" s="598">
        <f t="shared" si="58"/>
        <v>0</v>
      </c>
      <c r="V46" s="598">
        <f t="shared" si="59"/>
        <v>472</v>
      </c>
      <c r="W46" s="598">
        <f t="shared" si="60"/>
        <v>0</v>
      </c>
      <c r="X46" s="598">
        <f t="shared" si="61"/>
        <v>472</v>
      </c>
      <c r="Y46" s="596">
        <f t="shared" si="62"/>
        <v>0</v>
      </c>
      <c r="Z46" s="596">
        <f t="shared" si="63"/>
        <v>472</v>
      </c>
      <c r="AA46" s="598">
        <f t="shared" si="64"/>
        <v>0</v>
      </c>
      <c r="AB46" s="598">
        <f t="shared" si="65"/>
        <v>472</v>
      </c>
      <c r="AC46" s="598">
        <f t="shared" si="66"/>
        <v>0</v>
      </c>
      <c r="AD46" s="598">
        <f t="shared" si="67"/>
        <v>472</v>
      </c>
      <c r="AE46" s="598">
        <f t="shared" si="68"/>
        <v>0</v>
      </c>
      <c r="AF46" s="598">
        <f t="shared" si="69"/>
        <v>472</v>
      </c>
      <c r="AG46" s="596">
        <f t="shared" si="70"/>
        <v>0</v>
      </c>
      <c r="AH46" s="596">
        <f t="shared" si="71"/>
        <v>472</v>
      </c>
      <c r="AI46" s="598">
        <f t="shared" si="72"/>
        <v>0</v>
      </c>
      <c r="AJ46" s="598">
        <f t="shared" si="73"/>
        <v>472</v>
      </c>
      <c r="AK46" s="598">
        <f t="shared" si="74"/>
        <v>0</v>
      </c>
      <c r="AL46" s="598">
        <f t="shared" si="75"/>
        <v>472</v>
      </c>
      <c r="AM46" s="598">
        <f t="shared" si="76"/>
        <v>0</v>
      </c>
      <c r="AN46" s="598">
        <f t="shared" si="77"/>
        <v>472</v>
      </c>
      <c r="AO46" s="598">
        <f t="shared" si="78"/>
        <v>0</v>
      </c>
      <c r="AP46" s="598">
        <f t="shared" si="79"/>
        <v>472</v>
      </c>
      <c r="AQ46" s="599">
        <f t="shared" si="80"/>
        <v>0</v>
      </c>
      <c r="AR46" s="599">
        <f t="shared" si="81"/>
        <v>472</v>
      </c>
    </row>
    <row r="47" spans="1:44" x14ac:dyDescent="0.25">
      <c r="B47" s="312" t="s">
        <v>544</v>
      </c>
      <c r="C47" s="350">
        <v>30512</v>
      </c>
      <c r="D47" s="348">
        <v>5175</v>
      </c>
      <c r="E47" s="607">
        <v>10</v>
      </c>
      <c r="F47" s="598">
        <v>5175</v>
      </c>
      <c r="G47" s="598">
        <f t="shared" si="82"/>
        <v>0</v>
      </c>
      <c r="H47" s="598">
        <f t="shared" si="48"/>
        <v>5175</v>
      </c>
      <c r="I47" s="598">
        <f t="shared" si="82"/>
        <v>0</v>
      </c>
      <c r="J47" s="598">
        <f t="shared" si="49"/>
        <v>5175</v>
      </c>
      <c r="K47" s="598">
        <f t="shared" si="50"/>
        <v>0</v>
      </c>
      <c r="L47" s="598">
        <f t="shared" si="51"/>
        <v>5175</v>
      </c>
      <c r="M47" s="598">
        <f t="shared" si="50"/>
        <v>0</v>
      </c>
      <c r="N47" s="598">
        <f t="shared" si="52"/>
        <v>5175</v>
      </c>
      <c r="O47" s="598">
        <f t="shared" si="53"/>
        <v>0</v>
      </c>
      <c r="P47" s="598">
        <f t="shared" si="54"/>
        <v>5175</v>
      </c>
      <c r="Q47" s="598">
        <f t="shared" si="53"/>
        <v>0</v>
      </c>
      <c r="R47" s="598">
        <f t="shared" si="55"/>
        <v>5175</v>
      </c>
      <c r="S47" s="598">
        <f t="shared" si="56"/>
        <v>0</v>
      </c>
      <c r="T47" s="598">
        <f t="shared" si="57"/>
        <v>5175</v>
      </c>
      <c r="U47" s="598">
        <f t="shared" si="58"/>
        <v>0</v>
      </c>
      <c r="V47" s="598">
        <f t="shared" si="59"/>
        <v>5175</v>
      </c>
      <c r="W47" s="598">
        <f t="shared" si="60"/>
        <v>0</v>
      </c>
      <c r="X47" s="598">
        <f t="shared" si="61"/>
        <v>5175</v>
      </c>
      <c r="Y47" s="596">
        <f t="shared" si="62"/>
        <v>0</v>
      </c>
      <c r="Z47" s="596">
        <f t="shared" si="63"/>
        <v>5175</v>
      </c>
      <c r="AA47" s="598">
        <f t="shared" si="64"/>
        <v>0</v>
      </c>
      <c r="AB47" s="598">
        <f t="shared" si="65"/>
        <v>5175</v>
      </c>
      <c r="AC47" s="598">
        <f t="shared" si="66"/>
        <v>0</v>
      </c>
      <c r="AD47" s="598">
        <f t="shared" si="67"/>
        <v>5175</v>
      </c>
      <c r="AE47" s="598">
        <f t="shared" si="68"/>
        <v>0</v>
      </c>
      <c r="AF47" s="598">
        <f t="shared" si="69"/>
        <v>5175</v>
      </c>
      <c r="AG47" s="596">
        <f t="shared" si="70"/>
        <v>0</v>
      </c>
      <c r="AH47" s="596">
        <f t="shared" si="71"/>
        <v>5175</v>
      </c>
      <c r="AI47" s="598">
        <f t="shared" si="72"/>
        <v>0</v>
      </c>
      <c r="AJ47" s="598">
        <f t="shared" si="73"/>
        <v>5175</v>
      </c>
      <c r="AK47" s="598">
        <f t="shared" si="74"/>
        <v>0</v>
      </c>
      <c r="AL47" s="598">
        <f t="shared" si="75"/>
        <v>5175</v>
      </c>
      <c r="AM47" s="598">
        <f t="shared" si="76"/>
        <v>0</v>
      </c>
      <c r="AN47" s="598">
        <f t="shared" si="77"/>
        <v>5175</v>
      </c>
      <c r="AO47" s="598">
        <f t="shared" si="78"/>
        <v>0</v>
      </c>
      <c r="AP47" s="598">
        <f t="shared" si="79"/>
        <v>5175</v>
      </c>
      <c r="AQ47" s="599">
        <f t="shared" si="80"/>
        <v>0</v>
      </c>
      <c r="AR47" s="599">
        <f t="shared" si="81"/>
        <v>5175</v>
      </c>
    </row>
    <row r="48" spans="1:44" x14ac:dyDescent="0.25">
      <c r="B48" s="312" t="s">
        <v>82</v>
      </c>
      <c r="C48" s="350">
        <v>33847</v>
      </c>
      <c r="D48" s="348">
        <v>3555</v>
      </c>
      <c r="E48" s="607">
        <v>15</v>
      </c>
      <c r="F48" s="598">
        <v>1738</v>
      </c>
      <c r="G48" s="598">
        <f t="shared" si="82"/>
        <v>237</v>
      </c>
      <c r="H48" s="598">
        <f t="shared" si="48"/>
        <v>1975</v>
      </c>
      <c r="I48" s="598">
        <f t="shared" si="82"/>
        <v>237</v>
      </c>
      <c r="J48" s="598">
        <f t="shared" si="49"/>
        <v>2212</v>
      </c>
      <c r="K48" s="598">
        <f t="shared" si="50"/>
        <v>237</v>
      </c>
      <c r="L48" s="598">
        <f t="shared" si="51"/>
        <v>2449</v>
      </c>
      <c r="M48" s="598">
        <f t="shared" si="50"/>
        <v>237</v>
      </c>
      <c r="N48" s="598">
        <f t="shared" si="52"/>
        <v>2686</v>
      </c>
      <c r="O48" s="598">
        <f t="shared" si="53"/>
        <v>237</v>
      </c>
      <c r="P48" s="598">
        <f t="shared" si="54"/>
        <v>2923</v>
      </c>
      <c r="Q48" s="598">
        <f t="shared" si="53"/>
        <v>237</v>
      </c>
      <c r="R48" s="598">
        <f t="shared" si="55"/>
        <v>3160</v>
      </c>
      <c r="S48" s="598">
        <f t="shared" si="56"/>
        <v>237</v>
      </c>
      <c r="T48" s="598">
        <f t="shared" si="57"/>
        <v>3397</v>
      </c>
      <c r="U48" s="598">
        <f t="shared" si="58"/>
        <v>158</v>
      </c>
      <c r="V48" s="598">
        <f t="shared" si="59"/>
        <v>3555</v>
      </c>
      <c r="W48" s="598">
        <f t="shared" si="60"/>
        <v>0</v>
      </c>
      <c r="X48" s="598">
        <f t="shared" si="61"/>
        <v>3555</v>
      </c>
      <c r="Y48" s="596">
        <f t="shared" si="62"/>
        <v>0</v>
      </c>
      <c r="Z48" s="596">
        <f t="shared" si="63"/>
        <v>3555</v>
      </c>
      <c r="AA48" s="598">
        <f t="shared" si="64"/>
        <v>0</v>
      </c>
      <c r="AB48" s="598">
        <f t="shared" si="65"/>
        <v>3555</v>
      </c>
      <c r="AC48" s="598">
        <f t="shared" si="66"/>
        <v>0</v>
      </c>
      <c r="AD48" s="598">
        <f t="shared" si="67"/>
        <v>3555</v>
      </c>
      <c r="AE48" s="598">
        <f t="shared" si="68"/>
        <v>0</v>
      </c>
      <c r="AF48" s="598">
        <f t="shared" si="69"/>
        <v>3555</v>
      </c>
      <c r="AG48" s="596">
        <f t="shared" si="70"/>
        <v>0</v>
      </c>
      <c r="AH48" s="596">
        <f t="shared" si="71"/>
        <v>3555</v>
      </c>
      <c r="AI48" s="598">
        <f t="shared" si="72"/>
        <v>0</v>
      </c>
      <c r="AJ48" s="598">
        <f t="shared" si="73"/>
        <v>3555</v>
      </c>
      <c r="AK48" s="598">
        <f t="shared" si="74"/>
        <v>0</v>
      </c>
      <c r="AL48" s="598">
        <f t="shared" si="75"/>
        <v>3555</v>
      </c>
      <c r="AM48" s="598">
        <f t="shared" si="76"/>
        <v>0</v>
      </c>
      <c r="AN48" s="598">
        <f t="shared" si="77"/>
        <v>3555</v>
      </c>
      <c r="AO48" s="598">
        <f t="shared" si="78"/>
        <v>0</v>
      </c>
      <c r="AP48" s="598">
        <f t="shared" si="79"/>
        <v>3555</v>
      </c>
      <c r="AQ48" s="599">
        <f t="shared" si="80"/>
        <v>0</v>
      </c>
      <c r="AR48" s="599">
        <f t="shared" si="81"/>
        <v>3555</v>
      </c>
    </row>
    <row r="49" spans="1:44" x14ac:dyDescent="0.25">
      <c r="B49" s="312" t="s">
        <v>82</v>
      </c>
      <c r="C49" s="350">
        <v>33909</v>
      </c>
      <c r="D49" s="348">
        <v>6563</v>
      </c>
      <c r="E49" s="607">
        <v>10</v>
      </c>
      <c r="F49" s="598">
        <v>4702</v>
      </c>
      <c r="G49" s="598">
        <f t="shared" si="82"/>
        <v>656</v>
      </c>
      <c r="H49" s="598">
        <f t="shared" si="48"/>
        <v>5358</v>
      </c>
      <c r="I49" s="598">
        <f t="shared" si="82"/>
        <v>656</v>
      </c>
      <c r="J49" s="598">
        <f t="shared" si="49"/>
        <v>6014</v>
      </c>
      <c r="K49" s="598">
        <f t="shared" si="50"/>
        <v>549</v>
      </c>
      <c r="L49" s="598">
        <f t="shared" si="51"/>
        <v>6563</v>
      </c>
      <c r="M49" s="598">
        <f t="shared" si="50"/>
        <v>0</v>
      </c>
      <c r="N49" s="598">
        <f t="shared" si="52"/>
        <v>6563</v>
      </c>
      <c r="O49" s="598">
        <f t="shared" si="53"/>
        <v>0</v>
      </c>
      <c r="P49" s="598">
        <f t="shared" si="54"/>
        <v>6563</v>
      </c>
      <c r="Q49" s="598">
        <f t="shared" si="53"/>
        <v>0</v>
      </c>
      <c r="R49" s="598">
        <f t="shared" si="55"/>
        <v>6563</v>
      </c>
      <c r="S49" s="598">
        <f t="shared" si="56"/>
        <v>0</v>
      </c>
      <c r="T49" s="598">
        <f t="shared" si="57"/>
        <v>6563</v>
      </c>
      <c r="U49" s="598">
        <f t="shared" si="58"/>
        <v>0</v>
      </c>
      <c r="V49" s="598">
        <f t="shared" si="59"/>
        <v>6563</v>
      </c>
      <c r="W49" s="598">
        <f t="shared" si="60"/>
        <v>0</v>
      </c>
      <c r="X49" s="598">
        <f t="shared" si="61"/>
        <v>6563</v>
      </c>
      <c r="Y49" s="596">
        <f t="shared" si="62"/>
        <v>0</v>
      </c>
      <c r="Z49" s="596">
        <f t="shared" si="63"/>
        <v>6563</v>
      </c>
      <c r="AA49" s="598">
        <f t="shared" si="64"/>
        <v>0</v>
      </c>
      <c r="AB49" s="598">
        <f t="shared" si="65"/>
        <v>6563</v>
      </c>
      <c r="AC49" s="598">
        <f t="shared" si="66"/>
        <v>0</v>
      </c>
      <c r="AD49" s="598">
        <f t="shared" si="67"/>
        <v>6563</v>
      </c>
      <c r="AE49" s="598">
        <f t="shared" si="68"/>
        <v>0</v>
      </c>
      <c r="AF49" s="598">
        <f t="shared" si="69"/>
        <v>6563</v>
      </c>
      <c r="AG49" s="596">
        <f t="shared" si="70"/>
        <v>0</v>
      </c>
      <c r="AH49" s="596">
        <f t="shared" si="71"/>
        <v>6563</v>
      </c>
      <c r="AI49" s="598">
        <f t="shared" si="72"/>
        <v>0</v>
      </c>
      <c r="AJ49" s="598">
        <f t="shared" si="73"/>
        <v>6563</v>
      </c>
      <c r="AK49" s="598">
        <f t="shared" si="74"/>
        <v>0</v>
      </c>
      <c r="AL49" s="598">
        <f t="shared" si="75"/>
        <v>6563</v>
      </c>
      <c r="AM49" s="598">
        <f t="shared" si="76"/>
        <v>0</v>
      </c>
      <c r="AN49" s="598">
        <f t="shared" si="77"/>
        <v>6563</v>
      </c>
      <c r="AO49" s="598">
        <f t="shared" si="78"/>
        <v>0</v>
      </c>
      <c r="AP49" s="598">
        <f t="shared" si="79"/>
        <v>6563</v>
      </c>
      <c r="AQ49" s="599">
        <f t="shared" si="80"/>
        <v>0</v>
      </c>
      <c r="AR49" s="599">
        <f t="shared" si="81"/>
        <v>6563</v>
      </c>
    </row>
    <row r="50" spans="1:44" x14ac:dyDescent="0.25">
      <c r="B50" s="312" t="s">
        <v>82</v>
      </c>
      <c r="C50" s="350">
        <v>33939</v>
      </c>
      <c r="D50" s="348">
        <v>4827</v>
      </c>
      <c r="E50" s="607">
        <v>10</v>
      </c>
      <c r="F50" s="598">
        <v>3420</v>
      </c>
      <c r="G50" s="598">
        <f t="shared" si="82"/>
        <v>483</v>
      </c>
      <c r="H50" s="598">
        <f t="shared" si="48"/>
        <v>3903</v>
      </c>
      <c r="I50" s="598">
        <f t="shared" si="82"/>
        <v>483</v>
      </c>
      <c r="J50" s="598">
        <f t="shared" si="49"/>
        <v>4386</v>
      </c>
      <c r="K50" s="598">
        <f t="shared" si="50"/>
        <v>441</v>
      </c>
      <c r="L50" s="598">
        <f t="shared" si="51"/>
        <v>4827</v>
      </c>
      <c r="M50" s="598">
        <f t="shared" si="50"/>
        <v>0</v>
      </c>
      <c r="N50" s="598">
        <f t="shared" si="52"/>
        <v>4827</v>
      </c>
      <c r="O50" s="598">
        <f t="shared" si="53"/>
        <v>0</v>
      </c>
      <c r="P50" s="598">
        <f t="shared" si="54"/>
        <v>4827</v>
      </c>
      <c r="Q50" s="598">
        <f t="shared" si="53"/>
        <v>0</v>
      </c>
      <c r="R50" s="598">
        <f t="shared" si="55"/>
        <v>4827</v>
      </c>
      <c r="S50" s="598">
        <f t="shared" si="56"/>
        <v>0</v>
      </c>
      <c r="T50" s="598">
        <f t="shared" si="57"/>
        <v>4827</v>
      </c>
      <c r="U50" s="598">
        <f t="shared" si="58"/>
        <v>0</v>
      </c>
      <c r="V50" s="598">
        <f t="shared" si="59"/>
        <v>4827</v>
      </c>
      <c r="W50" s="598">
        <f t="shared" si="60"/>
        <v>0</v>
      </c>
      <c r="X50" s="598">
        <f t="shared" si="61"/>
        <v>4827</v>
      </c>
      <c r="Y50" s="596">
        <f t="shared" si="62"/>
        <v>0</v>
      </c>
      <c r="Z50" s="596">
        <f t="shared" si="63"/>
        <v>4827</v>
      </c>
      <c r="AA50" s="598">
        <f t="shared" si="64"/>
        <v>0</v>
      </c>
      <c r="AB50" s="598">
        <f t="shared" si="65"/>
        <v>4827</v>
      </c>
      <c r="AC50" s="598">
        <f t="shared" si="66"/>
        <v>0</v>
      </c>
      <c r="AD50" s="598">
        <f t="shared" si="67"/>
        <v>4827</v>
      </c>
      <c r="AE50" s="598">
        <f t="shared" si="68"/>
        <v>0</v>
      </c>
      <c r="AF50" s="598">
        <f t="shared" si="69"/>
        <v>4827</v>
      </c>
      <c r="AG50" s="596">
        <f t="shared" si="70"/>
        <v>0</v>
      </c>
      <c r="AH50" s="596">
        <f t="shared" si="71"/>
        <v>4827</v>
      </c>
      <c r="AI50" s="598">
        <f t="shared" si="72"/>
        <v>0</v>
      </c>
      <c r="AJ50" s="598">
        <f t="shared" si="73"/>
        <v>4827</v>
      </c>
      <c r="AK50" s="598">
        <f t="shared" si="74"/>
        <v>0</v>
      </c>
      <c r="AL50" s="598">
        <f t="shared" si="75"/>
        <v>4827</v>
      </c>
      <c r="AM50" s="598">
        <f t="shared" si="76"/>
        <v>0</v>
      </c>
      <c r="AN50" s="598">
        <f t="shared" si="77"/>
        <v>4827</v>
      </c>
      <c r="AO50" s="598">
        <f t="shared" si="78"/>
        <v>0</v>
      </c>
      <c r="AP50" s="598">
        <f t="shared" si="79"/>
        <v>4827</v>
      </c>
      <c r="AQ50" s="599">
        <f t="shared" si="80"/>
        <v>0</v>
      </c>
      <c r="AR50" s="599">
        <f t="shared" si="81"/>
        <v>4827</v>
      </c>
    </row>
    <row r="51" spans="1:44" x14ac:dyDescent="0.25">
      <c r="B51" s="312" t="s">
        <v>83</v>
      </c>
      <c r="C51" s="350">
        <v>34029</v>
      </c>
      <c r="D51" s="348">
        <v>8873</v>
      </c>
      <c r="E51" s="607">
        <v>20</v>
      </c>
      <c r="F51" s="598">
        <v>3033</v>
      </c>
      <c r="G51" s="598">
        <f t="shared" si="82"/>
        <v>444</v>
      </c>
      <c r="H51" s="598">
        <f t="shared" si="48"/>
        <v>3477</v>
      </c>
      <c r="I51" s="598">
        <f t="shared" si="82"/>
        <v>444</v>
      </c>
      <c r="J51" s="598">
        <f t="shared" si="49"/>
        <v>3921</v>
      </c>
      <c r="K51" s="598">
        <f t="shared" si="50"/>
        <v>444</v>
      </c>
      <c r="L51" s="598">
        <f t="shared" si="51"/>
        <v>4365</v>
      </c>
      <c r="M51" s="598">
        <f t="shared" si="50"/>
        <v>444</v>
      </c>
      <c r="N51" s="598">
        <f t="shared" si="52"/>
        <v>4809</v>
      </c>
      <c r="O51" s="598">
        <f t="shared" si="53"/>
        <v>444</v>
      </c>
      <c r="P51" s="598">
        <f t="shared" si="54"/>
        <v>5253</v>
      </c>
      <c r="Q51" s="598">
        <f t="shared" si="53"/>
        <v>444</v>
      </c>
      <c r="R51" s="598">
        <f t="shared" si="55"/>
        <v>5697</v>
      </c>
      <c r="S51" s="598">
        <f t="shared" si="56"/>
        <v>444</v>
      </c>
      <c r="T51" s="598">
        <f t="shared" si="57"/>
        <v>6141</v>
      </c>
      <c r="U51" s="598">
        <f t="shared" si="58"/>
        <v>444</v>
      </c>
      <c r="V51" s="598">
        <f t="shared" si="59"/>
        <v>6585</v>
      </c>
      <c r="W51" s="598">
        <f t="shared" si="60"/>
        <v>444</v>
      </c>
      <c r="X51" s="598">
        <f t="shared" si="61"/>
        <v>7029</v>
      </c>
      <c r="Y51" s="596">
        <f t="shared" si="62"/>
        <v>444</v>
      </c>
      <c r="Z51" s="596">
        <f t="shared" si="63"/>
        <v>7473</v>
      </c>
      <c r="AA51" s="598">
        <f t="shared" si="64"/>
        <v>444</v>
      </c>
      <c r="AB51" s="598">
        <f t="shared" si="65"/>
        <v>7917</v>
      </c>
      <c r="AC51" s="598">
        <f t="shared" si="66"/>
        <v>444</v>
      </c>
      <c r="AD51" s="598">
        <f t="shared" si="67"/>
        <v>8361</v>
      </c>
      <c r="AE51" s="598">
        <f t="shared" si="68"/>
        <v>444</v>
      </c>
      <c r="AF51" s="598">
        <f t="shared" si="69"/>
        <v>8805</v>
      </c>
      <c r="AG51" s="596">
        <f t="shared" si="70"/>
        <v>68</v>
      </c>
      <c r="AH51" s="596">
        <f t="shared" si="71"/>
        <v>8873</v>
      </c>
      <c r="AI51" s="598">
        <f t="shared" si="72"/>
        <v>0</v>
      </c>
      <c r="AJ51" s="598">
        <f t="shared" si="73"/>
        <v>8873</v>
      </c>
      <c r="AK51" s="598">
        <f t="shared" si="74"/>
        <v>0</v>
      </c>
      <c r="AL51" s="598">
        <f t="shared" si="75"/>
        <v>8873</v>
      </c>
      <c r="AM51" s="598">
        <f t="shared" si="76"/>
        <v>0</v>
      </c>
      <c r="AN51" s="598">
        <f t="shared" si="77"/>
        <v>8873</v>
      </c>
      <c r="AO51" s="598">
        <f t="shared" si="78"/>
        <v>0</v>
      </c>
      <c r="AP51" s="598">
        <f t="shared" si="79"/>
        <v>8873</v>
      </c>
      <c r="AQ51" s="599">
        <f t="shared" si="80"/>
        <v>0</v>
      </c>
      <c r="AR51" s="599">
        <f t="shared" si="81"/>
        <v>8873</v>
      </c>
    </row>
    <row r="52" spans="1:44" x14ac:dyDescent="0.25">
      <c r="B52" s="349" t="s">
        <v>84</v>
      </c>
      <c r="C52" s="350">
        <v>35018</v>
      </c>
      <c r="D52" s="342">
        <v>8723</v>
      </c>
      <c r="E52" s="608">
        <v>15</v>
      </c>
      <c r="F52" s="598">
        <v>2618</v>
      </c>
      <c r="G52" s="598">
        <f t="shared" si="82"/>
        <v>582</v>
      </c>
      <c r="H52" s="598">
        <f t="shared" si="48"/>
        <v>3200</v>
      </c>
      <c r="I52" s="598">
        <f t="shared" si="82"/>
        <v>582</v>
      </c>
      <c r="J52" s="598">
        <f t="shared" si="49"/>
        <v>3782</v>
      </c>
      <c r="K52" s="598">
        <f t="shared" si="50"/>
        <v>582</v>
      </c>
      <c r="L52" s="598">
        <f t="shared" si="51"/>
        <v>4364</v>
      </c>
      <c r="M52" s="598">
        <f t="shared" si="50"/>
        <v>582</v>
      </c>
      <c r="N52" s="598">
        <f t="shared" si="52"/>
        <v>4946</v>
      </c>
      <c r="O52" s="598">
        <f t="shared" si="53"/>
        <v>582</v>
      </c>
      <c r="P52" s="598">
        <f t="shared" si="54"/>
        <v>5528</v>
      </c>
      <c r="Q52" s="598">
        <f t="shared" si="53"/>
        <v>582</v>
      </c>
      <c r="R52" s="598">
        <f t="shared" si="55"/>
        <v>6110</v>
      </c>
      <c r="S52" s="598">
        <f t="shared" si="56"/>
        <v>582</v>
      </c>
      <c r="T52" s="598">
        <f t="shared" si="57"/>
        <v>6692</v>
      </c>
      <c r="U52" s="598">
        <f t="shared" si="58"/>
        <v>582</v>
      </c>
      <c r="V52" s="598">
        <f t="shared" si="59"/>
        <v>7274</v>
      </c>
      <c r="W52" s="598">
        <f t="shared" si="60"/>
        <v>582</v>
      </c>
      <c r="X52" s="598">
        <f t="shared" si="61"/>
        <v>7856</v>
      </c>
      <c r="Y52" s="596">
        <f t="shared" si="62"/>
        <v>582</v>
      </c>
      <c r="Z52" s="596">
        <f t="shared" si="63"/>
        <v>8438</v>
      </c>
      <c r="AA52" s="598">
        <f t="shared" si="64"/>
        <v>285</v>
      </c>
      <c r="AB52" s="598">
        <f t="shared" si="65"/>
        <v>8723</v>
      </c>
      <c r="AC52" s="598">
        <f t="shared" si="66"/>
        <v>0</v>
      </c>
      <c r="AD52" s="598">
        <f t="shared" si="67"/>
        <v>8723</v>
      </c>
      <c r="AE52" s="598">
        <f t="shared" si="68"/>
        <v>0</v>
      </c>
      <c r="AF52" s="598">
        <f t="shared" si="69"/>
        <v>8723</v>
      </c>
      <c r="AG52" s="596">
        <f t="shared" si="70"/>
        <v>0</v>
      </c>
      <c r="AH52" s="596">
        <f t="shared" si="71"/>
        <v>8723</v>
      </c>
      <c r="AI52" s="598">
        <f t="shared" si="72"/>
        <v>0</v>
      </c>
      <c r="AJ52" s="598">
        <f t="shared" si="73"/>
        <v>8723</v>
      </c>
      <c r="AK52" s="598">
        <f t="shared" si="74"/>
        <v>0</v>
      </c>
      <c r="AL52" s="598">
        <f t="shared" si="75"/>
        <v>8723</v>
      </c>
      <c r="AM52" s="598">
        <f t="shared" si="76"/>
        <v>0</v>
      </c>
      <c r="AN52" s="598">
        <f t="shared" si="77"/>
        <v>8723</v>
      </c>
      <c r="AO52" s="598">
        <f t="shared" si="78"/>
        <v>0</v>
      </c>
      <c r="AP52" s="598">
        <f t="shared" si="79"/>
        <v>8723</v>
      </c>
      <c r="AQ52" s="599">
        <f t="shared" si="80"/>
        <v>0</v>
      </c>
      <c r="AR52" s="599">
        <f t="shared" si="81"/>
        <v>8723</v>
      </c>
    </row>
    <row r="53" spans="1:44" x14ac:dyDescent="0.25">
      <c r="B53" s="349" t="s">
        <v>542</v>
      </c>
      <c r="C53" s="350">
        <v>35774</v>
      </c>
      <c r="D53" s="342">
        <v>5382.95</v>
      </c>
      <c r="E53" s="608">
        <v>15</v>
      </c>
      <c r="F53" s="598">
        <v>898</v>
      </c>
      <c r="G53" s="598">
        <f t="shared" si="82"/>
        <v>359</v>
      </c>
      <c r="H53" s="598">
        <f t="shared" si="48"/>
        <v>1257</v>
      </c>
      <c r="I53" s="598">
        <f t="shared" si="82"/>
        <v>359</v>
      </c>
      <c r="J53" s="598">
        <f t="shared" si="49"/>
        <v>1616</v>
      </c>
      <c r="K53" s="598">
        <f t="shared" si="50"/>
        <v>359</v>
      </c>
      <c r="L53" s="598">
        <f t="shared" si="51"/>
        <v>1975</v>
      </c>
      <c r="M53" s="598">
        <f t="shared" si="50"/>
        <v>359</v>
      </c>
      <c r="N53" s="598">
        <f t="shared" si="52"/>
        <v>2334</v>
      </c>
      <c r="O53" s="598">
        <f t="shared" si="53"/>
        <v>359</v>
      </c>
      <c r="P53" s="598">
        <f t="shared" si="54"/>
        <v>2693</v>
      </c>
      <c r="Q53" s="598">
        <f t="shared" si="53"/>
        <v>359</v>
      </c>
      <c r="R53" s="598">
        <f t="shared" si="55"/>
        <v>3052</v>
      </c>
      <c r="S53" s="598">
        <f t="shared" si="56"/>
        <v>359</v>
      </c>
      <c r="T53" s="598">
        <f t="shared" si="57"/>
        <v>3411</v>
      </c>
      <c r="U53" s="598">
        <f t="shared" si="58"/>
        <v>359</v>
      </c>
      <c r="V53" s="598">
        <f t="shared" si="59"/>
        <v>3770</v>
      </c>
      <c r="W53" s="598">
        <f t="shared" si="60"/>
        <v>359</v>
      </c>
      <c r="X53" s="598">
        <f t="shared" si="61"/>
        <v>4129</v>
      </c>
      <c r="Y53" s="596">
        <f t="shared" si="62"/>
        <v>359</v>
      </c>
      <c r="Z53" s="596">
        <f t="shared" si="63"/>
        <v>4488</v>
      </c>
      <c r="AA53" s="598">
        <f t="shared" si="64"/>
        <v>359</v>
      </c>
      <c r="AB53" s="598">
        <f t="shared" si="65"/>
        <v>4847</v>
      </c>
      <c r="AC53" s="598">
        <f t="shared" si="66"/>
        <v>359</v>
      </c>
      <c r="AD53" s="598">
        <f t="shared" si="67"/>
        <v>5206</v>
      </c>
      <c r="AE53" s="598">
        <f t="shared" si="68"/>
        <v>177</v>
      </c>
      <c r="AF53" s="598">
        <f t="shared" si="69"/>
        <v>5383</v>
      </c>
      <c r="AG53" s="596">
        <f t="shared" si="70"/>
        <v>0</v>
      </c>
      <c r="AH53" s="596">
        <f t="shared" si="71"/>
        <v>5383</v>
      </c>
      <c r="AI53" s="598">
        <f t="shared" si="72"/>
        <v>0</v>
      </c>
      <c r="AJ53" s="598">
        <f t="shared" si="73"/>
        <v>5383</v>
      </c>
      <c r="AK53" s="598">
        <f t="shared" si="74"/>
        <v>0</v>
      </c>
      <c r="AL53" s="598">
        <f t="shared" si="75"/>
        <v>5383</v>
      </c>
      <c r="AM53" s="598">
        <f t="shared" si="76"/>
        <v>0</v>
      </c>
      <c r="AN53" s="598">
        <f t="shared" si="77"/>
        <v>5383</v>
      </c>
      <c r="AO53" s="598">
        <f t="shared" si="78"/>
        <v>0</v>
      </c>
      <c r="AP53" s="598">
        <f t="shared" si="79"/>
        <v>5383</v>
      </c>
      <c r="AQ53" s="599">
        <f t="shared" si="80"/>
        <v>0</v>
      </c>
      <c r="AR53" s="599">
        <f t="shared" si="81"/>
        <v>5383</v>
      </c>
    </row>
    <row r="54" spans="1:44" x14ac:dyDescent="0.25">
      <c r="B54" s="349" t="s">
        <v>542</v>
      </c>
      <c r="C54" s="350">
        <v>35885</v>
      </c>
      <c r="D54" s="342">
        <v>5527.61</v>
      </c>
      <c r="E54" s="608">
        <v>15</v>
      </c>
      <c r="F54" s="598">
        <v>553</v>
      </c>
      <c r="G54" s="598">
        <f t="shared" si="82"/>
        <v>369</v>
      </c>
      <c r="H54" s="598">
        <f>ROUND(SUM(F54:G54),0)</f>
        <v>922</v>
      </c>
      <c r="I54" s="598">
        <f t="shared" si="82"/>
        <v>369</v>
      </c>
      <c r="J54" s="598">
        <f>ROUND(SUM(H54:I54),0)</f>
        <v>1291</v>
      </c>
      <c r="K54" s="598">
        <f t="shared" si="50"/>
        <v>369</v>
      </c>
      <c r="L54" s="598">
        <f>ROUND(SUM(J54:K54),0)</f>
        <v>1660</v>
      </c>
      <c r="M54" s="598">
        <f t="shared" si="50"/>
        <v>369</v>
      </c>
      <c r="N54" s="598">
        <f t="shared" si="52"/>
        <v>2029</v>
      </c>
      <c r="O54" s="598">
        <f t="shared" si="53"/>
        <v>369</v>
      </c>
      <c r="P54" s="598">
        <f t="shared" si="54"/>
        <v>2398</v>
      </c>
      <c r="Q54" s="598">
        <f t="shared" si="53"/>
        <v>369</v>
      </c>
      <c r="R54" s="598">
        <f t="shared" si="55"/>
        <v>2767</v>
      </c>
      <c r="S54" s="598">
        <f t="shared" si="56"/>
        <v>369</v>
      </c>
      <c r="T54" s="598">
        <f t="shared" si="57"/>
        <v>3136</v>
      </c>
      <c r="U54" s="598">
        <f t="shared" si="58"/>
        <v>369</v>
      </c>
      <c r="V54" s="598">
        <f t="shared" si="59"/>
        <v>3505</v>
      </c>
      <c r="W54" s="598">
        <f t="shared" si="60"/>
        <v>369</v>
      </c>
      <c r="X54" s="598">
        <f t="shared" si="61"/>
        <v>3874</v>
      </c>
      <c r="Y54" s="596">
        <f t="shared" si="62"/>
        <v>369</v>
      </c>
      <c r="Z54" s="596">
        <f t="shared" si="63"/>
        <v>4243</v>
      </c>
      <c r="AA54" s="598">
        <f t="shared" si="64"/>
        <v>369</v>
      </c>
      <c r="AB54" s="598">
        <f t="shared" si="65"/>
        <v>4612</v>
      </c>
      <c r="AC54" s="598">
        <f t="shared" si="66"/>
        <v>369</v>
      </c>
      <c r="AD54" s="598">
        <f t="shared" si="67"/>
        <v>4981</v>
      </c>
      <c r="AE54" s="598">
        <f t="shared" si="68"/>
        <v>369</v>
      </c>
      <c r="AF54" s="598">
        <f t="shared" si="69"/>
        <v>5350</v>
      </c>
      <c r="AG54" s="596">
        <f t="shared" si="70"/>
        <v>178</v>
      </c>
      <c r="AH54" s="596">
        <f t="shared" si="71"/>
        <v>5528</v>
      </c>
      <c r="AI54" s="598">
        <f t="shared" si="72"/>
        <v>0</v>
      </c>
      <c r="AJ54" s="598">
        <f t="shared" si="73"/>
        <v>5528</v>
      </c>
      <c r="AK54" s="598">
        <f t="shared" si="74"/>
        <v>0</v>
      </c>
      <c r="AL54" s="598">
        <f t="shared" si="75"/>
        <v>5528</v>
      </c>
      <c r="AM54" s="598">
        <f t="shared" si="76"/>
        <v>0</v>
      </c>
      <c r="AN54" s="598">
        <f t="shared" si="77"/>
        <v>5528</v>
      </c>
      <c r="AO54" s="598">
        <f t="shared" si="78"/>
        <v>0</v>
      </c>
      <c r="AP54" s="598">
        <f t="shared" si="79"/>
        <v>5528</v>
      </c>
      <c r="AQ54" s="599">
        <f t="shared" si="80"/>
        <v>0</v>
      </c>
      <c r="AR54" s="599">
        <f t="shared" si="81"/>
        <v>5528</v>
      </c>
    </row>
    <row r="55" spans="1:44" x14ac:dyDescent="0.25">
      <c r="B55" s="349" t="s">
        <v>542</v>
      </c>
      <c r="C55" s="350">
        <v>38026</v>
      </c>
      <c r="D55" s="342">
        <v>9259.7800000000007</v>
      </c>
      <c r="E55" s="608">
        <v>15</v>
      </c>
      <c r="F55" s="598"/>
      <c r="G55" s="598"/>
      <c r="H55" s="598"/>
      <c r="I55" s="598"/>
      <c r="J55" s="598"/>
      <c r="K55" s="598"/>
      <c r="L55" s="598"/>
      <c r="M55" s="598"/>
      <c r="N55" s="598"/>
      <c r="O55" s="598">
        <f>IF(N55&lt;$D55,IF(N55+($D55/$E55)&lt;$D55,ROUND($D55/$E55,0),ROUND($D55-N55,0)),0)/12*11</f>
        <v>565.58333333333326</v>
      </c>
      <c r="P55" s="598">
        <f>ROUND(SUM(N55:O55),0)</f>
        <v>566</v>
      </c>
      <c r="Q55" s="598">
        <f t="shared" si="53"/>
        <v>617</v>
      </c>
      <c r="R55" s="598">
        <f>ROUND(SUM(P55:Q55),0)</f>
        <v>1183</v>
      </c>
      <c r="S55" s="598">
        <f t="shared" si="56"/>
        <v>617</v>
      </c>
      <c r="T55" s="598">
        <f>ROUND(SUM(R55:S55),0)</f>
        <v>1800</v>
      </c>
      <c r="U55" s="598">
        <f t="shared" si="58"/>
        <v>617</v>
      </c>
      <c r="V55" s="598">
        <f>ROUND(SUM(T55:U55),0)</f>
        <v>2417</v>
      </c>
      <c r="W55" s="598">
        <f t="shared" si="60"/>
        <v>617</v>
      </c>
      <c r="X55" s="598">
        <f>ROUND(SUM(V55:W55),0)</f>
        <v>3034</v>
      </c>
      <c r="Y55" s="596">
        <f t="shared" si="62"/>
        <v>617</v>
      </c>
      <c r="Z55" s="596">
        <f>ROUND(SUM(X55:Y55),0)</f>
        <v>3651</v>
      </c>
      <c r="AA55" s="598">
        <f t="shared" si="64"/>
        <v>617</v>
      </c>
      <c r="AB55" s="598">
        <f>ROUND(SUM(Z55:AA55),0)</f>
        <v>4268</v>
      </c>
      <c r="AC55" s="598">
        <f t="shared" si="66"/>
        <v>617</v>
      </c>
      <c r="AD55" s="598">
        <f>ROUND(SUM(AB55:AC55),0)</f>
        <v>4885</v>
      </c>
      <c r="AE55" s="598">
        <f t="shared" si="68"/>
        <v>617</v>
      </c>
      <c r="AF55" s="598">
        <f>ROUND(SUM(AD55:AE55),0)</f>
        <v>5502</v>
      </c>
      <c r="AG55" s="596">
        <f t="shared" si="70"/>
        <v>617</v>
      </c>
      <c r="AH55" s="596">
        <f>ROUND(SUM(AF55:AG55),0)</f>
        <v>6119</v>
      </c>
      <c r="AI55" s="598">
        <f t="shared" si="72"/>
        <v>617</v>
      </c>
      <c r="AJ55" s="598">
        <f>ROUND(SUM(AH55:AI55),0)</f>
        <v>6736</v>
      </c>
      <c r="AK55" s="598">
        <f t="shared" si="74"/>
        <v>617</v>
      </c>
      <c r="AL55" s="598">
        <f>ROUND(SUM(AJ55:AK55),0)</f>
        <v>7353</v>
      </c>
      <c r="AM55" s="598">
        <f t="shared" si="76"/>
        <v>617</v>
      </c>
      <c r="AN55" s="598">
        <f>ROUND(SUM(AL55:AM55),0)</f>
        <v>7970</v>
      </c>
      <c r="AO55" s="598">
        <f t="shared" si="78"/>
        <v>617</v>
      </c>
      <c r="AP55" s="598">
        <f>ROUND(SUM(AN55:AO55),0)</f>
        <v>8587</v>
      </c>
      <c r="AQ55" s="599">
        <f t="shared" si="80"/>
        <v>617</v>
      </c>
      <c r="AR55" s="599">
        <f>ROUND(SUM(AP55:AQ55),0)</f>
        <v>9204</v>
      </c>
    </row>
    <row r="56" spans="1:44" x14ac:dyDescent="0.25">
      <c r="B56" s="731" t="s">
        <v>707</v>
      </c>
      <c r="C56" s="732">
        <v>43394</v>
      </c>
      <c r="D56" s="733">
        <v>97175.38</v>
      </c>
      <c r="E56" s="734">
        <v>15</v>
      </c>
      <c r="F56" s="735"/>
      <c r="G56" s="735"/>
      <c r="H56" s="735"/>
      <c r="I56" s="735"/>
      <c r="J56" s="735"/>
      <c r="K56" s="735"/>
      <c r="L56" s="735"/>
      <c r="M56" s="735"/>
      <c r="N56" s="735"/>
      <c r="O56" s="735"/>
      <c r="P56" s="735"/>
      <c r="Q56" s="735"/>
      <c r="R56" s="735"/>
      <c r="S56" s="735"/>
      <c r="T56" s="735"/>
      <c r="U56" s="735"/>
      <c r="V56" s="735"/>
      <c r="W56" s="735"/>
      <c r="X56" s="735"/>
      <c r="Y56" s="735"/>
      <c r="Z56" s="735"/>
      <c r="AA56" s="735"/>
      <c r="AB56" s="735"/>
      <c r="AC56" s="735"/>
      <c r="AD56" s="735"/>
      <c r="AE56" s="735"/>
      <c r="AF56" s="735"/>
      <c r="AG56" s="735"/>
      <c r="AH56" s="735"/>
      <c r="AI56" s="735"/>
      <c r="AJ56" s="735"/>
      <c r="AK56" s="735"/>
      <c r="AL56" s="735"/>
      <c r="AM56" s="735"/>
      <c r="AN56" s="735"/>
      <c r="AO56" s="735"/>
      <c r="AP56" s="735">
        <f t="shared" ref="AP56:AP57" si="83">ROUND(SUM(AN56:AO56),0)</f>
        <v>0</v>
      </c>
      <c r="AQ56" s="736">
        <f>IF(AP56&lt;$D56,IF(AP56+($D56/$E56)&lt;$D56,ROUND($D56/$E56,0),ROUND($D56-AP56,0)),0)/12*2</f>
        <v>1079.6666666666667</v>
      </c>
      <c r="AR56" s="736">
        <f t="shared" ref="AR56:AR57" si="84">ROUND(SUM(AP56:AQ56),0)</f>
        <v>1080</v>
      </c>
    </row>
    <row r="57" spans="1:44" x14ac:dyDescent="0.25">
      <c r="B57" s="731" t="s">
        <v>708</v>
      </c>
      <c r="C57" s="732">
        <v>43394</v>
      </c>
      <c r="D57" s="733">
        <v>43965.760000000002</v>
      </c>
      <c r="E57" s="734">
        <v>15</v>
      </c>
      <c r="F57" s="735"/>
      <c r="G57" s="735"/>
      <c r="H57" s="735"/>
      <c r="I57" s="735"/>
      <c r="J57" s="735"/>
      <c r="K57" s="735"/>
      <c r="L57" s="735"/>
      <c r="M57" s="735"/>
      <c r="N57" s="735"/>
      <c r="O57" s="735"/>
      <c r="P57" s="735"/>
      <c r="Q57" s="735"/>
      <c r="R57" s="735"/>
      <c r="S57" s="735"/>
      <c r="T57" s="735"/>
      <c r="U57" s="735"/>
      <c r="V57" s="735"/>
      <c r="W57" s="735"/>
      <c r="X57" s="735"/>
      <c r="Y57" s="735"/>
      <c r="Z57" s="735"/>
      <c r="AA57" s="735"/>
      <c r="AB57" s="735"/>
      <c r="AC57" s="735"/>
      <c r="AD57" s="735"/>
      <c r="AE57" s="735"/>
      <c r="AF57" s="735"/>
      <c r="AG57" s="735"/>
      <c r="AH57" s="735"/>
      <c r="AI57" s="735"/>
      <c r="AJ57" s="735"/>
      <c r="AK57" s="735"/>
      <c r="AL57" s="735"/>
      <c r="AM57" s="735"/>
      <c r="AN57" s="735"/>
      <c r="AO57" s="735"/>
      <c r="AP57" s="735">
        <f t="shared" si="83"/>
        <v>0</v>
      </c>
      <c r="AQ57" s="736">
        <f>IF(AP57&lt;$D57,IF(AP57+($D57/$E57)&lt;$D57,ROUND($D57/$E57,0),ROUND($D57-AP57,0)),0)/12*2</f>
        <v>488.5</v>
      </c>
      <c r="AR57" s="736">
        <f t="shared" si="84"/>
        <v>489</v>
      </c>
    </row>
    <row r="58" spans="1:44" x14ac:dyDescent="0.25">
      <c r="B58" s="351" t="s">
        <v>540</v>
      </c>
      <c r="C58" s="356"/>
      <c r="D58" s="353">
        <v>0</v>
      </c>
      <c r="E58" s="609"/>
      <c r="F58" s="354"/>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v>0</v>
      </c>
      <c r="AG58" s="357"/>
      <c r="AH58" s="357">
        <v>0</v>
      </c>
      <c r="AI58" s="357"/>
      <c r="AJ58" s="357">
        <v>0</v>
      </c>
      <c r="AK58" s="357"/>
      <c r="AL58" s="357">
        <v>0</v>
      </c>
      <c r="AM58" s="357"/>
      <c r="AN58" s="357">
        <v>0</v>
      </c>
      <c r="AO58" s="357"/>
      <c r="AP58" s="357">
        <v>0</v>
      </c>
      <c r="AQ58" s="610"/>
      <c r="AR58" s="610">
        <v>0</v>
      </c>
    </row>
    <row r="59" spans="1:44" ht="13.5" thickBot="1" x14ac:dyDescent="0.3">
      <c r="A59" s="339" t="s">
        <v>80</v>
      </c>
      <c r="D59" s="604">
        <f>SUM(D40:D58)</f>
        <v>326514.48</v>
      </c>
      <c r="E59" s="348"/>
      <c r="F59" s="355">
        <f t="shared" ref="F59:AR59" si="85">SUM(F40:F58)</f>
        <v>145472</v>
      </c>
      <c r="G59" s="355">
        <f t="shared" si="85"/>
        <v>5478</v>
      </c>
      <c r="H59" s="355">
        <f t="shared" si="85"/>
        <v>150950</v>
      </c>
      <c r="I59" s="355">
        <f t="shared" si="85"/>
        <v>4688</v>
      </c>
      <c r="J59" s="355">
        <f t="shared" si="85"/>
        <v>155638</v>
      </c>
      <c r="K59" s="355">
        <f t="shared" si="85"/>
        <v>3227</v>
      </c>
      <c r="L59" s="355">
        <f t="shared" si="85"/>
        <v>158865</v>
      </c>
      <c r="M59" s="355">
        <f t="shared" si="85"/>
        <v>1991</v>
      </c>
      <c r="N59" s="355">
        <f t="shared" si="85"/>
        <v>160856</v>
      </c>
      <c r="O59" s="355">
        <f t="shared" si="85"/>
        <v>2556.583333333333</v>
      </c>
      <c r="P59" s="355">
        <f t="shared" si="85"/>
        <v>163413</v>
      </c>
      <c r="Q59" s="355">
        <f t="shared" si="85"/>
        <v>2608</v>
      </c>
      <c r="R59" s="355">
        <f t="shared" si="85"/>
        <v>166021</v>
      </c>
      <c r="S59" s="355">
        <f t="shared" si="85"/>
        <v>2608</v>
      </c>
      <c r="T59" s="355">
        <f t="shared" si="85"/>
        <v>168629</v>
      </c>
      <c r="U59" s="355">
        <f t="shared" si="85"/>
        <v>2529</v>
      </c>
      <c r="V59" s="355">
        <f t="shared" si="85"/>
        <v>171158</v>
      </c>
      <c r="W59" s="355">
        <f t="shared" si="85"/>
        <v>2371</v>
      </c>
      <c r="X59" s="355">
        <f t="shared" si="85"/>
        <v>173529</v>
      </c>
      <c r="Y59" s="345">
        <f t="shared" si="85"/>
        <v>2371</v>
      </c>
      <c r="Z59" s="345">
        <f t="shared" si="85"/>
        <v>175900</v>
      </c>
      <c r="AA59" s="355">
        <f t="shared" si="85"/>
        <v>2074</v>
      </c>
      <c r="AB59" s="355">
        <f t="shared" si="85"/>
        <v>177974</v>
      </c>
      <c r="AC59" s="355">
        <f t="shared" si="85"/>
        <v>1789</v>
      </c>
      <c r="AD59" s="355">
        <f t="shared" si="85"/>
        <v>179763</v>
      </c>
      <c r="AE59" s="355">
        <f t="shared" si="85"/>
        <v>1607</v>
      </c>
      <c r="AF59" s="355">
        <f t="shared" si="85"/>
        <v>181370</v>
      </c>
      <c r="AG59" s="345">
        <f t="shared" si="85"/>
        <v>863</v>
      </c>
      <c r="AH59" s="345">
        <f t="shared" si="85"/>
        <v>182233</v>
      </c>
      <c r="AI59" s="355">
        <f t="shared" si="85"/>
        <v>617</v>
      </c>
      <c r="AJ59" s="355">
        <f t="shared" si="85"/>
        <v>182850</v>
      </c>
      <c r="AK59" s="355">
        <f t="shared" si="85"/>
        <v>617</v>
      </c>
      <c r="AL59" s="355">
        <f t="shared" si="85"/>
        <v>183467</v>
      </c>
      <c r="AM59" s="355">
        <f t="shared" si="85"/>
        <v>617</v>
      </c>
      <c r="AN59" s="355">
        <f t="shared" si="85"/>
        <v>184084</v>
      </c>
      <c r="AO59" s="355">
        <f t="shared" si="85"/>
        <v>617</v>
      </c>
      <c r="AP59" s="355">
        <f t="shared" si="85"/>
        <v>184701</v>
      </c>
      <c r="AQ59" s="605">
        <f t="shared" si="85"/>
        <v>2185.166666666667</v>
      </c>
      <c r="AR59" s="605">
        <f t="shared" si="85"/>
        <v>186887</v>
      </c>
    </row>
    <row r="60" spans="1:44" ht="13.5" thickTop="1" x14ac:dyDescent="0.25">
      <c r="A60" s="358" t="s">
        <v>545</v>
      </c>
      <c r="B60" s="318" t="s">
        <v>546</v>
      </c>
      <c r="D60" s="611"/>
      <c r="E60" s="348"/>
      <c r="F60" s="324"/>
      <c r="I60" s="314"/>
      <c r="J60" s="314"/>
      <c r="K60" s="314"/>
      <c r="L60" s="314"/>
      <c r="M60" s="314"/>
      <c r="N60" s="314"/>
      <c r="O60" s="314"/>
      <c r="P60" s="314"/>
      <c r="Q60" s="314"/>
      <c r="R60" s="314"/>
      <c r="S60" s="314"/>
      <c r="T60" s="314"/>
      <c r="U60" s="314"/>
      <c r="V60" s="314"/>
      <c r="W60" s="314"/>
      <c r="X60" s="314"/>
      <c r="Y60" s="315"/>
      <c r="Z60" s="315"/>
      <c r="AA60" s="314"/>
      <c r="AB60" s="314"/>
      <c r="AC60" s="314"/>
      <c r="AD60" s="314"/>
      <c r="AE60" s="314"/>
      <c r="AF60" s="314"/>
      <c r="AG60" s="315"/>
      <c r="AH60" s="315"/>
      <c r="AI60" s="314"/>
      <c r="AJ60" s="314"/>
      <c r="AK60" s="314"/>
      <c r="AL60" s="314"/>
      <c r="AM60" s="314"/>
      <c r="AN60" s="314"/>
      <c r="AO60" s="314"/>
      <c r="AP60" s="314"/>
      <c r="AQ60" s="612"/>
      <c r="AR60" s="612"/>
    </row>
    <row r="61" spans="1:44" ht="13.5" thickBot="1" x14ac:dyDescent="0.3">
      <c r="A61" s="358"/>
      <c r="D61" s="613">
        <f>D59-AJ59</f>
        <v>143664.47999999998</v>
      </c>
      <c r="E61" s="606" t="s">
        <v>643</v>
      </c>
      <c r="F61" s="324"/>
      <c r="I61" s="314"/>
      <c r="J61" s="314"/>
      <c r="K61" s="314"/>
      <c r="L61" s="314"/>
      <c r="M61" s="314"/>
      <c r="N61" s="314"/>
      <c r="O61" s="314"/>
      <c r="P61" s="314"/>
      <c r="Q61" s="314"/>
      <c r="R61" s="314"/>
      <c r="S61" s="314"/>
      <c r="T61" s="314"/>
      <c r="U61" s="314"/>
      <c r="V61" s="314"/>
      <c r="W61" s="314"/>
      <c r="X61" s="314"/>
      <c r="Y61" s="315"/>
      <c r="Z61" s="315"/>
      <c r="AA61" s="314"/>
      <c r="AB61" s="314"/>
      <c r="AC61" s="314"/>
      <c r="AD61" s="314"/>
      <c r="AE61" s="314"/>
      <c r="AF61" s="314"/>
      <c r="AG61" s="315"/>
      <c r="AH61" s="315"/>
      <c r="AI61" s="314"/>
      <c r="AJ61" s="314"/>
      <c r="AK61" s="314"/>
      <c r="AL61" s="314"/>
      <c r="AM61" s="314"/>
      <c r="AN61" s="314"/>
      <c r="AO61" s="314"/>
      <c r="AP61" s="314"/>
      <c r="AQ61" s="612"/>
      <c r="AR61" s="612"/>
    </row>
    <row r="62" spans="1:44" ht="13.5" thickTop="1" x14ac:dyDescent="0.3">
      <c r="D62" s="324"/>
      <c r="E62" s="324"/>
      <c r="F62" s="324"/>
      <c r="AO62" s="401"/>
      <c r="AP62" s="401"/>
      <c r="AQ62" s="594"/>
      <c r="AR62" s="594"/>
    </row>
    <row r="63" spans="1:44" x14ac:dyDescent="0.3">
      <c r="A63" s="339" t="s">
        <v>547</v>
      </c>
      <c r="D63" s="324"/>
      <c r="E63" s="324"/>
      <c r="F63" s="324"/>
      <c r="AO63" s="401"/>
      <c r="AP63" s="401"/>
      <c r="AQ63" s="594"/>
      <c r="AR63" s="594"/>
    </row>
    <row r="64" spans="1:44" x14ac:dyDescent="0.3">
      <c r="A64" s="318" t="s">
        <v>548</v>
      </c>
      <c r="AO64" s="401"/>
      <c r="AP64" s="401"/>
      <c r="AQ64" s="594"/>
      <c r="AR64" s="594"/>
    </row>
    <row r="65" spans="1:44" x14ac:dyDescent="0.25">
      <c r="B65" s="312" t="s">
        <v>134</v>
      </c>
      <c r="C65" s="359" t="s">
        <v>549</v>
      </c>
      <c r="D65" s="315">
        <v>668632.12</v>
      </c>
      <c r="E65" s="314">
        <v>20</v>
      </c>
      <c r="F65" s="598">
        <v>46805</v>
      </c>
      <c r="G65" s="598">
        <f t="shared" ref="G65:G70" si="86">IF(F65&lt;$D65,IF(F65+($D65/$E65)&lt;$D65,ROUND($D65/$E65,0),ROUND($D65-F65,0)),0)</f>
        <v>33432</v>
      </c>
      <c r="H65" s="598">
        <f t="shared" ref="H65:H70" si="87">ROUND(SUM(F65:G65),0)</f>
        <v>80237</v>
      </c>
      <c r="I65" s="598">
        <f t="shared" ref="I65:I70" si="88">IF(H65&lt;$D65,IF(H65+($D65/$E65)&lt;$D65,ROUND($D65/$E65,0),ROUND($D65-H65,0)),0)</f>
        <v>33432</v>
      </c>
      <c r="J65" s="598">
        <f t="shared" ref="J65:J70" si="89">ROUND(SUM(H65:I65),0)</f>
        <v>113669</v>
      </c>
      <c r="K65" s="598">
        <f t="shared" ref="K65:M70" si="90">IF(J65&lt;$D65,IF(J65+($D65/$E65)&lt;$D65,ROUND($D65/$E65,0),ROUND($D65-J65,0)),0)</f>
        <v>33432</v>
      </c>
      <c r="L65" s="598">
        <f t="shared" ref="L65:L70" si="91">ROUND(SUM(J65:K65),0)</f>
        <v>147101</v>
      </c>
      <c r="M65" s="598">
        <f t="shared" si="90"/>
        <v>33432</v>
      </c>
      <c r="N65" s="598">
        <f t="shared" ref="N65:N70" si="92">ROUND(SUM(L65:M65),0)</f>
        <v>180533</v>
      </c>
      <c r="O65" s="598">
        <f t="shared" ref="O65:Q70" si="93">IF(N65&lt;$D65,IF(N65+($D65/$E65)&lt;$D65,ROUND($D65/$E65,0),ROUND($D65-N65,0)),0)</f>
        <v>33432</v>
      </c>
      <c r="P65" s="598">
        <f t="shared" ref="P65:P70" si="94">ROUND(SUM(N65:O65),0)</f>
        <v>213965</v>
      </c>
      <c r="Q65" s="598">
        <f t="shared" si="93"/>
        <v>33432</v>
      </c>
      <c r="R65" s="598">
        <f t="shared" ref="R65:R70" si="95">ROUND(SUM(P65:Q65),0)</f>
        <v>247397</v>
      </c>
      <c r="S65" s="598">
        <f t="shared" ref="S65:S72" si="96">IF(R65&lt;$D65,IF(R65+($D65/$E65)&lt;$D65,ROUND($D65/$E65,0),ROUND($D65-R65,0)),0)</f>
        <v>33432</v>
      </c>
      <c r="T65" s="598">
        <f t="shared" ref="T65:T70" si="97">ROUND(SUM(R65:S65),0)</f>
        <v>280829</v>
      </c>
      <c r="U65" s="598">
        <f t="shared" ref="U65:U72" si="98">IF(T65&lt;$D65,IF(T65+($D65/$E65)&lt;$D65,ROUND($D65/$E65,0),ROUND($D65-T65,0)),0)</f>
        <v>33432</v>
      </c>
      <c r="V65" s="598">
        <f t="shared" ref="V65:V70" si="99">ROUND(SUM(T65:U65),0)</f>
        <v>314261</v>
      </c>
      <c r="W65" s="598">
        <f>IF(V65&lt;$D65,IF(V65+($D65/$E65)&lt;$D65,ROUND($D65/$E65,0),ROUND($D65-V65,0)),0)</f>
        <v>33432</v>
      </c>
      <c r="X65" s="598">
        <f t="shared" ref="X65:X70" si="100">ROUND(SUM(V65:W65),0)</f>
        <v>347693</v>
      </c>
      <c r="Y65" s="596">
        <f>IF(X65&lt;$D65,IF(X65+($D65/$E65)&lt;$D65,ROUND($D65/$E65,0),ROUND($D65-X65,0)),0)</f>
        <v>33432</v>
      </c>
      <c r="Z65" s="596">
        <f t="shared" ref="Z65:Z70" si="101">ROUND(SUM(X65:Y65),0)</f>
        <v>381125</v>
      </c>
      <c r="AA65" s="598">
        <f t="shared" ref="AA65:AA72" si="102">IF(Z65&lt;$D65,IF(Z65+($D65/$E65)&lt;$D65,ROUND($D65/$E65,0),ROUND($D65-Z65,0)),0)</f>
        <v>33432</v>
      </c>
      <c r="AB65" s="598">
        <f t="shared" ref="AB65:AB70" si="103">ROUND(SUM(Z65:AA65),0)</f>
        <v>414557</v>
      </c>
      <c r="AC65" s="598">
        <f t="shared" ref="AC65:AC72" si="104">IF(AB65&lt;$D65,IF(AB65+($D65/$E65)&lt;$D65,ROUND($D65/$E65,0),ROUND($D65-AB65,0)),0)</f>
        <v>33432</v>
      </c>
      <c r="AD65" s="598">
        <f t="shared" ref="AD65:AD70" si="105">ROUND(SUM(AB65:AC65),0)</f>
        <v>447989</v>
      </c>
      <c r="AE65" s="598">
        <f t="shared" ref="AE65:AE72" si="106">IF(AD65&lt;$D65,IF(AD65+($D65/$E65)&lt;$D65,ROUND($D65/$E65,0),ROUND($D65-AD65,0)),0)</f>
        <v>33432</v>
      </c>
      <c r="AF65" s="598">
        <f t="shared" ref="AF65:AF70" si="107">ROUND(SUM(AD65:AE65),0)</f>
        <v>481421</v>
      </c>
      <c r="AG65" s="596">
        <f t="shared" ref="AG65:AG72" si="108">IF(AF65&lt;$D65,IF(AF65+($D65/$E65)&lt;$D65,ROUND($D65/$E65,0),ROUND($D65-AF65,0)),0)</f>
        <v>33432</v>
      </c>
      <c r="AH65" s="596">
        <f t="shared" ref="AH65:AH70" si="109">ROUND(SUM(AF65:AG65),0)</f>
        <v>514853</v>
      </c>
      <c r="AI65" s="598">
        <f t="shared" ref="AI65:AI72" si="110">IF(AH65&lt;$D65,IF(AH65+($D65/$E65)&lt;$D65,ROUND($D65/$E65,0),ROUND($D65-AH65,0)),0)</f>
        <v>33432</v>
      </c>
      <c r="AJ65" s="598">
        <f t="shared" ref="AJ65:AJ70" si="111">ROUND(SUM(AH65:AI65),0)</f>
        <v>548285</v>
      </c>
      <c r="AK65" s="598">
        <f t="shared" ref="AK65:AK72" si="112">IF(AJ65&lt;$D65,IF(AJ65+($D65/$E65)&lt;$D65,ROUND($D65/$E65,0),ROUND($D65-AJ65,0)),0)</f>
        <v>33432</v>
      </c>
      <c r="AL65" s="598">
        <f t="shared" ref="AL65:AL70" si="113">ROUND(SUM(AJ65:AK65),0)</f>
        <v>581717</v>
      </c>
      <c r="AM65" s="598">
        <f t="shared" ref="AM65:AM72" si="114">IF(AL65&lt;$D65,IF(AL65+($D65/$E65)&lt;$D65,ROUND($D65/$E65,0),ROUND($D65-AL65,0)),0)</f>
        <v>33432</v>
      </c>
      <c r="AN65" s="598">
        <f t="shared" ref="AN65:AN70" si="115">ROUND(SUM(AL65:AM65),0)</f>
        <v>615149</v>
      </c>
      <c r="AO65" s="598">
        <f t="shared" ref="AO65:AO72" si="116">IF(AN65&lt;$D65,IF(AN65+($D65/$E65)&lt;$D65,ROUND($D65/$E65,0),ROUND($D65-AN65,0)),0)</f>
        <v>33432</v>
      </c>
      <c r="AP65" s="598">
        <f t="shared" ref="AP65:AP70" si="117">ROUND(SUM(AN65:AO65),0)</f>
        <v>648581</v>
      </c>
      <c r="AQ65" s="599">
        <f t="shared" ref="AQ65:AQ72" si="118">IF(AP65&lt;$D65,IF(AP65+($D65/$E65)&lt;$D65,ROUND($D65/$E65,0),ROUND($D65-AP65,0)),0)</f>
        <v>20051</v>
      </c>
      <c r="AR65" s="599">
        <f t="shared" ref="AR65:AR70" si="119">ROUND(SUM(AP65:AQ65),0)</f>
        <v>668632</v>
      </c>
    </row>
    <row r="66" spans="1:44" x14ac:dyDescent="0.25">
      <c r="A66" s="318">
        <v>3</v>
      </c>
      <c r="B66" s="312" t="s">
        <v>135</v>
      </c>
      <c r="C66" s="359" t="s">
        <v>550</v>
      </c>
      <c r="D66" s="315">
        <v>67751.199999999997</v>
      </c>
      <c r="E66" s="314">
        <v>10</v>
      </c>
      <c r="F66" s="598">
        <v>10163</v>
      </c>
      <c r="G66" s="598">
        <f t="shared" si="86"/>
        <v>6775</v>
      </c>
      <c r="H66" s="598">
        <f t="shared" si="87"/>
        <v>16938</v>
      </c>
      <c r="I66" s="598">
        <f t="shared" si="88"/>
        <v>6775</v>
      </c>
      <c r="J66" s="598">
        <f t="shared" si="89"/>
        <v>23713</v>
      </c>
      <c r="K66" s="598">
        <f t="shared" si="90"/>
        <v>6775</v>
      </c>
      <c r="L66" s="598">
        <f t="shared" si="91"/>
        <v>30488</v>
      </c>
      <c r="M66" s="598">
        <f t="shared" si="90"/>
        <v>6775</v>
      </c>
      <c r="N66" s="598">
        <f t="shared" si="92"/>
        <v>37263</v>
      </c>
      <c r="O66" s="598">
        <f t="shared" si="93"/>
        <v>6775</v>
      </c>
      <c r="P66" s="598">
        <f t="shared" si="94"/>
        <v>44038</v>
      </c>
      <c r="Q66" s="598">
        <f t="shared" si="93"/>
        <v>6775</v>
      </c>
      <c r="R66" s="598">
        <f t="shared" si="95"/>
        <v>50813</v>
      </c>
      <c r="S66" s="598">
        <f t="shared" si="96"/>
        <v>6775</v>
      </c>
      <c r="T66" s="598">
        <f t="shared" si="97"/>
        <v>57588</v>
      </c>
      <c r="U66" s="598">
        <f t="shared" si="98"/>
        <v>6775</v>
      </c>
      <c r="V66" s="598">
        <f t="shared" si="99"/>
        <v>64363</v>
      </c>
      <c r="W66" s="598">
        <f>IF(V66&lt;$D66,IF(V66+($D66/$E66)&lt;$D66,ROUND($D66/$E66,0),ROUND($D66-V66,0)),0)</f>
        <v>3388</v>
      </c>
      <c r="X66" s="598">
        <f t="shared" si="100"/>
        <v>67751</v>
      </c>
      <c r="Y66" s="596">
        <f>IF(X66&lt;$D66,IF(X66+($D66/$E66)&lt;$D66,ROUND($D66/$E66,0),ROUND($D66-X66,0)),0)</f>
        <v>0</v>
      </c>
      <c r="Z66" s="596">
        <f t="shared" si="101"/>
        <v>67751</v>
      </c>
      <c r="AA66" s="598">
        <f t="shared" si="102"/>
        <v>0</v>
      </c>
      <c r="AB66" s="598">
        <f t="shared" si="103"/>
        <v>67751</v>
      </c>
      <c r="AC66" s="598">
        <f t="shared" si="104"/>
        <v>0</v>
      </c>
      <c r="AD66" s="598">
        <f t="shared" si="105"/>
        <v>67751</v>
      </c>
      <c r="AE66" s="598">
        <f t="shared" si="106"/>
        <v>0</v>
      </c>
      <c r="AF66" s="598">
        <f t="shared" si="107"/>
        <v>67751</v>
      </c>
      <c r="AG66" s="596">
        <f t="shared" si="108"/>
        <v>0</v>
      </c>
      <c r="AH66" s="596">
        <f t="shared" si="109"/>
        <v>67751</v>
      </c>
      <c r="AI66" s="598">
        <f t="shared" si="110"/>
        <v>0</v>
      </c>
      <c r="AJ66" s="598">
        <f t="shared" si="111"/>
        <v>67751</v>
      </c>
      <c r="AK66" s="598">
        <f t="shared" si="112"/>
        <v>0</v>
      </c>
      <c r="AL66" s="598">
        <f t="shared" si="113"/>
        <v>67751</v>
      </c>
      <c r="AM66" s="598">
        <f t="shared" si="114"/>
        <v>0</v>
      </c>
      <c r="AN66" s="598">
        <f t="shared" si="115"/>
        <v>67751</v>
      </c>
      <c r="AO66" s="598">
        <f t="shared" si="116"/>
        <v>0</v>
      </c>
      <c r="AP66" s="598">
        <f t="shared" si="117"/>
        <v>67751</v>
      </c>
      <c r="AQ66" s="599">
        <f t="shared" si="118"/>
        <v>0</v>
      </c>
      <c r="AR66" s="599">
        <f t="shared" si="119"/>
        <v>67751</v>
      </c>
    </row>
    <row r="67" spans="1:44" x14ac:dyDescent="0.25">
      <c r="B67" s="312" t="s">
        <v>136</v>
      </c>
      <c r="C67" s="359" t="s">
        <v>551</v>
      </c>
      <c r="D67" s="315">
        <v>36460.82</v>
      </c>
      <c r="E67" s="314">
        <v>10</v>
      </c>
      <c r="F67" s="598">
        <v>3646</v>
      </c>
      <c r="G67" s="598">
        <f t="shared" si="86"/>
        <v>3646</v>
      </c>
      <c r="H67" s="598">
        <f t="shared" si="87"/>
        <v>7292</v>
      </c>
      <c r="I67" s="598">
        <f t="shared" si="88"/>
        <v>3646</v>
      </c>
      <c r="J67" s="598">
        <f t="shared" si="89"/>
        <v>10938</v>
      </c>
      <c r="K67" s="598">
        <f t="shared" si="90"/>
        <v>3646</v>
      </c>
      <c r="L67" s="598">
        <f t="shared" si="91"/>
        <v>14584</v>
      </c>
      <c r="M67" s="598">
        <f t="shared" si="90"/>
        <v>3646</v>
      </c>
      <c r="N67" s="598">
        <f t="shared" si="92"/>
        <v>18230</v>
      </c>
      <c r="O67" s="598">
        <f t="shared" si="93"/>
        <v>3646</v>
      </c>
      <c r="P67" s="598">
        <f t="shared" si="94"/>
        <v>21876</v>
      </c>
      <c r="Q67" s="598">
        <f t="shared" si="93"/>
        <v>3646</v>
      </c>
      <c r="R67" s="598">
        <f t="shared" si="95"/>
        <v>25522</v>
      </c>
      <c r="S67" s="598">
        <f t="shared" si="96"/>
        <v>3646</v>
      </c>
      <c r="T67" s="598">
        <f t="shared" si="97"/>
        <v>29168</v>
      </c>
      <c r="U67" s="598">
        <f t="shared" si="98"/>
        <v>3646</v>
      </c>
      <c r="V67" s="598">
        <f t="shared" si="99"/>
        <v>32814</v>
      </c>
      <c r="W67" s="598">
        <f>IF(V67&lt;$D67,IF(V67+($D67/$E67)&lt;$D67,ROUND($D67/$E67,0),ROUND($D67-V67,0)),0)+1</f>
        <v>3647</v>
      </c>
      <c r="X67" s="598">
        <f t="shared" si="100"/>
        <v>36461</v>
      </c>
      <c r="Y67" s="596">
        <f>IF(X67&lt;$D67,IF(X67+($D67/$E67)&lt;$D67,ROUND($D67/$E67,0),ROUND($D67-X67,0)),0)</f>
        <v>0</v>
      </c>
      <c r="Z67" s="596">
        <f t="shared" si="101"/>
        <v>36461</v>
      </c>
      <c r="AA67" s="598">
        <f t="shared" si="102"/>
        <v>0</v>
      </c>
      <c r="AB67" s="598">
        <f t="shared" si="103"/>
        <v>36461</v>
      </c>
      <c r="AC67" s="598">
        <f t="shared" si="104"/>
        <v>0</v>
      </c>
      <c r="AD67" s="598">
        <f t="shared" si="105"/>
        <v>36461</v>
      </c>
      <c r="AE67" s="598">
        <f t="shared" si="106"/>
        <v>0</v>
      </c>
      <c r="AF67" s="598">
        <f t="shared" si="107"/>
        <v>36461</v>
      </c>
      <c r="AG67" s="596">
        <f t="shared" si="108"/>
        <v>0</v>
      </c>
      <c r="AH67" s="596">
        <f t="shared" si="109"/>
        <v>36461</v>
      </c>
      <c r="AI67" s="598">
        <f t="shared" si="110"/>
        <v>0</v>
      </c>
      <c r="AJ67" s="598">
        <f t="shared" si="111"/>
        <v>36461</v>
      </c>
      <c r="AK67" s="598">
        <f t="shared" si="112"/>
        <v>0</v>
      </c>
      <c r="AL67" s="598">
        <f t="shared" si="113"/>
        <v>36461</v>
      </c>
      <c r="AM67" s="598">
        <f t="shared" si="114"/>
        <v>0</v>
      </c>
      <c r="AN67" s="598">
        <f t="shared" si="115"/>
        <v>36461</v>
      </c>
      <c r="AO67" s="598">
        <f t="shared" si="116"/>
        <v>0</v>
      </c>
      <c r="AP67" s="598">
        <f t="shared" si="117"/>
        <v>36461</v>
      </c>
      <c r="AQ67" s="599">
        <f t="shared" si="118"/>
        <v>0</v>
      </c>
      <c r="AR67" s="599">
        <f t="shared" si="119"/>
        <v>36461</v>
      </c>
    </row>
    <row r="68" spans="1:44" x14ac:dyDescent="0.25">
      <c r="B68" s="312" t="s">
        <v>137</v>
      </c>
      <c r="C68" s="359" t="s">
        <v>552</v>
      </c>
      <c r="D68" s="315">
        <v>6804</v>
      </c>
      <c r="E68" s="314">
        <v>10</v>
      </c>
      <c r="F68" s="598">
        <v>0</v>
      </c>
      <c r="G68" s="598">
        <f t="shared" si="86"/>
        <v>680</v>
      </c>
      <c r="H68" s="598">
        <f t="shared" si="87"/>
        <v>680</v>
      </c>
      <c r="I68" s="598">
        <f t="shared" si="88"/>
        <v>680</v>
      </c>
      <c r="J68" s="598">
        <f t="shared" si="89"/>
        <v>1360</v>
      </c>
      <c r="K68" s="598">
        <f t="shared" si="90"/>
        <v>680</v>
      </c>
      <c r="L68" s="598">
        <f t="shared" si="91"/>
        <v>2040</v>
      </c>
      <c r="M68" s="598">
        <f t="shared" si="90"/>
        <v>680</v>
      </c>
      <c r="N68" s="598">
        <f t="shared" si="92"/>
        <v>2720</v>
      </c>
      <c r="O68" s="598">
        <f t="shared" si="93"/>
        <v>680</v>
      </c>
      <c r="P68" s="598">
        <f t="shared" si="94"/>
        <v>3400</v>
      </c>
      <c r="Q68" s="598">
        <f t="shared" si="93"/>
        <v>680</v>
      </c>
      <c r="R68" s="598">
        <f t="shared" si="95"/>
        <v>4080</v>
      </c>
      <c r="S68" s="598">
        <f t="shared" si="96"/>
        <v>680</v>
      </c>
      <c r="T68" s="598">
        <f t="shared" si="97"/>
        <v>4760</v>
      </c>
      <c r="U68" s="598">
        <f t="shared" si="98"/>
        <v>680</v>
      </c>
      <c r="V68" s="598">
        <f t="shared" si="99"/>
        <v>5440</v>
      </c>
      <c r="W68" s="598">
        <f>IF(V68&lt;$D68,IF(V68+($D68/$E68)&lt;$D68,ROUND($D68/$E68,0),ROUND($D68-V68,0)),0)</f>
        <v>680</v>
      </c>
      <c r="X68" s="598">
        <f t="shared" si="100"/>
        <v>6120</v>
      </c>
      <c r="Y68" s="596">
        <f>IF(X68&lt;$D68,IF(X68+($D68/$E68)&lt;$D68,ROUND($D68/$E68,0),ROUND($D68-X68,0)),0)+4</f>
        <v>684</v>
      </c>
      <c r="Z68" s="596">
        <f t="shared" si="101"/>
        <v>6804</v>
      </c>
      <c r="AA68" s="598">
        <f t="shared" si="102"/>
        <v>0</v>
      </c>
      <c r="AB68" s="598">
        <f t="shared" si="103"/>
        <v>6804</v>
      </c>
      <c r="AC68" s="598">
        <f t="shared" si="104"/>
        <v>0</v>
      </c>
      <c r="AD68" s="598">
        <f t="shared" si="105"/>
        <v>6804</v>
      </c>
      <c r="AE68" s="598">
        <f t="shared" si="106"/>
        <v>0</v>
      </c>
      <c r="AF68" s="598">
        <f t="shared" si="107"/>
        <v>6804</v>
      </c>
      <c r="AG68" s="596">
        <f t="shared" si="108"/>
        <v>0</v>
      </c>
      <c r="AH68" s="596">
        <f t="shared" si="109"/>
        <v>6804</v>
      </c>
      <c r="AI68" s="598">
        <f t="shared" si="110"/>
        <v>0</v>
      </c>
      <c r="AJ68" s="598">
        <f t="shared" si="111"/>
        <v>6804</v>
      </c>
      <c r="AK68" s="598">
        <f t="shared" si="112"/>
        <v>0</v>
      </c>
      <c r="AL68" s="598">
        <f t="shared" si="113"/>
        <v>6804</v>
      </c>
      <c r="AM68" s="598">
        <f t="shared" si="114"/>
        <v>0</v>
      </c>
      <c r="AN68" s="598">
        <f t="shared" si="115"/>
        <v>6804</v>
      </c>
      <c r="AO68" s="598">
        <f t="shared" si="116"/>
        <v>0</v>
      </c>
      <c r="AP68" s="598">
        <f t="shared" si="117"/>
        <v>6804</v>
      </c>
      <c r="AQ68" s="599">
        <f t="shared" si="118"/>
        <v>0</v>
      </c>
      <c r="AR68" s="599">
        <f t="shared" si="119"/>
        <v>6804</v>
      </c>
    </row>
    <row r="69" spans="1:44" x14ac:dyDescent="0.25">
      <c r="B69" s="312" t="s">
        <v>136</v>
      </c>
      <c r="C69" s="359" t="s">
        <v>553</v>
      </c>
      <c r="D69" s="315">
        <v>7359.92</v>
      </c>
      <c r="E69" s="314">
        <v>10</v>
      </c>
      <c r="F69" s="598">
        <v>0</v>
      </c>
      <c r="G69" s="598">
        <f t="shared" si="86"/>
        <v>736</v>
      </c>
      <c r="H69" s="598">
        <f t="shared" si="87"/>
        <v>736</v>
      </c>
      <c r="I69" s="598">
        <f t="shared" si="88"/>
        <v>736</v>
      </c>
      <c r="J69" s="598">
        <f t="shared" si="89"/>
        <v>1472</v>
      </c>
      <c r="K69" s="598">
        <f t="shared" si="90"/>
        <v>736</v>
      </c>
      <c r="L69" s="598">
        <f t="shared" si="91"/>
        <v>2208</v>
      </c>
      <c r="M69" s="598">
        <f t="shared" si="90"/>
        <v>736</v>
      </c>
      <c r="N69" s="598">
        <f t="shared" si="92"/>
        <v>2944</v>
      </c>
      <c r="O69" s="598">
        <f t="shared" si="93"/>
        <v>736</v>
      </c>
      <c r="P69" s="598">
        <f t="shared" si="94"/>
        <v>3680</v>
      </c>
      <c r="Q69" s="598">
        <f t="shared" si="93"/>
        <v>736</v>
      </c>
      <c r="R69" s="598">
        <f t="shared" si="95"/>
        <v>4416</v>
      </c>
      <c r="S69" s="598">
        <f t="shared" si="96"/>
        <v>736</v>
      </c>
      <c r="T69" s="598">
        <f t="shared" si="97"/>
        <v>5152</v>
      </c>
      <c r="U69" s="598">
        <f t="shared" si="98"/>
        <v>736</v>
      </c>
      <c r="V69" s="598">
        <f t="shared" si="99"/>
        <v>5888</v>
      </c>
      <c r="W69" s="598">
        <f>IF(V69&lt;$D69,IF(V69+($D69/$E69)&lt;$D69,ROUND($D69/$E69,0),ROUND($D69-V69,0)),0)</f>
        <v>736</v>
      </c>
      <c r="X69" s="598">
        <f t="shared" si="100"/>
        <v>6624</v>
      </c>
      <c r="Y69" s="596">
        <f>IF(X69&lt;$D69,IF(X69+($D69/$E69)&lt;$D69,ROUND($D69/$E69,0),ROUND($D69-X69,0)),0)</f>
        <v>736</v>
      </c>
      <c r="Z69" s="596">
        <f t="shared" si="101"/>
        <v>7360</v>
      </c>
      <c r="AA69" s="598">
        <f t="shared" si="102"/>
        <v>0</v>
      </c>
      <c r="AB69" s="598">
        <f t="shared" si="103"/>
        <v>7360</v>
      </c>
      <c r="AC69" s="598">
        <f t="shared" si="104"/>
        <v>0</v>
      </c>
      <c r="AD69" s="598">
        <f t="shared" si="105"/>
        <v>7360</v>
      </c>
      <c r="AE69" s="598">
        <f t="shared" si="106"/>
        <v>0</v>
      </c>
      <c r="AF69" s="598">
        <f t="shared" si="107"/>
        <v>7360</v>
      </c>
      <c r="AG69" s="596">
        <f t="shared" si="108"/>
        <v>0</v>
      </c>
      <c r="AH69" s="596">
        <f t="shared" si="109"/>
        <v>7360</v>
      </c>
      <c r="AI69" s="598">
        <f t="shared" si="110"/>
        <v>0</v>
      </c>
      <c r="AJ69" s="598">
        <f t="shared" si="111"/>
        <v>7360</v>
      </c>
      <c r="AK69" s="598">
        <f t="shared" si="112"/>
        <v>0</v>
      </c>
      <c r="AL69" s="598">
        <f t="shared" si="113"/>
        <v>7360</v>
      </c>
      <c r="AM69" s="598">
        <f t="shared" si="114"/>
        <v>0</v>
      </c>
      <c r="AN69" s="598">
        <f t="shared" si="115"/>
        <v>7360</v>
      </c>
      <c r="AO69" s="598">
        <f t="shared" si="116"/>
        <v>0</v>
      </c>
      <c r="AP69" s="598">
        <f t="shared" si="117"/>
        <v>7360</v>
      </c>
      <c r="AQ69" s="599">
        <f t="shared" si="118"/>
        <v>0</v>
      </c>
      <c r="AR69" s="599">
        <f t="shared" si="119"/>
        <v>7360</v>
      </c>
    </row>
    <row r="70" spans="1:44" x14ac:dyDescent="0.25">
      <c r="B70" s="312" t="s">
        <v>138</v>
      </c>
      <c r="C70" s="359" t="s">
        <v>554</v>
      </c>
      <c r="D70" s="315">
        <v>5149.4399999999996</v>
      </c>
      <c r="E70" s="314">
        <v>5</v>
      </c>
      <c r="F70" s="598">
        <v>0</v>
      </c>
      <c r="G70" s="598">
        <f t="shared" si="86"/>
        <v>1030</v>
      </c>
      <c r="H70" s="598">
        <f t="shared" si="87"/>
        <v>1030</v>
      </c>
      <c r="I70" s="598">
        <f t="shared" si="88"/>
        <v>1030</v>
      </c>
      <c r="J70" s="598">
        <f t="shared" si="89"/>
        <v>2060</v>
      </c>
      <c r="K70" s="598">
        <f t="shared" si="90"/>
        <v>1030</v>
      </c>
      <c r="L70" s="598">
        <f t="shared" si="91"/>
        <v>3090</v>
      </c>
      <c r="M70" s="598">
        <f t="shared" si="90"/>
        <v>1030</v>
      </c>
      <c r="N70" s="598">
        <f t="shared" si="92"/>
        <v>4120</v>
      </c>
      <c r="O70" s="598">
        <f t="shared" si="93"/>
        <v>1029</v>
      </c>
      <c r="P70" s="598">
        <f t="shared" si="94"/>
        <v>5149</v>
      </c>
      <c r="Q70" s="598">
        <f t="shared" si="93"/>
        <v>0</v>
      </c>
      <c r="R70" s="598">
        <f t="shared" si="95"/>
        <v>5149</v>
      </c>
      <c r="S70" s="598">
        <f t="shared" si="96"/>
        <v>0</v>
      </c>
      <c r="T70" s="598">
        <f t="shared" si="97"/>
        <v>5149</v>
      </c>
      <c r="U70" s="598">
        <f t="shared" si="98"/>
        <v>0</v>
      </c>
      <c r="V70" s="598">
        <f t="shared" si="99"/>
        <v>5149</v>
      </c>
      <c r="W70" s="598">
        <f>IF(V70&lt;$D70,IF(V70+($D70/$E70)&lt;$D70,ROUND($D70/$E70,0),ROUND($D70-V70,0)),0)</f>
        <v>0</v>
      </c>
      <c r="X70" s="598">
        <f t="shared" si="100"/>
        <v>5149</v>
      </c>
      <c r="Y70" s="596">
        <f>IF(X70&lt;$D70,IF(X70+($D70/$E70)&lt;$D70,ROUND($D70/$E70,0),ROUND($D70-X70,0)),0)</f>
        <v>0</v>
      </c>
      <c r="Z70" s="596">
        <f t="shared" si="101"/>
        <v>5149</v>
      </c>
      <c r="AA70" s="598">
        <f t="shared" si="102"/>
        <v>0</v>
      </c>
      <c r="AB70" s="598">
        <f t="shared" si="103"/>
        <v>5149</v>
      </c>
      <c r="AC70" s="598">
        <f t="shared" si="104"/>
        <v>0</v>
      </c>
      <c r="AD70" s="598">
        <f t="shared" si="105"/>
        <v>5149</v>
      </c>
      <c r="AE70" s="598">
        <f t="shared" si="106"/>
        <v>0</v>
      </c>
      <c r="AF70" s="598">
        <f t="shared" si="107"/>
        <v>5149</v>
      </c>
      <c r="AG70" s="596">
        <f t="shared" si="108"/>
        <v>0</v>
      </c>
      <c r="AH70" s="596">
        <f t="shared" si="109"/>
        <v>5149</v>
      </c>
      <c r="AI70" s="598">
        <f t="shared" si="110"/>
        <v>0</v>
      </c>
      <c r="AJ70" s="598">
        <f t="shared" si="111"/>
        <v>5149</v>
      </c>
      <c r="AK70" s="598">
        <f t="shared" si="112"/>
        <v>0</v>
      </c>
      <c r="AL70" s="598">
        <f t="shared" si="113"/>
        <v>5149</v>
      </c>
      <c r="AM70" s="598">
        <f t="shared" si="114"/>
        <v>0</v>
      </c>
      <c r="AN70" s="598">
        <f t="shared" si="115"/>
        <v>5149</v>
      </c>
      <c r="AO70" s="598">
        <f t="shared" si="116"/>
        <v>0</v>
      </c>
      <c r="AP70" s="598">
        <f t="shared" si="117"/>
        <v>5149</v>
      </c>
      <c r="AQ70" s="599">
        <f t="shared" si="118"/>
        <v>0</v>
      </c>
      <c r="AR70" s="599">
        <f t="shared" si="119"/>
        <v>5149</v>
      </c>
    </row>
    <row r="71" spans="1:44" x14ac:dyDescent="0.25">
      <c r="A71" s="318">
        <v>1</v>
      </c>
      <c r="B71" s="312" t="s">
        <v>139</v>
      </c>
      <c r="C71" s="359" t="s">
        <v>555</v>
      </c>
      <c r="D71" s="315">
        <v>9508.2199999999993</v>
      </c>
      <c r="E71" s="314">
        <v>5</v>
      </c>
      <c r="F71" s="598"/>
      <c r="G71" s="598"/>
      <c r="H71" s="598"/>
      <c r="I71" s="598"/>
      <c r="J71" s="598"/>
      <c r="K71" s="598"/>
      <c r="L71" s="598"/>
      <c r="M71" s="598">
        <f>IF(L71&lt;$D71,IF(L71+($D71/$E71)&lt;$D71,ROUND($D71/$E71,0),ROUND($D71-L71,0)),0)</f>
        <v>1902</v>
      </c>
      <c r="N71" s="598">
        <f>ROUND(SUM(L71:M71),0)</f>
        <v>1902</v>
      </c>
      <c r="O71" s="598">
        <f>IF(N71&lt;$D71,IF(N71+($D71/$E71)&lt;$D71,ROUND($D71/$E71,0),ROUND($D71-N71,0)),0)</f>
        <v>1902</v>
      </c>
      <c r="P71" s="598">
        <f>ROUND(SUM(N71:O71),0)</f>
        <v>3804</v>
      </c>
      <c r="Q71" s="598">
        <f>IF(P71&lt;$D71,IF(P71+($D71/$E71)&lt;$D71,ROUND($D71/$E71,0),ROUND($D71-P71,0)),0)</f>
        <v>1902</v>
      </c>
      <c r="R71" s="598">
        <f>ROUND(SUM(P71:Q71),0)</f>
        <v>5706</v>
      </c>
      <c r="S71" s="598">
        <f t="shared" si="96"/>
        <v>1902</v>
      </c>
      <c r="T71" s="598">
        <f>ROUND(SUM(R71:S71),0)</f>
        <v>7608</v>
      </c>
      <c r="U71" s="598">
        <f t="shared" si="98"/>
        <v>1900</v>
      </c>
      <c r="V71" s="598">
        <f>ROUND(SUM(T71:U71),0)</f>
        <v>9508</v>
      </c>
      <c r="W71" s="598">
        <f>IF(V71&lt;$D71,IF(V71+($D71/$E71)&lt;$D71,ROUND($D71/$E71,0),ROUND($D71-V71,0)),0)</f>
        <v>0</v>
      </c>
      <c r="X71" s="598">
        <f>ROUND(SUM(V71:W71),0)</f>
        <v>9508</v>
      </c>
      <c r="Y71" s="596">
        <f>IF(X71&lt;$D71,IF(X71+($D71/$E71)&lt;$D71,ROUND($D71/$E71,0),ROUND($D71-X71,0)),0)</f>
        <v>0</v>
      </c>
      <c r="Z71" s="596">
        <f>ROUND(SUM(X71:Y71),0)</f>
        <v>9508</v>
      </c>
      <c r="AA71" s="598">
        <f t="shared" si="102"/>
        <v>0</v>
      </c>
      <c r="AB71" s="598">
        <f>ROUND(SUM(Z71:AA71),0)</f>
        <v>9508</v>
      </c>
      <c r="AC71" s="598">
        <f t="shared" si="104"/>
        <v>0</v>
      </c>
      <c r="AD71" s="598">
        <f>ROUND(SUM(AB71:AC71),0)</f>
        <v>9508</v>
      </c>
      <c r="AE71" s="598">
        <f t="shared" si="106"/>
        <v>0</v>
      </c>
      <c r="AF71" s="598">
        <f>ROUND(SUM(AD71:AE71),0)</f>
        <v>9508</v>
      </c>
      <c r="AG71" s="596">
        <f t="shared" si="108"/>
        <v>0</v>
      </c>
      <c r="AH71" s="596">
        <f>ROUND(SUM(AF71:AG71),0)</f>
        <v>9508</v>
      </c>
      <c r="AI71" s="598">
        <f t="shared" si="110"/>
        <v>0</v>
      </c>
      <c r="AJ71" s="598">
        <f>ROUND(SUM(AH71:AI71),0)</f>
        <v>9508</v>
      </c>
      <c r="AK71" s="598">
        <f t="shared" si="112"/>
        <v>0</v>
      </c>
      <c r="AL71" s="598">
        <f>ROUND(SUM(AJ71:AK71),0)</f>
        <v>9508</v>
      </c>
      <c r="AM71" s="598">
        <f t="shared" si="114"/>
        <v>0</v>
      </c>
      <c r="AN71" s="598">
        <f>ROUND(SUM(AL71:AM71),0)</f>
        <v>9508</v>
      </c>
      <c r="AO71" s="598">
        <f t="shared" si="116"/>
        <v>0</v>
      </c>
      <c r="AP71" s="598">
        <f>ROUND(SUM(AN71:AO71),0)</f>
        <v>9508</v>
      </c>
      <c r="AQ71" s="599">
        <f t="shared" si="118"/>
        <v>0</v>
      </c>
      <c r="AR71" s="599">
        <f>ROUND(SUM(AP71:AQ71),0)</f>
        <v>9508</v>
      </c>
    </row>
    <row r="72" spans="1:44" x14ac:dyDescent="0.25">
      <c r="A72" s="318">
        <v>2</v>
      </c>
      <c r="B72" s="312" t="s">
        <v>645</v>
      </c>
      <c r="C72" s="359" t="s">
        <v>556</v>
      </c>
      <c r="D72" s="315">
        <v>9998.42</v>
      </c>
      <c r="E72" s="314">
        <v>5</v>
      </c>
      <c r="F72" s="598"/>
      <c r="G72" s="598"/>
      <c r="H72" s="598"/>
      <c r="I72" s="598"/>
      <c r="J72" s="598"/>
      <c r="K72" s="598"/>
      <c r="L72" s="598"/>
      <c r="M72" s="598"/>
      <c r="N72" s="598">
        <f>ROUND(SUM(L72:M72),0)</f>
        <v>0</v>
      </c>
      <c r="O72" s="598">
        <f>IF(N72&lt;$D72,IF(N72+($D72/$E72)&lt;$D72,ROUND($D72/$E72,0),ROUND($D72-N72,0)),0)/12*8</f>
        <v>1333.3333333333333</v>
      </c>
      <c r="P72" s="598">
        <f>ROUND(SUM(N72:O72),0)</f>
        <v>1333</v>
      </c>
      <c r="Q72" s="598">
        <f>IF(P72&lt;$D72,IF(P72+($D72/$E72)&lt;$D72,ROUND($D72/$E72,0),ROUND($D72-P72,0)),0)</f>
        <v>2000</v>
      </c>
      <c r="R72" s="598">
        <f>ROUND(SUM(P72:Q72),0)</f>
        <v>3333</v>
      </c>
      <c r="S72" s="598">
        <f t="shared" si="96"/>
        <v>2000</v>
      </c>
      <c r="T72" s="598">
        <f>ROUND(SUM(R72:S72),0)</f>
        <v>5333</v>
      </c>
      <c r="U72" s="598">
        <f t="shared" si="98"/>
        <v>2000</v>
      </c>
      <c r="V72" s="598">
        <f>ROUND(SUM(T72:U72),0)</f>
        <v>7333</v>
      </c>
      <c r="W72" s="598">
        <f>IF(V72&lt;$D72,IF(V72+($D72/$E72)&lt;$D72,ROUND($D72/$E72,0),ROUND($D72-V72,0)),0)</f>
        <v>2000</v>
      </c>
      <c r="X72" s="598">
        <f>ROUND(SUM(V72:W72),0)</f>
        <v>9333</v>
      </c>
      <c r="Y72" s="596">
        <f>IF(X72&lt;$D72,IF(X72+($D72/$E72)&lt;$D72,ROUND($D72/$E72,0),ROUND($D72-X72,0)),0)</f>
        <v>665</v>
      </c>
      <c r="Z72" s="596">
        <f>ROUND(SUM(X72:Y72),0)</f>
        <v>9998</v>
      </c>
      <c r="AA72" s="598">
        <f t="shared" si="102"/>
        <v>0</v>
      </c>
      <c r="AB72" s="598">
        <f>ROUND(SUM(Z72:AA72),0)</f>
        <v>9998</v>
      </c>
      <c r="AC72" s="598">
        <f t="shared" si="104"/>
        <v>0</v>
      </c>
      <c r="AD72" s="598">
        <f>ROUND(SUM(AB72:AC72),0)</f>
        <v>9998</v>
      </c>
      <c r="AE72" s="598">
        <f t="shared" si="106"/>
        <v>0</v>
      </c>
      <c r="AF72" s="598">
        <f>ROUND(SUM(AD72:AE72),0)</f>
        <v>9998</v>
      </c>
      <c r="AG72" s="596">
        <f t="shared" si="108"/>
        <v>0</v>
      </c>
      <c r="AH72" s="596">
        <f>ROUND(SUM(AF72:AG72),0)</f>
        <v>9998</v>
      </c>
      <c r="AI72" s="598">
        <f t="shared" si="110"/>
        <v>0</v>
      </c>
      <c r="AJ72" s="598">
        <f>ROUND(SUM(AH72:AI72),0)</f>
        <v>9998</v>
      </c>
      <c r="AK72" s="598">
        <f t="shared" si="112"/>
        <v>0</v>
      </c>
      <c r="AL72" s="598">
        <f>ROUND(SUM(AJ72:AK72),0)</f>
        <v>9998</v>
      </c>
      <c r="AM72" s="598">
        <f t="shared" si="114"/>
        <v>0</v>
      </c>
      <c r="AN72" s="598">
        <f>ROUND(SUM(AL72:AM72),0)</f>
        <v>9998</v>
      </c>
      <c r="AO72" s="598">
        <f t="shared" si="116"/>
        <v>0</v>
      </c>
      <c r="AP72" s="598">
        <f>ROUND(SUM(AN72:AO72),0)</f>
        <v>9998</v>
      </c>
      <c r="AQ72" s="599">
        <f t="shared" si="118"/>
        <v>0</v>
      </c>
      <c r="AR72" s="599">
        <f>ROUND(SUM(AP72:AQ72),0)</f>
        <v>9998</v>
      </c>
    </row>
    <row r="73" spans="1:44" ht="13.5" customHeight="1" x14ac:dyDescent="0.3">
      <c r="B73" s="351" t="s">
        <v>540</v>
      </c>
      <c r="C73" s="360"/>
      <c r="D73" s="357"/>
      <c r="E73" s="357"/>
      <c r="F73" s="357"/>
      <c r="G73" s="357"/>
      <c r="H73" s="357"/>
      <c r="I73" s="361"/>
      <c r="J73" s="361"/>
      <c r="K73" s="361"/>
      <c r="L73" s="361"/>
      <c r="M73" s="361"/>
      <c r="N73" s="361"/>
      <c r="O73" s="361"/>
      <c r="P73" s="361"/>
      <c r="Q73" s="361"/>
      <c r="R73" s="361"/>
      <c r="S73" s="361"/>
      <c r="T73" s="361"/>
      <c r="U73" s="361"/>
      <c r="V73" s="361"/>
      <c r="W73" s="361"/>
      <c r="X73" s="361"/>
      <c r="Y73" s="361"/>
      <c r="Z73" s="361"/>
      <c r="AA73" s="361"/>
      <c r="AB73" s="361"/>
      <c r="AC73" s="361"/>
      <c r="AD73" s="361"/>
      <c r="AE73" s="402"/>
      <c r="AF73" s="402"/>
      <c r="AG73" s="402"/>
      <c r="AH73" s="601">
        <f>ROUND(SUM(AF73:AG73),0)</f>
        <v>0</v>
      </c>
      <c r="AI73" s="402"/>
      <c r="AJ73" s="601">
        <f>ROUND(SUM(AH73:AI73),0)</f>
        <v>0</v>
      </c>
      <c r="AK73" s="402"/>
      <c r="AL73" s="601">
        <f>ROUND(SUM(AJ73:AK73),0)</f>
        <v>0</v>
      </c>
      <c r="AM73" s="402"/>
      <c r="AN73" s="601">
        <f>ROUND(SUM(AL73:AM73),0)</f>
        <v>0</v>
      </c>
      <c r="AO73" s="402"/>
      <c r="AP73" s="601">
        <f>ROUND(SUM(AN73:AO73),0)</f>
        <v>0</v>
      </c>
      <c r="AQ73" s="614"/>
      <c r="AR73" s="603">
        <f>ROUND(SUM(AP73:AQ73),0)</f>
        <v>0</v>
      </c>
    </row>
    <row r="74" spans="1:44" ht="11.25" customHeight="1" x14ac:dyDescent="0.25">
      <c r="A74" s="318" t="s">
        <v>557</v>
      </c>
      <c r="D74" s="615">
        <f>SUM(D65:D73)</f>
        <v>811664.1399999999</v>
      </c>
      <c r="F74" s="362">
        <f>SUM(F65:F70)</f>
        <v>60614</v>
      </c>
      <c r="G74" s="362">
        <f>SUM(G65:G70)</f>
        <v>46299</v>
      </c>
      <c r="H74" s="362">
        <f>SUM(H65:H70)</f>
        <v>106913</v>
      </c>
      <c r="I74" s="362">
        <f>SUM(I65:I72)</f>
        <v>46299</v>
      </c>
      <c r="J74" s="362">
        <f t="shared" ref="J74:AR74" si="120">SUM(J65:J73)</f>
        <v>153212</v>
      </c>
      <c r="K74" s="362">
        <f t="shared" si="120"/>
        <v>46299</v>
      </c>
      <c r="L74" s="362">
        <f t="shared" si="120"/>
        <v>199511</v>
      </c>
      <c r="M74" s="362">
        <f t="shared" si="120"/>
        <v>48201</v>
      </c>
      <c r="N74" s="362">
        <f t="shared" si="120"/>
        <v>247712</v>
      </c>
      <c r="O74" s="362">
        <f t="shared" si="120"/>
        <v>49533.333333333336</v>
      </c>
      <c r="P74" s="362">
        <f t="shared" si="120"/>
        <v>297245</v>
      </c>
      <c r="Q74" s="362">
        <f t="shared" si="120"/>
        <v>49171</v>
      </c>
      <c r="R74" s="362">
        <f t="shared" si="120"/>
        <v>346416</v>
      </c>
      <c r="S74" s="362">
        <f t="shared" si="120"/>
        <v>49171</v>
      </c>
      <c r="T74" s="362">
        <f t="shared" si="120"/>
        <v>395587</v>
      </c>
      <c r="U74" s="362">
        <f t="shared" si="120"/>
        <v>49169</v>
      </c>
      <c r="V74" s="362">
        <f t="shared" si="120"/>
        <v>444756</v>
      </c>
      <c r="W74" s="362">
        <f t="shared" si="120"/>
        <v>43883</v>
      </c>
      <c r="X74" s="362">
        <f t="shared" si="120"/>
        <v>488639</v>
      </c>
      <c r="Y74" s="363">
        <f t="shared" si="120"/>
        <v>35517</v>
      </c>
      <c r="Z74" s="363">
        <f t="shared" si="120"/>
        <v>524156</v>
      </c>
      <c r="AA74" s="362">
        <f t="shared" si="120"/>
        <v>33432</v>
      </c>
      <c r="AB74" s="362">
        <f t="shared" si="120"/>
        <v>557588</v>
      </c>
      <c r="AC74" s="362">
        <f t="shared" si="120"/>
        <v>33432</v>
      </c>
      <c r="AD74" s="362">
        <f t="shared" si="120"/>
        <v>591020</v>
      </c>
      <c r="AE74" s="362">
        <f t="shared" si="120"/>
        <v>33432</v>
      </c>
      <c r="AF74" s="362">
        <f t="shared" si="120"/>
        <v>624452</v>
      </c>
      <c r="AG74" s="363">
        <f t="shared" si="120"/>
        <v>33432</v>
      </c>
      <c r="AH74" s="363">
        <f t="shared" si="120"/>
        <v>657884</v>
      </c>
      <c r="AI74" s="362">
        <f t="shared" si="120"/>
        <v>33432</v>
      </c>
      <c r="AJ74" s="362">
        <f t="shared" si="120"/>
        <v>691316</v>
      </c>
      <c r="AK74" s="362">
        <f t="shared" si="120"/>
        <v>33432</v>
      </c>
      <c r="AL74" s="362">
        <f t="shared" si="120"/>
        <v>724748</v>
      </c>
      <c r="AM74" s="362">
        <f t="shared" si="120"/>
        <v>33432</v>
      </c>
      <c r="AN74" s="362">
        <f t="shared" si="120"/>
        <v>758180</v>
      </c>
      <c r="AO74" s="362">
        <f t="shared" si="120"/>
        <v>33432</v>
      </c>
      <c r="AP74" s="362">
        <f t="shared" si="120"/>
        <v>791612</v>
      </c>
      <c r="AQ74" s="616">
        <f t="shared" si="120"/>
        <v>20051</v>
      </c>
      <c r="AR74" s="616">
        <f t="shared" si="120"/>
        <v>811663</v>
      </c>
    </row>
    <row r="75" spans="1:44" x14ac:dyDescent="0.25">
      <c r="D75" s="617">
        <f>D74-AN74</f>
        <v>53484.139999999898</v>
      </c>
      <c r="E75" s="606" t="s">
        <v>643</v>
      </c>
      <c r="I75" s="314"/>
      <c r="J75" s="314"/>
      <c r="K75" s="314"/>
      <c r="L75" s="314"/>
      <c r="M75" s="314"/>
      <c r="N75" s="314"/>
      <c r="O75" s="314"/>
      <c r="P75" s="314"/>
      <c r="Q75" s="314"/>
      <c r="R75" s="314"/>
      <c r="S75" s="314"/>
      <c r="T75" s="314"/>
      <c r="U75" s="314"/>
      <c r="V75" s="314"/>
      <c r="W75" s="314"/>
      <c r="X75" s="314"/>
      <c r="Y75" s="315"/>
      <c r="Z75" s="315"/>
      <c r="AA75" s="314"/>
      <c r="AB75" s="314"/>
      <c r="AC75" s="314"/>
      <c r="AD75" s="314"/>
      <c r="AE75" s="314"/>
      <c r="AF75" s="314"/>
      <c r="AG75" s="315"/>
      <c r="AH75" s="315"/>
      <c r="AI75" s="314"/>
      <c r="AJ75" s="314"/>
      <c r="AK75" s="314"/>
      <c r="AL75" s="314"/>
      <c r="AM75" s="314"/>
      <c r="AN75" s="314"/>
      <c r="AO75" s="314"/>
      <c r="AP75" s="314"/>
      <c r="AQ75" s="612"/>
      <c r="AR75" s="612"/>
    </row>
    <row r="76" spans="1:44" x14ac:dyDescent="0.25">
      <c r="A76" s="318" t="s">
        <v>558</v>
      </c>
      <c r="C76" s="364"/>
      <c r="D76" s="324"/>
      <c r="E76" s="324"/>
      <c r="F76" s="324"/>
      <c r="I76" s="314"/>
      <c r="J76" s="314"/>
      <c r="K76" s="314"/>
      <c r="L76" s="314"/>
      <c r="M76" s="314"/>
      <c r="N76" s="314"/>
      <c r="O76" s="314"/>
      <c r="P76" s="314"/>
      <c r="Q76" s="314"/>
      <c r="R76" s="314"/>
      <c r="S76" s="314"/>
      <c r="T76" s="314"/>
      <c r="U76" s="314"/>
      <c r="V76" s="314"/>
      <c r="W76" s="314"/>
      <c r="X76" s="314"/>
      <c r="Y76" s="315"/>
      <c r="Z76" s="315"/>
      <c r="AA76" s="314"/>
      <c r="AB76" s="314"/>
      <c r="AC76" s="314"/>
      <c r="AD76" s="314"/>
      <c r="AE76" s="314"/>
      <c r="AF76" s="314"/>
      <c r="AG76" s="315"/>
      <c r="AH76" s="315"/>
      <c r="AI76" s="314"/>
      <c r="AJ76" s="314"/>
      <c r="AK76" s="314"/>
      <c r="AL76" s="314"/>
      <c r="AM76" s="314"/>
      <c r="AN76" s="314"/>
      <c r="AO76" s="314"/>
      <c r="AP76" s="314"/>
      <c r="AQ76" s="612"/>
      <c r="AR76" s="612"/>
    </row>
    <row r="77" spans="1:44" x14ac:dyDescent="0.25">
      <c r="B77" s="312" t="s">
        <v>140</v>
      </c>
      <c r="C77" s="365">
        <v>30512</v>
      </c>
      <c r="D77" s="348">
        <v>628000</v>
      </c>
      <c r="E77" s="324">
        <v>25</v>
      </c>
      <c r="F77" s="598">
        <v>414420</v>
      </c>
      <c r="G77" s="598">
        <f t="shared" ref="G77:I82" si="121">IF(F77&lt;$D77,IF(F77+($D77/$E77)&lt;$D77,ROUND($D77/$E77,0),ROUND($D77-F77,0)),0)</f>
        <v>25120</v>
      </c>
      <c r="H77" s="598">
        <f t="shared" ref="H77:H80" si="122">ROUND(SUM(F77:G77),0)</f>
        <v>439540</v>
      </c>
      <c r="I77" s="598">
        <f t="shared" si="121"/>
        <v>25120</v>
      </c>
      <c r="J77" s="598">
        <f t="shared" ref="J77:J82" si="123">ROUND(SUM(H77:I77),0)</f>
        <v>464660</v>
      </c>
      <c r="K77" s="598">
        <f t="shared" ref="K77:M83" si="124">IF(J77&lt;$D77,IF(J77+($D77/$E77)&lt;$D77,ROUND($D77/$E77,0),ROUND($D77-J77,0)),0)</f>
        <v>25120</v>
      </c>
      <c r="L77" s="598">
        <f>ROUND(SUM(J77:K77),0)</f>
        <v>489780</v>
      </c>
      <c r="M77" s="598">
        <f t="shared" si="124"/>
        <v>25120</v>
      </c>
      <c r="N77" s="598">
        <f t="shared" ref="N77:N83" si="125">ROUND(SUM(L77:M77),0)</f>
        <v>514900</v>
      </c>
      <c r="O77" s="598">
        <f t="shared" ref="O77:Q83" si="126">IF(N77&lt;$D77,IF(N77+($D77/$E77)&lt;$D77,ROUND($D77/$E77,0),ROUND($D77-N77,0)),0)</f>
        <v>25120</v>
      </c>
      <c r="P77" s="598">
        <f t="shared" ref="P77:P83" si="127">ROUND(SUM(N77:O77),0)</f>
        <v>540020</v>
      </c>
      <c r="Q77" s="598">
        <f t="shared" si="126"/>
        <v>25120</v>
      </c>
      <c r="R77" s="598">
        <f t="shared" ref="R77:R83" si="128">ROUND(SUM(P77:Q77),0)</f>
        <v>565140</v>
      </c>
      <c r="S77" s="598">
        <f t="shared" ref="S77:S84" si="129">IF(R77&lt;$D77,IF(R77+($D77/$E77)&lt;$D77,ROUND($D77/$E77,0),ROUND($D77-R77,0)),0)</f>
        <v>25120</v>
      </c>
      <c r="T77" s="598">
        <f t="shared" ref="T77:T83" si="130">ROUND(SUM(R77:S77),0)</f>
        <v>590260</v>
      </c>
      <c r="U77" s="598">
        <f t="shared" ref="U77:U87" si="131">IF(T77&lt;$D77,IF(T77+($D77/$E77)&lt;$D77,ROUND($D77/$E77,0),ROUND($D77-T77,0)),0)</f>
        <v>25120</v>
      </c>
      <c r="V77" s="598">
        <f t="shared" ref="V77:V83" si="132">ROUND(SUM(T77:U77),0)</f>
        <v>615380</v>
      </c>
      <c r="W77" s="598">
        <f t="shared" ref="W77:W82" si="133">IF(V77&lt;$D77,IF(V77+($D77/$E77)&lt;$D77,ROUND($D77/$E77,0),ROUND($D77-V77,0)),0)</f>
        <v>12620</v>
      </c>
      <c r="X77" s="598">
        <f t="shared" ref="X77:X87" si="134">ROUND(SUM(V77:W77),0)</f>
        <v>628000</v>
      </c>
      <c r="Y77" s="596">
        <f t="shared" ref="Y77:Y82" si="135">IF(X77&lt;$D77,IF(X77+($D77/$E77)&lt;$D77,ROUND($D77/$E77,0),ROUND($D77-X77,0)),0)</f>
        <v>0</v>
      </c>
      <c r="Z77" s="596">
        <f t="shared" ref="Z77:Z87" si="136">ROUND(SUM(X77:Y77),0)</f>
        <v>628000</v>
      </c>
      <c r="AA77" s="598">
        <f t="shared" ref="AA77:AA82" si="137">IF(Z77&lt;$D77,IF(Z77+($D77/$E77)&lt;$D77,ROUND($D77/$E77,0),ROUND($D77-Z77,0)),0)</f>
        <v>0</v>
      </c>
      <c r="AB77" s="598">
        <f t="shared" ref="AB77:AB87" si="138">ROUND(SUM(Z77:AA77),0)</f>
        <v>628000</v>
      </c>
      <c r="AC77" s="598">
        <f t="shared" ref="AC77:AC82" si="139">IF(AB77&lt;$D77,IF(AB77+($D77/$E77)&lt;$D77,ROUND($D77/$E77,0),ROUND($D77-AB77,0)),0)</f>
        <v>0</v>
      </c>
      <c r="AD77" s="598">
        <f t="shared" ref="AD77:AD87" si="140">ROUND(SUM(AB77:AC77),0)</f>
        <v>628000</v>
      </c>
      <c r="AE77" s="598">
        <f t="shared" ref="AE77:AE82" si="141">IF(AD77&lt;$D77,IF(AD77+($D77/$E77)&lt;$D77,ROUND($D77/$E77,0),ROUND($D77-AD77,0)),0)</f>
        <v>0</v>
      </c>
      <c r="AF77" s="598">
        <f t="shared" ref="AF77:AF87" si="142">ROUND(SUM(AD77:AE77),0)</f>
        <v>628000</v>
      </c>
      <c r="AG77" s="596">
        <f t="shared" ref="AG77:AG82" si="143">IF(AF77&lt;$D77,IF(AF77+($D77/$E77)&lt;$D77,ROUND($D77/$E77,0),ROUND($D77-AF77,0)),0)</f>
        <v>0</v>
      </c>
      <c r="AH77" s="596">
        <f t="shared" ref="AH77:AH87" si="144">ROUND(SUM(AF77:AG77),0)</f>
        <v>628000</v>
      </c>
      <c r="AI77" s="598">
        <f t="shared" ref="AI77:AI82" si="145">IF(AH77&lt;$D77,IF(AH77+($D77/$E77)&lt;$D77,ROUND($D77/$E77,0),ROUND($D77-AH77,0)),0)</f>
        <v>0</v>
      </c>
      <c r="AJ77" s="598">
        <f t="shared" ref="AJ77:AJ87" si="146">ROUND(SUM(AH77:AI77),0)</f>
        <v>628000</v>
      </c>
      <c r="AK77" s="598">
        <f t="shared" ref="AK77:AK82" si="147">IF(AJ77&lt;$D77,IF(AJ77+($D77/$E77)&lt;$D77,ROUND($D77/$E77,0),ROUND($D77-AJ77,0)),0)</f>
        <v>0</v>
      </c>
      <c r="AL77" s="598">
        <f t="shared" ref="AL77:AL87" si="148">ROUND(SUM(AJ77:AK77),0)</f>
        <v>628000</v>
      </c>
      <c r="AM77" s="598">
        <f t="shared" ref="AM77:AM82" si="149">IF(AL77&lt;$D77,IF(AL77+($D77/$E77)&lt;$D77,ROUND($D77/$E77,0),ROUND($D77-AL77,0)),0)</f>
        <v>0</v>
      </c>
      <c r="AN77" s="598">
        <f t="shared" ref="AN77:AN87" si="150">ROUND(SUM(AL77:AM77),0)</f>
        <v>628000</v>
      </c>
      <c r="AO77" s="598">
        <f t="shared" ref="AO77:AO82" si="151">IF(AN77&lt;$D77,IF(AN77+($D77/$E77)&lt;$D77,ROUND($D77/$E77,0),ROUND($D77-AN77,0)),0)</f>
        <v>0</v>
      </c>
      <c r="AP77" s="598">
        <f t="shared" ref="AP77:AP87" si="152">ROUND(SUM(AN77:AO77),0)</f>
        <v>628000</v>
      </c>
      <c r="AQ77" s="599">
        <f t="shared" ref="AQ77:AQ82" si="153">IF(AP77&lt;$D77,IF(AP77+($D77/$E77)&lt;$D77,ROUND($D77/$E77,0),ROUND($D77-AP77,0)),0)</f>
        <v>0</v>
      </c>
      <c r="AR77" s="599">
        <f t="shared" ref="AR77:AR87" si="154">ROUND(SUM(AP77:AQ77),0)</f>
        <v>628000</v>
      </c>
    </row>
    <row r="78" spans="1:44" x14ac:dyDescent="0.25">
      <c r="B78" s="312" t="s">
        <v>141</v>
      </c>
      <c r="C78" s="365">
        <v>31229</v>
      </c>
      <c r="D78" s="348">
        <v>1669</v>
      </c>
      <c r="E78" s="324">
        <v>10</v>
      </c>
      <c r="F78" s="598">
        <v>1669</v>
      </c>
      <c r="G78" s="598">
        <f t="shared" si="121"/>
        <v>0</v>
      </c>
      <c r="H78" s="598">
        <f t="shared" si="122"/>
        <v>1669</v>
      </c>
      <c r="I78" s="598">
        <f t="shared" si="121"/>
        <v>0</v>
      </c>
      <c r="J78" s="598">
        <f t="shared" si="123"/>
        <v>1669</v>
      </c>
      <c r="K78" s="598">
        <f t="shared" si="124"/>
        <v>0</v>
      </c>
      <c r="L78" s="598">
        <f>ROUND(SUM(J78:K78),0)</f>
        <v>1669</v>
      </c>
      <c r="M78" s="598">
        <f t="shared" si="124"/>
        <v>0</v>
      </c>
      <c r="N78" s="598">
        <f t="shared" si="125"/>
        <v>1669</v>
      </c>
      <c r="O78" s="598">
        <f t="shared" si="126"/>
        <v>0</v>
      </c>
      <c r="P78" s="598">
        <f t="shared" si="127"/>
        <v>1669</v>
      </c>
      <c r="Q78" s="598">
        <f t="shared" si="126"/>
        <v>0</v>
      </c>
      <c r="R78" s="598">
        <f t="shared" si="128"/>
        <v>1669</v>
      </c>
      <c r="S78" s="598">
        <f t="shared" si="129"/>
        <v>0</v>
      </c>
      <c r="T78" s="598">
        <f t="shared" si="130"/>
        <v>1669</v>
      </c>
      <c r="U78" s="598">
        <f t="shared" si="131"/>
        <v>0</v>
      </c>
      <c r="V78" s="598">
        <f t="shared" si="132"/>
        <v>1669</v>
      </c>
      <c r="W78" s="598">
        <f t="shared" si="133"/>
        <v>0</v>
      </c>
      <c r="X78" s="598">
        <f t="shared" si="134"/>
        <v>1669</v>
      </c>
      <c r="Y78" s="596">
        <f t="shared" si="135"/>
        <v>0</v>
      </c>
      <c r="Z78" s="596">
        <f t="shared" si="136"/>
        <v>1669</v>
      </c>
      <c r="AA78" s="598">
        <f t="shared" si="137"/>
        <v>0</v>
      </c>
      <c r="AB78" s="598">
        <f t="shared" si="138"/>
        <v>1669</v>
      </c>
      <c r="AC78" s="598">
        <f t="shared" si="139"/>
        <v>0</v>
      </c>
      <c r="AD78" s="598">
        <f t="shared" si="140"/>
        <v>1669</v>
      </c>
      <c r="AE78" s="598">
        <f t="shared" si="141"/>
        <v>0</v>
      </c>
      <c r="AF78" s="598">
        <f t="shared" si="142"/>
        <v>1669</v>
      </c>
      <c r="AG78" s="596">
        <f t="shared" si="143"/>
        <v>0</v>
      </c>
      <c r="AH78" s="596">
        <f t="shared" si="144"/>
        <v>1669</v>
      </c>
      <c r="AI78" s="598">
        <f t="shared" si="145"/>
        <v>0</v>
      </c>
      <c r="AJ78" s="598">
        <f t="shared" si="146"/>
        <v>1669</v>
      </c>
      <c r="AK78" s="598">
        <f t="shared" si="147"/>
        <v>0</v>
      </c>
      <c r="AL78" s="598">
        <f t="shared" si="148"/>
        <v>1669</v>
      </c>
      <c r="AM78" s="598">
        <f t="shared" si="149"/>
        <v>0</v>
      </c>
      <c r="AN78" s="598">
        <f t="shared" si="150"/>
        <v>1669</v>
      </c>
      <c r="AO78" s="598">
        <f t="shared" si="151"/>
        <v>0</v>
      </c>
      <c r="AP78" s="598">
        <f t="shared" si="152"/>
        <v>1669</v>
      </c>
      <c r="AQ78" s="599">
        <f t="shared" si="153"/>
        <v>0</v>
      </c>
      <c r="AR78" s="599">
        <f t="shared" si="154"/>
        <v>1669</v>
      </c>
    </row>
    <row r="79" spans="1:44" x14ac:dyDescent="0.25">
      <c r="B79" s="312" t="s">
        <v>142</v>
      </c>
      <c r="C79" s="365">
        <v>31564</v>
      </c>
      <c r="D79" s="348">
        <v>9394</v>
      </c>
      <c r="E79" s="324">
        <v>10</v>
      </c>
      <c r="F79" s="598">
        <v>9394</v>
      </c>
      <c r="G79" s="598">
        <f t="shared" si="121"/>
        <v>0</v>
      </c>
      <c r="H79" s="598">
        <f t="shared" si="122"/>
        <v>9394</v>
      </c>
      <c r="I79" s="598">
        <f t="shared" si="121"/>
        <v>0</v>
      </c>
      <c r="J79" s="598">
        <f t="shared" si="123"/>
        <v>9394</v>
      </c>
      <c r="K79" s="598">
        <f t="shared" si="124"/>
        <v>0</v>
      </c>
      <c r="L79" s="598">
        <f>ROUND(SUM(J79:K79),0)</f>
        <v>9394</v>
      </c>
      <c r="M79" s="598">
        <f t="shared" si="124"/>
        <v>0</v>
      </c>
      <c r="N79" s="598">
        <f t="shared" si="125"/>
        <v>9394</v>
      </c>
      <c r="O79" s="598">
        <f t="shared" si="126"/>
        <v>0</v>
      </c>
      <c r="P79" s="598">
        <f t="shared" si="127"/>
        <v>9394</v>
      </c>
      <c r="Q79" s="598">
        <f t="shared" si="126"/>
        <v>0</v>
      </c>
      <c r="R79" s="598">
        <f t="shared" si="128"/>
        <v>9394</v>
      </c>
      <c r="S79" s="598">
        <f t="shared" si="129"/>
        <v>0</v>
      </c>
      <c r="T79" s="598">
        <f t="shared" si="130"/>
        <v>9394</v>
      </c>
      <c r="U79" s="598">
        <f t="shared" si="131"/>
        <v>0</v>
      </c>
      <c r="V79" s="598">
        <f t="shared" si="132"/>
        <v>9394</v>
      </c>
      <c r="W79" s="598">
        <f t="shared" si="133"/>
        <v>0</v>
      </c>
      <c r="X79" s="598">
        <f t="shared" si="134"/>
        <v>9394</v>
      </c>
      <c r="Y79" s="596">
        <f t="shared" si="135"/>
        <v>0</v>
      </c>
      <c r="Z79" s="596">
        <f t="shared" si="136"/>
        <v>9394</v>
      </c>
      <c r="AA79" s="598">
        <f t="shared" si="137"/>
        <v>0</v>
      </c>
      <c r="AB79" s="598">
        <f t="shared" si="138"/>
        <v>9394</v>
      </c>
      <c r="AC79" s="598">
        <f t="shared" si="139"/>
        <v>0</v>
      </c>
      <c r="AD79" s="598">
        <f t="shared" si="140"/>
        <v>9394</v>
      </c>
      <c r="AE79" s="598">
        <f t="shared" si="141"/>
        <v>0</v>
      </c>
      <c r="AF79" s="598">
        <f t="shared" si="142"/>
        <v>9394</v>
      </c>
      <c r="AG79" s="596">
        <f t="shared" si="143"/>
        <v>0</v>
      </c>
      <c r="AH79" s="596">
        <f t="shared" si="144"/>
        <v>9394</v>
      </c>
      <c r="AI79" s="598">
        <f t="shared" si="145"/>
        <v>0</v>
      </c>
      <c r="AJ79" s="598">
        <f t="shared" si="146"/>
        <v>9394</v>
      </c>
      <c r="AK79" s="598">
        <f t="shared" si="147"/>
        <v>0</v>
      </c>
      <c r="AL79" s="598">
        <f t="shared" si="148"/>
        <v>9394</v>
      </c>
      <c r="AM79" s="598">
        <f t="shared" si="149"/>
        <v>0</v>
      </c>
      <c r="AN79" s="598">
        <f t="shared" si="150"/>
        <v>9394</v>
      </c>
      <c r="AO79" s="598">
        <f t="shared" si="151"/>
        <v>0</v>
      </c>
      <c r="AP79" s="598">
        <f t="shared" si="152"/>
        <v>9394</v>
      </c>
      <c r="AQ79" s="599">
        <f t="shared" si="153"/>
        <v>0</v>
      </c>
      <c r="AR79" s="599">
        <f t="shared" si="154"/>
        <v>9394</v>
      </c>
    </row>
    <row r="80" spans="1:44" x14ac:dyDescent="0.25">
      <c r="B80" s="312" t="s">
        <v>143</v>
      </c>
      <c r="C80" s="365">
        <v>31929</v>
      </c>
      <c r="D80" s="348">
        <v>443</v>
      </c>
      <c r="E80" s="324">
        <v>5</v>
      </c>
      <c r="F80" s="598">
        <v>443</v>
      </c>
      <c r="G80" s="598">
        <f t="shared" si="121"/>
        <v>0</v>
      </c>
      <c r="H80" s="598">
        <f t="shared" si="122"/>
        <v>443</v>
      </c>
      <c r="I80" s="598">
        <f t="shared" si="121"/>
        <v>0</v>
      </c>
      <c r="J80" s="598">
        <f t="shared" si="123"/>
        <v>443</v>
      </c>
      <c r="K80" s="598">
        <f t="shared" si="124"/>
        <v>0</v>
      </c>
      <c r="L80" s="598">
        <f>ROUND(SUM(J80:K80),0)</f>
        <v>443</v>
      </c>
      <c r="M80" s="598">
        <f t="shared" si="124"/>
        <v>0</v>
      </c>
      <c r="N80" s="598">
        <f t="shared" si="125"/>
        <v>443</v>
      </c>
      <c r="O80" s="598">
        <f t="shared" si="126"/>
        <v>0</v>
      </c>
      <c r="P80" s="598">
        <f t="shared" si="127"/>
        <v>443</v>
      </c>
      <c r="Q80" s="598">
        <f t="shared" si="126"/>
        <v>0</v>
      </c>
      <c r="R80" s="598">
        <f t="shared" si="128"/>
        <v>443</v>
      </c>
      <c r="S80" s="598">
        <f t="shared" si="129"/>
        <v>0</v>
      </c>
      <c r="T80" s="598">
        <f t="shared" si="130"/>
        <v>443</v>
      </c>
      <c r="U80" s="598">
        <f t="shared" si="131"/>
        <v>0</v>
      </c>
      <c r="V80" s="598">
        <f t="shared" si="132"/>
        <v>443</v>
      </c>
      <c r="W80" s="598">
        <f t="shared" si="133"/>
        <v>0</v>
      </c>
      <c r="X80" s="598">
        <f t="shared" si="134"/>
        <v>443</v>
      </c>
      <c r="Y80" s="596">
        <f t="shared" si="135"/>
        <v>0</v>
      </c>
      <c r="Z80" s="596">
        <f t="shared" si="136"/>
        <v>443</v>
      </c>
      <c r="AA80" s="598">
        <f t="shared" si="137"/>
        <v>0</v>
      </c>
      <c r="AB80" s="598">
        <f t="shared" si="138"/>
        <v>443</v>
      </c>
      <c r="AC80" s="598">
        <f t="shared" si="139"/>
        <v>0</v>
      </c>
      <c r="AD80" s="598">
        <f t="shared" si="140"/>
        <v>443</v>
      </c>
      <c r="AE80" s="598">
        <f t="shared" si="141"/>
        <v>0</v>
      </c>
      <c r="AF80" s="598">
        <f t="shared" si="142"/>
        <v>443</v>
      </c>
      <c r="AG80" s="596">
        <f t="shared" si="143"/>
        <v>0</v>
      </c>
      <c r="AH80" s="596">
        <f t="shared" si="144"/>
        <v>443</v>
      </c>
      <c r="AI80" s="598">
        <f t="shared" si="145"/>
        <v>0</v>
      </c>
      <c r="AJ80" s="598">
        <f t="shared" si="146"/>
        <v>443</v>
      </c>
      <c r="AK80" s="598">
        <f t="shared" si="147"/>
        <v>0</v>
      </c>
      <c r="AL80" s="598">
        <f t="shared" si="148"/>
        <v>443</v>
      </c>
      <c r="AM80" s="598">
        <f t="shared" si="149"/>
        <v>0</v>
      </c>
      <c r="AN80" s="598">
        <f t="shared" si="150"/>
        <v>443</v>
      </c>
      <c r="AO80" s="598">
        <f t="shared" si="151"/>
        <v>0</v>
      </c>
      <c r="AP80" s="598">
        <f t="shared" si="152"/>
        <v>443</v>
      </c>
      <c r="AQ80" s="599">
        <f t="shared" si="153"/>
        <v>0</v>
      </c>
      <c r="AR80" s="599">
        <f t="shared" si="154"/>
        <v>443</v>
      </c>
    </row>
    <row r="81" spans="1:44" x14ac:dyDescent="0.25">
      <c r="B81" s="349" t="s">
        <v>146</v>
      </c>
      <c r="C81" s="350">
        <v>37061</v>
      </c>
      <c r="D81" s="342">
        <v>4029.36</v>
      </c>
      <c r="E81" s="348">
        <v>5</v>
      </c>
      <c r="F81" s="598"/>
      <c r="G81" s="598"/>
      <c r="H81" s="598">
        <v>0</v>
      </c>
      <c r="I81" s="598">
        <f t="shared" si="121"/>
        <v>806</v>
      </c>
      <c r="J81" s="598">
        <f t="shared" si="123"/>
        <v>806</v>
      </c>
      <c r="K81" s="598">
        <f t="shared" si="124"/>
        <v>806</v>
      </c>
      <c r="L81" s="598">
        <f t="shared" ref="L81:L84" si="155">ROUND(SUM(J81:K81),0)</f>
        <v>1612</v>
      </c>
      <c r="M81" s="598">
        <f t="shared" si="124"/>
        <v>806</v>
      </c>
      <c r="N81" s="598">
        <f t="shared" si="125"/>
        <v>2418</v>
      </c>
      <c r="O81" s="598">
        <f t="shared" si="126"/>
        <v>806</v>
      </c>
      <c r="P81" s="598">
        <f t="shared" si="127"/>
        <v>3224</v>
      </c>
      <c r="Q81" s="598">
        <f t="shared" si="126"/>
        <v>805</v>
      </c>
      <c r="R81" s="598">
        <f t="shared" si="128"/>
        <v>4029</v>
      </c>
      <c r="S81" s="598">
        <f t="shared" si="129"/>
        <v>0</v>
      </c>
      <c r="T81" s="598">
        <f t="shared" si="130"/>
        <v>4029</v>
      </c>
      <c r="U81" s="598">
        <f t="shared" si="131"/>
        <v>0</v>
      </c>
      <c r="V81" s="598">
        <f t="shared" si="132"/>
        <v>4029</v>
      </c>
      <c r="W81" s="598">
        <f t="shared" si="133"/>
        <v>0</v>
      </c>
      <c r="X81" s="598">
        <f t="shared" si="134"/>
        <v>4029</v>
      </c>
      <c r="Y81" s="596">
        <f t="shared" si="135"/>
        <v>0</v>
      </c>
      <c r="Z81" s="596">
        <f t="shared" si="136"/>
        <v>4029</v>
      </c>
      <c r="AA81" s="598">
        <f t="shared" si="137"/>
        <v>0</v>
      </c>
      <c r="AB81" s="598">
        <f t="shared" si="138"/>
        <v>4029</v>
      </c>
      <c r="AC81" s="598">
        <f t="shared" si="139"/>
        <v>0</v>
      </c>
      <c r="AD81" s="598">
        <f t="shared" si="140"/>
        <v>4029</v>
      </c>
      <c r="AE81" s="598">
        <f t="shared" si="141"/>
        <v>0</v>
      </c>
      <c r="AF81" s="598">
        <f t="shared" si="142"/>
        <v>4029</v>
      </c>
      <c r="AG81" s="596">
        <f t="shared" si="143"/>
        <v>0</v>
      </c>
      <c r="AH81" s="596">
        <f t="shared" si="144"/>
        <v>4029</v>
      </c>
      <c r="AI81" s="598">
        <f t="shared" si="145"/>
        <v>0</v>
      </c>
      <c r="AJ81" s="598">
        <f t="shared" si="146"/>
        <v>4029</v>
      </c>
      <c r="AK81" s="598">
        <f t="shared" si="147"/>
        <v>0</v>
      </c>
      <c r="AL81" s="598">
        <f t="shared" si="148"/>
        <v>4029</v>
      </c>
      <c r="AM81" s="598">
        <f t="shared" si="149"/>
        <v>0</v>
      </c>
      <c r="AN81" s="598">
        <f t="shared" si="150"/>
        <v>4029</v>
      </c>
      <c r="AO81" s="598">
        <f t="shared" si="151"/>
        <v>0</v>
      </c>
      <c r="AP81" s="598">
        <f t="shared" si="152"/>
        <v>4029</v>
      </c>
      <c r="AQ81" s="599">
        <f t="shared" si="153"/>
        <v>0</v>
      </c>
      <c r="AR81" s="599">
        <f t="shared" si="154"/>
        <v>4029</v>
      </c>
    </row>
    <row r="82" spans="1:44" x14ac:dyDescent="0.25">
      <c r="B82" s="349" t="s">
        <v>145</v>
      </c>
      <c r="C82" s="350">
        <v>37203</v>
      </c>
      <c r="D82" s="342">
        <v>4460.8</v>
      </c>
      <c r="E82" s="324">
        <v>5</v>
      </c>
      <c r="F82" s="598"/>
      <c r="G82" s="598"/>
      <c r="H82" s="598">
        <v>0</v>
      </c>
      <c r="I82" s="598">
        <f t="shared" si="121"/>
        <v>892</v>
      </c>
      <c r="J82" s="598">
        <f t="shared" si="123"/>
        <v>892</v>
      </c>
      <c r="K82" s="598">
        <f t="shared" si="124"/>
        <v>892</v>
      </c>
      <c r="L82" s="598">
        <f t="shared" si="155"/>
        <v>1784</v>
      </c>
      <c r="M82" s="598">
        <f t="shared" si="124"/>
        <v>892</v>
      </c>
      <c r="N82" s="598">
        <f t="shared" si="125"/>
        <v>2676</v>
      </c>
      <c r="O82" s="598">
        <f t="shared" si="126"/>
        <v>892</v>
      </c>
      <c r="P82" s="598">
        <f t="shared" si="127"/>
        <v>3568</v>
      </c>
      <c r="Q82" s="598">
        <f t="shared" si="126"/>
        <v>892</v>
      </c>
      <c r="R82" s="598">
        <f t="shared" si="128"/>
        <v>4460</v>
      </c>
      <c r="S82" s="598">
        <f t="shared" si="129"/>
        <v>1</v>
      </c>
      <c r="T82" s="598">
        <f t="shared" si="130"/>
        <v>4461</v>
      </c>
      <c r="U82" s="598">
        <f t="shared" si="131"/>
        <v>0</v>
      </c>
      <c r="V82" s="598">
        <f t="shared" si="132"/>
        <v>4461</v>
      </c>
      <c r="W82" s="598">
        <f t="shared" si="133"/>
        <v>0</v>
      </c>
      <c r="X82" s="598">
        <f t="shared" si="134"/>
        <v>4461</v>
      </c>
      <c r="Y82" s="596">
        <f t="shared" si="135"/>
        <v>0</v>
      </c>
      <c r="Z82" s="596">
        <f t="shared" si="136"/>
        <v>4461</v>
      </c>
      <c r="AA82" s="598">
        <f t="shared" si="137"/>
        <v>0</v>
      </c>
      <c r="AB82" s="598">
        <f t="shared" si="138"/>
        <v>4461</v>
      </c>
      <c r="AC82" s="598">
        <f t="shared" si="139"/>
        <v>0</v>
      </c>
      <c r="AD82" s="598">
        <f t="shared" si="140"/>
        <v>4461</v>
      </c>
      <c r="AE82" s="598">
        <f t="shared" si="141"/>
        <v>0</v>
      </c>
      <c r="AF82" s="598">
        <f t="shared" si="142"/>
        <v>4461</v>
      </c>
      <c r="AG82" s="596">
        <f t="shared" si="143"/>
        <v>0</v>
      </c>
      <c r="AH82" s="596">
        <f t="shared" si="144"/>
        <v>4461</v>
      </c>
      <c r="AI82" s="598">
        <f t="shared" si="145"/>
        <v>0</v>
      </c>
      <c r="AJ82" s="598">
        <f t="shared" si="146"/>
        <v>4461</v>
      </c>
      <c r="AK82" s="598">
        <f t="shared" si="147"/>
        <v>0</v>
      </c>
      <c r="AL82" s="598">
        <f t="shared" si="148"/>
        <v>4461</v>
      </c>
      <c r="AM82" s="598">
        <f t="shared" si="149"/>
        <v>0</v>
      </c>
      <c r="AN82" s="598">
        <f t="shared" si="150"/>
        <v>4461</v>
      </c>
      <c r="AO82" s="598">
        <f t="shared" si="151"/>
        <v>0</v>
      </c>
      <c r="AP82" s="598">
        <f t="shared" si="152"/>
        <v>4461</v>
      </c>
      <c r="AQ82" s="599">
        <f t="shared" si="153"/>
        <v>0</v>
      </c>
      <c r="AR82" s="599">
        <f t="shared" si="154"/>
        <v>4461</v>
      </c>
    </row>
    <row r="83" spans="1:44" x14ac:dyDescent="0.25">
      <c r="B83" s="367" t="s">
        <v>147</v>
      </c>
      <c r="C83" s="350">
        <v>37389</v>
      </c>
      <c r="D83" s="342">
        <v>2269.44</v>
      </c>
      <c r="E83" s="324">
        <v>7</v>
      </c>
      <c r="F83" s="598"/>
      <c r="G83" s="598"/>
      <c r="H83" s="598"/>
      <c r="I83" s="598"/>
      <c r="J83" s="366"/>
      <c r="K83" s="598">
        <f t="shared" si="124"/>
        <v>324</v>
      </c>
      <c r="L83" s="598">
        <f t="shared" si="155"/>
        <v>324</v>
      </c>
      <c r="M83" s="598">
        <f t="shared" si="124"/>
        <v>324</v>
      </c>
      <c r="N83" s="598">
        <f t="shared" si="125"/>
        <v>648</v>
      </c>
      <c r="O83" s="598">
        <f t="shared" si="126"/>
        <v>324</v>
      </c>
      <c r="P83" s="598">
        <f t="shared" si="127"/>
        <v>972</v>
      </c>
      <c r="Q83" s="598">
        <f t="shared" si="126"/>
        <v>324</v>
      </c>
      <c r="R83" s="598">
        <f t="shared" si="128"/>
        <v>1296</v>
      </c>
      <c r="S83" s="598">
        <f t="shared" si="129"/>
        <v>324</v>
      </c>
      <c r="T83" s="598">
        <f t="shared" si="130"/>
        <v>1620</v>
      </c>
      <c r="U83" s="598">
        <f t="shared" si="131"/>
        <v>324</v>
      </c>
      <c r="V83" s="598">
        <f t="shared" si="132"/>
        <v>1944</v>
      </c>
      <c r="W83" s="598">
        <f>IF(V83&lt;$D83,IF(V83+($D83/$E83)&lt;$D83,ROUND($D83/$E83,0),ROUND($D83-V83,0)),0)+1</f>
        <v>325</v>
      </c>
      <c r="X83" s="598">
        <f t="shared" si="134"/>
        <v>2269</v>
      </c>
      <c r="Y83" s="596">
        <f>IF(X83&lt;$D83,IF(X83+($D83/$E83)&lt;$D83,ROUND($D83/$E83,0),ROUND($D83-X83,0)),0)</f>
        <v>0</v>
      </c>
      <c r="Z83" s="596">
        <f t="shared" si="136"/>
        <v>2269</v>
      </c>
      <c r="AA83" s="598">
        <f>IF(Z83&lt;$D83,IF(Z83+($D83/$E83)&lt;$D83,ROUND($D83/$E83,0),ROUND($D83-Z83,0)),0)</f>
        <v>0</v>
      </c>
      <c r="AB83" s="598">
        <f t="shared" si="138"/>
        <v>2269</v>
      </c>
      <c r="AC83" s="598">
        <f>IF(AB83&lt;$D83,IF(AB83+($D83/$E83)&lt;$D83,ROUND($D83/$E83,0),ROUND($D83-AB83,0)),0)</f>
        <v>0</v>
      </c>
      <c r="AD83" s="598">
        <f t="shared" si="140"/>
        <v>2269</v>
      </c>
      <c r="AE83" s="598">
        <f>IF(AD83&lt;$D83,IF(AD83+($D83/$E83)&lt;$D83,ROUND($D83/$E83,0),ROUND($D83-AD83,0)),0)</f>
        <v>0</v>
      </c>
      <c r="AF83" s="598">
        <f t="shared" si="142"/>
        <v>2269</v>
      </c>
      <c r="AG83" s="596">
        <f>IF(AF83&lt;$D83,IF(AF83+($D83/$E83)&lt;$D83,ROUND($D83/$E83,0),ROUND($D83-AF83,0)),0)</f>
        <v>0</v>
      </c>
      <c r="AH83" s="596">
        <f t="shared" si="144"/>
        <v>2269</v>
      </c>
      <c r="AI83" s="598">
        <f>IF(AH83&lt;$D83,IF(AH83+($D83/$E83)&lt;$D83,ROUND($D83/$E83,0),ROUND($D83-AH83,0)),0)</f>
        <v>0</v>
      </c>
      <c r="AJ83" s="598">
        <f t="shared" si="146"/>
        <v>2269</v>
      </c>
      <c r="AK83" s="598">
        <f>IF(AJ83&lt;$D83,IF(AJ83+($D83/$E83)&lt;$D83,ROUND($D83/$E83,0),ROUND($D83-AJ83,0)),0)</f>
        <v>0</v>
      </c>
      <c r="AL83" s="598">
        <f t="shared" si="148"/>
        <v>2269</v>
      </c>
      <c r="AM83" s="598">
        <f>IF(AL83&lt;$D83,IF(AL83+($D83/$E83)&lt;$D83,ROUND($D83/$E83,0),ROUND($D83-AL83,0)),0)</f>
        <v>0</v>
      </c>
      <c r="AN83" s="598">
        <f t="shared" si="150"/>
        <v>2269</v>
      </c>
      <c r="AO83" s="598">
        <f>IF(AN83&lt;$D83,IF(AN83+($D83/$E83)&lt;$D83,ROUND($D83/$E83,0),ROUND($D83-AN83,0)),0)</f>
        <v>0</v>
      </c>
      <c r="AP83" s="598">
        <f t="shared" si="152"/>
        <v>2269</v>
      </c>
      <c r="AQ83" s="599">
        <f>IF(AP83&lt;$D83,IF(AP83+($D83/$E83)&lt;$D83,ROUND($D83/$E83,0),ROUND($D83-AP83,0)),0)</f>
        <v>0</v>
      </c>
      <c r="AR83" s="599">
        <f t="shared" si="154"/>
        <v>2269</v>
      </c>
    </row>
    <row r="84" spans="1:44" x14ac:dyDescent="0.25">
      <c r="B84" s="367" t="s">
        <v>148</v>
      </c>
      <c r="C84" s="350">
        <v>37634</v>
      </c>
      <c r="D84" s="342">
        <v>2142.71</v>
      </c>
      <c r="E84" s="324">
        <v>10</v>
      </c>
      <c r="F84" s="598"/>
      <c r="G84" s="598"/>
      <c r="H84" s="598"/>
      <c r="I84" s="598"/>
      <c r="J84" s="366"/>
      <c r="K84" s="598" t="s">
        <v>559</v>
      </c>
      <c r="L84" s="598">
        <f t="shared" si="155"/>
        <v>0</v>
      </c>
      <c r="M84" s="598">
        <f>IF(L84&lt;$D84,IF(L84+($D84/$E84)&lt;$D84,ROUND($D84/$E84,0),ROUND($D84-L84,0)),0)</f>
        <v>214</v>
      </c>
      <c r="N84" s="598">
        <f>ROUND(SUM(L84:M84),0)</f>
        <v>214</v>
      </c>
      <c r="O84" s="598">
        <f>IF(N84&lt;$D84,IF(N84+($D84/$E84)&lt;$D84,ROUND($D84/$E84,0),ROUND($D84-N84,0)),0)</f>
        <v>214</v>
      </c>
      <c r="P84" s="598">
        <f>ROUND(SUM(N84:O84),0)</f>
        <v>428</v>
      </c>
      <c r="Q84" s="598">
        <f>IF(P84&lt;$D84,IF(P84+($D84/$E84)&lt;$D84,ROUND($D84/$E84,0),ROUND($D84-P84,0)),0)</f>
        <v>214</v>
      </c>
      <c r="R84" s="598">
        <f>ROUND(SUM(P84:Q84),0)</f>
        <v>642</v>
      </c>
      <c r="S84" s="598">
        <f t="shared" si="129"/>
        <v>214</v>
      </c>
      <c r="T84" s="598">
        <f t="shared" ref="T84:T87" si="156">ROUND(SUM(R84:S84),0)</f>
        <v>856</v>
      </c>
      <c r="U84" s="598">
        <f t="shared" si="131"/>
        <v>214</v>
      </c>
      <c r="V84" s="598">
        <f t="shared" ref="V84:V87" si="157">ROUND(SUM(T84:U84),0)</f>
        <v>1070</v>
      </c>
      <c r="W84" s="598">
        <f t="shared" ref="W84:W87" si="158">IF(V84&lt;$D84,IF(V84+($D84/$E84)&lt;$D84,ROUND($D84/$E84,0),ROUND($D84-V84,0)),0)</f>
        <v>214</v>
      </c>
      <c r="X84" s="598">
        <f t="shared" si="134"/>
        <v>1284</v>
      </c>
      <c r="Y84" s="596">
        <f t="shared" ref="Y84:Y87" si="159">IF(X84&lt;$D84,IF(X84+($D84/$E84)&lt;$D84,ROUND($D84/$E84,0),ROUND($D84-X84,0)),0)</f>
        <v>214</v>
      </c>
      <c r="Z84" s="596">
        <f t="shared" si="136"/>
        <v>1498</v>
      </c>
      <c r="AA84" s="598">
        <f t="shared" ref="AA84:AA87" si="160">IF(Z84&lt;$D84,IF(Z84+($D84/$E84)&lt;$D84,ROUND($D84/$E84,0),ROUND($D84-Z84,0)),0)</f>
        <v>214</v>
      </c>
      <c r="AB84" s="598">
        <f t="shared" si="138"/>
        <v>1712</v>
      </c>
      <c r="AC84" s="598">
        <f t="shared" ref="AC84:AC87" si="161">IF(AB84&lt;$D84,IF(AB84+($D84/$E84)&lt;$D84,ROUND($D84/$E84,0),ROUND($D84-AB84,0)),0)</f>
        <v>214</v>
      </c>
      <c r="AD84" s="598">
        <f t="shared" si="140"/>
        <v>1926</v>
      </c>
      <c r="AE84" s="598">
        <f>IF(AD84&lt;$D84,IF(AD84+($D84/$E84)&lt;$D84,ROUND($D84/$E84,0),ROUND($D84-AD84,0)),0)+3</f>
        <v>217</v>
      </c>
      <c r="AF84" s="598">
        <f t="shared" si="142"/>
        <v>2143</v>
      </c>
      <c r="AG84" s="596">
        <f>IF(AF84&lt;$D84,IF(AF84+($D84/$E84)&lt;$D84,ROUND($D84/$E84,0),ROUND($D84-AF84,0)),0)+3</f>
        <v>3</v>
      </c>
      <c r="AH84" s="596">
        <f t="shared" si="144"/>
        <v>2146</v>
      </c>
      <c r="AI84" s="598">
        <f>IF(AH84&lt;$D84,IF(AH84+($D84/$E84)&lt;$D84,ROUND($D84/$E84,0),ROUND($D84-AH84,0)),0)+3</f>
        <v>3</v>
      </c>
      <c r="AJ84" s="598">
        <f t="shared" si="146"/>
        <v>2149</v>
      </c>
      <c r="AK84" s="598">
        <v>-6</v>
      </c>
      <c r="AL84" s="598">
        <f t="shared" si="148"/>
        <v>2143</v>
      </c>
      <c r="AM84" s="598">
        <v>-6</v>
      </c>
      <c r="AN84" s="598">
        <f t="shared" si="150"/>
        <v>2137</v>
      </c>
      <c r="AO84" s="598">
        <v>-6</v>
      </c>
      <c r="AP84" s="598">
        <f t="shared" si="152"/>
        <v>2131</v>
      </c>
      <c r="AQ84" s="599">
        <f>IF(AP84&lt;$D84,IF(AP84+($D84/$E84)&lt;$D84,ROUND($D84/$E84,0),ROUND($D84-AP84,0)),0)</f>
        <v>12</v>
      </c>
      <c r="AR84" s="599">
        <f t="shared" si="154"/>
        <v>2143</v>
      </c>
    </row>
    <row r="85" spans="1:44" x14ac:dyDescent="0.25">
      <c r="B85" s="367" t="s">
        <v>144</v>
      </c>
      <c r="C85" s="350">
        <v>38842</v>
      </c>
      <c r="D85" s="342">
        <v>5567.36</v>
      </c>
      <c r="E85" s="324">
        <v>7</v>
      </c>
      <c r="F85" s="598"/>
      <c r="G85" s="598"/>
      <c r="H85" s="598"/>
      <c r="I85" s="598"/>
      <c r="J85" s="366"/>
      <c r="K85" s="598"/>
      <c r="L85" s="598"/>
      <c r="M85" s="598"/>
      <c r="N85" s="598"/>
      <c r="O85" s="598"/>
      <c r="P85" s="598"/>
      <c r="Q85" s="598"/>
      <c r="R85" s="598"/>
      <c r="S85" s="598">
        <f>IF(R85&lt;$D85,IF(R85+($D85/$E85)&lt;$D85,ROUND($D85/$E85,0),ROUND($D85-R85,0)),0)/12*8</f>
        <v>530</v>
      </c>
      <c r="T85" s="598">
        <f t="shared" si="156"/>
        <v>530</v>
      </c>
      <c r="U85" s="598">
        <f t="shared" si="131"/>
        <v>795</v>
      </c>
      <c r="V85" s="598">
        <f t="shared" si="157"/>
        <v>1325</v>
      </c>
      <c r="W85" s="598">
        <f t="shared" si="158"/>
        <v>795</v>
      </c>
      <c r="X85" s="598">
        <f t="shared" si="134"/>
        <v>2120</v>
      </c>
      <c r="Y85" s="596">
        <f t="shared" si="159"/>
        <v>795</v>
      </c>
      <c r="Z85" s="596">
        <f t="shared" si="136"/>
        <v>2915</v>
      </c>
      <c r="AA85" s="598">
        <f t="shared" si="160"/>
        <v>795</v>
      </c>
      <c r="AB85" s="598">
        <f t="shared" si="138"/>
        <v>3710</v>
      </c>
      <c r="AC85" s="598">
        <f t="shared" si="161"/>
        <v>795</v>
      </c>
      <c r="AD85" s="598">
        <f t="shared" si="140"/>
        <v>4505</v>
      </c>
      <c r="AE85" s="598">
        <f t="shared" ref="AE85:AE87" si="162">IF(AD85&lt;$D85,IF(AD85+($D85/$E85)&lt;$D85,ROUND($D85/$E85,0),ROUND($D85-AD85,0)),0)</f>
        <v>795</v>
      </c>
      <c r="AF85" s="598">
        <f t="shared" si="142"/>
        <v>5300</v>
      </c>
      <c r="AG85" s="596">
        <f t="shared" ref="AG85:AG87" si="163">IF(AF85&lt;$D85,IF(AF85+($D85/$E85)&lt;$D85,ROUND($D85/$E85,0),ROUND($D85-AF85,0)),0)</f>
        <v>267</v>
      </c>
      <c r="AH85" s="596">
        <f t="shared" si="144"/>
        <v>5567</v>
      </c>
      <c r="AI85" s="598">
        <f t="shared" ref="AI85:AI92" si="164">IF(AH85&lt;$D85,IF(AH85+($D85/$E85)&lt;$D85,ROUND($D85/$E85,0),ROUND($D85-AH85,0)),0)</f>
        <v>0</v>
      </c>
      <c r="AJ85" s="598">
        <f t="shared" si="146"/>
        <v>5567</v>
      </c>
      <c r="AK85" s="598">
        <f t="shared" ref="AK85:AK92" si="165">IF(AJ85&lt;$D85,IF(AJ85+($D85/$E85)&lt;$D85,ROUND($D85/$E85,0),ROUND($D85-AJ85,0)),0)</f>
        <v>0</v>
      </c>
      <c r="AL85" s="598">
        <f t="shared" si="148"/>
        <v>5567</v>
      </c>
      <c r="AM85" s="598">
        <f t="shared" ref="AM85:AM95" si="166">IF(AL85&lt;$D85,IF(AL85+($D85/$E85)&lt;$D85,ROUND($D85/$E85,0),ROUND($D85-AL85,0)),0)</f>
        <v>0</v>
      </c>
      <c r="AN85" s="598">
        <f t="shared" si="150"/>
        <v>5567</v>
      </c>
      <c r="AO85" s="598">
        <f t="shared" ref="AO85:AO97" si="167">IF(AN85&lt;$D85,IF(AN85+($D85/$E85)&lt;$D85,ROUND($D85/$E85,0),ROUND($D85-AN85,0)),0)</f>
        <v>0</v>
      </c>
      <c r="AP85" s="598">
        <f t="shared" si="152"/>
        <v>5567</v>
      </c>
      <c r="AQ85" s="599">
        <f t="shared" ref="AQ85:AQ99" si="168">IF(AP85&lt;$D85,IF(AP85+($D85/$E85)&lt;$D85,ROUND($D85/$E85,0),ROUND($D85-AP85,0)),0)</f>
        <v>0</v>
      </c>
      <c r="AR85" s="599">
        <f t="shared" si="154"/>
        <v>5567</v>
      </c>
    </row>
    <row r="86" spans="1:44" s="101" customFormat="1" x14ac:dyDescent="0.25">
      <c r="A86" s="318"/>
      <c r="B86" s="367" t="s">
        <v>145</v>
      </c>
      <c r="C86" s="350">
        <v>39015</v>
      </c>
      <c r="D86" s="342">
        <v>4896</v>
      </c>
      <c r="E86" s="324">
        <v>5</v>
      </c>
      <c r="F86" s="598"/>
      <c r="G86" s="598"/>
      <c r="H86" s="598"/>
      <c r="I86" s="598"/>
      <c r="J86" s="366"/>
      <c r="K86" s="598"/>
      <c r="L86" s="598"/>
      <c r="M86" s="598"/>
      <c r="N86" s="598"/>
      <c r="O86" s="598"/>
      <c r="P86" s="598"/>
      <c r="Q86" s="598"/>
      <c r="R86" s="598"/>
      <c r="S86" s="598">
        <f>IF(R86&lt;$D86,IF(R86+($D86/$E86)&lt;$D86,ROUND($D86/$E86,0),ROUND($D86-R86,0)),0)/12*2</f>
        <v>163.16666666666666</v>
      </c>
      <c r="T86" s="598">
        <f t="shared" si="156"/>
        <v>163</v>
      </c>
      <c r="U86" s="598">
        <f t="shared" si="131"/>
        <v>979</v>
      </c>
      <c r="V86" s="598">
        <f t="shared" si="157"/>
        <v>1142</v>
      </c>
      <c r="W86" s="598">
        <f t="shared" si="158"/>
        <v>979</v>
      </c>
      <c r="X86" s="598">
        <f t="shared" si="134"/>
        <v>2121</v>
      </c>
      <c r="Y86" s="596">
        <f t="shared" si="159"/>
        <v>979</v>
      </c>
      <c r="Z86" s="596">
        <f t="shared" si="136"/>
        <v>3100</v>
      </c>
      <c r="AA86" s="598">
        <f t="shared" si="160"/>
        <v>979</v>
      </c>
      <c r="AB86" s="598">
        <f t="shared" si="138"/>
        <v>4079</v>
      </c>
      <c r="AC86" s="598">
        <f t="shared" si="161"/>
        <v>817</v>
      </c>
      <c r="AD86" s="598">
        <f t="shared" si="140"/>
        <v>4896</v>
      </c>
      <c r="AE86" s="598">
        <f t="shared" si="162"/>
        <v>0</v>
      </c>
      <c r="AF86" s="598">
        <f t="shared" si="142"/>
        <v>4896</v>
      </c>
      <c r="AG86" s="596">
        <f t="shared" si="163"/>
        <v>0</v>
      </c>
      <c r="AH86" s="596">
        <f t="shared" si="144"/>
        <v>4896</v>
      </c>
      <c r="AI86" s="598">
        <f t="shared" si="164"/>
        <v>0</v>
      </c>
      <c r="AJ86" s="598">
        <f t="shared" si="146"/>
        <v>4896</v>
      </c>
      <c r="AK86" s="598">
        <f t="shared" si="165"/>
        <v>0</v>
      </c>
      <c r="AL86" s="598">
        <f t="shared" si="148"/>
        <v>4896</v>
      </c>
      <c r="AM86" s="598">
        <f t="shared" si="166"/>
        <v>0</v>
      </c>
      <c r="AN86" s="598">
        <f t="shared" si="150"/>
        <v>4896</v>
      </c>
      <c r="AO86" s="598">
        <f t="shared" si="167"/>
        <v>0</v>
      </c>
      <c r="AP86" s="598">
        <f t="shared" si="152"/>
        <v>4896</v>
      </c>
      <c r="AQ86" s="599">
        <f t="shared" si="168"/>
        <v>0</v>
      </c>
      <c r="AR86" s="599">
        <f t="shared" si="154"/>
        <v>4896</v>
      </c>
    </row>
    <row r="87" spans="1:44" s="101" customFormat="1" x14ac:dyDescent="0.25">
      <c r="A87" s="318"/>
      <c r="B87" s="367" t="s">
        <v>149</v>
      </c>
      <c r="C87" s="350">
        <v>39029</v>
      </c>
      <c r="D87" s="342">
        <v>13654.4</v>
      </c>
      <c r="E87" s="324">
        <v>10</v>
      </c>
      <c r="F87" s="598"/>
      <c r="G87" s="598"/>
      <c r="H87" s="598"/>
      <c r="I87" s="598"/>
      <c r="J87" s="366"/>
      <c r="K87" s="598"/>
      <c r="L87" s="598"/>
      <c r="M87" s="598"/>
      <c r="N87" s="598"/>
      <c r="O87" s="598"/>
      <c r="P87" s="598"/>
      <c r="Q87" s="598"/>
      <c r="R87" s="598"/>
      <c r="S87" s="598">
        <f>IF(R87&lt;$D87,IF(R87+($D87/$E87)&lt;$D87,ROUND($D87/$E87,0),ROUND($D87-R87,0)),0)/12*2</f>
        <v>227.5</v>
      </c>
      <c r="T87" s="598">
        <f t="shared" si="156"/>
        <v>228</v>
      </c>
      <c r="U87" s="598">
        <f t="shared" si="131"/>
        <v>1365</v>
      </c>
      <c r="V87" s="598">
        <f t="shared" si="157"/>
        <v>1593</v>
      </c>
      <c r="W87" s="598">
        <f t="shared" si="158"/>
        <v>1365</v>
      </c>
      <c r="X87" s="598">
        <f t="shared" si="134"/>
        <v>2958</v>
      </c>
      <c r="Y87" s="596">
        <f t="shared" si="159"/>
        <v>1365</v>
      </c>
      <c r="Z87" s="596">
        <f t="shared" si="136"/>
        <v>4323</v>
      </c>
      <c r="AA87" s="598">
        <f t="shared" si="160"/>
        <v>1365</v>
      </c>
      <c r="AB87" s="598">
        <f t="shared" si="138"/>
        <v>5688</v>
      </c>
      <c r="AC87" s="598">
        <f t="shared" si="161"/>
        <v>1365</v>
      </c>
      <c r="AD87" s="598">
        <f t="shared" si="140"/>
        <v>7053</v>
      </c>
      <c r="AE87" s="598">
        <f t="shared" si="162"/>
        <v>1365</v>
      </c>
      <c r="AF87" s="598">
        <f t="shared" si="142"/>
        <v>8418</v>
      </c>
      <c r="AG87" s="596">
        <f t="shared" si="163"/>
        <v>1365</v>
      </c>
      <c r="AH87" s="596">
        <f t="shared" si="144"/>
        <v>9783</v>
      </c>
      <c r="AI87" s="598">
        <f t="shared" si="164"/>
        <v>1365</v>
      </c>
      <c r="AJ87" s="598">
        <f t="shared" si="146"/>
        <v>11148</v>
      </c>
      <c r="AK87" s="598">
        <f t="shared" si="165"/>
        <v>1365</v>
      </c>
      <c r="AL87" s="598">
        <f t="shared" si="148"/>
        <v>12513</v>
      </c>
      <c r="AM87" s="598">
        <f t="shared" si="166"/>
        <v>1141</v>
      </c>
      <c r="AN87" s="598">
        <f t="shared" si="150"/>
        <v>13654</v>
      </c>
      <c r="AO87" s="598">
        <f t="shared" si="167"/>
        <v>0</v>
      </c>
      <c r="AP87" s="598">
        <f t="shared" si="152"/>
        <v>13654</v>
      </c>
      <c r="AQ87" s="599">
        <f t="shared" si="168"/>
        <v>0</v>
      </c>
      <c r="AR87" s="599">
        <f t="shared" si="154"/>
        <v>13654</v>
      </c>
    </row>
    <row r="88" spans="1:44" s="101" customFormat="1" x14ac:dyDescent="0.25">
      <c r="A88" s="312"/>
      <c r="B88" s="367" t="s">
        <v>92</v>
      </c>
      <c r="C88" s="350">
        <v>39911</v>
      </c>
      <c r="D88" s="342">
        <v>1992.47</v>
      </c>
      <c r="E88" s="348">
        <v>5</v>
      </c>
      <c r="F88" s="596"/>
      <c r="G88" s="596"/>
      <c r="H88" s="596"/>
      <c r="I88" s="596"/>
      <c r="J88" s="342"/>
      <c r="K88" s="596"/>
      <c r="L88" s="596"/>
      <c r="M88" s="596"/>
      <c r="N88" s="596"/>
      <c r="O88" s="596"/>
      <c r="P88" s="596"/>
      <c r="Q88" s="596"/>
      <c r="R88" s="596"/>
      <c r="S88" s="596"/>
      <c r="T88" s="596"/>
      <c r="U88" s="596"/>
      <c r="V88" s="596"/>
      <c r="W88" s="596"/>
      <c r="X88" s="596">
        <f>ROUND(SUM(V88:W88),0)</f>
        <v>0</v>
      </c>
      <c r="Y88" s="596">
        <f>IF(X88&lt;$D88,IF(X88+($D88/$E88)&lt;$D88,ROUND($D88/$E88,0),ROUND($D88-X88,0)),0)/12*9</f>
        <v>298.5</v>
      </c>
      <c r="Z88" s="596">
        <f>ROUND(SUM(X88:Y88),0)</f>
        <v>299</v>
      </c>
      <c r="AA88" s="596">
        <f>IF(Z88&lt;$D88,IF(Z88+($D88/$E88)&lt;$D88,ROUND($D88/$E88,0),ROUND($D88-Z88,0)),0)</f>
        <v>398</v>
      </c>
      <c r="AB88" s="596">
        <f>ROUND(SUM(Z88:AA88),0)</f>
        <v>697</v>
      </c>
      <c r="AC88" s="596">
        <f>IF(AB88&lt;$D88,IF(AB88+($D88/$E88)&lt;$D88,ROUND($D88/$E88,0),ROUND($D88-AB88,0)),0)</f>
        <v>398</v>
      </c>
      <c r="AD88" s="596">
        <f>ROUND(SUM(AB88:AC88),0)</f>
        <v>1095</v>
      </c>
      <c r="AE88" s="596">
        <f>IF(AD88&lt;$D88,IF(AD88+($D88/$E88)&lt;$D88,ROUND($D88/$E88,0),ROUND($D88-AD88,0)),0)</f>
        <v>398</v>
      </c>
      <c r="AF88" s="596">
        <f>ROUND(SUM(AD88:AE88),0)</f>
        <v>1493</v>
      </c>
      <c r="AG88" s="596">
        <f>IF(AF88&lt;$D88,IF(AF88+($D88/$E88)&lt;$D88,ROUND($D88/$E88,0),ROUND($D88-AF88,0)),0)</f>
        <v>398</v>
      </c>
      <c r="AH88" s="596">
        <f>ROUND(SUM(AF88:AG88),0)</f>
        <v>1891</v>
      </c>
      <c r="AI88" s="596">
        <f t="shared" si="164"/>
        <v>101</v>
      </c>
      <c r="AJ88" s="596">
        <f>ROUND(SUM(AH88:AI88),0)</f>
        <v>1992</v>
      </c>
      <c r="AK88" s="596">
        <f t="shared" si="165"/>
        <v>0</v>
      </c>
      <c r="AL88" s="596">
        <f>ROUND(SUM(AJ88:AK88),0)</f>
        <v>1992</v>
      </c>
      <c r="AM88" s="596">
        <f t="shared" si="166"/>
        <v>0</v>
      </c>
      <c r="AN88" s="596">
        <f>ROUND(SUM(AL88:AM88),0)</f>
        <v>1992</v>
      </c>
      <c r="AO88" s="596">
        <f t="shared" si="167"/>
        <v>0</v>
      </c>
      <c r="AP88" s="596">
        <f>ROUND(SUM(AN88:AO88),0)</f>
        <v>1992</v>
      </c>
      <c r="AQ88" s="597">
        <f t="shared" si="168"/>
        <v>0</v>
      </c>
      <c r="AR88" s="597">
        <f>ROUND(SUM(AP88:AQ88),0)</f>
        <v>1992</v>
      </c>
    </row>
    <row r="89" spans="1:44" s="101" customFormat="1" x14ac:dyDescent="0.25">
      <c r="A89" s="312"/>
      <c r="B89" s="367" t="s">
        <v>560</v>
      </c>
      <c r="C89" s="350">
        <v>40277</v>
      </c>
      <c r="D89" s="342">
        <v>1781.9</v>
      </c>
      <c r="E89" s="348">
        <v>5</v>
      </c>
      <c r="F89" s="596"/>
      <c r="G89" s="596"/>
      <c r="H89" s="596"/>
      <c r="I89" s="596"/>
      <c r="J89" s="342"/>
      <c r="K89" s="596"/>
      <c r="L89" s="596"/>
      <c r="M89" s="596"/>
      <c r="N89" s="596"/>
      <c r="O89" s="596"/>
      <c r="P89" s="596"/>
      <c r="Q89" s="596"/>
      <c r="R89" s="596"/>
      <c r="S89" s="596"/>
      <c r="T89" s="596"/>
      <c r="U89" s="596"/>
      <c r="V89" s="596"/>
      <c r="W89" s="596"/>
      <c r="X89" s="596">
        <f>ROUND(SUM(V89:W89),0)</f>
        <v>0</v>
      </c>
      <c r="Y89" s="596">
        <v>0</v>
      </c>
      <c r="Z89" s="596">
        <f>ROUND(SUM(X89:Y89),0)</f>
        <v>0</v>
      </c>
      <c r="AA89" s="596">
        <f>IF(Z89&lt;$D89,IF(Z89+($D89/$E89)&lt;$D89,ROUND($D89/$E89,0),ROUND($D89-Z89,0)),0)/12*9</f>
        <v>267</v>
      </c>
      <c r="AB89" s="596">
        <f>ROUND(SUM(Z89:AA89),0)</f>
        <v>267</v>
      </c>
      <c r="AC89" s="596">
        <f>IF(AB89&lt;$D89,IF(AB89+($D89/$E89)&lt;$D89,ROUND($D89/$E89,0),ROUND($D89-AB89,0)),0)</f>
        <v>356</v>
      </c>
      <c r="AD89" s="596">
        <f>ROUND(SUM(AB89:AC89),0)</f>
        <v>623</v>
      </c>
      <c r="AE89" s="596">
        <f>IF(AD89&lt;$D89,IF(AD89+($D89/$E89)&lt;$D89,ROUND($D89/$E89,0),ROUND($D89-AD89,0)),0)</f>
        <v>356</v>
      </c>
      <c r="AF89" s="596">
        <f>ROUND(SUM(AD89:AE89),0)</f>
        <v>979</v>
      </c>
      <c r="AG89" s="596">
        <f>IF(AF89&lt;$D89,IF(AF89+($D89/$E89)&lt;$D89,ROUND($D89/$E89,0),ROUND($D89-AF89,0)),0)</f>
        <v>356</v>
      </c>
      <c r="AH89" s="596">
        <f>ROUND(SUM(AF89:AG89),0)</f>
        <v>1335</v>
      </c>
      <c r="AI89" s="596">
        <f t="shared" si="164"/>
        <v>356</v>
      </c>
      <c r="AJ89" s="596">
        <f>ROUND(SUM(AH89:AI89),0)</f>
        <v>1691</v>
      </c>
      <c r="AK89" s="596">
        <f t="shared" si="165"/>
        <v>91</v>
      </c>
      <c r="AL89" s="596">
        <f>ROUND(SUM(AJ89:AK89),0)</f>
        <v>1782</v>
      </c>
      <c r="AM89" s="596">
        <f t="shared" si="166"/>
        <v>0</v>
      </c>
      <c r="AN89" s="596">
        <f>ROUND(SUM(AL89:AM89),0)</f>
        <v>1782</v>
      </c>
      <c r="AO89" s="596">
        <f t="shared" si="167"/>
        <v>0</v>
      </c>
      <c r="AP89" s="596">
        <f>ROUND(SUM(AN89:AO89),0)</f>
        <v>1782</v>
      </c>
      <c r="AQ89" s="597">
        <f t="shared" si="168"/>
        <v>0</v>
      </c>
      <c r="AR89" s="597">
        <f>ROUND(SUM(AP89:AQ89),0)</f>
        <v>1782</v>
      </c>
    </row>
    <row r="90" spans="1:44" s="101" customFormat="1" x14ac:dyDescent="0.25">
      <c r="A90" s="312"/>
      <c r="B90" s="367" t="s">
        <v>561</v>
      </c>
      <c r="C90" s="350">
        <v>41061</v>
      </c>
      <c r="D90" s="342">
        <v>12267.98</v>
      </c>
      <c r="E90" s="348">
        <v>10</v>
      </c>
      <c r="F90" s="596"/>
      <c r="G90" s="596"/>
      <c r="H90" s="596"/>
      <c r="I90" s="596"/>
      <c r="J90" s="342"/>
      <c r="K90" s="596"/>
      <c r="L90" s="596"/>
      <c r="M90" s="596"/>
      <c r="N90" s="596"/>
      <c r="O90" s="596"/>
      <c r="P90" s="596"/>
      <c r="Q90" s="596"/>
      <c r="R90" s="596"/>
      <c r="S90" s="596"/>
      <c r="T90" s="596"/>
      <c r="U90" s="596"/>
      <c r="V90" s="596"/>
      <c r="W90" s="596"/>
      <c r="X90" s="596"/>
      <c r="Y90" s="596"/>
      <c r="Z90" s="596"/>
      <c r="AA90" s="596"/>
      <c r="AB90" s="596"/>
      <c r="AC90" s="596"/>
      <c r="AD90" s="596">
        <f t="shared" ref="AD90:AD91" si="169">ROUND(SUM(AB90:AC90),0)</f>
        <v>0</v>
      </c>
      <c r="AE90" s="596">
        <f>IF(AD90&lt;$D90,IF(AD90+($D90/$E90)&lt;$D90,ROUND($D90/$E90,0),ROUND($D90-AD90,0)),0)/12*7</f>
        <v>715.75</v>
      </c>
      <c r="AF90" s="596">
        <f t="shared" ref="AF90:AF91" si="170">ROUND(SUM(AD90:AE90),0)</f>
        <v>716</v>
      </c>
      <c r="AG90" s="596">
        <f>IF(AF90&lt;$D90,IF(AF90+($D90/$E90)&lt;$D90,ROUND($D90/$E90,0),ROUND($D90-AF90,0)),0)</f>
        <v>1227</v>
      </c>
      <c r="AH90" s="596">
        <f t="shared" ref="AH90:AH100" si="171">ROUND(SUM(AF90:AG90),0)</f>
        <v>1943</v>
      </c>
      <c r="AI90" s="596">
        <f t="shared" si="164"/>
        <v>1227</v>
      </c>
      <c r="AJ90" s="596">
        <f t="shared" ref="AJ90:AJ100" si="172">ROUND(SUM(AH90:AI90),0)</f>
        <v>3170</v>
      </c>
      <c r="AK90" s="596">
        <f t="shared" si="165"/>
        <v>1227</v>
      </c>
      <c r="AL90" s="596">
        <f t="shared" ref="AL90:AL94" si="173">ROUND(SUM(AJ90:AK90),0)</f>
        <v>4397</v>
      </c>
      <c r="AM90" s="596">
        <f t="shared" si="166"/>
        <v>1227</v>
      </c>
      <c r="AN90" s="596">
        <f t="shared" ref="AN90:AN94" si="174">ROUND(SUM(AL90:AM90),0)</f>
        <v>5624</v>
      </c>
      <c r="AO90" s="596">
        <f t="shared" si="167"/>
        <v>1227</v>
      </c>
      <c r="AP90" s="596">
        <f t="shared" ref="AP90:AP95" si="175">ROUND(SUM(AN90:AO90),0)</f>
        <v>6851</v>
      </c>
      <c r="AQ90" s="597">
        <f t="shared" si="168"/>
        <v>1227</v>
      </c>
      <c r="AR90" s="597">
        <f t="shared" ref="AR90:AR97" si="176">ROUND(SUM(AP90:AQ90),0)</f>
        <v>8078</v>
      </c>
    </row>
    <row r="91" spans="1:44" s="101" customFormat="1" x14ac:dyDescent="0.25">
      <c r="A91" s="312"/>
      <c r="B91" s="367" t="s">
        <v>562</v>
      </c>
      <c r="C91" s="350">
        <v>41153</v>
      </c>
      <c r="D91" s="342">
        <v>3708.37</v>
      </c>
      <c r="E91" s="348">
        <v>5</v>
      </c>
      <c r="F91" s="596"/>
      <c r="G91" s="596"/>
      <c r="H91" s="596"/>
      <c r="I91" s="596"/>
      <c r="J91" s="342"/>
      <c r="K91" s="596"/>
      <c r="L91" s="596"/>
      <c r="M91" s="596"/>
      <c r="N91" s="596"/>
      <c r="O91" s="596"/>
      <c r="P91" s="596"/>
      <c r="Q91" s="596"/>
      <c r="R91" s="596"/>
      <c r="S91" s="596"/>
      <c r="T91" s="596"/>
      <c r="U91" s="596"/>
      <c r="V91" s="596"/>
      <c r="W91" s="596"/>
      <c r="X91" s="596"/>
      <c r="Y91" s="596"/>
      <c r="Z91" s="596"/>
      <c r="AA91" s="596"/>
      <c r="AB91" s="596"/>
      <c r="AC91" s="596"/>
      <c r="AD91" s="596">
        <f t="shared" si="169"/>
        <v>0</v>
      </c>
      <c r="AE91" s="596">
        <f>IF(AD91&lt;$D91,IF(AD91+($D91/$E91)&lt;$D91,ROUND($D91/$E91,0),ROUND($D91-AD91,0)),0)/12*4</f>
        <v>247.33333333333334</v>
      </c>
      <c r="AF91" s="596">
        <f t="shared" si="170"/>
        <v>247</v>
      </c>
      <c r="AG91" s="596">
        <f>IF(AF91&lt;$D91,IF(AF91+($D91/$E91)&lt;$D91,ROUND($D91/$E91,0),ROUND($D91-AF91,0)),0)</f>
        <v>742</v>
      </c>
      <c r="AH91" s="596">
        <f t="shared" si="171"/>
        <v>989</v>
      </c>
      <c r="AI91" s="596">
        <f t="shared" si="164"/>
        <v>742</v>
      </c>
      <c r="AJ91" s="596">
        <f t="shared" si="172"/>
        <v>1731</v>
      </c>
      <c r="AK91" s="596">
        <f t="shared" si="165"/>
        <v>742</v>
      </c>
      <c r="AL91" s="596">
        <f t="shared" si="173"/>
        <v>2473</v>
      </c>
      <c r="AM91" s="596">
        <f t="shared" si="166"/>
        <v>742</v>
      </c>
      <c r="AN91" s="596">
        <f t="shared" si="174"/>
        <v>3215</v>
      </c>
      <c r="AO91" s="596">
        <f t="shared" si="167"/>
        <v>493</v>
      </c>
      <c r="AP91" s="596">
        <f t="shared" si="175"/>
        <v>3708</v>
      </c>
      <c r="AQ91" s="597">
        <f t="shared" si="168"/>
        <v>0</v>
      </c>
      <c r="AR91" s="597">
        <f t="shared" si="176"/>
        <v>3708</v>
      </c>
    </row>
    <row r="92" spans="1:44" s="101" customFormat="1" x14ac:dyDescent="0.25">
      <c r="A92" s="312">
        <v>2</v>
      </c>
      <c r="B92" s="367" t="s">
        <v>646</v>
      </c>
      <c r="C92" s="350">
        <v>41426</v>
      </c>
      <c r="D92" s="342">
        <v>41521.67</v>
      </c>
      <c r="E92" s="348">
        <v>5</v>
      </c>
      <c r="F92" s="596"/>
      <c r="G92" s="596"/>
      <c r="H92" s="596"/>
      <c r="I92" s="596"/>
      <c r="J92" s="342"/>
      <c r="K92" s="596"/>
      <c r="L92" s="596"/>
      <c r="M92" s="596"/>
      <c r="N92" s="596"/>
      <c r="O92" s="596"/>
      <c r="P92" s="596"/>
      <c r="Q92" s="596"/>
      <c r="R92" s="596"/>
      <c r="S92" s="596"/>
      <c r="T92" s="596"/>
      <c r="U92" s="596"/>
      <c r="V92" s="596"/>
      <c r="W92" s="596"/>
      <c r="X92" s="596"/>
      <c r="Y92" s="596"/>
      <c r="Z92" s="596"/>
      <c r="AA92" s="596"/>
      <c r="AB92" s="596"/>
      <c r="AC92" s="596"/>
      <c r="AD92" s="596"/>
      <c r="AE92" s="596"/>
      <c r="AF92" s="596"/>
      <c r="AG92" s="596">
        <f>IF(AF92&lt;$D92,IF(AF92+($D92/$E92)&lt;$D92,ROUND($D92/$E92,0),ROUND($D92-AF92,0)),0)/12*7</f>
        <v>4844</v>
      </c>
      <c r="AH92" s="596">
        <f t="shared" si="171"/>
        <v>4844</v>
      </c>
      <c r="AI92" s="596">
        <f t="shared" si="164"/>
        <v>8304</v>
      </c>
      <c r="AJ92" s="596">
        <f t="shared" si="172"/>
        <v>13148</v>
      </c>
      <c r="AK92" s="596">
        <f t="shared" si="165"/>
        <v>8304</v>
      </c>
      <c r="AL92" s="596">
        <f t="shared" si="173"/>
        <v>21452</v>
      </c>
      <c r="AM92" s="596">
        <f t="shared" si="166"/>
        <v>8304</v>
      </c>
      <c r="AN92" s="596">
        <f t="shared" si="174"/>
        <v>29756</v>
      </c>
      <c r="AO92" s="596">
        <f t="shared" si="167"/>
        <v>8304</v>
      </c>
      <c r="AP92" s="596">
        <f t="shared" si="175"/>
        <v>38060</v>
      </c>
      <c r="AQ92" s="597">
        <f t="shared" si="168"/>
        <v>3462</v>
      </c>
      <c r="AR92" s="597">
        <f t="shared" si="176"/>
        <v>41522</v>
      </c>
    </row>
    <row r="93" spans="1:44" s="101" customFormat="1" x14ac:dyDescent="0.25">
      <c r="A93" s="312"/>
      <c r="B93" s="367" t="s">
        <v>647</v>
      </c>
      <c r="C93" s="350">
        <v>42036</v>
      </c>
      <c r="D93" s="342">
        <v>7248.53</v>
      </c>
      <c r="E93" s="348">
        <v>10</v>
      </c>
      <c r="F93" s="596"/>
      <c r="G93" s="596"/>
      <c r="H93" s="596"/>
      <c r="I93" s="596"/>
      <c r="J93" s="342"/>
      <c r="K93" s="596"/>
      <c r="L93" s="596"/>
      <c r="M93" s="596"/>
      <c r="N93" s="596"/>
      <c r="O93" s="596"/>
      <c r="P93" s="596"/>
      <c r="Q93" s="596"/>
      <c r="R93" s="596"/>
      <c r="S93" s="596"/>
      <c r="T93" s="596"/>
      <c r="U93" s="596"/>
      <c r="V93" s="596"/>
      <c r="W93" s="596"/>
      <c r="X93" s="596"/>
      <c r="Y93" s="596"/>
      <c r="Z93" s="596"/>
      <c r="AA93" s="596"/>
      <c r="AB93" s="596"/>
      <c r="AC93" s="596"/>
      <c r="AD93" s="596"/>
      <c r="AE93" s="596"/>
      <c r="AF93" s="596"/>
      <c r="AG93" s="596"/>
      <c r="AH93" s="596"/>
      <c r="AI93" s="596"/>
      <c r="AJ93" s="596"/>
      <c r="AK93" s="596">
        <f>IF(AJ93&lt;$D93,IF(AJ93+($D93/$E93)&lt;$D93,ROUND($D93/$E93,0),ROUND($D93-AJ93,0)),0)/12*11</f>
        <v>664.58333333333326</v>
      </c>
      <c r="AL93" s="596">
        <f t="shared" si="173"/>
        <v>665</v>
      </c>
      <c r="AM93" s="596">
        <f t="shared" si="166"/>
        <v>725</v>
      </c>
      <c r="AN93" s="596">
        <f t="shared" si="174"/>
        <v>1390</v>
      </c>
      <c r="AO93" s="596">
        <f t="shared" si="167"/>
        <v>725</v>
      </c>
      <c r="AP93" s="596">
        <f t="shared" si="175"/>
        <v>2115</v>
      </c>
      <c r="AQ93" s="597">
        <f t="shared" si="168"/>
        <v>725</v>
      </c>
      <c r="AR93" s="597">
        <f t="shared" si="176"/>
        <v>2840</v>
      </c>
    </row>
    <row r="94" spans="1:44" s="101" customFormat="1" x14ac:dyDescent="0.25">
      <c r="A94" s="312"/>
      <c r="B94" s="367" t="s">
        <v>648</v>
      </c>
      <c r="C94" s="350">
        <v>42118</v>
      </c>
      <c r="D94" s="342">
        <v>21645.54</v>
      </c>
      <c r="E94" s="348">
        <v>5</v>
      </c>
      <c r="F94" s="596"/>
      <c r="G94" s="596"/>
      <c r="H94" s="596"/>
      <c r="I94" s="596"/>
      <c r="J94" s="342"/>
      <c r="K94" s="596"/>
      <c r="L94" s="596"/>
      <c r="M94" s="596"/>
      <c r="N94" s="596"/>
      <c r="O94" s="596"/>
      <c r="P94" s="596"/>
      <c r="Q94" s="596"/>
      <c r="R94" s="596"/>
      <c r="S94" s="596"/>
      <c r="T94" s="596"/>
      <c r="U94" s="596"/>
      <c r="V94" s="596"/>
      <c r="W94" s="596"/>
      <c r="X94" s="596"/>
      <c r="Y94" s="596"/>
      <c r="Z94" s="596"/>
      <c r="AA94" s="596"/>
      <c r="AB94" s="596"/>
      <c r="AC94" s="596"/>
      <c r="AD94" s="596"/>
      <c r="AE94" s="596"/>
      <c r="AF94" s="596"/>
      <c r="AG94" s="596"/>
      <c r="AH94" s="596"/>
      <c r="AI94" s="596"/>
      <c r="AJ94" s="596"/>
      <c r="AK94" s="596">
        <f>IF(AJ94&lt;$D94,IF(AJ94+($D94/$E94)&lt;$D94,ROUND($D94/$E94,0),ROUND($D94-AJ94,0)),0)/12*8</f>
        <v>2886</v>
      </c>
      <c r="AL94" s="596">
        <f t="shared" si="173"/>
        <v>2886</v>
      </c>
      <c r="AM94" s="596">
        <f t="shared" si="166"/>
        <v>4329</v>
      </c>
      <c r="AN94" s="596">
        <f t="shared" si="174"/>
        <v>7215</v>
      </c>
      <c r="AO94" s="596">
        <f t="shared" si="167"/>
        <v>4329</v>
      </c>
      <c r="AP94" s="596">
        <f t="shared" si="175"/>
        <v>11544</v>
      </c>
      <c r="AQ94" s="597">
        <f t="shared" si="168"/>
        <v>4329</v>
      </c>
      <c r="AR94" s="597">
        <f t="shared" si="176"/>
        <v>15873</v>
      </c>
    </row>
    <row r="95" spans="1:44" s="101" customFormat="1" x14ac:dyDescent="0.25">
      <c r="A95" s="312"/>
      <c r="B95" s="367" t="s">
        <v>649</v>
      </c>
      <c r="C95" s="350">
        <v>42127</v>
      </c>
      <c r="D95" s="342">
        <v>19710</v>
      </c>
      <c r="E95" s="348">
        <v>5</v>
      </c>
      <c r="F95" s="596"/>
      <c r="G95" s="596"/>
      <c r="H95" s="596"/>
      <c r="I95" s="596"/>
      <c r="J95" s="342"/>
      <c r="K95" s="596"/>
      <c r="L95" s="596"/>
      <c r="M95" s="596"/>
      <c r="N95" s="596"/>
      <c r="O95" s="596"/>
      <c r="P95" s="596"/>
      <c r="Q95" s="596"/>
      <c r="R95" s="596"/>
      <c r="S95" s="596"/>
      <c r="T95" s="596"/>
      <c r="U95" s="596"/>
      <c r="V95" s="596"/>
      <c r="W95" s="596"/>
      <c r="X95" s="596"/>
      <c r="Y95" s="596"/>
      <c r="Z95" s="596"/>
      <c r="AA95" s="596"/>
      <c r="AB95" s="596"/>
      <c r="AC95" s="596"/>
      <c r="AD95" s="596"/>
      <c r="AE95" s="596"/>
      <c r="AF95" s="596"/>
      <c r="AG95" s="596"/>
      <c r="AH95" s="596"/>
      <c r="AI95" s="596"/>
      <c r="AJ95" s="596"/>
      <c r="AK95" s="596">
        <f>IF(AJ95&lt;$D95,IF(AJ95+($D95/$E95)&lt;$D95,ROUND($D95/$E95,0),ROUND($D95-AJ95,0)),0)/12*8</f>
        <v>2628</v>
      </c>
      <c r="AL95" s="596">
        <f t="shared" ref="AL95" si="177">ROUND(SUM(AJ95:AK95),0)</f>
        <v>2628</v>
      </c>
      <c r="AM95" s="596">
        <f t="shared" si="166"/>
        <v>3942</v>
      </c>
      <c r="AN95" s="596">
        <f t="shared" ref="AN95:AN97" si="178">ROUND(SUM(AL95:AM95),0)</f>
        <v>6570</v>
      </c>
      <c r="AO95" s="596">
        <f t="shared" si="167"/>
        <v>3942</v>
      </c>
      <c r="AP95" s="596">
        <f t="shared" si="175"/>
        <v>10512</v>
      </c>
      <c r="AQ95" s="597">
        <f t="shared" si="168"/>
        <v>3942</v>
      </c>
      <c r="AR95" s="597">
        <f t="shared" si="176"/>
        <v>14454</v>
      </c>
    </row>
    <row r="96" spans="1:44" s="101" customFormat="1" x14ac:dyDescent="0.25">
      <c r="A96" s="312"/>
      <c r="B96" s="367" t="s">
        <v>650</v>
      </c>
      <c r="C96" s="350">
        <v>42613</v>
      </c>
      <c r="D96" s="342">
        <v>19710</v>
      </c>
      <c r="E96" s="348">
        <v>5</v>
      </c>
      <c r="F96" s="596"/>
      <c r="G96" s="596"/>
      <c r="H96" s="596"/>
      <c r="I96" s="596"/>
      <c r="J96" s="342"/>
      <c r="K96" s="596"/>
      <c r="L96" s="596"/>
      <c r="M96" s="596"/>
      <c r="N96" s="596"/>
      <c r="O96" s="596"/>
      <c r="P96" s="596"/>
      <c r="Q96" s="596"/>
      <c r="R96" s="596"/>
      <c r="S96" s="596"/>
      <c r="T96" s="596"/>
      <c r="U96" s="596"/>
      <c r="V96" s="596"/>
      <c r="W96" s="596"/>
      <c r="X96" s="596"/>
      <c r="Y96" s="596"/>
      <c r="Z96" s="596"/>
      <c r="AA96" s="596"/>
      <c r="AB96" s="596"/>
      <c r="AC96" s="596"/>
      <c r="AD96" s="596"/>
      <c r="AE96" s="596"/>
      <c r="AF96" s="596"/>
      <c r="AG96" s="596"/>
      <c r="AH96" s="596"/>
      <c r="AI96" s="596"/>
      <c r="AJ96" s="596"/>
      <c r="AK96" s="596"/>
      <c r="AL96" s="596"/>
      <c r="AM96" s="596">
        <f>IF(AL96&lt;$D96,IF(AL96+($D96/$E96)&lt;$D96,ROUND($D96/$E96,0),ROUND($D96-AL96,0)),0)/12*5</f>
        <v>1642.5</v>
      </c>
      <c r="AN96" s="596">
        <f t="shared" si="178"/>
        <v>1643</v>
      </c>
      <c r="AO96" s="596">
        <f t="shared" si="167"/>
        <v>3942</v>
      </c>
      <c r="AP96" s="596">
        <f t="shared" ref="AP96:AP99" si="179">ROUND(SUM(AN96:AO96),0)</f>
        <v>5585</v>
      </c>
      <c r="AQ96" s="597">
        <f t="shared" si="168"/>
        <v>3942</v>
      </c>
      <c r="AR96" s="597">
        <f t="shared" si="176"/>
        <v>9527</v>
      </c>
    </row>
    <row r="97" spans="1:44" s="101" customFormat="1" x14ac:dyDescent="0.25">
      <c r="A97" s="312">
        <v>3</v>
      </c>
      <c r="B97" s="367" t="s">
        <v>651</v>
      </c>
      <c r="C97" s="350">
        <v>42598</v>
      </c>
      <c r="D97" s="342">
        <v>44076.08</v>
      </c>
      <c r="E97" s="348">
        <v>5</v>
      </c>
      <c r="F97" s="596"/>
      <c r="G97" s="596"/>
      <c r="H97" s="596"/>
      <c r="I97" s="596"/>
      <c r="J97" s="342"/>
      <c r="K97" s="596"/>
      <c r="L97" s="596"/>
      <c r="M97" s="596"/>
      <c r="N97" s="596"/>
      <c r="O97" s="596"/>
      <c r="P97" s="596"/>
      <c r="Q97" s="596"/>
      <c r="R97" s="596"/>
      <c r="S97" s="596"/>
      <c r="T97" s="596"/>
      <c r="U97" s="596"/>
      <c r="V97" s="596"/>
      <c r="W97" s="596"/>
      <c r="X97" s="596"/>
      <c r="Y97" s="596"/>
      <c r="Z97" s="596"/>
      <c r="AA97" s="596"/>
      <c r="AB97" s="596"/>
      <c r="AC97" s="596"/>
      <c r="AD97" s="596"/>
      <c r="AE97" s="596"/>
      <c r="AF97" s="596"/>
      <c r="AG97" s="596"/>
      <c r="AH97" s="596"/>
      <c r="AI97" s="596"/>
      <c r="AJ97" s="596"/>
      <c r="AK97" s="596"/>
      <c r="AL97" s="596"/>
      <c r="AM97" s="596">
        <f>IF(AL97&lt;$D97,IF(AL97+($D97/$E97)&lt;$D97,ROUND($D97/$E97,0),ROUND($D97-AL97,0)),0)/12*5</f>
        <v>3672.916666666667</v>
      </c>
      <c r="AN97" s="596">
        <f t="shared" si="178"/>
        <v>3673</v>
      </c>
      <c r="AO97" s="596">
        <f t="shared" si="167"/>
        <v>8815</v>
      </c>
      <c r="AP97" s="596">
        <f t="shared" si="179"/>
        <v>12488</v>
      </c>
      <c r="AQ97" s="597">
        <f t="shared" si="168"/>
        <v>8815</v>
      </c>
      <c r="AR97" s="597">
        <f t="shared" si="176"/>
        <v>21303</v>
      </c>
    </row>
    <row r="98" spans="1:44" s="101" customFormat="1" x14ac:dyDescent="0.25">
      <c r="A98" s="312"/>
      <c r="B98" s="367" t="s">
        <v>652</v>
      </c>
      <c r="C98" s="350">
        <v>43009</v>
      </c>
      <c r="D98" s="342">
        <v>28201</v>
      </c>
      <c r="E98" s="348">
        <v>5</v>
      </c>
      <c r="F98" s="596"/>
      <c r="G98" s="596"/>
      <c r="H98" s="596"/>
      <c r="I98" s="596"/>
      <c r="J98" s="342"/>
      <c r="K98" s="596"/>
      <c r="L98" s="596"/>
      <c r="M98" s="596"/>
      <c r="N98" s="596"/>
      <c r="O98" s="596"/>
      <c r="P98" s="596"/>
      <c r="Q98" s="596"/>
      <c r="R98" s="596"/>
      <c r="S98" s="596"/>
      <c r="T98" s="596"/>
      <c r="U98" s="596"/>
      <c r="V98" s="596"/>
      <c r="W98" s="596"/>
      <c r="X98" s="596"/>
      <c r="Y98" s="596"/>
      <c r="Z98" s="596"/>
      <c r="AA98" s="596"/>
      <c r="AB98" s="596"/>
      <c r="AC98" s="596"/>
      <c r="AD98" s="596"/>
      <c r="AE98" s="596"/>
      <c r="AF98" s="596"/>
      <c r="AG98" s="596"/>
      <c r="AH98" s="596"/>
      <c r="AI98" s="596"/>
      <c r="AJ98" s="596"/>
      <c r="AK98" s="596"/>
      <c r="AL98" s="596"/>
      <c r="AM98" s="596"/>
      <c r="AN98" s="596"/>
      <c r="AO98" s="596">
        <f>IF(AN98&lt;$D98,IF(AN98+($D98/$E98)&lt;$D98,ROUND($D98/$E98,0),ROUND($D98-AN98,0)),0)/12*3</f>
        <v>1410</v>
      </c>
      <c r="AP98" s="596">
        <f t="shared" si="179"/>
        <v>1410</v>
      </c>
      <c r="AQ98" s="597">
        <f t="shared" si="168"/>
        <v>5640</v>
      </c>
      <c r="AR98" s="597">
        <f t="shared" ref="AR98:AR99" si="180">ROUND(SUM(AP98:AQ98),0)</f>
        <v>7050</v>
      </c>
    </row>
    <row r="99" spans="1:44" s="101" customFormat="1" x14ac:dyDescent="0.25">
      <c r="A99" s="312">
        <v>1</v>
      </c>
      <c r="B99" s="367" t="s">
        <v>653</v>
      </c>
      <c r="C99" s="350">
        <v>43070</v>
      </c>
      <c r="D99" s="342">
        <v>51754.78</v>
      </c>
      <c r="E99" s="348">
        <v>5</v>
      </c>
      <c r="F99" s="596"/>
      <c r="G99" s="596"/>
      <c r="H99" s="596"/>
      <c r="I99" s="596"/>
      <c r="J99" s="342"/>
      <c r="K99" s="596"/>
      <c r="L99" s="596"/>
      <c r="M99" s="596"/>
      <c r="N99" s="596"/>
      <c r="O99" s="596"/>
      <c r="P99" s="596"/>
      <c r="Q99" s="596"/>
      <c r="R99" s="596"/>
      <c r="S99" s="596"/>
      <c r="T99" s="596"/>
      <c r="U99" s="596"/>
      <c r="V99" s="596"/>
      <c r="W99" s="596"/>
      <c r="X99" s="596"/>
      <c r="Y99" s="596"/>
      <c r="Z99" s="596"/>
      <c r="AA99" s="596"/>
      <c r="AB99" s="596"/>
      <c r="AC99" s="596"/>
      <c r="AD99" s="596"/>
      <c r="AE99" s="596"/>
      <c r="AF99" s="596"/>
      <c r="AG99" s="596"/>
      <c r="AH99" s="596"/>
      <c r="AI99" s="596"/>
      <c r="AJ99" s="596"/>
      <c r="AK99" s="596"/>
      <c r="AL99" s="596"/>
      <c r="AM99" s="596"/>
      <c r="AN99" s="596"/>
      <c r="AO99" s="596">
        <f>IF(AN99&lt;$D99,IF(AN99+($D99/$E99)&lt;$D99,ROUND($D99/$E99,0),ROUND($D99-AN99,0)),0)/12*1</f>
        <v>862.58333333333337</v>
      </c>
      <c r="AP99" s="596">
        <f t="shared" si="179"/>
        <v>863</v>
      </c>
      <c r="AQ99" s="597">
        <f t="shared" si="168"/>
        <v>10351</v>
      </c>
      <c r="AR99" s="597">
        <f t="shared" si="180"/>
        <v>11214</v>
      </c>
    </row>
    <row r="100" spans="1:44" x14ac:dyDescent="0.25">
      <c r="A100" s="312"/>
      <c r="B100" s="367" t="s">
        <v>540</v>
      </c>
      <c r="C100" s="350"/>
      <c r="D100" s="342"/>
      <c r="E100" s="348"/>
      <c r="F100" s="596"/>
      <c r="G100" s="596"/>
      <c r="H100" s="596"/>
      <c r="I100" s="596"/>
      <c r="J100" s="342"/>
      <c r="K100" s="596"/>
      <c r="L100" s="596"/>
      <c r="M100" s="596"/>
      <c r="N100" s="596"/>
      <c r="O100" s="596"/>
      <c r="P100" s="596"/>
      <c r="Q100" s="596"/>
      <c r="R100" s="596"/>
      <c r="S100" s="596"/>
      <c r="T100" s="596"/>
      <c r="U100" s="596"/>
      <c r="V100" s="342"/>
      <c r="W100" s="342" t="e">
        <f>-#REF!</f>
        <v>#REF!</v>
      </c>
      <c r="X100" s="342"/>
      <c r="Y100" s="342">
        <v>0</v>
      </c>
      <c r="Z100" s="342">
        <v>0</v>
      </c>
      <c r="AA100" s="342">
        <v>0</v>
      </c>
      <c r="AB100" s="342"/>
      <c r="AC100" s="342">
        <v>0</v>
      </c>
      <c r="AD100" s="342"/>
      <c r="AE100" s="342">
        <v>0</v>
      </c>
      <c r="AF100" s="342">
        <v>0</v>
      </c>
      <c r="AG100" s="342">
        <v>0</v>
      </c>
      <c r="AH100" s="596">
        <f t="shared" si="171"/>
        <v>0</v>
      </c>
      <c r="AI100" s="342">
        <v>0</v>
      </c>
      <c r="AJ100" s="596">
        <f t="shared" si="172"/>
        <v>0</v>
      </c>
      <c r="AK100" s="342">
        <v>0</v>
      </c>
      <c r="AL100" s="342">
        <v>0</v>
      </c>
      <c r="AM100" s="353">
        <v>0</v>
      </c>
      <c r="AN100" s="353">
        <v>0</v>
      </c>
      <c r="AO100" s="353">
        <v>0</v>
      </c>
      <c r="AP100" s="353">
        <v>0</v>
      </c>
      <c r="AQ100" s="602">
        <v>0</v>
      </c>
      <c r="AR100" s="602">
        <v>0</v>
      </c>
    </row>
    <row r="101" spans="1:44" x14ac:dyDescent="0.25">
      <c r="A101" s="318" t="s">
        <v>563</v>
      </c>
      <c r="B101" s="372"/>
      <c r="C101" s="364"/>
      <c r="D101" s="618">
        <f>SUM(D77:D100)</f>
        <v>930144.39</v>
      </c>
      <c r="E101" s="324"/>
      <c r="F101" s="373">
        <f>SUM(F77:F83)</f>
        <v>425926</v>
      </c>
      <c r="G101" s="373">
        <f>SUM(G77:G83)</f>
        <v>25120</v>
      </c>
      <c r="H101" s="373">
        <f>SUM(H77:H83)</f>
        <v>451046</v>
      </c>
      <c r="I101" s="373">
        <f>SUM(I77:I84)</f>
        <v>26818</v>
      </c>
      <c r="J101" s="373">
        <f>SUM(J77:J84)</f>
        <v>477864</v>
      </c>
      <c r="K101" s="373">
        <f>SUM(K77:K84)</f>
        <v>27142</v>
      </c>
      <c r="L101" s="373">
        <f>SUM(L77:L84)</f>
        <v>505006</v>
      </c>
      <c r="M101" s="373">
        <f t="shared" ref="M101:W101" si="181">SUM(M77:M87)</f>
        <v>27356</v>
      </c>
      <c r="N101" s="373">
        <f t="shared" si="181"/>
        <v>532362</v>
      </c>
      <c r="O101" s="373">
        <f t="shared" si="181"/>
        <v>27356</v>
      </c>
      <c r="P101" s="373">
        <f t="shared" si="181"/>
        <v>559718</v>
      </c>
      <c r="Q101" s="373">
        <f t="shared" si="181"/>
        <v>27355</v>
      </c>
      <c r="R101" s="373">
        <f t="shared" si="181"/>
        <v>587073</v>
      </c>
      <c r="S101" s="373">
        <f t="shared" si="181"/>
        <v>26579.666666666668</v>
      </c>
      <c r="T101" s="373">
        <f t="shared" si="181"/>
        <v>613653</v>
      </c>
      <c r="U101" s="373">
        <f t="shared" si="181"/>
        <v>28797</v>
      </c>
      <c r="V101" s="373">
        <f t="shared" si="181"/>
        <v>642450</v>
      </c>
      <c r="W101" s="373">
        <f t="shared" si="181"/>
        <v>16298</v>
      </c>
      <c r="X101" s="373">
        <f t="shared" ref="X101:AR101" si="182">SUM(X77:X100)</f>
        <v>658748</v>
      </c>
      <c r="Y101" s="374">
        <f t="shared" si="182"/>
        <v>3651.5</v>
      </c>
      <c r="Z101" s="374">
        <f t="shared" si="182"/>
        <v>662400</v>
      </c>
      <c r="AA101" s="373">
        <f t="shared" si="182"/>
        <v>4018</v>
      </c>
      <c r="AB101" s="373">
        <f t="shared" si="182"/>
        <v>666418</v>
      </c>
      <c r="AC101" s="373">
        <f t="shared" si="182"/>
        <v>3945</v>
      </c>
      <c r="AD101" s="373">
        <f t="shared" si="182"/>
        <v>670363</v>
      </c>
      <c r="AE101" s="373">
        <f t="shared" si="182"/>
        <v>4094.0833333333335</v>
      </c>
      <c r="AF101" s="373">
        <f t="shared" si="182"/>
        <v>674457</v>
      </c>
      <c r="AG101" s="374">
        <f t="shared" si="182"/>
        <v>9202</v>
      </c>
      <c r="AH101" s="374">
        <f t="shared" si="182"/>
        <v>683659</v>
      </c>
      <c r="AI101" s="373">
        <f t="shared" si="182"/>
        <v>12098</v>
      </c>
      <c r="AJ101" s="373">
        <f t="shared" si="182"/>
        <v>695757</v>
      </c>
      <c r="AK101" s="373">
        <f t="shared" si="182"/>
        <v>17901.583333333336</v>
      </c>
      <c r="AL101" s="373">
        <f t="shared" si="182"/>
        <v>713659</v>
      </c>
      <c r="AM101" s="373">
        <f t="shared" si="182"/>
        <v>25719.416666666668</v>
      </c>
      <c r="AN101" s="373">
        <f t="shared" si="182"/>
        <v>739379</v>
      </c>
      <c r="AO101" s="373">
        <f t="shared" si="182"/>
        <v>34043.583333333336</v>
      </c>
      <c r="AP101" s="373">
        <f t="shared" si="182"/>
        <v>773423</v>
      </c>
      <c r="AQ101" s="619">
        <f t="shared" si="182"/>
        <v>42445</v>
      </c>
      <c r="AR101" s="619">
        <f t="shared" si="182"/>
        <v>815868</v>
      </c>
    </row>
    <row r="102" spans="1:44" x14ac:dyDescent="0.25">
      <c r="B102" s="372"/>
      <c r="C102" s="364"/>
      <c r="D102" s="620">
        <f>D101-AJ101</f>
        <v>234387.39</v>
      </c>
      <c r="E102" s="606" t="s">
        <v>643</v>
      </c>
      <c r="F102" s="366"/>
      <c r="G102" s="366"/>
      <c r="H102" s="366"/>
      <c r="I102" s="366"/>
      <c r="J102" s="366"/>
      <c r="K102" s="366"/>
      <c r="L102" s="366"/>
      <c r="M102" s="366"/>
      <c r="N102" s="366"/>
      <c r="O102" s="366"/>
      <c r="P102" s="366"/>
      <c r="Q102" s="366"/>
      <c r="R102" s="366"/>
      <c r="S102" s="366"/>
      <c r="T102" s="366"/>
      <c r="U102" s="366"/>
      <c r="V102" s="366"/>
      <c r="W102" s="366"/>
      <c r="X102" s="366"/>
      <c r="Y102" s="342"/>
      <c r="Z102" s="342"/>
      <c r="AA102" s="366"/>
      <c r="AB102" s="366"/>
      <c r="AC102" s="366"/>
      <c r="AD102" s="366"/>
      <c r="AE102" s="366"/>
      <c r="AF102" s="366"/>
      <c r="AG102" s="342"/>
      <c r="AH102" s="342"/>
      <c r="AI102" s="366"/>
      <c r="AJ102" s="366"/>
      <c r="AK102" s="366"/>
      <c r="AL102" s="366"/>
      <c r="AM102" s="366"/>
      <c r="AN102" s="366"/>
      <c r="AO102" s="366"/>
      <c r="AP102" s="366"/>
      <c r="AQ102" s="621"/>
      <c r="AR102" s="621"/>
    </row>
    <row r="103" spans="1:44" ht="12" customHeight="1" x14ac:dyDescent="0.25">
      <c r="B103" s="372"/>
      <c r="C103" s="364"/>
      <c r="D103" s="366"/>
      <c r="E103" s="324"/>
      <c r="F103" s="366"/>
      <c r="G103" s="366"/>
      <c r="H103" s="366"/>
      <c r="I103" s="366"/>
      <c r="J103" s="366"/>
      <c r="K103" s="366"/>
      <c r="L103" s="366"/>
      <c r="M103" s="366"/>
      <c r="N103" s="366"/>
      <c r="O103" s="366"/>
      <c r="P103" s="366"/>
      <c r="Q103" s="366"/>
      <c r="R103" s="366"/>
      <c r="S103" s="366"/>
      <c r="T103" s="366"/>
      <c r="U103" s="366"/>
      <c r="V103" s="366"/>
      <c r="W103" s="366"/>
      <c r="X103" s="366"/>
      <c r="Y103" s="342"/>
      <c r="Z103" s="342"/>
      <c r="AA103" s="366"/>
      <c r="AB103" s="366"/>
      <c r="AC103" s="366"/>
      <c r="AD103" s="366"/>
      <c r="AE103" s="366"/>
      <c r="AF103" s="366"/>
      <c r="AG103" s="342"/>
      <c r="AH103" s="342"/>
      <c r="AI103" s="366"/>
      <c r="AJ103" s="366"/>
      <c r="AK103" s="366"/>
      <c r="AL103" s="366"/>
      <c r="AM103" s="366"/>
      <c r="AN103" s="366"/>
      <c r="AO103" s="366"/>
      <c r="AP103" s="366"/>
      <c r="AQ103" s="621"/>
      <c r="AR103" s="621"/>
    </row>
    <row r="104" spans="1:44" x14ac:dyDescent="0.25">
      <c r="A104" s="318" t="s">
        <v>564</v>
      </c>
      <c r="C104" s="364"/>
      <c r="F104" s="324"/>
      <c r="I104" s="314"/>
      <c r="J104" s="314"/>
      <c r="K104" s="314"/>
      <c r="L104" s="314"/>
      <c r="M104" s="314"/>
      <c r="N104" s="314"/>
      <c r="O104" s="314"/>
      <c r="P104" s="314"/>
      <c r="Q104" s="314"/>
      <c r="R104" s="314"/>
      <c r="S104" s="314"/>
      <c r="T104" s="314"/>
      <c r="U104" s="314"/>
      <c r="V104" s="314"/>
      <c r="W104" s="314"/>
      <c r="X104" s="314"/>
      <c r="Y104" s="315"/>
      <c r="Z104" s="315"/>
      <c r="AA104" s="314"/>
      <c r="AB104" s="314"/>
      <c r="AC104" s="314"/>
      <c r="AD104" s="314"/>
      <c r="AE104" s="314"/>
      <c r="AF104" s="314"/>
      <c r="AG104" s="315"/>
      <c r="AH104" s="315"/>
      <c r="AI104" s="314"/>
      <c r="AJ104" s="314"/>
      <c r="AK104" s="314"/>
      <c r="AL104" s="314"/>
      <c r="AM104" s="314"/>
      <c r="AN104" s="314"/>
      <c r="AO104" s="314"/>
      <c r="AP104" s="314"/>
      <c r="AQ104" s="612"/>
      <c r="AR104" s="612"/>
    </row>
    <row r="105" spans="1:44" x14ac:dyDescent="0.25">
      <c r="B105" s="312" t="s">
        <v>90</v>
      </c>
      <c r="C105" s="365">
        <v>33055</v>
      </c>
      <c r="D105" s="348">
        <v>693387</v>
      </c>
      <c r="E105" s="324">
        <v>20</v>
      </c>
      <c r="F105" s="598">
        <v>329444</v>
      </c>
      <c r="G105" s="598">
        <f t="shared" ref="G105:I114" si="183">IF(F105&lt;$D105,IF(F105+($D105/$E105)&lt;$D105,ROUND($D105/$E105,0),ROUND($D105-F105,0)),0)</f>
        <v>34669</v>
      </c>
      <c r="H105" s="598">
        <f t="shared" ref="H105:H114" si="184">ROUND(SUM(F105:G105),0)</f>
        <v>364113</v>
      </c>
      <c r="I105" s="598">
        <f t="shared" si="183"/>
        <v>34669</v>
      </c>
      <c r="J105" s="598">
        <f>ROUND(SUM(H105:I105),0)</f>
        <v>398782</v>
      </c>
      <c r="K105" s="598">
        <f t="shared" ref="K105:M116" si="185">IF(J105&lt;$D105,IF(J105+($D105/$E105)&lt;$D105,ROUND($D105/$E105,0),ROUND($D105-J105,0)),0)</f>
        <v>34669</v>
      </c>
      <c r="L105" s="598">
        <f>ROUND(SUM(J105:K105),0)</f>
        <v>433451</v>
      </c>
      <c r="M105" s="598">
        <f t="shared" si="185"/>
        <v>34669</v>
      </c>
      <c r="N105" s="598">
        <f t="shared" ref="N105:N116" si="186">ROUND(SUM(L105:M105),0)</f>
        <v>468120</v>
      </c>
      <c r="O105" s="598">
        <f t="shared" ref="O105:Q118" si="187">IF(N105&lt;$D105,IF(N105+($D105/$E105)&lt;$D105,ROUND($D105/$E105,0),ROUND($D105-N105,0)),0)</f>
        <v>34669</v>
      </c>
      <c r="P105" s="598">
        <f t="shared" ref="P105:P116" si="188">ROUND(SUM(N105:O105),0)</f>
        <v>502789</v>
      </c>
      <c r="Q105" s="598">
        <f t="shared" si="187"/>
        <v>34669</v>
      </c>
      <c r="R105" s="598">
        <f t="shared" ref="R105:R123" si="189">ROUND(SUM(P105:Q105),0)</f>
        <v>537458</v>
      </c>
      <c r="S105" s="598">
        <f t="shared" ref="S105:S123" si="190">IF(R105&lt;$D105,IF(R105+($D105/$E105)&lt;$D105,ROUND($D105/$E105,0),ROUND($D105-R105,0)),0)</f>
        <v>34669</v>
      </c>
      <c r="T105" s="598">
        <f t="shared" ref="T105:T123" si="191">ROUND(SUM(R105:S105),0)</f>
        <v>572127</v>
      </c>
      <c r="U105" s="598">
        <f t="shared" ref="U105:U126" si="192">IF(T105&lt;$D105,IF(T105+($D105/$E105)&lt;$D105,ROUND($D105/$E105,0),ROUND($D105-T105,0)),0)</f>
        <v>34669</v>
      </c>
      <c r="V105" s="598">
        <f t="shared" ref="V105:V114" si="193">ROUND(SUM(T105:U105),0)</f>
        <v>606796</v>
      </c>
      <c r="W105" s="598">
        <f t="shared" ref="W105:W115" si="194">IF(V105&lt;$D105,IF(V105+($D105/$E105)&lt;$D105,ROUND($D105/$E105,0),ROUND($D105-V105,0)),0)</f>
        <v>34669</v>
      </c>
      <c r="X105" s="598">
        <f t="shared" ref="X105:X125" si="195">ROUND(SUM(V105:W105),0)</f>
        <v>641465</v>
      </c>
      <c r="Y105" s="596">
        <f t="shared" ref="Y105:Y115" si="196">IF(X105&lt;$D105,IF(X105+($D105/$E105)&lt;$D105,ROUND($D105/$E105,0),ROUND($D105-X105,0)),0)</f>
        <v>34669</v>
      </c>
      <c r="Z105" s="596">
        <f t="shared" ref="Z105:Z125" si="197">ROUND(SUM(X105:Y105),0)</f>
        <v>676134</v>
      </c>
      <c r="AA105" s="598">
        <f t="shared" ref="AA105:AA115" si="198">IF(Z105&lt;$D105,IF(Z105+($D105/$E105)&lt;$D105,ROUND($D105/$E105,0),ROUND($D105-Z105,0)),0)</f>
        <v>17253</v>
      </c>
      <c r="AB105" s="598">
        <f t="shared" ref="AB105:AB125" si="199">ROUND(SUM(Z105:AA105),0)</f>
        <v>693387</v>
      </c>
      <c r="AC105" s="598">
        <f t="shared" ref="AC105:AC115" si="200">IF(AB105&lt;$D105,IF(AB105+($D105/$E105)&lt;$D105,ROUND($D105/$E105,0),ROUND($D105-AB105,0)),0)</f>
        <v>0</v>
      </c>
      <c r="AD105" s="598">
        <f t="shared" ref="AD105:AD125" si="201">ROUND(SUM(AB105:AC105),0)</f>
        <v>693387</v>
      </c>
      <c r="AE105" s="598">
        <f t="shared" ref="AE105:AE115" si="202">IF(AD105&lt;$D105,IF(AD105+($D105/$E105)&lt;$D105,ROUND($D105/$E105,0),ROUND($D105-AD105,0)),0)</f>
        <v>0</v>
      </c>
      <c r="AF105" s="598">
        <f t="shared" ref="AF105:AF125" si="203">ROUND(SUM(AD105:AE105),0)</f>
        <v>693387</v>
      </c>
      <c r="AG105" s="596">
        <f t="shared" ref="AG105:AG115" si="204">IF(AF105&lt;$D105,IF(AF105+($D105/$E105)&lt;$D105,ROUND($D105/$E105,0),ROUND($D105-AF105,0)),0)</f>
        <v>0</v>
      </c>
      <c r="AH105" s="596">
        <f t="shared" ref="AH105:AH125" si="205">ROUND(SUM(AF105:AG105),0)</f>
        <v>693387</v>
      </c>
      <c r="AI105" s="598">
        <f t="shared" ref="AI105:AI115" si="206">IF(AH105&lt;$D105,IF(AH105+($D105/$E105)&lt;$D105,ROUND($D105/$E105,0),ROUND($D105-AH105,0)),0)</f>
        <v>0</v>
      </c>
      <c r="AJ105" s="598">
        <f t="shared" ref="AJ105:AJ125" si="207">ROUND(SUM(AH105:AI105),0)</f>
        <v>693387</v>
      </c>
      <c r="AK105" s="598">
        <f t="shared" ref="AK105:AK115" si="208">IF(AJ105&lt;$D105,IF(AJ105+($D105/$E105)&lt;$D105,ROUND($D105/$E105,0),ROUND($D105-AJ105,0)),0)</f>
        <v>0</v>
      </c>
      <c r="AL105" s="598">
        <f t="shared" ref="AL105:AL125" si="209">ROUND(SUM(AJ105:AK105),0)</f>
        <v>693387</v>
      </c>
      <c r="AM105" s="598">
        <f t="shared" ref="AM105:AM115" si="210">IF(AL105&lt;$D105,IF(AL105+($D105/$E105)&lt;$D105,ROUND($D105/$E105,0),ROUND($D105-AL105,0)),0)</f>
        <v>0</v>
      </c>
      <c r="AN105" s="598">
        <f t="shared" ref="AN105:AN118" si="211">ROUND(SUM(AL105:AM105),0)</f>
        <v>693387</v>
      </c>
      <c r="AO105" s="598">
        <f t="shared" ref="AO105:AO115" si="212">IF(AN105&lt;$D105,IF(AN105+($D105/$E105)&lt;$D105,ROUND($D105/$E105,0),ROUND($D105-AN105,0)),0)</f>
        <v>0</v>
      </c>
      <c r="AP105" s="598">
        <f t="shared" ref="AP105:AP118" si="213">ROUND(SUM(AN105:AO105),0)</f>
        <v>693387</v>
      </c>
      <c r="AQ105" s="599">
        <f t="shared" ref="AQ105:AQ115" si="214">IF(AP105&lt;$D105,IF(AP105+($D105/$E105)&lt;$D105,ROUND($D105/$E105,0),ROUND($D105-AP105,0)),0)</f>
        <v>0</v>
      </c>
      <c r="AR105" s="599">
        <f t="shared" ref="AR105:AR118" si="215">ROUND(SUM(AP105:AQ105),0)</f>
        <v>693387</v>
      </c>
    </row>
    <row r="106" spans="1:44" x14ac:dyDescent="0.25">
      <c r="B106" s="312" t="s">
        <v>91</v>
      </c>
      <c r="C106" s="365">
        <v>33208</v>
      </c>
      <c r="D106" s="348">
        <v>5535</v>
      </c>
      <c r="E106" s="324">
        <v>5</v>
      </c>
      <c r="F106" s="598">
        <v>5535</v>
      </c>
      <c r="G106" s="598">
        <f t="shared" si="183"/>
        <v>0</v>
      </c>
      <c r="H106" s="598">
        <f>ROUND(SUM(F106:G106),0)</f>
        <v>5535</v>
      </c>
      <c r="I106" s="598">
        <f t="shared" si="183"/>
        <v>0</v>
      </c>
      <c r="J106" s="598">
        <f>ROUND(SUM(H106:I106),0)</f>
        <v>5535</v>
      </c>
      <c r="K106" s="598">
        <f t="shared" si="185"/>
        <v>0</v>
      </c>
      <c r="L106" s="598">
        <f>ROUND(SUM(J106:K106),0)</f>
        <v>5535</v>
      </c>
      <c r="M106" s="598">
        <f t="shared" si="185"/>
        <v>0</v>
      </c>
      <c r="N106" s="598">
        <f t="shared" si="186"/>
        <v>5535</v>
      </c>
      <c r="O106" s="598">
        <f t="shared" si="187"/>
        <v>0</v>
      </c>
      <c r="P106" s="598">
        <f t="shared" si="188"/>
        <v>5535</v>
      </c>
      <c r="Q106" s="598">
        <f t="shared" si="187"/>
        <v>0</v>
      </c>
      <c r="R106" s="598">
        <f t="shared" si="189"/>
        <v>5535</v>
      </c>
      <c r="S106" s="598">
        <f t="shared" si="190"/>
        <v>0</v>
      </c>
      <c r="T106" s="598">
        <f t="shared" si="191"/>
        <v>5535</v>
      </c>
      <c r="U106" s="598">
        <f t="shared" si="192"/>
        <v>0</v>
      </c>
      <c r="V106" s="598">
        <f t="shared" si="193"/>
        <v>5535</v>
      </c>
      <c r="W106" s="598">
        <f t="shared" si="194"/>
        <v>0</v>
      </c>
      <c r="X106" s="598">
        <f t="shared" si="195"/>
        <v>5535</v>
      </c>
      <c r="Y106" s="596">
        <f t="shared" si="196"/>
        <v>0</v>
      </c>
      <c r="Z106" s="596">
        <f t="shared" si="197"/>
        <v>5535</v>
      </c>
      <c r="AA106" s="598">
        <f t="shared" si="198"/>
        <v>0</v>
      </c>
      <c r="AB106" s="598">
        <f t="shared" si="199"/>
        <v>5535</v>
      </c>
      <c r="AC106" s="598">
        <f t="shared" si="200"/>
        <v>0</v>
      </c>
      <c r="AD106" s="598">
        <f t="shared" si="201"/>
        <v>5535</v>
      </c>
      <c r="AE106" s="598">
        <f t="shared" si="202"/>
        <v>0</v>
      </c>
      <c r="AF106" s="598">
        <f t="shared" si="203"/>
        <v>5535</v>
      </c>
      <c r="AG106" s="596">
        <f t="shared" si="204"/>
        <v>0</v>
      </c>
      <c r="AH106" s="596">
        <f t="shared" si="205"/>
        <v>5535</v>
      </c>
      <c r="AI106" s="598">
        <f t="shared" si="206"/>
        <v>0</v>
      </c>
      <c r="AJ106" s="598">
        <f t="shared" si="207"/>
        <v>5535</v>
      </c>
      <c r="AK106" s="598">
        <f t="shared" si="208"/>
        <v>0</v>
      </c>
      <c r="AL106" s="598">
        <f t="shared" si="209"/>
        <v>5535</v>
      </c>
      <c r="AM106" s="598">
        <f t="shared" si="210"/>
        <v>0</v>
      </c>
      <c r="AN106" s="598">
        <f t="shared" si="211"/>
        <v>5535</v>
      </c>
      <c r="AO106" s="598">
        <f t="shared" si="212"/>
        <v>0</v>
      </c>
      <c r="AP106" s="598">
        <f t="shared" si="213"/>
        <v>5535</v>
      </c>
      <c r="AQ106" s="599">
        <f t="shared" si="214"/>
        <v>0</v>
      </c>
      <c r="AR106" s="599">
        <f t="shared" si="215"/>
        <v>5535</v>
      </c>
    </row>
    <row r="107" spans="1:44" x14ac:dyDescent="0.25">
      <c r="B107" s="312" t="s">
        <v>154</v>
      </c>
      <c r="C107" s="365">
        <v>33534</v>
      </c>
      <c r="D107" s="348">
        <v>4845</v>
      </c>
      <c r="E107" s="324">
        <v>20</v>
      </c>
      <c r="F107" s="598">
        <v>1977</v>
      </c>
      <c r="G107" s="598">
        <f t="shared" si="183"/>
        <v>242</v>
      </c>
      <c r="H107" s="598">
        <f t="shared" si="184"/>
        <v>2219</v>
      </c>
      <c r="I107" s="598">
        <f t="shared" si="183"/>
        <v>242</v>
      </c>
      <c r="J107" s="598">
        <f t="shared" ref="J107:J113" si="216">ROUND(SUM(H107:I107),0)</f>
        <v>2461</v>
      </c>
      <c r="K107" s="598">
        <f t="shared" si="185"/>
        <v>242</v>
      </c>
      <c r="L107" s="598">
        <f t="shared" ref="L107:L116" si="217">ROUND(SUM(J107:K107),0)</f>
        <v>2703</v>
      </c>
      <c r="M107" s="598">
        <f t="shared" si="185"/>
        <v>242</v>
      </c>
      <c r="N107" s="598">
        <f t="shared" si="186"/>
        <v>2945</v>
      </c>
      <c r="O107" s="598">
        <f t="shared" si="187"/>
        <v>242</v>
      </c>
      <c r="P107" s="598">
        <f t="shared" si="188"/>
        <v>3187</v>
      </c>
      <c r="Q107" s="598">
        <f t="shared" si="187"/>
        <v>242</v>
      </c>
      <c r="R107" s="598">
        <f t="shared" si="189"/>
        <v>3429</v>
      </c>
      <c r="S107" s="598">
        <f t="shared" si="190"/>
        <v>242</v>
      </c>
      <c r="T107" s="598">
        <f t="shared" si="191"/>
        <v>3671</v>
      </c>
      <c r="U107" s="598">
        <f t="shared" si="192"/>
        <v>242</v>
      </c>
      <c r="V107" s="598">
        <f t="shared" si="193"/>
        <v>3913</v>
      </c>
      <c r="W107" s="598">
        <f t="shared" si="194"/>
        <v>242</v>
      </c>
      <c r="X107" s="598">
        <f t="shared" si="195"/>
        <v>4155</v>
      </c>
      <c r="Y107" s="596">
        <f t="shared" si="196"/>
        <v>242</v>
      </c>
      <c r="Z107" s="596">
        <f t="shared" si="197"/>
        <v>4397</v>
      </c>
      <c r="AA107" s="598">
        <f t="shared" si="198"/>
        <v>242</v>
      </c>
      <c r="AB107" s="598">
        <f t="shared" si="199"/>
        <v>4639</v>
      </c>
      <c r="AC107" s="598">
        <f t="shared" si="200"/>
        <v>206</v>
      </c>
      <c r="AD107" s="598">
        <f t="shared" si="201"/>
        <v>4845</v>
      </c>
      <c r="AE107" s="598">
        <f t="shared" si="202"/>
        <v>0</v>
      </c>
      <c r="AF107" s="598">
        <f t="shared" si="203"/>
        <v>4845</v>
      </c>
      <c r="AG107" s="596">
        <f t="shared" si="204"/>
        <v>0</v>
      </c>
      <c r="AH107" s="596">
        <f t="shared" si="205"/>
        <v>4845</v>
      </c>
      <c r="AI107" s="598">
        <f t="shared" si="206"/>
        <v>0</v>
      </c>
      <c r="AJ107" s="598">
        <f t="shared" si="207"/>
        <v>4845</v>
      </c>
      <c r="AK107" s="598">
        <f t="shared" si="208"/>
        <v>0</v>
      </c>
      <c r="AL107" s="598">
        <f t="shared" si="209"/>
        <v>4845</v>
      </c>
      <c r="AM107" s="598">
        <f t="shared" si="210"/>
        <v>0</v>
      </c>
      <c r="AN107" s="598">
        <f t="shared" si="211"/>
        <v>4845</v>
      </c>
      <c r="AO107" s="598">
        <f t="shared" si="212"/>
        <v>0</v>
      </c>
      <c r="AP107" s="598">
        <f t="shared" si="213"/>
        <v>4845</v>
      </c>
      <c r="AQ107" s="599">
        <f t="shared" si="214"/>
        <v>0</v>
      </c>
      <c r="AR107" s="599">
        <f t="shared" si="215"/>
        <v>4845</v>
      </c>
    </row>
    <row r="108" spans="1:44" x14ac:dyDescent="0.25">
      <c r="B108" s="312" t="s">
        <v>155</v>
      </c>
      <c r="C108" s="365">
        <v>33939</v>
      </c>
      <c r="D108" s="348">
        <v>6701</v>
      </c>
      <c r="E108" s="324">
        <v>7</v>
      </c>
      <c r="F108" s="598">
        <v>6701</v>
      </c>
      <c r="G108" s="598">
        <f t="shared" si="183"/>
        <v>0</v>
      </c>
      <c r="H108" s="598">
        <f t="shared" si="184"/>
        <v>6701</v>
      </c>
      <c r="I108" s="598">
        <f t="shared" si="183"/>
        <v>0</v>
      </c>
      <c r="J108" s="598">
        <f t="shared" si="216"/>
        <v>6701</v>
      </c>
      <c r="K108" s="598">
        <f t="shared" si="185"/>
        <v>0</v>
      </c>
      <c r="L108" s="598">
        <f t="shared" si="217"/>
        <v>6701</v>
      </c>
      <c r="M108" s="598">
        <f t="shared" si="185"/>
        <v>0</v>
      </c>
      <c r="N108" s="598">
        <f t="shared" si="186"/>
        <v>6701</v>
      </c>
      <c r="O108" s="598">
        <f t="shared" si="187"/>
        <v>0</v>
      </c>
      <c r="P108" s="598">
        <f t="shared" si="188"/>
        <v>6701</v>
      </c>
      <c r="Q108" s="598">
        <f t="shared" si="187"/>
        <v>0</v>
      </c>
      <c r="R108" s="598">
        <f t="shared" si="189"/>
        <v>6701</v>
      </c>
      <c r="S108" s="598">
        <f t="shared" si="190"/>
        <v>0</v>
      </c>
      <c r="T108" s="598">
        <f t="shared" si="191"/>
        <v>6701</v>
      </c>
      <c r="U108" s="598">
        <f t="shared" si="192"/>
        <v>0</v>
      </c>
      <c r="V108" s="598">
        <f t="shared" si="193"/>
        <v>6701</v>
      </c>
      <c r="W108" s="598">
        <f t="shared" si="194"/>
        <v>0</v>
      </c>
      <c r="X108" s="598">
        <f t="shared" si="195"/>
        <v>6701</v>
      </c>
      <c r="Y108" s="596">
        <f t="shared" si="196"/>
        <v>0</v>
      </c>
      <c r="Z108" s="596">
        <f t="shared" si="197"/>
        <v>6701</v>
      </c>
      <c r="AA108" s="598">
        <f t="shared" si="198"/>
        <v>0</v>
      </c>
      <c r="AB108" s="598">
        <f t="shared" si="199"/>
        <v>6701</v>
      </c>
      <c r="AC108" s="598">
        <f t="shared" si="200"/>
        <v>0</v>
      </c>
      <c r="AD108" s="598">
        <f t="shared" si="201"/>
        <v>6701</v>
      </c>
      <c r="AE108" s="598">
        <f t="shared" si="202"/>
        <v>0</v>
      </c>
      <c r="AF108" s="598">
        <f t="shared" si="203"/>
        <v>6701</v>
      </c>
      <c r="AG108" s="596">
        <f t="shared" si="204"/>
        <v>0</v>
      </c>
      <c r="AH108" s="596">
        <f t="shared" si="205"/>
        <v>6701</v>
      </c>
      <c r="AI108" s="598">
        <f t="shared" si="206"/>
        <v>0</v>
      </c>
      <c r="AJ108" s="598">
        <f t="shared" si="207"/>
        <v>6701</v>
      </c>
      <c r="AK108" s="598">
        <f t="shared" si="208"/>
        <v>0</v>
      </c>
      <c r="AL108" s="598">
        <f t="shared" si="209"/>
        <v>6701</v>
      </c>
      <c r="AM108" s="598">
        <f t="shared" si="210"/>
        <v>0</v>
      </c>
      <c r="AN108" s="598">
        <f t="shared" si="211"/>
        <v>6701</v>
      </c>
      <c r="AO108" s="598">
        <f t="shared" si="212"/>
        <v>0</v>
      </c>
      <c r="AP108" s="598">
        <f t="shared" si="213"/>
        <v>6701</v>
      </c>
      <c r="AQ108" s="599">
        <f t="shared" si="214"/>
        <v>0</v>
      </c>
      <c r="AR108" s="599">
        <f t="shared" si="215"/>
        <v>6701</v>
      </c>
    </row>
    <row r="109" spans="1:44" x14ac:dyDescent="0.25">
      <c r="B109" s="312" t="s">
        <v>156</v>
      </c>
      <c r="C109" s="365">
        <v>34213</v>
      </c>
      <c r="D109" s="348">
        <v>4362</v>
      </c>
      <c r="E109" s="324">
        <v>5</v>
      </c>
      <c r="F109" s="598">
        <v>4362</v>
      </c>
      <c r="G109" s="598">
        <f t="shared" si="183"/>
        <v>0</v>
      </c>
      <c r="H109" s="598">
        <f t="shared" si="184"/>
        <v>4362</v>
      </c>
      <c r="I109" s="598">
        <f t="shared" si="183"/>
        <v>0</v>
      </c>
      <c r="J109" s="598">
        <f t="shared" si="216"/>
        <v>4362</v>
      </c>
      <c r="K109" s="598">
        <f t="shared" si="185"/>
        <v>0</v>
      </c>
      <c r="L109" s="598">
        <f t="shared" si="217"/>
        <v>4362</v>
      </c>
      <c r="M109" s="598">
        <f t="shared" si="185"/>
        <v>0</v>
      </c>
      <c r="N109" s="598">
        <f t="shared" si="186"/>
        <v>4362</v>
      </c>
      <c r="O109" s="598">
        <f t="shared" si="187"/>
        <v>0</v>
      </c>
      <c r="P109" s="598">
        <f t="shared" si="188"/>
        <v>4362</v>
      </c>
      <c r="Q109" s="598">
        <f t="shared" si="187"/>
        <v>0</v>
      </c>
      <c r="R109" s="598">
        <f t="shared" si="189"/>
        <v>4362</v>
      </c>
      <c r="S109" s="598">
        <f t="shared" si="190"/>
        <v>0</v>
      </c>
      <c r="T109" s="598">
        <f t="shared" si="191"/>
        <v>4362</v>
      </c>
      <c r="U109" s="598">
        <f t="shared" si="192"/>
        <v>0</v>
      </c>
      <c r="V109" s="598">
        <f t="shared" si="193"/>
        <v>4362</v>
      </c>
      <c r="W109" s="598">
        <f t="shared" si="194"/>
        <v>0</v>
      </c>
      <c r="X109" s="598">
        <f t="shared" si="195"/>
        <v>4362</v>
      </c>
      <c r="Y109" s="596">
        <f t="shared" si="196"/>
        <v>0</v>
      </c>
      <c r="Z109" s="596">
        <f t="shared" si="197"/>
        <v>4362</v>
      </c>
      <c r="AA109" s="598">
        <f t="shared" si="198"/>
        <v>0</v>
      </c>
      <c r="AB109" s="598">
        <f t="shared" si="199"/>
        <v>4362</v>
      </c>
      <c r="AC109" s="598">
        <f t="shared" si="200"/>
        <v>0</v>
      </c>
      <c r="AD109" s="598">
        <f t="shared" si="201"/>
        <v>4362</v>
      </c>
      <c r="AE109" s="598">
        <f t="shared" si="202"/>
        <v>0</v>
      </c>
      <c r="AF109" s="598">
        <f t="shared" si="203"/>
        <v>4362</v>
      </c>
      <c r="AG109" s="596">
        <f t="shared" si="204"/>
        <v>0</v>
      </c>
      <c r="AH109" s="596">
        <f t="shared" si="205"/>
        <v>4362</v>
      </c>
      <c r="AI109" s="598">
        <f t="shared" si="206"/>
        <v>0</v>
      </c>
      <c r="AJ109" s="598">
        <f t="shared" si="207"/>
        <v>4362</v>
      </c>
      <c r="AK109" s="598">
        <f t="shared" si="208"/>
        <v>0</v>
      </c>
      <c r="AL109" s="598">
        <f t="shared" si="209"/>
        <v>4362</v>
      </c>
      <c r="AM109" s="598">
        <f t="shared" si="210"/>
        <v>0</v>
      </c>
      <c r="AN109" s="598">
        <f t="shared" si="211"/>
        <v>4362</v>
      </c>
      <c r="AO109" s="598">
        <f t="shared" si="212"/>
        <v>0</v>
      </c>
      <c r="AP109" s="598">
        <f t="shared" si="213"/>
        <v>4362</v>
      </c>
      <c r="AQ109" s="599">
        <f t="shared" si="214"/>
        <v>0</v>
      </c>
      <c r="AR109" s="599">
        <f t="shared" si="215"/>
        <v>4362</v>
      </c>
    </row>
    <row r="110" spans="1:44" x14ac:dyDescent="0.25">
      <c r="B110" s="312" t="s">
        <v>92</v>
      </c>
      <c r="C110" s="365">
        <v>34060</v>
      </c>
      <c r="D110" s="348">
        <v>3450</v>
      </c>
      <c r="E110" s="324">
        <v>5</v>
      </c>
      <c r="F110" s="598">
        <v>3450</v>
      </c>
      <c r="G110" s="598">
        <f t="shared" si="183"/>
        <v>0</v>
      </c>
      <c r="H110" s="598">
        <f t="shared" si="184"/>
        <v>3450</v>
      </c>
      <c r="I110" s="598">
        <f t="shared" si="183"/>
        <v>0</v>
      </c>
      <c r="J110" s="598">
        <f t="shared" si="216"/>
        <v>3450</v>
      </c>
      <c r="K110" s="598">
        <f t="shared" si="185"/>
        <v>0</v>
      </c>
      <c r="L110" s="598">
        <f t="shared" si="217"/>
        <v>3450</v>
      </c>
      <c r="M110" s="598">
        <f t="shared" si="185"/>
        <v>0</v>
      </c>
      <c r="N110" s="598">
        <f t="shared" si="186"/>
        <v>3450</v>
      </c>
      <c r="O110" s="598">
        <f t="shared" si="187"/>
        <v>0</v>
      </c>
      <c r="P110" s="598">
        <f t="shared" si="188"/>
        <v>3450</v>
      </c>
      <c r="Q110" s="598">
        <f t="shared" si="187"/>
        <v>0</v>
      </c>
      <c r="R110" s="598">
        <f t="shared" si="189"/>
        <v>3450</v>
      </c>
      <c r="S110" s="598">
        <f t="shared" si="190"/>
        <v>0</v>
      </c>
      <c r="T110" s="598">
        <f t="shared" si="191"/>
        <v>3450</v>
      </c>
      <c r="U110" s="598">
        <f t="shared" si="192"/>
        <v>0</v>
      </c>
      <c r="V110" s="598">
        <f t="shared" si="193"/>
        <v>3450</v>
      </c>
      <c r="W110" s="598">
        <f t="shared" si="194"/>
        <v>0</v>
      </c>
      <c r="X110" s="598">
        <f t="shared" si="195"/>
        <v>3450</v>
      </c>
      <c r="Y110" s="596">
        <f t="shared" si="196"/>
        <v>0</v>
      </c>
      <c r="Z110" s="596">
        <f t="shared" si="197"/>
        <v>3450</v>
      </c>
      <c r="AA110" s="598">
        <f t="shared" si="198"/>
        <v>0</v>
      </c>
      <c r="AB110" s="598">
        <f t="shared" si="199"/>
        <v>3450</v>
      </c>
      <c r="AC110" s="598">
        <f t="shared" si="200"/>
        <v>0</v>
      </c>
      <c r="AD110" s="598">
        <f t="shared" si="201"/>
        <v>3450</v>
      </c>
      <c r="AE110" s="598">
        <f t="shared" si="202"/>
        <v>0</v>
      </c>
      <c r="AF110" s="598">
        <f t="shared" si="203"/>
        <v>3450</v>
      </c>
      <c r="AG110" s="596">
        <f t="shared" si="204"/>
        <v>0</v>
      </c>
      <c r="AH110" s="596">
        <f t="shared" si="205"/>
        <v>3450</v>
      </c>
      <c r="AI110" s="598">
        <f t="shared" si="206"/>
        <v>0</v>
      </c>
      <c r="AJ110" s="598">
        <f t="shared" si="207"/>
        <v>3450</v>
      </c>
      <c r="AK110" s="598">
        <f t="shared" si="208"/>
        <v>0</v>
      </c>
      <c r="AL110" s="598">
        <f t="shared" si="209"/>
        <v>3450</v>
      </c>
      <c r="AM110" s="598">
        <f t="shared" si="210"/>
        <v>0</v>
      </c>
      <c r="AN110" s="598">
        <f t="shared" si="211"/>
        <v>3450</v>
      </c>
      <c r="AO110" s="598">
        <f t="shared" si="212"/>
        <v>0</v>
      </c>
      <c r="AP110" s="598">
        <f t="shared" si="213"/>
        <v>3450</v>
      </c>
      <c r="AQ110" s="599">
        <f t="shared" si="214"/>
        <v>0</v>
      </c>
      <c r="AR110" s="599">
        <f t="shared" si="215"/>
        <v>3450</v>
      </c>
    </row>
    <row r="111" spans="1:44" x14ac:dyDescent="0.25">
      <c r="B111" s="312" t="s">
        <v>92</v>
      </c>
      <c r="C111" s="365">
        <v>34439</v>
      </c>
      <c r="D111" s="348">
        <v>891</v>
      </c>
      <c r="E111" s="324">
        <v>5</v>
      </c>
      <c r="F111" s="598">
        <v>891</v>
      </c>
      <c r="G111" s="598">
        <f t="shared" si="183"/>
        <v>0</v>
      </c>
      <c r="H111" s="598">
        <f t="shared" si="184"/>
        <v>891</v>
      </c>
      <c r="I111" s="598">
        <f t="shared" si="183"/>
        <v>0</v>
      </c>
      <c r="J111" s="598">
        <f t="shared" si="216"/>
        <v>891</v>
      </c>
      <c r="K111" s="598">
        <f t="shared" si="185"/>
        <v>0</v>
      </c>
      <c r="L111" s="598">
        <f t="shared" si="217"/>
        <v>891</v>
      </c>
      <c r="M111" s="598">
        <f t="shared" si="185"/>
        <v>0</v>
      </c>
      <c r="N111" s="598">
        <f t="shared" si="186"/>
        <v>891</v>
      </c>
      <c r="O111" s="598">
        <f t="shared" si="187"/>
        <v>0</v>
      </c>
      <c r="P111" s="598">
        <f t="shared" si="188"/>
        <v>891</v>
      </c>
      <c r="Q111" s="598">
        <f t="shared" si="187"/>
        <v>0</v>
      </c>
      <c r="R111" s="598">
        <f t="shared" si="189"/>
        <v>891</v>
      </c>
      <c r="S111" s="598">
        <f t="shared" si="190"/>
        <v>0</v>
      </c>
      <c r="T111" s="598">
        <f t="shared" si="191"/>
        <v>891</v>
      </c>
      <c r="U111" s="598">
        <f t="shared" si="192"/>
        <v>0</v>
      </c>
      <c r="V111" s="598">
        <f t="shared" si="193"/>
        <v>891</v>
      </c>
      <c r="W111" s="598">
        <f t="shared" si="194"/>
        <v>0</v>
      </c>
      <c r="X111" s="598">
        <f t="shared" si="195"/>
        <v>891</v>
      </c>
      <c r="Y111" s="596">
        <f t="shared" si="196"/>
        <v>0</v>
      </c>
      <c r="Z111" s="596">
        <f t="shared" si="197"/>
        <v>891</v>
      </c>
      <c r="AA111" s="598">
        <f t="shared" si="198"/>
        <v>0</v>
      </c>
      <c r="AB111" s="598">
        <f t="shared" si="199"/>
        <v>891</v>
      </c>
      <c r="AC111" s="598">
        <f t="shared" si="200"/>
        <v>0</v>
      </c>
      <c r="AD111" s="598">
        <f t="shared" si="201"/>
        <v>891</v>
      </c>
      <c r="AE111" s="598">
        <f t="shared" si="202"/>
        <v>0</v>
      </c>
      <c r="AF111" s="598">
        <f t="shared" si="203"/>
        <v>891</v>
      </c>
      <c r="AG111" s="596">
        <f t="shared" si="204"/>
        <v>0</v>
      </c>
      <c r="AH111" s="596">
        <f t="shared" si="205"/>
        <v>891</v>
      </c>
      <c r="AI111" s="598">
        <f t="shared" si="206"/>
        <v>0</v>
      </c>
      <c r="AJ111" s="598">
        <f t="shared" si="207"/>
        <v>891</v>
      </c>
      <c r="AK111" s="598">
        <f t="shared" si="208"/>
        <v>0</v>
      </c>
      <c r="AL111" s="598">
        <f t="shared" si="209"/>
        <v>891</v>
      </c>
      <c r="AM111" s="598">
        <f t="shared" si="210"/>
        <v>0</v>
      </c>
      <c r="AN111" s="598">
        <f t="shared" si="211"/>
        <v>891</v>
      </c>
      <c r="AO111" s="598">
        <f t="shared" si="212"/>
        <v>0</v>
      </c>
      <c r="AP111" s="598">
        <f t="shared" si="213"/>
        <v>891</v>
      </c>
      <c r="AQ111" s="599">
        <f t="shared" si="214"/>
        <v>0</v>
      </c>
      <c r="AR111" s="599">
        <f t="shared" si="215"/>
        <v>891</v>
      </c>
    </row>
    <row r="112" spans="1:44" x14ac:dyDescent="0.25">
      <c r="B112" s="349" t="s">
        <v>157</v>
      </c>
      <c r="C112" s="350">
        <v>35277</v>
      </c>
      <c r="D112" s="342">
        <v>511</v>
      </c>
      <c r="E112" s="324">
        <v>5</v>
      </c>
      <c r="F112" s="598">
        <v>357</v>
      </c>
      <c r="G112" s="598">
        <f t="shared" si="183"/>
        <v>102</v>
      </c>
      <c r="H112" s="598">
        <f t="shared" si="184"/>
        <v>459</v>
      </c>
      <c r="I112" s="598">
        <f t="shared" si="183"/>
        <v>52</v>
      </c>
      <c r="J112" s="598">
        <f t="shared" si="216"/>
        <v>511</v>
      </c>
      <c r="K112" s="598">
        <f t="shared" si="185"/>
        <v>0</v>
      </c>
      <c r="L112" s="598">
        <f t="shared" si="217"/>
        <v>511</v>
      </c>
      <c r="M112" s="598">
        <f t="shared" si="185"/>
        <v>0</v>
      </c>
      <c r="N112" s="598">
        <f t="shared" si="186"/>
        <v>511</v>
      </c>
      <c r="O112" s="598">
        <f t="shared" si="187"/>
        <v>0</v>
      </c>
      <c r="P112" s="598">
        <f t="shared" si="188"/>
        <v>511</v>
      </c>
      <c r="Q112" s="598">
        <f t="shared" si="187"/>
        <v>0</v>
      </c>
      <c r="R112" s="598">
        <f t="shared" si="189"/>
        <v>511</v>
      </c>
      <c r="S112" s="598">
        <f t="shared" si="190"/>
        <v>0</v>
      </c>
      <c r="T112" s="598">
        <f t="shared" si="191"/>
        <v>511</v>
      </c>
      <c r="U112" s="598">
        <f t="shared" si="192"/>
        <v>0</v>
      </c>
      <c r="V112" s="598">
        <f t="shared" si="193"/>
        <v>511</v>
      </c>
      <c r="W112" s="598">
        <f t="shared" si="194"/>
        <v>0</v>
      </c>
      <c r="X112" s="598">
        <f t="shared" si="195"/>
        <v>511</v>
      </c>
      <c r="Y112" s="596">
        <f t="shared" si="196"/>
        <v>0</v>
      </c>
      <c r="Z112" s="596">
        <f t="shared" si="197"/>
        <v>511</v>
      </c>
      <c r="AA112" s="598">
        <f t="shared" si="198"/>
        <v>0</v>
      </c>
      <c r="AB112" s="598">
        <f t="shared" si="199"/>
        <v>511</v>
      </c>
      <c r="AC112" s="598">
        <f t="shared" si="200"/>
        <v>0</v>
      </c>
      <c r="AD112" s="598">
        <f t="shared" si="201"/>
        <v>511</v>
      </c>
      <c r="AE112" s="598">
        <f t="shared" si="202"/>
        <v>0</v>
      </c>
      <c r="AF112" s="598">
        <f t="shared" si="203"/>
        <v>511</v>
      </c>
      <c r="AG112" s="596">
        <f t="shared" si="204"/>
        <v>0</v>
      </c>
      <c r="AH112" s="596">
        <f t="shared" si="205"/>
        <v>511</v>
      </c>
      <c r="AI112" s="598">
        <f t="shared" si="206"/>
        <v>0</v>
      </c>
      <c r="AJ112" s="598">
        <f t="shared" si="207"/>
        <v>511</v>
      </c>
      <c r="AK112" s="598">
        <f t="shared" si="208"/>
        <v>0</v>
      </c>
      <c r="AL112" s="598">
        <f t="shared" si="209"/>
        <v>511</v>
      </c>
      <c r="AM112" s="598">
        <f t="shared" si="210"/>
        <v>0</v>
      </c>
      <c r="AN112" s="598">
        <f t="shared" si="211"/>
        <v>511</v>
      </c>
      <c r="AO112" s="598">
        <f t="shared" si="212"/>
        <v>0</v>
      </c>
      <c r="AP112" s="598">
        <f t="shared" si="213"/>
        <v>511</v>
      </c>
      <c r="AQ112" s="599">
        <f t="shared" si="214"/>
        <v>0</v>
      </c>
      <c r="AR112" s="599">
        <f t="shared" si="215"/>
        <v>511</v>
      </c>
    </row>
    <row r="113" spans="1:44" x14ac:dyDescent="0.25">
      <c r="B113" s="312" t="s">
        <v>565</v>
      </c>
      <c r="C113" s="350">
        <v>35764</v>
      </c>
      <c r="D113" s="342">
        <v>2374.91</v>
      </c>
      <c r="E113" s="324">
        <v>5</v>
      </c>
      <c r="F113" s="598">
        <v>1188</v>
      </c>
      <c r="G113" s="598">
        <f t="shared" si="183"/>
        <v>475</v>
      </c>
      <c r="H113" s="598">
        <f t="shared" si="184"/>
        <v>1663</v>
      </c>
      <c r="I113" s="598">
        <f t="shared" si="183"/>
        <v>475</v>
      </c>
      <c r="J113" s="598">
        <f t="shared" si="216"/>
        <v>2138</v>
      </c>
      <c r="K113" s="598">
        <f t="shared" si="185"/>
        <v>237</v>
      </c>
      <c r="L113" s="598">
        <f t="shared" si="217"/>
        <v>2375</v>
      </c>
      <c r="M113" s="598">
        <f t="shared" si="185"/>
        <v>0</v>
      </c>
      <c r="N113" s="598">
        <f t="shared" si="186"/>
        <v>2375</v>
      </c>
      <c r="O113" s="598">
        <f t="shared" si="187"/>
        <v>0</v>
      </c>
      <c r="P113" s="598">
        <f t="shared" si="188"/>
        <v>2375</v>
      </c>
      <c r="Q113" s="598">
        <f t="shared" si="187"/>
        <v>0</v>
      </c>
      <c r="R113" s="598">
        <f t="shared" si="189"/>
        <v>2375</v>
      </c>
      <c r="S113" s="598">
        <f t="shared" si="190"/>
        <v>0</v>
      </c>
      <c r="T113" s="598">
        <f t="shared" si="191"/>
        <v>2375</v>
      </c>
      <c r="U113" s="598">
        <f t="shared" si="192"/>
        <v>0</v>
      </c>
      <c r="V113" s="598">
        <f t="shared" si="193"/>
        <v>2375</v>
      </c>
      <c r="W113" s="598">
        <f t="shared" si="194"/>
        <v>0</v>
      </c>
      <c r="X113" s="598">
        <f t="shared" si="195"/>
        <v>2375</v>
      </c>
      <c r="Y113" s="596">
        <f t="shared" si="196"/>
        <v>0</v>
      </c>
      <c r="Z113" s="596">
        <f t="shared" si="197"/>
        <v>2375</v>
      </c>
      <c r="AA113" s="598">
        <f t="shared" si="198"/>
        <v>0</v>
      </c>
      <c r="AB113" s="598">
        <f t="shared" si="199"/>
        <v>2375</v>
      </c>
      <c r="AC113" s="598">
        <f t="shared" si="200"/>
        <v>0</v>
      </c>
      <c r="AD113" s="598">
        <f t="shared" si="201"/>
        <v>2375</v>
      </c>
      <c r="AE113" s="598">
        <f t="shared" si="202"/>
        <v>0</v>
      </c>
      <c r="AF113" s="598">
        <f t="shared" si="203"/>
        <v>2375</v>
      </c>
      <c r="AG113" s="596">
        <f t="shared" si="204"/>
        <v>0</v>
      </c>
      <c r="AH113" s="596">
        <f t="shared" si="205"/>
        <v>2375</v>
      </c>
      <c r="AI113" s="598">
        <f t="shared" si="206"/>
        <v>0</v>
      </c>
      <c r="AJ113" s="598">
        <f t="shared" si="207"/>
        <v>2375</v>
      </c>
      <c r="AK113" s="598">
        <f t="shared" si="208"/>
        <v>0</v>
      </c>
      <c r="AL113" s="598">
        <f t="shared" si="209"/>
        <v>2375</v>
      </c>
      <c r="AM113" s="598">
        <f t="shared" si="210"/>
        <v>0</v>
      </c>
      <c r="AN113" s="598">
        <f t="shared" si="211"/>
        <v>2375</v>
      </c>
      <c r="AO113" s="598">
        <f t="shared" si="212"/>
        <v>0</v>
      </c>
      <c r="AP113" s="598">
        <f t="shared" si="213"/>
        <v>2375</v>
      </c>
      <c r="AQ113" s="599">
        <f t="shared" si="214"/>
        <v>0</v>
      </c>
      <c r="AR113" s="599">
        <f t="shared" si="215"/>
        <v>2375</v>
      </c>
    </row>
    <row r="114" spans="1:44" x14ac:dyDescent="0.25">
      <c r="B114" s="312" t="s">
        <v>158</v>
      </c>
      <c r="C114" s="350">
        <v>35976</v>
      </c>
      <c r="D114" s="342">
        <v>1521.39</v>
      </c>
      <c r="E114" s="324">
        <v>10</v>
      </c>
      <c r="F114" s="598">
        <v>228</v>
      </c>
      <c r="G114" s="598">
        <f t="shared" si="183"/>
        <v>152</v>
      </c>
      <c r="H114" s="598">
        <f t="shared" si="184"/>
        <v>380</v>
      </c>
      <c r="I114" s="598">
        <f t="shared" si="183"/>
        <v>152</v>
      </c>
      <c r="J114" s="598">
        <f>ROUND(SUM(H114:I114),0)</f>
        <v>532</v>
      </c>
      <c r="K114" s="598">
        <f t="shared" si="185"/>
        <v>152</v>
      </c>
      <c r="L114" s="598">
        <f t="shared" si="217"/>
        <v>684</v>
      </c>
      <c r="M114" s="598">
        <f t="shared" si="185"/>
        <v>152</v>
      </c>
      <c r="N114" s="598">
        <f t="shared" si="186"/>
        <v>836</v>
      </c>
      <c r="O114" s="598">
        <f t="shared" si="187"/>
        <v>152</v>
      </c>
      <c r="P114" s="598">
        <f t="shared" si="188"/>
        <v>988</v>
      </c>
      <c r="Q114" s="598">
        <f t="shared" si="187"/>
        <v>152</v>
      </c>
      <c r="R114" s="598">
        <f t="shared" si="189"/>
        <v>1140</v>
      </c>
      <c r="S114" s="598">
        <f t="shared" si="190"/>
        <v>152</v>
      </c>
      <c r="T114" s="598">
        <f t="shared" si="191"/>
        <v>1292</v>
      </c>
      <c r="U114" s="598">
        <f t="shared" si="192"/>
        <v>152</v>
      </c>
      <c r="V114" s="598">
        <f t="shared" si="193"/>
        <v>1444</v>
      </c>
      <c r="W114" s="598">
        <f t="shared" si="194"/>
        <v>77</v>
      </c>
      <c r="X114" s="598">
        <f t="shared" si="195"/>
        <v>1521</v>
      </c>
      <c r="Y114" s="596">
        <f t="shared" si="196"/>
        <v>0</v>
      </c>
      <c r="Z114" s="596">
        <f t="shared" si="197"/>
        <v>1521</v>
      </c>
      <c r="AA114" s="598">
        <f t="shared" si="198"/>
        <v>0</v>
      </c>
      <c r="AB114" s="598">
        <f t="shared" si="199"/>
        <v>1521</v>
      </c>
      <c r="AC114" s="598">
        <f t="shared" si="200"/>
        <v>0</v>
      </c>
      <c r="AD114" s="598">
        <f t="shared" si="201"/>
        <v>1521</v>
      </c>
      <c r="AE114" s="598">
        <f t="shared" si="202"/>
        <v>0</v>
      </c>
      <c r="AF114" s="598">
        <f t="shared" si="203"/>
        <v>1521</v>
      </c>
      <c r="AG114" s="596">
        <f t="shared" si="204"/>
        <v>0</v>
      </c>
      <c r="AH114" s="596">
        <f t="shared" si="205"/>
        <v>1521</v>
      </c>
      <c r="AI114" s="598">
        <f t="shared" si="206"/>
        <v>0</v>
      </c>
      <c r="AJ114" s="598">
        <f t="shared" si="207"/>
        <v>1521</v>
      </c>
      <c r="AK114" s="598">
        <f t="shared" si="208"/>
        <v>0</v>
      </c>
      <c r="AL114" s="598">
        <f t="shared" si="209"/>
        <v>1521</v>
      </c>
      <c r="AM114" s="598">
        <f t="shared" si="210"/>
        <v>0</v>
      </c>
      <c r="AN114" s="598">
        <f t="shared" si="211"/>
        <v>1521</v>
      </c>
      <c r="AO114" s="598">
        <f t="shared" si="212"/>
        <v>0</v>
      </c>
      <c r="AP114" s="598">
        <f t="shared" si="213"/>
        <v>1521</v>
      </c>
      <c r="AQ114" s="599">
        <f t="shared" si="214"/>
        <v>0</v>
      </c>
      <c r="AR114" s="599">
        <f t="shared" si="215"/>
        <v>1521</v>
      </c>
    </row>
    <row r="115" spans="1:44" x14ac:dyDescent="0.25">
      <c r="B115" s="312" t="s">
        <v>159</v>
      </c>
      <c r="C115" s="350">
        <v>37281</v>
      </c>
      <c r="D115" s="342">
        <v>7552.9</v>
      </c>
      <c r="E115" s="324">
        <v>5</v>
      </c>
      <c r="F115" s="598"/>
      <c r="G115" s="598"/>
      <c r="H115" s="598"/>
      <c r="I115" s="598"/>
      <c r="J115" s="366"/>
      <c r="K115" s="598">
        <f t="shared" si="185"/>
        <v>1511</v>
      </c>
      <c r="L115" s="598">
        <f t="shared" si="217"/>
        <v>1511</v>
      </c>
      <c r="M115" s="598">
        <f t="shared" si="185"/>
        <v>1511</v>
      </c>
      <c r="N115" s="598">
        <f t="shared" si="186"/>
        <v>3022</v>
      </c>
      <c r="O115" s="598">
        <f t="shared" si="187"/>
        <v>1511</v>
      </c>
      <c r="P115" s="598">
        <f t="shared" si="188"/>
        <v>4533</v>
      </c>
      <c r="Q115" s="598">
        <f t="shared" si="187"/>
        <v>1511</v>
      </c>
      <c r="R115" s="598">
        <f t="shared" si="189"/>
        <v>6044</v>
      </c>
      <c r="S115" s="598">
        <f t="shared" si="190"/>
        <v>1509</v>
      </c>
      <c r="T115" s="598">
        <f t="shared" si="191"/>
        <v>7553</v>
      </c>
      <c r="U115" s="598">
        <f t="shared" si="192"/>
        <v>0</v>
      </c>
      <c r="V115" s="598">
        <f t="shared" ref="V115:V125" si="218">ROUND(SUM(T115:U115),0)</f>
        <v>7553</v>
      </c>
      <c r="W115" s="598">
        <f t="shared" si="194"/>
        <v>0</v>
      </c>
      <c r="X115" s="598">
        <f t="shared" si="195"/>
        <v>7553</v>
      </c>
      <c r="Y115" s="596">
        <f t="shared" si="196"/>
        <v>0</v>
      </c>
      <c r="Z115" s="596">
        <f t="shared" si="197"/>
        <v>7553</v>
      </c>
      <c r="AA115" s="598">
        <f t="shared" si="198"/>
        <v>0</v>
      </c>
      <c r="AB115" s="598">
        <f t="shared" si="199"/>
        <v>7553</v>
      </c>
      <c r="AC115" s="598">
        <f t="shared" si="200"/>
        <v>0</v>
      </c>
      <c r="AD115" s="598">
        <f t="shared" si="201"/>
        <v>7553</v>
      </c>
      <c r="AE115" s="598">
        <f t="shared" si="202"/>
        <v>0</v>
      </c>
      <c r="AF115" s="598">
        <f t="shared" si="203"/>
        <v>7553</v>
      </c>
      <c r="AG115" s="596">
        <f t="shared" si="204"/>
        <v>0</v>
      </c>
      <c r="AH115" s="596">
        <f t="shared" si="205"/>
        <v>7553</v>
      </c>
      <c r="AI115" s="598">
        <f t="shared" si="206"/>
        <v>0</v>
      </c>
      <c r="AJ115" s="598">
        <f t="shared" si="207"/>
        <v>7553</v>
      </c>
      <c r="AK115" s="598">
        <f t="shared" si="208"/>
        <v>0</v>
      </c>
      <c r="AL115" s="598">
        <f t="shared" si="209"/>
        <v>7553</v>
      </c>
      <c r="AM115" s="598">
        <f t="shared" si="210"/>
        <v>0</v>
      </c>
      <c r="AN115" s="598">
        <f t="shared" si="211"/>
        <v>7553</v>
      </c>
      <c r="AO115" s="598">
        <f t="shared" si="212"/>
        <v>0</v>
      </c>
      <c r="AP115" s="598">
        <f t="shared" si="213"/>
        <v>7553</v>
      </c>
      <c r="AQ115" s="599">
        <f t="shared" si="214"/>
        <v>0</v>
      </c>
      <c r="AR115" s="599">
        <f t="shared" si="215"/>
        <v>7553</v>
      </c>
    </row>
    <row r="116" spans="1:44" x14ac:dyDescent="0.25">
      <c r="B116" s="312" t="s">
        <v>160</v>
      </c>
      <c r="C116" s="350">
        <v>37389</v>
      </c>
      <c r="D116" s="342">
        <v>1134.72</v>
      </c>
      <c r="E116" s="348">
        <v>7</v>
      </c>
      <c r="F116" s="596"/>
      <c r="G116" s="596"/>
      <c r="H116" s="596"/>
      <c r="I116" s="596"/>
      <c r="J116" s="342"/>
      <c r="K116" s="596">
        <f>IF(J116&lt;$D116,IF(J116+($D116/$E116)&lt;$D116,ROUND($D116/$E116,0),ROUND($D116-J116,0)),0)</f>
        <v>162</v>
      </c>
      <c r="L116" s="596">
        <f t="shared" si="217"/>
        <v>162</v>
      </c>
      <c r="M116" s="596">
        <f t="shared" si="185"/>
        <v>162</v>
      </c>
      <c r="N116" s="596">
        <f t="shared" si="186"/>
        <v>324</v>
      </c>
      <c r="O116" s="596">
        <f t="shared" si="187"/>
        <v>162</v>
      </c>
      <c r="P116" s="596">
        <f t="shared" si="188"/>
        <v>486</v>
      </c>
      <c r="Q116" s="596">
        <f t="shared" si="187"/>
        <v>162</v>
      </c>
      <c r="R116" s="596">
        <f t="shared" si="189"/>
        <v>648</v>
      </c>
      <c r="S116" s="596">
        <f t="shared" si="190"/>
        <v>162</v>
      </c>
      <c r="T116" s="596">
        <f t="shared" si="191"/>
        <v>810</v>
      </c>
      <c r="U116" s="596">
        <f t="shared" si="192"/>
        <v>162</v>
      </c>
      <c r="V116" s="596">
        <f t="shared" si="218"/>
        <v>972</v>
      </c>
      <c r="W116" s="596">
        <f>IF(V116&lt;$D116,IF(V116+($D116/$E116)&lt;$D116,ROUND($D116/$E116,0),ROUND($D116-V116,0)),0)+1</f>
        <v>163</v>
      </c>
      <c r="X116" s="596">
        <f t="shared" si="195"/>
        <v>1135</v>
      </c>
      <c r="Y116" s="596">
        <f>IF(X116&lt;$D116,IF(X116+($D116/$E116)&lt;$D116,ROUND($D116/$E116,0),ROUND($D116-X116,0)),0)</f>
        <v>0</v>
      </c>
      <c r="Z116" s="596">
        <f t="shared" si="197"/>
        <v>1135</v>
      </c>
      <c r="AA116" s="596">
        <f>IF(Z116&lt;$D116,IF(Z116+($D116/$E116)&lt;$D116,ROUND($D116/$E116,0),ROUND($D116-Z116,0)),0)</f>
        <v>0</v>
      </c>
      <c r="AB116" s="596">
        <f t="shared" si="199"/>
        <v>1135</v>
      </c>
      <c r="AC116" s="596">
        <f>IF(AB116&lt;$D116,IF(AB116+($D116/$E116)&lt;$D116,ROUND($D116/$E116,0),ROUND($D116-AB116,0)),0)</f>
        <v>0</v>
      </c>
      <c r="AD116" s="596">
        <f t="shared" si="201"/>
        <v>1135</v>
      </c>
      <c r="AE116" s="596">
        <f>IF(AD116&lt;$D116,IF(AD116+($D116/$E116)&lt;$D116,ROUND($D116/$E116,0),ROUND($D116-AD116,0)),0)</f>
        <v>0</v>
      </c>
      <c r="AF116" s="596">
        <f t="shared" si="203"/>
        <v>1135</v>
      </c>
      <c r="AG116" s="596">
        <f>IF(AF116&lt;$D116,IF(AF116+($D116/$E116)&lt;$D116,ROUND($D116/$E116,0),ROUND($D116-AF116,0)),0)</f>
        <v>0</v>
      </c>
      <c r="AH116" s="596">
        <f t="shared" si="205"/>
        <v>1135</v>
      </c>
      <c r="AI116" s="596">
        <f>IF(AH116&lt;$D116,IF(AH116+($D116/$E116)&lt;$D116,ROUND($D116/$E116,0),ROUND($D116-AH116,0)),0)</f>
        <v>0</v>
      </c>
      <c r="AJ116" s="596">
        <f t="shared" si="207"/>
        <v>1135</v>
      </c>
      <c r="AK116" s="596">
        <f>IF(AJ116&lt;$D116,IF(AJ116+($D116/$E116)&lt;$D116,ROUND($D116/$E116,0),ROUND($D116-AJ116,0)),0)</f>
        <v>0</v>
      </c>
      <c r="AL116" s="596">
        <f t="shared" si="209"/>
        <v>1135</v>
      </c>
      <c r="AM116" s="596">
        <f>IF(AL116&lt;$D116,IF(AL116+($D116/$E116)&lt;$D116,ROUND($D116/$E116,0),ROUND($D116-AL116,0)),0)</f>
        <v>0</v>
      </c>
      <c r="AN116" s="596">
        <f t="shared" si="211"/>
        <v>1135</v>
      </c>
      <c r="AO116" s="596">
        <f>IF(AN116&lt;$D116,IF(AN116+($D116/$E116)&lt;$D116,ROUND($D116/$E116,0),ROUND($D116-AN116,0)),0)</f>
        <v>0</v>
      </c>
      <c r="AP116" s="596">
        <f t="shared" si="213"/>
        <v>1135</v>
      </c>
      <c r="AQ116" s="597">
        <f>IF(AP116&lt;$D116,IF(AP116+($D116/$E116)&lt;$D116,ROUND($D116/$E116,0),ROUND($D116-AP116,0)),0)</f>
        <v>0</v>
      </c>
      <c r="AR116" s="597">
        <f t="shared" si="215"/>
        <v>1135</v>
      </c>
    </row>
    <row r="117" spans="1:44" x14ac:dyDescent="0.25">
      <c r="B117" s="312" t="s">
        <v>161</v>
      </c>
      <c r="C117" s="350">
        <v>37769</v>
      </c>
      <c r="D117" s="342">
        <v>1365.11</v>
      </c>
      <c r="E117" s="324">
        <v>5</v>
      </c>
      <c r="F117" s="598"/>
      <c r="G117" s="598"/>
      <c r="H117" s="598"/>
      <c r="I117" s="598"/>
      <c r="J117" s="366"/>
      <c r="K117" s="598"/>
      <c r="L117" s="598">
        <v>0</v>
      </c>
      <c r="M117" s="598">
        <f>IF(L117&lt;$D117,IF(L117+($D117/$E117)&lt;$D117,ROUND($D117/$E117,0),ROUND($D117-L117,0)),0)/12*8</f>
        <v>182</v>
      </c>
      <c r="N117" s="598">
        <f>ROUND(SUM(L117:M117),0)</f>
        <v>182</v>
      </c>
      <c r="O117" s="598">
        <f t="shared" si="187"/>
        <v>273</v>
      </c>
      <c r="P117" s="598">
        <f t="shared" ref="P117:P123" si="219">ROUND(SUM(N117:O117),0)</f>
        <v>455</v>
      </c>
      <c r="Q117" s="598">
        <f t="shared" si="187"/>
        <v>273</v>
      </c>
      <c r="R117" s="598">
        <f t="shared" si="189"/>
        <v>728</v>
      </c>
      <c r="S117" s="598">
        <f t="shared" si="190"/>
        <v>273</v>
      </c>
      <c r="T117" s="598">
        <f t="shared" si="191"/>
        <v>1001</v>
      </c>
      <c r="U117" s="598">
        <f t="shared" si="192"/>
        <v>273</v>
      </c>
      <c r="V117" s="598">
        <f t="shared" si="218"/>
        <v>1274</v>
      </c>
      <c r="W117" s="598">
        <f t="shared" ref="W117:W118" si="220">IF(V117&lt;$D117,IF(V117+($D117/$E117)&lt;$D117,ROUND($D117/$E117,0),ROUND($D117-V117,0)),0)</f>
        <v>91</v>
      </c>
      <c r="X117" s="598">
        <f t="shared" si="195"/>
        <v>1365</v>
      </c>
      <c r="Y117" s="596">
        <f t="shared" ref="Y117:Y118" si="221">IF(X117&lt;$D117,IF(X117+($D117/$E117)&lt;$D117,ROUND($D117/$E117,0),ROUND($D117-X117,0)),0)</f>
        <v>0</v>
      </c>
      <c r="Z117" s="596">
        <f t="shared" si="197"/>
        <v>1365</v>
      </c>
      <c r="AA117" s="598">
        <f t="shared" ref="AA117:AA118" si="222">IF(Z117&lt;$D117,IF(Z117+($D117/$E117)&lt;$D117,ROUND($D117/$E117,0),ROUND($D117-Z117,0)),0)</f>
        <v>0</v>
      </c>
      <c r="AB117" s="598">
        <f t="shared" si="199"/>
        <v>1365</v>
      </c>
      <c r="AC117" s="598">
        <f t="shared" ref="AC117:AC118" si="223">IF(AB117&lt;$D117,IF(AB117+($D117/$E117)&lt;$D117,ROUND($D117/$E117,0),ROUND($D117-AB117,0)),0)</f>
        <v>0</v>
      </c>
      <c r="AD117" s="598">
        <f t="shared" si="201"/>
        <v>1365</v>
      </c>
      <c r="AE117" s="598">
        <f t="shared" ref="AE117:AE118" si="224">IF(AD117&lt;$D117,IF(AD117+($D117/$E117)&lt;$D117,ROUND($D117/$E117,0),ROUND($D117-AD117,0)),0)</f>
        <v>0</v>
      </c>
      <c r="AF117" s="598">
        <f t="shared" si="203"/>
        <v>1365</v>
      </c>
      <c r="AG117" s="596">
        <f t="shared" ref="AG117:AG118" si="225">IF(AF117&lt;$D117,IF(AF117+($D117/$E117)&lt;$D117,ROUND($D117/$E117,0),ROUND($D117-AF117,0)),0)</f>
        <v>0</v>
      </c>
      <c r="AH117" s="596">
        <f t="shared" si="205"/>
        <v>1365</v>
      </c>
      <c r="AI117" s="598">
        <f t="shared" ref="AI117:AI118" si="226">IF(AH117&lt;$D117,IF(AH117+($D117/$E117)&lt;$D117,ROUND($D117/$E117,0),ROUND($D117-AH117,0)),0)</f>
        <v>0</v>
      </c>
      <c r="AJ117" s="598">
        <f t="shared" si="207"/>
        <v>1365</v>
      </c>
      <c r="AK117" s="598">
        <f t="shared" ref="AK117:AK118" si="227">IF(AJ117&lt;$D117,IF(AJ117+($D117/$E117)&lt;$D117,ROUND($D117/$E117,0),ROUND($D117-AJ117,0)),0)</f>
        <v>0</v>
      </c>
      <c r="AL117" s="598">
        <f t="shared" si="209"/>
        <v>1365</v>
      </c>
      <c r="AM117" s="598">
        <f t="shared" ref="AM117:AM118" si="228">IF(AL117&lt;$D117,IF(AL117+($D117/$E117)&lt;$D117,ROUND($D117/$E117,0),ROUND($D117-AL117,0)),0)</f>
        <v>0</v>
      </c>
      <c r="AN117" s="598">
        <f t="shared" si="211"/>
        <v>1365</v>
      </c>
      <c r="AO117" s="598">
        <f t="shared" ref="AO117:AO118" si="229">IF(AN117&lt;$D117,IF(AN117+($D117/$E117)&lt;$D117,ROUND($D117/$E117,0),ROUND($D117-AN117,0)),0)</f>
        <v>0</v>
      </c>
      <c r="AP117" s="598">
        <f t="shared" si="213"/>
        <v>1365</v>
      </c>
      <c r="AQ117" s="599">
        <f t="shared" ref="AQ117:AQ118" si="230">IF(AP117&lt;$D117,IF(AP117+($D117/$E117)&lt;$D117,ROUND($D117/$E117,0),ROUND($D117-AP117,0)),0)</f>
        <v>0</v>
      </c>
      <c r="AR117" s="599">
        <f t="shared" si="215"/>
        <v>1365</v>
      </c>
    </row>
    <row r="118" spans="1:44" x14ac:dyDescent="0.25">
      <c r="B118" s="312" t="s">
        <v>162</v>
      </c>
      <c r="C118" s="350">
        <v>37955</v>
      </c>
      <c r="D118" s="342">
        <v>8648</v>
      </c>
      <c r="E118" s="324">
        <v>10</v>
      </c>
      <c r="F118" s="598"/>
      <c r="G118" s="598"/>
      <c r="H118" s="598"/>
      <c r="I118" s="598"/>
      <c r="J118" s="366"/>
      <c r="K118" s="598"/>
      <c r="L118" s="598">
        <v>0</v>
      </c>
      <c r="M118" s="598">
        <f>IF(L118&lt;$D118,IF(L118+($D118/$E118)&lt;$D118,ROUND($D118/$E118,0),ROUND($D118-L118,0)),0)/12*2</f>
        <v>144.16666666666666</v>
      </c>
      <c r="N118" s="598">
        <f>ROUND(SUM(L118:M118),0)</f>
        <v>144</v>
      </c>
      <c r="O118" s="598">
        <f t="shared" si="187"/>
        <v>865</v>
      </c>
      <c r="P118" s="598">
        <f t="shared" si="219"/>
        <v>1009</v>
      </c>
      <c r="Q118" s="598">
        <f t="shared" si="187"/>
        <v>865</v>
      </c>
      <c r="R118" s="598">
        <f t="shared" si="189"/>
        <v>1874</v>
      </c>
      <c r="S118" s="598">
        <f t="shared" si="190"/>
        <v>865</v>
      </c>
      <c r="T118" s="598">
        <f t="shared" si="191"/>
        <v>2739</v>
      </c>
      <c r="U118" s="598">
        <f t="shared" si="192"/>
        <v>865</v>
      </c>
      <c r="V118" s="598">
        <f t="shared" si="218"/>
        <v>3604</v>
      </c>
      <c r="W118" s="598">
        <f t="shared" si="220"/>
        <v>865</v>
      </c>
      <c r="X118" s="598">
        <f t="shared" si="195"/>
        <v>4469</v>
      </c>
      <c r="Y118" s="596">
        <f t="shared" si="221"/>
        <v>865</v>
      </c>
      <c r="Z118" s="596">
        <f t="shared" si="197"/>
        <v>5334</v>
      </c>
      <c r="AA118" s="598">
        <f t="shared" si="222"/>
        <v>865</v>
      </c>
      <c r="AB118" s="598">
        <f t="shared" si="199"/>
        <v>6199</v>
      </c>
      <c r="AC118" s="598">
        <f t="shared" si="223"/>
        <v>865</v>
      </c>
      <c r="AD118" s="598">
        <f t="shared" si="201"/>
        <v>7064</v>
      </c>
      <c r="AE118" s="598">
        <f t="shared" si="224"/>
        <v>865</v>
      </c>
      <c r="AF118" s="598">
        <f t="shared" si="203"/>
        <v>7929</v>
      </c>
      <c r="AG118" s="596">
        <f t="shared" si="225"/>
        <v>719</v>
      </c>
      <c r="AH118" s="596">
        <f t="shared" si="205"/>
        <v>8648</v>
      </c>
      <c r="AI118" s="598">
        <f t="shared" si="226"/>
        <v>0</v>
      </c>
      <c r="AJ118" s="598">
        <f t="shared" si="207"/>
        <v>8648</v>
      </c>
      <c r="AK118" s="598">
        <f t="shared" si="227"/>
        <v>0</v>
      </c>
      <c r="AL118" s="598">
        <f t="shared" si="209"/>
        <v>8648</v>
      </c>
      <c r="AM118" s="598">
        <f t="shared" si="228"/>
        <v>0</v>
      </c>
      <c r="AN118" s="598">
        <f t="shared" si="211"/>
        <v>8648</v>
      </c>
      <c r="AO118" s="598">
        <f t="shared" si="229"/>
        <v>0</v>
      </c>
      <c r="AP118" s="598">
        <f t="shared" si="213"/>
        <v>8648</v>
      </c>
      <c r="AQ118" s="599">
        <f t="shared" si="230"/>
        <v>0</v>
      </c>
      <c r="AR118" s="599">
        <f t="shared" si="215"/>
        <v>8648</v>
      </c>
    </row>
    <row r="119" spans="1:44" x14ac:dyDescent="0.25">
      <c r="B119" s="312" t="s">
        <v>163</v>
      </c>
      <c r="C119" s="350">
        <v>37955</v>
      </c>
      <c r="D119" s="342">
        <v>1853.65</v>
      </c>
      <c r="E119" s="324">
        <v>7</v>
      </c>
      <c r="F119" s="598"/>
      <c r="G119" s="598"/>
      <c r="H119" s="598"/>
      <c r="I119" s="598"/>
      <c r="J119" s="366"/>
      <c r="K119" s="598"/>
      <c r="L119" s="598">
        <v>0</v>
      </c>
      <c r="M119" s="598">
        <f>IF(L119&lt;$D119,IF(L119+($D119/$E119)&lt;$D119,ROUND($D119/$E119,0),ROUND($D119-L119,0)),0)/12*2</f>
        <v>44.166666666666664</v>
      </c>
      <c r="N119" s="598">
        <f>ROUND(SUM(L119:M119),0)</f>
        <v>44</v>
      </c>
      <c r="O119" s="598">
        <f>IF(N119&lt;$D119,IF(N119+($D119/$E119)&lt;$D119,ROUND($D119/$E119,0),ROUND($D119-N119,0)),0)</f>
        <v>265</v>
      </c>
      <c r="P119" s="598">
        <f>ROUND(SUM(N119:O119),0)</f>
        <v>309</v>
      </c>
      <c r="Q119" s="598">
        <f>IF(P119&lt;$D119,IF(P119+($D119/$E119)&lt;$D119,ROUND($D119/$E119,0),ROUND($D119-P119,0)),0)</f>
        <v>265</v>
      </c>
      <c r="R119" s="598">
        <f>ROUND(SUM(P119:Q119),0)</f>
        <v>574</v>
      </c>
      <c r="S119" s="598">
        <f>IF(R119&lt;$D119,IF(R119+($D119/$E119)&lt;$D119,ROUND($D119/$E119,0),ROUND($D119-R119,0)),0)</f>
        <v>265</v>
      </c>
      <c r="T119" s="598">
        <f>ROUND(SUM(R119:S119),0)</f>
        <v>839</v>
      </c>
      <c r="U119" s="598">
        <f>IF(T119&lt;$D119,IF(T119+($D119/$E119)&lt;$D119,ROUND($D119/$E119,0),ROUND($D119-T119,0)),0)</f>
        <v>265</v>
      </c>
      <c r="V119" s="598">
        <f>ROUND(SUM(T119:U119),0)</f>
        <v>1104</v>
      </c>
      <c r="W119" s="598">
        <f>IF(V119&lt;$D119,IF(V119+($D119/$E119)&lt;$D119,ROUND($D119/$E119,0),ROUND($D119-V119,0)),0)</f>
        <v>265</v>
      </c>
      <c r="X119" s="598">
        <f>ROUND(SUM(V119:W119),0)</f>
        <v>1369</v>
      </c>
      <c r="Y119" s="596">
        <f>IF(X119&lt;$D119,IF(X119+($D119/$E119)&lt;$D119,ROUND($D119/$E119,0),ROUND($D119-X119,0)),0)</f>
        <v>265</v>
      </c>
      <c r="Z119" s="596">
        <f>ROUND(SUM(X119:Y119),0)</f>
        <v>1634</v>
      </c>
      <c r="AA119" s="598">
        <f>IF(Z119&lt;$D119,IF(Z119+($D119/$E119)&lt;$D119,ROUND($D119/$E119,0),ROUND($D119-Z119,0)),0)</f>
        <v>220</v>
      </c>
      <c r="AB119" s="598">
        <f>ROUND(SUM(Z119:AA119),0)</f>
        <v>1854</v>
      </c>
      <c r="AC119" s="598">
        <f>IF(AB119&lt;$D119,IF(AB119+($D119/$E119)&lt;$D119,ROUND($D119/$E119,0),ROUND($D119-AB119,0)),0)</f>
        <v>0</v>
      </c>
      <c r="AD119" s="598">
        <f>ROUND(SUM(AB119:AC119),0)</f>
        <v>1854</v>
      </c>
      <c r="AE119" s="598">
        <f>IF(AD119&lt;$D119,IF(AD119+($D119/$E119)&lt;$D119,ROUND($D119/$E119,0),ROUND($D119-AD119,0)),0)</f>
        <v>0</v>
      </c>
      <c r="AF119" s="598">
        <f>ROUND(SUM(AD119:AE119),0)</f>
        <v>1854</v>
      </c>
      <c r="AG119" s="596">
        <f>IF(AF119&lt;$D119,IF(AF119+($D119/$E119)&lt;$D119,ROUND($D119/$E119,0),ROUND($D119-AF119,0)),0)</f>
        <v>0</v>
      </c>
      <c r="AH119" s="596">
        <f>ROUND(SUM(AF119:AG119),0)</f>
        <v>1854</v>
      </c>
      <c r="AI119" s="598">
        <f>IF(AH119&lt;$D119,IF(AH119+($D119/$E119)&lt;$D119,ROUND($D119/$E119,0),ROUND($D119-AH119,0)),0)</f>
        <v>0</v>
      </c>
      <c r="AJ119" s="598">
        <f>ROUND(SUM(AH119:AI119),0)</f>
        <v>1854</v>
      </c>
      <c r="AK119" s="598">
        <f>IF(AJ119&lt;$D119,IF(AJ119+($D119/$E119)&lt;$D119,ROUND($D119/$E119,0),ROUND($D119-AJ119,0)),0)</f>
        <v>0</v>
      </c>
      <c r="AL119" s="598">
        <f>ROUND(SUM(AJ119:AK119),0)</f>
        <v>1854</v>
      </c>
      <c r="AM119" s="598">
        <f>IF(AL119&lt;$D119,IF(AL119+($D119/$E119)&lt;$D119,ROUND($D119/$E119,0),ROUND($D119-AL119,0)),0)</f>
        <v>0</v>
      </c>
      <c r="AN119" s="598">
        <f>ROUND(SUM(AL119:AM119),0)</f>
        <v>1854</v>
      </c>
      <c r="AO119" s="598">
        <f>IF(AN119&lt;$D119,IF(AN119+($D119/$E119)&lt;$D119,ROUND($D119/$E119,0),ROUND($D119-AN119,0)),0)</f>
        <v>0</v>
      </c>
      <c r="AP119" s="598">
        <f>ROUND(SUM(AN119:AO119),0)</f>
        <v>1854</v>
      </c>
      <c r="AQ119" s="599">
        <f>IF(AP119&lt;$D119,IF(AP119+($D119/$E119)&lt;$D119,ROUND($D119/$E119,0),ROUND($D119-AP119,0)),0)</f>
        <v>0</v>
      </c>
      <c r="AR119" s="599">
        <f>ROUND(SUM(AP119:AQ119),0)</f>
        <v>1854</v>
      </c>
    </row>
    <row r="120" spans="1:44" x14ac:dyDescent="0.25">
      <c r="A120" s="358">
        <v>2</v>
      </c>
      <c r="B120" s="312" t="s">
        <v>566</v>
      </c>
      <c r="C120" s="350">
        <v>37925</v>
      </c>
      <c r="D120" s="342">
        <f>121208.64-34337.4</f>
        <v>86871.239999999991</v>
      </c>
      <c r="E120" s="324">
        <v>5</v>
      </c>
      <c r="F120" s="598"/>
      <c r="G120" s="598"/>
      <c r="H120" s="598"/>
      <c r="I120" s="598"/>
      <c r="J120" s="366"/>
      <c r="K120" s="598"/>
      <c r="L120" s="598">
        <f>ROUND(SUM(J120:K120),0)</f>
        <v>0</v>
      </c>
      <c r="M120" s="598">
        <f>IF(L120&lt;$D120,IF(L120+($D120/$E120)&lt;$D120,ROUND($D120/$E120,0),ROUND($D120-L120,0)),0)/12*3</f>
        <v>4343.5</v>
      </c>
      <c r="N120" s="598">
        <f>ROUND(SUM(L120:M120),0)</f>
        <v>4344</v>
      </c>
      <c r="O120" s="598">
        <f>IF(N120&lt;$D120,IF(N120+($D120/$E120)&lt;$D120,ROUND($D120/$E120,0),ROUND($D120-N120,0)),0)</f>
        <v>17374</v>
      </c>
      <c r="P120" s="598">
        <f>ROUND(SUM(N120:O120),0)</f>
        <v>21718</v>
      </c>
      <c r="Q120" s="598">
        <f>IF(P120&lt;$D120,IF(P120+($D120/$E120)&lt;$D120,ROUND($D120/$E120,0),ROUND($D120-P120,0)),0)</f>
        <v>17374</v>
      </c>
      <c r="R120" s="598">
        <f>ROUND(SUM(P120:Q120),0)</f>
        <v>39092</v>
      </c>
      <c r="S120" s="598">
        <f>IF(R120&lt;$D120,IF(R120+($D120/$E120)&lt;$D120,ROUND($D120/$E120,0),ROUND($D120-R120,0)),0)</f>
        <v>17374</v>
      </c>
      <c r="T120" s="598">
        <f>ROUND(SUM(R120:S120),0)</f>
        <v>56466</v>
      </c>
      <c r="U120" s="598">
        <f>IF(T120&lt;$D120,IF(T120+($D120/$E120)&lt;$D120,ROUND($D120/$E120,0),ROUND($D120-T120,0)),0)</f>
        <v>17374</v>
      </c>
      <c r="V120" s="598">
        <f>ROUND(SUM(T120:U120),0)</f>
        <v>73840</v>
      </c>
      <c r="W120" s="598">
        <f>IF(V120&lt;$D120,IF(V120+($D120/$E120)&lt;$D120,ROUND($D120/$E120,0),ROUND($D120-V120,0)),0)</f>
        <v>13031</v>
      </c>
      <c r="X120" s="598">
        <f>ROUND(SUM(V120:W120),0)</f>
        <v>86871</v>
      </c>
      <c r="Y120" s="596">
        <f>IF(X120&lt;$D120,IF(X120+($D120/$E120)&lt;$D120,ROUND($D120/$E120,0),ROUND($D120-X120,0)),0)</f>
        <v>0</v>
      </c>
      <c r="Z120" s="596">
        <f>ROUND(SUM(X120:Y120),0)</f>
        <v>86871</v>
      </c>
      <c r="AA120" s="598">
        <f>IF(Z120&lt;$D120,IF(Z120+($D120/$E120)&lt;$D120,ROUND($D120/$E120,0),ROUND($D120-Z120,0)),0)</f>
        <v>0</v>
      </c>
      <c r="AB120" s="598">
        <f>ROUND(SUM(Z120:AA120),0)</f>
        <v>86871</v>
      </c>
      <c r="AC120" s="598">
        <f>IF(AB120&lt;$D120,IF(AB120+($D120/$E120)&lt;$D120,ROUND($D120/$E120,0),ROUND($D120-AB120,0)),0)</f>
        <v>0</v>
      </c>
      <c r="AD120" s="598">
        <f>ROUND(SUM(AB120:AC120),0)</f>
        <v>86871</v>
      </c>
      <c r="AE120" s="598">
        <f>IF(AD120&lt;$D120,IF(AD120+($D120/$E120)&lt;$D120,ROUND($D120/$E120,0),ROUND($D120-AD120,0)),0)</f>
        <v>0</v>
      </c>
      <c r="AF120" s="598">
        <f>ROUND(SUM(AD120:AE120),0)</f>
        <v>86871</v>
      </c>
      <c r="AG120" s="596">
        <f>IF(AF120&lt;$D120,IF(AF120+($D120/$E120)&lt;$D120,ROUND($D120/$E120,0),ROUND($D120-AF120,0)),0)</f>
        <v>0</v>
      </c>
      <c r="AH120" s="596">
        <f>ROUND(SUM(AF120:AG120),0)</f>
        <v>86871</v>
      </c>
      <c r="AI120" s="598">
        <f>IF(AH120&lt;$D120,IF(AH120+($D120/$E120)&lt;$D120,ROUND($D120/$E120,0),ROUND($D120-AH120,0)),0)</f>
        <v>0</v>
      </c>
      <c r="AJ120" s="598">
        <f>ROUND(SUM(AH120:AI120),0)</f>
        <v>86871</v>
      </c>
      <c r="AK120" s="598">
        <f>IF(AJ120&lt;$D120,IF(AJ120+($D120/$E120)&lt;$D120,ROUND($D120/$E120,0),ROUND($D120-AJ120,0)),0)</f>
        <v>0</v>
      </c>
      <c r="AL120" s="598">
        <f>ROUND(SUM(AJ120:AK120),0)</f>
        <v>86871</v>
      </c>
      <c r="AM120" s="598">
        <f>IF(AL120&lt;$D120,IF(AL120+($D120/$E120)&lt;$D120,ROUND($D120/$E120,0),ROUND($D120-AL120,0)),0)</f>
        <v>0</v>
      </c>
      <c r="AN120" s="598">
        <f>ROUND(SUM(AL120:AM120),0)</f>
        <v>86871</v>
      </c>
      <c r="AO120" s="598">
        <f>IF(AN120&lt;$D120,IF(AN120+($D120/$E120)&lt;$D120,ROUND($D120/$E120,0),ROUND($D120-AN120,0)),0)</f>
        <v>0</v>
      </c>
      <c r="AP120" s="598">
        <f>ROUND(SUM(AN120:AO120),0)</f>
        <v>86871</v>
      </c>
      <c r="AQ120" s="599">
        <f>IF(AP120&lt;$D120,IF(AP120+($D120/$E120)&lt;$D120,ROUND($D120/$E120,0),ROUND($D120-AP120,0)),0)</f>
        <v>0</v>
      </c>
      <c r="AR120" s="599">
        <f>ROUND(SUM(AP120:AQ120),0)</f>
        <v>86871</v>
      </c>
    </row>
    <row r="121" spans="1:44" x14ac:dyDescent="0.25">
      <c r="A121" s="358">
        <v>2</v>
      </c>
      <c r="B121" s="312" t="s">
        <v>164</v>
      </c>
      <c r="C121" s="350">
        <v>38065</v>
      </c>
      <c r="D121" s="342">
        <v>-10032</v>
      </c>
      <c r="E121" s="324">
        <v>5</v>
      </c>
      <c r="F121" s="598"/>
      <c r="G121" s="598"/>
      <c r="H121" s="598"/>
      <c r="I121" s="598"/>
      <c r="J121" s="366"/>
      <c r="K121" s="598"/>
      <c r="L121" s="598"/>
      <c r="M121" s="598"/>
      <c r="N121" s="598"/>
      <c r="O121" s="598">
        <f>SUM(D121/E121)</f>
        <v>-2006.4</v>
      </c>
      <c r="P121" s="598">
        <f t="shared" si="219"/>
        <v>-2006</v>
      </c>
      <c r="Q121" s="598">
        <f>SUM(D121/E121)</f>
        <v>-2006.4</v>
      </c>
      <c r="R121" s="598">
        <f t="shared" si="189"/>
        <v>-4012</v>
      </c>
      <c r="S121" s="598">
        <f t="shared" si="190"/>
        <v>0</v>
      </c>
      <c r="T121" s="598">
        <f t="shared" si="191"/>
        <v>-4012</v>
      </c>
      <c r="U121" s="598">
        <f t="shared" si="192"/>
        <v>0</v>
      </c>
      <c r="V121" s="598">
        <f t="shared" si="218"/>
        <v>-4012</v>
      </c>
      <c r="W121" s="598">
        <f>IF(V121&lt;$D121,IF(V121+($D121/$E121)&lt;$D121,ROUND($D121/$E121,0),ROUND($D121-V121,0)),0)-2006</f>
        <v>-2006</v>
      </c>
      <c r="X121" s="598">
        <f t="shared" si="195"/>
        <v>-6018</v>
      </c>
      <c r="Y121" s="596">
        <f>IF(X121&lt;$D121,IF(X121+($D121/$E121)&lt;$D121,ROUND($D121/$E121,0),ROUND($D121-X121,0)),0)-2006</f>
        <v>-2006</v>
      </c>
      <c r="Z121" s="596">
        <f t="shared" si="197"/>
        <v>-8024</v>
      </c>
      <c r="AA121" s="598">
        <f>IF(Z121&lt;$D121,IF(Z121+($D121/$E121)&lt;$D121,ROUND($D121/$E121,0),ROUND($D121-Z121,0)),0)-2008</f>
        <v>-2008</v>
      </c>
      <c r="AB121" s="598">
        <f t="shared" si="199"/>
        <v>-10032</v>
      </c>
      <c r="AC121" s="598">
        <f>IF(AB121&lt;$D121,IF(AB121+($D121/$E121)&lt;$D121,ROUND($D121/$E121,0),ROUND($D121-AB121,0)),0)</f>
        <v>0</v>
      </c>
      <c r="AD121" s="598">
        <f t="shared" si="201"/>
        <v>-10032</v>
      </c>
      <c r="AE121" s="598">
        <f>IF(AD121&lt;$D121,IF(AD121+($D121/$E121)&lt;$D121,ROUND($D121/$E121,0),ROUND($D121-AD121,0)),0)</f>
        <v>0</v>
      </c>
      <c r="AF121" s="598">
        <f t="shared" si="203"/>
        <v>-10032</v>
      </c>
      <c r="AG121" s="596">
        <f>IF(AF121&lt;$D121,IF(AF121+($D121/$E121)&lt;$D121,ROUND($D121/$E121,0),ROUND($D121-AF121,0)),0)</f>
        <v>0</v>
      </c>
      <c r="AH121" s="596">
        <f t="shared" si="205"/>
        <v>-10032</v>
      </c>
      <c r="AI121" s="598">
        <f>IF(AH121&lt;$D121,IF(AH121+($D121/$E121)&lt;$D121,ROUND($D121/$E121,0),ROUND($D121-AH121,0)),0)</f>
        <v>0</v>
      </c>
      <c r="AJ121" s="598">
        <f t="shared" si="207"/>
        <v>-10032</v>
      </c>
      <c r="AK121" s="598">
        <f>IF(AJ121&lt;$D121,IF(AJ121+($D121/$E121)&lt;$D121,ROUND($D121/$E121,0),ROUND($D121-AJ121,0)),0)</f>
        <v>0</v>
      </c>
      <c r="AL121" s="598">
        <f t="shared" si="209"/>
        <v>-10032</v>
      </c>
      <c r="AM121" s="598">
        <f>IF(AL121&lt;$D121,IF(AL121+($D121/$E121)&lt;$D121,ROUND($D121/$E121,0),ROUND($D121-AL121,0)),0)</f>
        <v>0</v>
      </c>
      <c r="AN121" s="598">
        <f t="shared" ref="AN121:AN125" si="231">ROUND(SUM(AL121:AM121),0)</f>
        <v>-10032</v>
      </c>
      <c r="AO121" s="598">
        <f>IF(AN121&lt;$D121,IF(AN121+($D121/$E121)&lt;$D121,ROUND($D121/$E121,0),ROUND($D121-AN121,0)),0)</f>
        <v>0</v>
      </c>
      <c r="AP121" s="598">
        <f t="shared" ref="AP121:AP125" si="232">ROUND(SUM(AN121:AO121),0)</f>
        <v>-10032</v>
      </c>
      <c r="AQ121" s="599">
        <f>IF(AP121&lt;$D121,IF(AP121+($D121/$E121)&lt;$D121,ROUND($D121/$E121,0),ROUND($D121-AP121,0)),0)</f>
        <v>0</v>
      </c>
      <c r="AR121" s="599">
        <f t="shared" ref="AR121:AR125" si="233">ROUND(SUM(AP121:AQ121),0)</f>
        <v>-10032</v>
      </c>
    </row>
    <row r="122" spans="1:44" x14ac:dyDescent="0.25">
      <c r="B122" s="312" t="s">
        <v>110</v>
      </c>
      <c r="C122" s="350">
        <v>38104</v>
      </c>
      <c r="D122" s="342">
        <v>809.3</v>
      </c>
      <c r="E122" s="324">
        <v>5</v>
      </c>
      <c r="F122" s="598"/>
      <c r="G122" s="598"/>
      <c r="H122" s="598"/>
      <c r="I122" s="598"/>
      <c r="J122" s="366"/>
      <c r="K122" s="598"/>
      <c r="L122" s="598"/>
      <c r="M122" s="598"/>
      <c r="N122" s="598"/>
      <c r="O122" s="598">
        <f>IF(N122&lt;$D122,IF(N122+($D122/$E122)&lt;$D122,ROUND($D122/$E122,0),ROUND($D122-N122,0)),0)/12*9</f>
        <v>121.5</v>
      </c>
      <c r="P122" s="598">
        <f t="shared" si="219"/>
        <v>122</v>
      </c>
      <c r="Q122" s="598">
        <f>IF(P122&lt;$D122,IF(P122+($D122/$E122)&lt;$D122,ROUND($D122/$E122,0),ROUND($D122-P122,0)),0)</f>
        <v>162</v>
      </c>
      <c r="R122" s="598">
        <f t="shared" si="189"/>
        <v>284</v>
      </c>
      <c r="S122" s="598">
        <f t="shared" si="190"/>
        <v>162</v>
      </c>
      <c r="T122" s="598">
        <f t="shared" si="191"/>
        <v>446</v>
      </c>
      <c r="U122" s="598">
        <f t="shared" si="192"/>
        <v>162</v>
      </c>
      <c r="V122" s="598">
        <f t="shared" si="218"/>
        <v>608</v>
      </c>
      <c r="W122" s="598">
        <f t="shared" ref="W122:W127" si="234">IF(V122&lt;$D122,IF(V122+($D122/$E122)&lt;$D122,ROUND($D122/$E122,0),ROUND($D122-V122,0)),0)</f>
        <v>162</v>
      </c>
      <c r="X122" s="598">
        <f t="shared" si="195"/>
        <v>770</v>
      </c>
      <c r="Y122" s="596">
        <f t="shared" ref="Y122:Y128" si="235">IF(X122&lt;$D122,IF(X122+($D122/$E122)&lt;$D122,ROUND($D122/$E122,0),ROUND($D122-X122,0)),0)</f>
        <v>39</v>
      </c>
      <c r="Z122" s="596">
        <f t="shared" si="197"/>
        <v>809</v>
      </c>
      <c r="AA122" s="598">
        <f t="shared" ref="AA122:AA128" si="236">IF(Z122&lt;$D122,IF(Z122+($D122/$E122)&lt;$D122,ROUND($D122/$E122,0),ROUND($D122-Z122,0)),0)</f>
        <v>0</v>
      </c>
      <c r="AB122" s="598">
        <f t="shared" si="199"/>
        <v>809</v>
      </c>
      <c r="AC122" s="598">
        <f t="shared" ref="AC122:AC128" si="237">IF(AB122&lt;$D122,IF(AB122+($D122/$E122)&lt;$D122,ROUND($D122/$E122,0),ROUND($D122-AB122,0)),0)</f>
        <v>0</v>
      </c>
      <c r="AD122" s="598">
        <f t="shared" si="201"/>
        <v>809</v>
      </c>
      <c r="AE122" s="598">
        <f t="shared" ref="AE122:AE128" si="238">IF(AD122&lt;$D122,IF(AD122+($D122/$E122)&lt;$D122,ROUND($D122/$E122,0),ROUND($D122-AD122,0)),0)</f>
        <v>0</v>
      </c>
      <c r="AF122" s="598">
        <f t="shared" si="203"/>
        <v>809</v>
      </c>
      <c r="AG122" s="596">
        <f t="shared" ref="AG122:AG128" si="239">IF(AF122&lt;$D122,IF(AF122+($D122/$E122)&lt;$D122,ROUND($D122/$E122,0),ROUND($D122-AF122,0)),0)</f>
        <v>0</v>
      </c>
      <c r="AH122" s="596">
        <f t="shared" si="205"/>
        <v>809</v>
      </c>
      <c r="AI122" s="598">
        <f t="shared" ref="AI122:AI128" si="240">IF(AH122&lt;$D122,IF(AH122+($D122/$E122)&lt;$D122,ROUND($D122/$E122,0),ROUND($D122-AH122,0)),0)</f>
        <v>0</v>
      </c>
      <c r="AJ122" s="598">
        <f t="shared" si="207"/>
        <v>809</v>
      </c>
      <c r="AK122" s="598">
        <f t="shared" ref="AK122:AK128" si="241">IF(AJ122&lt;$D122,IF(AJ122+($D122/$E122)&lt;$D122,ROUND($D122/$E122,0),ROUND($D122-AJ122,0)),0)</f>
        <v>0</v>
      </c>
      <c r="AL122" s="598">
        <f t="shared" si="209"/>
        <v>809</v>
      </c>
      <c r="AM122" s="598">
        <f t="shared" ref="AM122:AM128" si="242">IF(AL122&lt;$D122,IF(AL122+($D122/$E122)&lt;$D122,ROUND($D122/$E122,0),ROUND($D122-AL122,0)),0)</f>
        <v>0</v>
      </c>
      <c r="AN122" s="598">
        <f t="shared" si="231"/>
        <v>809</v>
      </c>
      <c r="AO122" s="598">
        <f t="shared" ref="AO122:AO133" si="243">IF(AN122&lt;$D122,IF(AN122+($D122/$E122)&lt;$D122,ROUND($D122/$E122,0),ROUND($D122-AN122,0)),0)</f>
        <v>0</v>
      </c>
      <c r="AP122" s="598">
        <f t="shared" si="232"/>
        <v>809</v>
      </c>
      <c r="AQ122" s="599">
        <f t="shared" ref="AQ122:AQ134" si="244">IF(AP122&lt;$D122,IF(AP122+($D122/$E122)&lt;$D122,ROUND($D122/$E122,0),ROUND($D122-AP122,0)),0)</f>
        <v>0</v>
      </c>
      <c r="AR122" s="599">
        <f t="shared" si="233"/>
        <v>809</v>
      </c>
    </row>
    <row r="123" spans="1:44" x14ac:dyDescent="0.25">
      <c r="B123" s="312" t="s">
        <v>165</v>
      </c>
      <c r="C123" s="350">
        <v>38133</v>
      </c>
      <c r="D123" s="342">
        <v>7026.5</v>
      </c>
      <c r="E123" s="324">
        <v>5</v>
      </c>
      <c r="F123" s="598"/>
      <c r="G123" s="598"/>
      <c r="H123" s="598"/>
      <c r="I123" s="598"/>
      <c r="J123" s="366"/>
      <c r="K123" s="598"/>
      <c r="L123" s="598"/>
      <c r="M123" s="598"/>
      <c r="N123" s="598"/>
      <c r="O123" s="598">
        <f>IF(N123&lt;$D123,IF(N123+($D123/$E123)&lt;$D123,ROUND($D123/$E123,0),ROUND($D123-N123,0)),0)/12*8</f>
        <v>936.66666666666663</v>
      </c>
      <c r="P123" s="598">
        <f t="shared" si="219"/>
        <v>937</v>
      </c>
      <c r="Q123" s="598">
        <f>IF(P123&lt;$D123,IF(P123+($D123/$E123)&lt;$D123,ROUND($D123/$E123,0),ROUND($D123-P123,0)),0)</f>
        <v>1405</v>
      </c>
      <c r="R123" s="598">
        <f t="shared" si="189"/>
        <v>2342</v>
      </c>
      <c r="S123" s="598">
        <f t="shared" si="190"/>
        <v>1405</v>
      </c>
      <c r="T123" s="598">
        <f t="shared" si="191"/>
        <v>3747</v>
      </c>
      <c r="U123" s="598">
        <f t="shared" si="192"/>
        <v>1405</v>
      </c>
      <c r="V123" s="598">
        <f t="shared" si="218"/>
        <v>5152</v>
      </c>
      <c r="W123" s="598">
        <f t="shared" si="234"/>
        <v>1405</v>
      </c>
      <c r="X123" s="598">
        <f t="shared" si="195"/>
        <v>6557</v>
      </c>
      <c r="Y123" s="596">
        <f t="shared" si="235"/>
        <v>470</v>
      </c>
      <c r="Z123" s="596">
        <f t="shared" si="197"/>
        <v>7027</v>
      </c>
      <c r="AA123" s="598">
        <f t="shared" si="236"/>
        <v>0</v>
      </c>
      <c r="AB123" s="598">
        <f t="shared" si="199"/>
        <v>7027</v>
      </c>
      <c r="AC123" s="598">
        <f t="shared" si="237"/>
        <v>0</v>
      </c>
      <c r="AD123" s="598">
        <f t="shared" si="201"/>
        <v>7027</v>
      </c>
      <c r="AE123" s="598">
        <f t="shared" si="238"/>
        <v>0</v>
      </c>
      <c r="AF123" s="598">
        <f t="shared" si="203"/>
        <v>7027</v>
      </c>
      <c r="AG123" s="596">
        <f t="shared" si="239"/>
        <v>0</v>
      </c>
      <c r="AH123" s="596">
        <f t="shared" si="205"/>
        <v>7027</v>
      </c>
      <c r="AI123" s="598">
        <f t="shared" si="240"/>
        <v>0</v>
      </c>
      <c r="AJ123" s="598">
        <f t="shared" si="207"/>
        <v>7027</v>
      </c>
      <c r="AK123" s="598">
        <f t="shared" si="241"/>
        <v>0</v>
      </c>
      <c r="AL123" s="598">
        <f t="shared" si="209"/>
        <v>7027</v>
      </c>
      <c r="AM123" s="598">
        <f t="shared" si="242"/>
        <v>0</v>
      </c>
      <c r="AN123" s="598">
        <f t="shared" si="231"/>
        <v>7027</v>
      </c>
      <c r="AO123" s="598">
        <f t="shared" si="243"/>
        <v>0</v>
      </c>
      <c r="AP123" s="598">
        <f t="shared" si="232"/>
        <v>7027</v>
      </c>
      <c r="AQ123" s="599">
        <f t="shared" si="244"/>
        <v>0</v>
      </c>
      <c r="AR123" s="599">
        <f t="shared" si="233"/>
        <v>7027</v>
      </c>
    </row>
    <row r="124" spans="1:44" x14ac:dyDescent="0.25">
      <c r="B124" s="312" t="s">
        <v>150</v>
      </c>
      <c r="C124" s="350">
        <v>38400</v>
      </c>
      <c r="D124" s="342">
        <v>2772.97</v>
      </c>
      <c r="E124" s="324">
        <v>5</v>
      </c>
      <c r="F124" s="598"/>
      <c r="G124" s="598"/>
      <c r="H124" s="598"/>
      <c r="I124" s="598"/>
      <c r="J124" s="366"/>
      <c r="K124" s="598"/>
      <c r="L124" s="598"/>
      <c r="M124" s="598"/>
      <c r="N124" s="598"/>
      <c r="O124" s="598"/>
      <c r="P124" s="598"/>
      <c r="Q124" s="598">
        <f>IF(P124&lt;$D124,IF(P124+($D124/$E124)&lt;$D124,ROUND($D124/$E124,0),ROUND($D124-P124,0)),0)/12*11</f>
        <v>508.75</v>
      </c>
      <c r="R124" s="598">
        <f>ROUND(SUM(P124:Q124),0)</f>
        <v>509</v>
      </c>
      <c r="S124" s="598">
        <f>IF(R124&lt;$D124,IF(R124+($D124/$E124)&lt;$D124,ROUND($D124/$E124,0),ROUND($D124-R124,0)),0)</f>
        <v>555</v>
      </c>
      <c r="T124" s="598">
        <f>ROUND(SUM(R124:S124),0)</f>
        <v>1064</v>
      </c>
      <c r="U124" s="598">
        <f t="shared" si="192"/>
        <v>555</v>
      </c>
      <c r="V124" s="598">
        <f t="shared" si="218"/>
        <v>1619</v>
      </c>
      <c r="W124" s="598">
        <f t="shared" si="234"/>
        <v>555</v>
      </c>
      <c r="X124" s="598">
        <f t="shared" si="195"/>
        <v>2174</v>
      </c>
      <c r="Y124" s="596">
        <f t="shared" si="235"/>
        <v>555</v>
      </c>
      <c r="Z124" s="596">
        <f t="shared" si="197"/>
        <v>2729</v>
      </c>
      <c r="AA124" s="598">
        <f t="shared" si="236"/>
        <v>44</v>
      </c>
      <c r="AB124" s="598">
        <f t="shared" si="199"/>
        <v>2773</v>
      </c>
      <c r="AC124" s="598">
        <f t="shared" si="237"/>
        <v>0</v>
      </c>
      <c r="AD124" s="598">
        <f t="shared" si="201"/>
        <v>2773</v>
      </c>
      <c r="AE124" s="598">
        <f t="shared" si="238"/>
        <v>0</v>
      </c>
      <c r="AF124" s="598">
        <f t="shared" si="203"/>
        <v>2773</v>
      </c>
      <c r="AG124" s="596">
        <f t="shared" si="239"/>
        <v>0</v>
      </c>
      <c r="AH124" s="596">
        <f t="shared" si="205"/>
        <v>2773</v>
      </c>
      <c r="AI124" s="598">
        <f t="shared" si="240"/>
        <v>0</v>
      </c>
      <c r="AJ124" s="598">
        <f t="shared" si="207"/>
        <v>2773</v>
      </c>
      <c r="AK124" s="598">
        <f t="shared" si="241"/>
        <v>0</v>
      </c>
      <c r="AL124" s="598">
        <f t="shared" si="209"/>
        <v>2773</v>
      </c>
      <c r="AM124" s="598">
        <f t="shared" si="242"/>
        <v>0</v>
      </c>
      <c r="AN124" s="598">
        <f t="shared" si="231"/>
        <v>2773</v>
      </c>
      <c r="AO124" s="598">
        <f t="shared" si="243"/>
        <v>0</v>
      </c>
      <c r="AP124" s="598">
        <f t="shared" si="232"/>
        <v>2773</v>
      </c>
      <c r="AQ124" s="599">
        <f t="shared" si="244"/>
        <v>0</v>
      </c>
      <c r="AR124" s="599">
        <f t="shared" si="233"/>
        <v>2773</v>
      </c>
    </row>
    <row r="125" spans="1:44" x14ac:dyDescent="0.25">
      <c r="B125" s="312" t="s">
        <v>151</v>
      </c>
      <c r="C125" s="350">
        <v>38699</v>
      </c>
      <c r="D125" s="342">
        <v>13181.4</v>
      </c>
      <c r="E125" s="324">
        <v>10</v>
      </c>
      <c r="F125" s="598"/>
      <c r="G125" s="598"/>
      <c r="H125" s="598"/>
      <c r="I125" s="598"/>
      <c r="J125" s="366"/>
      <c r="K125" s="598"/>
      <c r="L125" s="598"/>
      <c r="M125" s="598"/>
      <c r="N125" s="598"/>
      <c r="O125" s="598"/>
      <c r="P125" s="598"/>
      <c r="Q125" s="598">
        <f>IF(P125&lt;$D125,IF(P125+($D125/$E125)&lt;$D125,ROUND($D125/$E125,0),ROUND($D125-P125,0)),0)/12*1</f>
        <v>109.83333333333333</v>
      </c>
      <c r="R125" s="598">
        <f>ROUND(SUM(P125:Q125),0)</f>
        <v>110</v>
      </c>
      <c r="S125" s="598">
        <f>IF(R125&lt;$D125,IF(R125+($D125/$E125)&lt;$D125,ROUND($D125/$E125,0),ROUND($D125-R125,0)),0)</f>
        <v>1318</v>
      </c>
      <c r="T125" s="598">
        <f>ROUND(SUM(R125:S125),0)</f>
        <v>1428</v>
      </c>
      <c r="U125" s="598">
        <f t="shared" si="192"/>
        <v>1318</v>
      </c>
      <c r="V125" s="598">
        <f t="shared" si="218"/>
        <v>2746</v>
      </c>
      <c r="W125" s="598">
        <f t="shared" si="234"/>
        <v>1318</v>
      </c>
      <c r="X125" s="598">
        <f t="shared" si="195"/>
        <v>4064</v>
      </c>
      <c r="Y125" s="596">
        <f t="shared" si="235"/>
        <v>1318</v>
      </c>
      <c r="Z125" s="596">
        <f t="shared" si="197"/>
        <v>5382</v>
      </c>
      <c r="AA125" s="598">
        <f t="shared" si="236"/>
        <v>1318</v>
      </c>
      <c r="AB125" s="598">
        <f t="shared" si="199"/>
        <v>6700</v>
      </c>
      <c r="AC125" s="598">
        <f t="shared" si="237"/>
        <v>1318</v>
      </c>
      <c r="AD125" s="598">
        <f t="shared" si="201"/>
        <v>8018</v>
      </c>
      <c r="AE125" s="598">
        <f t="shared" si="238"/>
        <v>1318</v>
      </c>
      <c r="AF125" s="598">
        <f t="shared" si="203"/>
        <v>9336</v>
      </c>
      <c r="AG125" s="596">
        <f t="shared" si="239"/>
        <v>1318</v>
      </c>
      <c r="AH125" s="596">
        <f t="shared" si="205"/>
        <v>10654</v>
      </c>
      <c r="AI125" s="598">
        <f t="shared" si="240"/>
        <v>1318</v>
      </c>
      <c r="AJ125" s="598">
        <f t="shared" si="207"/>
        <v>11972</v>
      </c>
      <c r="AK125" s="598">
        <f t="shared" si="241"/>
        <v>1209</v>
      </c>
      <c r="AL125" s="598">
        <f t="shared" si="209"/>
        <v>13181</v>
      </c>
      <c r="AM125" s="598">
        <f t="shared" si="242"/>
        <v>0</v>
      </c>
      <c r="AN125" s="598">
        <f t="shared" si="231"/>
        <v>13181</v>
      </c>
      <c r="AO125" s="598">
        <f t="shared" si="243"/>
        <v>0</v>
      </c>
      <c r="AP125" s="598">
        <f t="shared" si="232"/>
        <v>13181</v>
      </c>
      <c r="AQ125" s="599">
        <f t="shared" si="244"/>
        <v>0</v>
      </c>
      <c r="AR125" s="599">
        <f t="shared" si="233"/>
        <v>13181</v>
      </c>
    </row>
    <row r="126" spans="1:44" x14ac:dyDescent="0.25">
      <c r="B126" s="312" t="s">
        <v>654</v>
      </c>
      <c r="C126" s="350">
        <v>38990</v>
      </c>
      <c r="D126" s="342">
        <v>3364.5</v>
      </c>
      <c r="E126" s="324">
        <v>10</v>
      </c>
      <c r="F126" s="598"/>
      <c r="G126" s="598"/>
      <c r="H126" s="598"/>
      <c r="I126" s="598"/>
      <c r="J126" s="366"/>
      <c r="K126" s="598"/>
      <c r="L126" s="598"/>
      <c r="M126" s="598"/>
      <c r="N126" s="598"/>
      <c r="O126" s="598"/>
      <c r="P126" s="598"/>
      <c r="Q126" s="598"/>
      <c r="R126" s="598"/>
      <c r="S126" s="598">
        <f>IF(R126&lt;$D126,IF(R126+($D126/$E126)&lt;$D126,ROUND($D126/$E126,0),ROUND($D126-R126,0)),0)/12*3</f>
        <v>84</v>
      </c>
      <c r="T126" s="598">
        <f>ROUND(SUM(R126:S126),0)</f>
        <v>84</v>
      </c>
      <c r="U126" s="598">
        <f t="shared" si="192"/>
        <v>336</v>
      </c>
      <c r="V126" s="598">
        <f>ROUND(SUM(T126:U126),0)</f>
        <v>420</v>
      </c>
      <c r="W126" s="598">
        <f t="shared" si="234"/>
        <v>336</v>
      </c>
      <c r="X126" s="598">
        <f>ROUND(SUM(V126:W126),0)</f>
        <v>756</v>
      </c>
      <c r="Y126" s="596">
        <f t="shared" si="235"/>
        <v>336</v>
      </c>
      <c r="Z126" s="596">
        <f>ROUND(SUM(X126:Y126),0)</f>
        <v>1092</v>
      </c>
      <c r="AA126" s="598">
        <f t="shared" si="236"/>
        <v>336</v>
      </c>
      <c r="AB126" s="598">
        <f>ROUND(SUM(Z126:AA126),0)</f>
        <v>1428</v>
      </c>
      <c r="AC126" s="598">
        <f t="shared" si="237"/>
        <v>336</v>
      </c>
      <c r="AD126" s="598">
        <f>ROUND(SUM(AB126:AC126),0)</f>
        <v>1764</v>
      </c>
      <c r="AE126" s="598">
        <f t="shared" si="238"/>
        <v>336</v>
      </c>
      <c r="AF126" s="598">
        <f>ROUND(SUM(AD126:AE126),0)</f>
        <v>2100</v>
      </c>
      <c r="AG126" s="596">
        <f t="shared" si="239"/>
        <v>336</v>
      </c>
      <c r="AH126" s="596">
        <f>ROUND(SUM(AF126:AG126),0)</f>
        <v>2436</v>
      </c>
      <c r="AI126" s="598">
        <f t="shared" si="240"/>
        <v>336</v>
      </c>
      <c r="AJ126" s="598">
        <f>ROUND(SUM(AH126:AI126),0)</f>
        <v>2772</v>
      </c>
      <c r="AK126" s="598">
        <f t="shared" si="241"/>
        <v>336</v>
      </c>
      <c r="AL126" s="598">
        <f>ROUND(SUM(AJ126:AK126),0)</f>
        <v>3108</v>
      </c>
      <c r="AM126" s="598">
        <f t="shared" si="242"/>
        <v>257</v>
      </c>
      <c r="AN126" s="598">
        <f>ROUND(SUM(AL126:AM126),0)</f>
        <v>3365</v>
      </c>
      <c r="AO126" s="598">
        <f t="shared" si="243"/>
        <v>0</v>
      </c>
      <c r="AP126" s="598">
        <f>ROUND(SUM(AN126:AO126),0)</f>
        <v>3365</v>
      </c>
      <c r="AQ126" s="599">
        <f t="shared" si="244"/>
        <v>0</v>
      </c>
      <c r="AR126" s="599">
        <f>ROUND(SUM(AP126:AQ126),0)</f>
        <v>3365</v>
      </c>
    </row>
    <row r="127" spans="1:44" s="101" customFormat="1" x14ac:dyDescent="0.25">
      <c r="A127" s="312"/>
      <c r="B127" s="367" t="s">
        <v>152</v>
      </c>
      <c r="C127" s="350">
        <v>39352</v>
      </c>
      <c r="D127" s="342">
        <v>10298</v>
      </c>
      <c r="E127" s="348">
        <v>10</v>
      </c>
      <c r="F127" s="596"/>
      <c r="G127" s="596"/>
      <c r="H127" s="596"/>
      <c r="I127" s="596"/>
      <c r="J127" s="342"/>
      <c r="K127" s="596"/>
      <c r="L127" s="596"/>
      <c r="M127" s="596"/>
      <c r="N127" s="596"/>
      <c r="O127" s="596"/>
      <c r="P127" s="596"/>
      <c r="Q127" s="596"/>
      <c r="R127" s="596"/>
      <c r="S127" s="596">
        <f>IF(R127&lt;$D127,IF(R127+($D127/$E127)&lt;$D127,ROUND($D127/$E127,0),ROUND($D127-R127,0)),0)/12*3</f>
        <v>257.5</v>
      </c>
      <c r="T127" s="596">
        <v>0</v>
      </c>
      <c r="U127" s="596">
        <f>IF(T127&lt;$D127,IF(T127+($D127/$E127)&lt;$D127,ROUND($D127/$E127,0),ROUND($D127-T127,0)),0)/12*4</f>
        <v>343.33333333333331</v>
      </c>
      <c r="V127" s="596">
        <f>ROUND(SUM(T127:U127),0)</f>
        <v>343</v>
      </c>
      <c r="W127" s="596">
        <f t="shared" si="234"/>
        <v>1030</v>
      </c>
      <c r="X127" s="596">
        <f>ROUND(SUM(V127:W127),0)</f>
        <v>1373</v>
      </c>
      <c r="Y127" s="596">
        <f t="shared" si="235"/>
        <v>1030</v>
      </c>
      <c r="Z127" s="596">
        <f>ROUND(SUM(X127:Y127),0)</f>
        <v>2403</v>
      </c>
      <c r="AA127" s="596">
        <f t="shared" si="236"/>
        <v>1030</v>
      </c>
      <c r="AB127" s="596">
        <f>ROUND(SUM(Z127:AA127),0)</f>
        <v>3433</v>
      </c>
      <c r="AC127" s="596">
        <f t="shared" si="237"/>
        <v>1030</v>
      </c>
      <c r="AD127" s="596">
        <f>ROUND(SUM(AB127:AC127),0)</f>
        <v>4463</v>
      </c>
      <c r="AE127" s="596">
        <f t="shared" si="238"/>
        <v>1030</v>
      </c>
      <c r="AF127" s="596">
        <f>ROUND(SUM(AD127:AE127),0)</f>
        <v>5493</v>
      </c>
      <c r="AG127" s="596">
        <f t="shared" si="239"/>
        <v>1030</v>
      </c>
      <c r="AH127" s="596">
        <f>ROUND(SUM(AF127:AG127),0)</f>
        <v>6523</v>
      </c>
      <c r="AI127" s="596">
        <f t="shared" si="240"/>
        <v>1030</v>
      </c>
      <c r="AJ127" s="596">
        <f>ROUND(SUM(AH127:AI127),0)</f>
        <v>7553</v>
      </c>
      <c r="AK127" s="596">
        <f t="shared" si="241"/>
        <v>1030</v>
      </c>
      <c r="AL127" s="596">
        <f>ROUND(SUM(AJ127:AK127),0)</f>
        <v>8583</v>
      </c>
      <c r="AM127" s="596">
        <f t="shared" si="242"/>
        <v>1030</v>
      </c>
      <c r="AN127" s="596">
        <f>ROUND(SUM(AL127:AM127),0)</f>
        <v>9613</v>
      </c>
      <c r="AO127" s="596">
        <f t="shared" si="243"/>
        <v>685</v>
      </c>
      <c r="AP127" s="596">
        <f>ROUND(SUM(AN127:AO127),0)</f>
        <v>10298</v>
      </c>
      <c r="AQ127" s="597">
        <f t="shared" si="244"/>
        <v>0</v>
      </c>
      <c r="AR127" s="597">
        <f>ROUND(SUM(AP127:AQ127),0)</f>
        <v>10298</v>
      </c>
    </row>
    <row r="128" spans="1:44" s="101" customFormat="1" x14ac:dyDescent="0.25">
      <c r="A128" s="312"/>
      <c r="B128" s="367" t="s">
        <v>153</v>
      </c>
      <c r="C128" s="350">
        <v>39539</v>
      </c>
      <c r="D128" s="342">
        <v>11580.84</v>
      </c>
      <c r="E128" s="348">
        <v>10</v>
      </c>
      <c r="F128" s="596"/>
      <c r="G128" s="596"/>
      <c r="H128" s="596"/>
      <c r="I128" s="596"/>
      <c r="J128" s="342"/>
      <c r="K128" s="596"/>
      <c r="L128" s="596"/>
      <c r="M128" s="596"/>
      <c r="N128" s="596"/>
      <c r="O128" s="596"/>
      <c r="P128" s="596"/>
      <c r="Q128" s="596"/>
      <c r="R128" s="596"/>
      <c r="S128" s="596"/>
      <c r="T128" s="596"/>
      <c r="U128" s="596"/>
      <c r="V128" s="596">
        <f>ROUND(SUM(T128:U128),0)</f>
        <v>0</v>
      </c>
      <c r="W128" s="596">
        <f>IF(V128&lt;$D128,IF(V128+($D128/$E128)&lt;$D128,ROUND($D128/$E128,0),ROUND($D128-V128,0)),0)/12*9</f>
        <v>868.5</v>
      </c>
      <c r="X128" s="596">
        <f>ROUND(SUM(V128:W128),0)</f>
        <v>869</v>
      </c>
      <c r="Y128" s="596">
        <f t="shared" si="235"/>
        <v>1158</v>
      </c>
      <c r="Z128" s="596">
        <f>ROUND(SUM(X128:Y128),0)</f>
        <v>2027</v>
      </c>
      <c r="AA128" s="596">
        <f t="shared" si="236"/>
        <v>1158</v>
      </c>
      <c r="AB128" s="596">
        <f>ROUND(SUM(Z128:AA128),0)</f>
        <v>3185</v>
      </c>
      <c r="AC128" s="596">
        <f t="shared" si="237"/>
        <v>1158</v>
      </c>
      <c r="AD128" s="596">
        <f>ROUND(SUM(AB128:AC128),0)</f>
        <v>4343</v>
      </c>
      <c r="AE128" s="596">
        <f t="shared" si="238"/>
        <v>1158</v>
      </c>
      <c r="AF128" s="596">
        <f>ROUND(SUM(AD128:AE128),0)</f>
        <v>5501</v>
      </c>
      <c r="AG128" s="596">
        <f t="shared" si="239"/>
        <v>1158</v>
      </c>
      <c r="AH128" s="596">
        <f>ROUND(SUM(AF128:AG128),0)</f>
        <v>6659</v>
      </c>
      <c r="AI128" s="596">
        <f t="shared" si="240"/>
        <v>1158</v>
      </c>
      <c r="AJ128" s="596">
        <f>ROUND(SUM(AH128:AI128),0)</f>
        <v>7817</v>
      </c>
      <c r="AK128" s="596">
        <f t="shared" si="241"/>
        <v>1158</v>
      </c>
      <c r="AL128" s="596">
        <f>ROUND(SUM(AJ128:AK128),0)</f>
        <v>8975</v>
      </c>
      <c r="AM128" s="596">
        <f t="shared" si="242"/>
        <v>1158</v>
      </c>
      <c r="AN128" s="596">
        <f>ROUND(SUM(AL128:AM128),0)</f>
        <v>10133</v>
      </c>
      <c r="AO128" s="596">
        <f t="shared" si="243"/>
        <v>1158</v>
      </c>
      <c r="AP128" s="596">
        <f>ROUND(SUM(AN128:AO128),0)</f>
        <v>11291</v>
      </c>
      <c r="AQ128" s="597">
        <f t="shared" si="244"/>
        <v>290</v>
      </c>
      <c r="AR128" s="597">
        <f>ROUND(SUM(AP128:AQ128),0)</f>
        <v>11581</v>
      </c>
    </row>
    <row r="129" spans="1:44" s="101" customFormat="1" x14ac:dyDescent="0.25">
      <c r="A129" s="312">
        <v>1</v>
      </c>
      <c r="B129" s="367" t="s">
        <v>306</v>
      </c>
      <c r="C129" s="350">
        <v>40664</v>
      </c>
      <c r="D129" s="342">
        <v>23165.200000000001</v>
      </c>
      <c r="E129" s="348">
        <v>5</v>
      </c>
      <c r="F129" s="596"/>
      <c r="G129" s="596"/>
      <c r="H129" s="596"/>
      <c r="I129" s="596"/>
      <c r="J129" s="342"/>
      <c r="K129" s="596"/>
      <c r="L129" s="596"/>
      <c r="M129" s="596"/>
      <c r="N129" s="596"/>
      <c r="O129" s="596"/>
      <c r="P129" s="596"/>
      <c r="Q129" s="596"/>
      <c r="R129" s="596"/>
      <c r="S129" s="596"/>
      <c r="T129" s="596"/>
      <c r="U129" s="596"/>
      <c r="V129" s="596"/>
      <c r="W129" s="596"/>
      <c r="X129" s="596"/>
      <c r="Y129" s="596"/>
      <c r="Z129" s="596"/>
      <c r="AA129" s="596"/>
      <c r="AB129" s="596">
        <f t="shared" ref="AB129:AB130" si="245">ROUND(SUM(Z129:AA129),0)</f>
        <v>0</v>
      </c>
      <c r="AC129" s="596">
        <f>IF(AB129&lt;$D129,IF(AB129+($D129/$E129)&lt;$D129,ROUND($D129/$E129,0),ROUND($D129-AB129,0)),0)/12*8</f>
        <v>3088.6666666666665</v>
      </c>
      <c r="AD129" s="596">
        <f t="shared" ref="AD129:AD130" si="246">ROUND(SUM(AB129:AC129),0)</f>
        <v>3089</v>
      </c>
      <c r="AE129" s="596">
        <f>IF(AD129&lt;$D129,IF(AD129+($D129/$E129)&lt;$D129,ROUND($D129/$E129,0),ROUND($D129-AD129,0)),0)</f>
        <v>4633</v>
      </c>
      <c r="AF129" s="596">
        <f t="shared" ref="AF129:AF130" si="247">ROUND(SUM(AD129:AE129),0)</f>
        <v>7722</v>
      </c>
      <c r="AG129" s="596">
        <f>IF(AF129&lt;$D129,IF(AF129+($D129/$E129)&lt;$D129,ROUND($D129/$E129,0),ROUND($D129-AF129,0)),0)</f>
        <v>4633</v>
      </c>
      <c r="AH129" s="596">
        <f t="shared" ref="AH129:AH131" si="248">ROUND(SUM(AF129:AG129),0)</f>
        <v>12355</v>
      </c>
      <c r="AI129" s="596">
        <f>IF(AH129&lt;$D129,IF(AH129+($D129/$E129)&lt;$D129,ROUND($D129/$E129,0),ROUND($D129-AH129,0)),0)</f>
        <v>4633</v>
      </c>
      <c r="AJ129" s="596">
        <f t="shared" ref="AJ129:AJ131" si="249">ROUND(SUM(AH129:AI129),0)</f>
        <v>16988</v>
      </c>
      <c r="AK129" s="596">
        <f>IF(AJ129&lt;$D129,IF(AJ129+($D129/$E129)&lt;$D129,ROUND($D129/$E129,0),ROUND($D129-AJ129,0)),0)</f>
        <v>4633</v>
      </c>
      <c r="AL129" s="596">
        <f t="shared" ref="AL129:AL132" si="250">ROUND(SUM(AJ129:AK129),0)</f>
        <v>21621</v>
      </c>
      <c r="AM129" s="596">
        <f>IF(AL129&lt;$D129,IF(AL129+($D129/$E129)&lt;$D129,ROUND($D129/$E129,0),ROUND($D129-AL129,0)),0)</f>
        <v>1544</v>
      </c>
      <c r="AN129" s="596">
        <f t="shared" ref="AN129:AN134" si="251">ROUND(SUM(AL129:AM129),0)</f>
        <v>23165</v>
      </c>
      <c r="AO129" s="596">
        <f t="shared" si="243"/>
        <v>0</v>
      </c>
      <c r="AP129" s="596">
        <f t="shared" ref="AP129:AP132" si="252">ROUND(SUM(AN129:AO129),0)</f>
        <v>23165</v>
      </c>
      <c r="AQ129" s="597">
        <f t="shared" si="244"/>
        <v>0</v>
      </c>
      <c r="AR129" s="597">
        <f t="shared" ref="AR129:AR133" si="253">ROUND(SUM(AP129:AQ129),0)</f>
        <v>23165</v>
      </c>
    </row>
    <row r="130" spans="1:44" s="101" customFormat="1" x14ac:dyDescent="0.25">
      <c r="A130" s="312">
        <v>2</v>
      </c>
      <c r="B130" s="367" t="s">
        <v>307</v>
      </c>
      <c r="C130" s="350">
        <v>40817</v>
      </c>
      <c r="D130" s="342">
        <v>24513.35</v>
      </c>
      <c r="E130" s="348">
        <v>5</v>
      </c>
      <c r="F130" s="596"/>
      <c r="G130" s="596"/>
      <c r="H130" s="596"/>
      <c r="I130" s="596"/>
      <c r="J130" s="342"/>
      <c r="K130" s="596"/>
      <c r="L130" s="596"/>
      <c r="M130" s="596"/>
      <c r="N130" s="596"/>
      <c r="O130" s="596"/>
      <c r="P130" s="596"/>
      <c r="Q130" s="596"/>
      <c r="R130" s="596"/>
      <c r="S130" s="596"/>
      <c r="T130" s="596"/>
      <c r="U130" s="596"/>
      <c r="V130" s="596"/>
      <c r="W130" s="596"/>
      <c r="X130" s="596"/>
      <c r="Y130" s="596"/>
      <c r="Z130" s="596"/>
      <c r="AA130" s="596"/>
      <c r="AB130" s="596">
        <f t="shared" si="245"/>
        <v>0</v>
      </c>
      <c r="AC130" s="596">
        <f>IF(AB130&lt;$D130,IF(AB130+($D130/$E130)&lt;$D130,ROUND($D130/$E130,0),ROUND($D130-AB130,0)),0)/12*3</f>
        <v>1225.75</v>
      </c>
      <c r="AD130" s="596">
        <f t="shared" si="246"/>
        <v>1226</v>
      </c>
      <c r="AE130" s="596">
        <f>IF(AD130&lt;$D130,IF(AD130+($D130/$E130)&lt;$D130,ROUND($D130/$E130,0),ROUND($D130-AD130,0)),0)</f>
        <v>4903</v>
      </c>
      <c r="AF130" s="596">
        <f t="shared" si="247"/>
        <v>6129</v>
      </c>
      <c r="AG130" s="596">
        <f>IF(AF130&lt;$D130,IF(AF130+($D130/$E130)&lt;$D130,ROUND($D130/$E130,0),ROUND($D130-AF130,0)),0)</f>
        <v>4903</v>
      </c>
      <c r="AH130" s="596">
        <f t="shared" si="248"/>
        <v>11032</v>
      </c>
      <c r="AI130" s="596">
        <f>IF(AH130&lt;$D130,IF(AH130+($D130/$E130)&lt;$D130,ROUND($D130/$E130,0),ROUND($D130-AH130,0)),0)</f>
        <v>4903</v>
      </c>
      <c r="AJ130" s="596">
        <f t="shared" si="249"/>
        <v>15935</v>
      </c>
      <c r="AK130" s="596">
        <f>IF(AJ130&lt;$D130,IF(AJ130+($D130/$E130)&lt;$D130,ROUND($D130/$E130,0),ROUND($D130-AJ130,0)),0)</f>
        <v>4903</v>
      </c>
      <c r="AL130" s="596">
        <f t="shared" si="250"/>
        <v>20838</v>
      </c>
      <c r="AM130" s="596">
        <f>IF(AL130&lt;$D130,IF(AL130+($D130/$E130)&lt;$D130,ROUND($D130/$E130,0),ROUND($D130-AL130,0)),0)</f>
        <v>3675</v>
      </c>
      <c r="AN130" s="596">
        <f t="shared" si="251"/>
        <v>24513</v>
      </c>
      <c r="AO130" s="596">
        <f t="shared" si="243"/>
        <v>0</v>
      </c>
      <c r="AP130" s="596">
        <f t="shared" si="252"/>
        <v>24513</v>
      </c>
      <c r="AQ130" s="597">
        <f t="shared" si="244"/>
        <v>0</v>
      </c>
      <c r="AR130" s="597">
        <f t="shared" si="253"/>
        <v>24513</v>
      </c>
    </row>
    <row r="131" spans="1:44" s="101" customFormat="1" x14ac:dyDescent="0.25">
      <c r="A131" s="312"/>
      <c r="B131" s="367" t="s">
        <v>655</v>
      </c>
      <c r="C131" s="350">
        <v>41395</v>
      </c>
      <c r="D131" s="342">
        <v>53639.79</v>
      </c>
      <c r="E131" s="348">
        <v>5</v>
      </c>
      <c r="F131" s="596"/>
      <c r="G131" s="596"/>
      <c r="H131" s="596"/>
      <c r="I131" s="596"/>
      <c r="J131" s="342"/>
      <c r="K131" s="596"/>
      <c r="L131" s="596"/>
      <c r="M131" s="596"/>
      <c r="N131" s="596"/>
      <c r="O131" s="596"/>
      <c r="P131" s="596"/>
      <c r="Q131" s="596"/>
      <c r="R131" s="596"/>
      <c r="S131" s="596"/>
      <c r="T131" s="596"/>
      <c r="U131" s="596"/>
      <c r="V131" s="596"/>
      <c r="W131" s="596"/>
      <c r="X131" s="596"/>
      <c r="Y131" s="596"/>
      <c r="Z131" s="596"/>
      <c r="AA131" s="596"/>
      <c r="AB131" s="596"/>
      <c r="AC131" s="596"/>
      <c r="AD131" s="596"/>
      <c r="AE131" s="596"/>
      <c r="AF131" s="596"/>
      <c r="AG131" s="596">
        <f>IF(AF131&lt;$D131,IF(AF131+($D131/$E131)&lt;$D131,ROUND($D131/$E131,0),ROUND($D131-AF131,0)),0)/12*8</f>
        <v>7152</v>
      </c>
      <c r="AH131" s="596">
        <f t="shared" si="248"/>
        <v>7152</v>
      </c>
      <c r="AI131" s="596">
        <f>IF(AH131&lt;$D131,IF(AH131+($D131/$E131)&lt;$D131,ROUND($D131/$E131,0),ROUND($D131-AH131,0)),0)</f>
        <v>10728</v>
      </c>
      <c r="AJ131" s="596">
        <f t="shared" si="249"/>
        <v>17880</v>
      </c>
      <c r="AK131" s="596">
        <f>IF(AJ131&lt;$D131,IF(AJ131+($D131/$E131)&lt;$D131,ROUND($D131/$E131,0),ROUND($D131-AJ131,0)),0)</f>
        <v>10728</v>
      </c>
      <c r="AL131" s="596">
        <f t="shared" si="250"/>
        <v>28608</v>
      </c>
      <c r="AM131" s="596">
        <f>IF(AL131&lt;$D131,IF(AL131+($D131/$E131)&lt;$D131,ROUND($D131/$E131,0),ROUND($D131-AL131,0)),0)</f>
        <v>10728</v>
      </c>
      <c r="AN131" s="596">
        <f t="shared" si="251"/>
        <v>39336</v>
      </c>
      <c r="AO131" s="596">
        <f t="shared" si="243"/>
        <v>10728</v>
      </c>
      <c r="AP131" s="596">
        <f t="shared" si="252"/>
        <v>50064</v>
      </c>
      <c r="AQ131" s="597">
        <f t="shared" si="244"/>
        <v>3576</v>
      </c>
      <c r="AR131" s="597">
        <f t="shared" si="253"/>
        <v>53640</v>
      </c>
    </row>
    <row r="132" spans="1:44" s="101" customFormat="1" x14ac:dyDescent="0.25">
      <c r="A132" s="312">
        <v>3</v>
      </c>
      <c r="B132" s="367" t="s">
        <v>656</v>
      </c>
      <c r="C132" s="350">
        <v>42127</v>
      </c>
      <c r="D132" s="342">
        <v>92511</v>
      </c>
      <c r="E132" s="348">
        <v>5</v>
      </c>
      <c r="F132" s="596"/>
      <c r="G132" s="596"/>
      <c r="H132" s="596"/>
      <c r="I132" s="596"/>
      <c r="J132" s="342"/>
      <c r="K132" s="596"/>
      <c r="L132" s="596"/>
      <c r="M132" s="596"/>
      <c r="N132" s="596"/>
      <c r="O132" s="596"/>
      <c r="P132" s="596"/>
      <c r="Q132" s="596"/>
      <c r="R132" s="596"/>
      <c r="S132" s="596"/>
      <c r="T132" s="596"/>
      <c r="U132" s="596"/>
      <c r="V132" s="596"/>
      <c r="W132" s="596"/>
      <c r="X132" s="596"/>
      <c r="Y132" s="596"/>
      <c r="Z132" s="596"/>
      <c r="AA132" s="596"/>
      <c r="AB132" s="596"/>
      <c r="AC132" s="596"/>
      <c r="AD132" s="596"/>
      <c r="AE132" s="596"/>
      <c r="AF132" s="596"/>
      <c r="AG132" s="596"/>
      <c r="AH132" s="596"/>
      <c r="AI132" s="596"/>
      <c r="AJ132" s="596"/>
      <c r="AK132" s="596">
        <f>IF(AJ132&lt;$D132,IF(AJ132+($D132/$E132)&lt;$D132,ROUND($D132/$E132,0),ROUND($D132-AJ132,0)),0)/12*8</f>
        <v>12334.666666666666</v>
      </c>
      <c r="AL132" s="596">
        <f t="shared" si="250"/>
        <v>12335</v>
      </c>
      <c r="AM132" s="596">
        <f>IF(AL132&lt;$D132,IF(AL132+($D132/$E132)&lt;$D132,ROUND($D132/$E132,0),ROUND($D132-AL132,0)),0)</f>
        <v>18502</v>
      </c>
      <c r="AN132" s="596">
        <f t="shared" si="251"/>
        <v>30837</v>
      </c>
      <c r="AO132" s="596">
        <f t="shared" si="243"/>
        <v>18502</v>
      </c>
      <c r="AP132" s="596">
        <f t="shared" si="252"/>
        <v>49339</v>
      </c>
      <c r="AQ132" s="597">
        <f t="shared" si="244"/>
        <v>18502</v>
      </c>
      <c r="AR132" s="597">
        <f t="shared" si="253"/>
        <v>67841</v>
      </c>
    </row>
    <row r="133" spans="1:44" s="101" customFormat="1" x14ac:dyDescent="0.25">
      <c r="A133" s="312">
        <v>1</v>
      </c>
      <c r="B133" s="367" t="s">
        <v>657</v>
      </c>
      <c r="C133" s="350">
        <v>42705</v>
      </c>
      <c r="D133" s="342">
        <v>75235.157999999996</v>
      </c>
      <c r="E133" s="348">
        <v>5</v>
      </c>
      <c r="F133" s="596"/>
      <c r="G133" s="596"/>
      <c r="H133" s="596"/>
      <c r="I133" s="596"/>
      <c r="J133" s="342"/>
      <c r="K133" s="596"/>
      <c r="L133" s="596"/>
      <c r="M133" s="596"/>
      <c r="N133" s="596"/>
      <c r="O133" s="596"/>
      <c r="P133" s="596"/>
      <c r="Q133" s="596"/>
      <c r="R133" s="596"/>
      <c r="S133" s="596"/>
      <c r="T133" s="596"/>
      <c r="U133" s="596"/>
      <c r="V133" s="596"/>
      <c r="W133" s="596"/>
      <c r="X133" s="596"/>
      <c r="Y133" s="596"/>
      <c r="Z133" s="596"/>
      <c r="AA133" s="596"/>
      <c r="AB133" s="596"/>
      <c r="AC133" s="596"/>
      <c r="AD133" s="596"/>
      <c r="AE133" s="596"/>
      <c r="AF133" s="596"/>
      <c r="AG133" s="596"/>
      <c r="AH133" s="596"/>
      <c r="AI133" s="596"/>
      <c r="AJ133" s="596"/>
      <c r="AK133" s="596"/>
      <c r="AL133" s="596"/>
      <c r="AM133" s="596">
        <f>IF(AL133&lt;$D133,IF(AL133+($D133/$E133)&lt;$D133,ROUND($D133/$E133,0),ROUND($D133-AL133,0)),0)/12*1</f>
        <v>1253.9166666666667</v>
      </c>
      <c r="AN133" s="596">
        <f t="shared" si="251"/>
        <v>1254</v>
      </c>
      <c r="AO133" s="596">
        <f t="shared" si="243"/>
        <v>15047</v>
      </c>
      <c r="AP133" s="596">
        <f t="shared" ref="AP133" si="254">ROUND(SUM(AN133:AO133),0)</f>
        <v>16301</v>
      </c>
      <c r="AQ133" s="597">
        <f t="shared" si="244"/>
        <v>15047</v>
      </c>
      <c r="AR133" s="597">
        <f t="shared" si="253"/>
        <v>31348</v>
      </c>
    </row>
    <row r="134" spans="1:44" s="101" customFormat="1" x14ac:dyDescent="0.25">
      <c r="A134" s="312"/>
      <c r="B134" s="367" t="s">
        <v>658</v>
      </c>
      <c r="C134" s="350">
        <v>42736</v>
      </c>
      <c r="D134" s="342">
        <v>4786</v>
      </c>
      <c r="E134" s="348">
        <v>5</v>
      </c>
      <c r="F134" s="596"/>
      <c r="G134" s="596"/>
      <c r="H134" s="596"/>
      <c r="I134" s="596"/>
      <c r="J134" s="342"/>
      <c r="K134" s="596"/>
      <c r="L134" s="596"/>
      <c r="M134" s="596"/>
      <c r="N134" s="596"/>
      <c r="O134" s="596"/>
      <c r="P134" s="596"/>
      <c r="Q134" s="596"/>
      <c r="R134" s="596"/>
      <c r="S134" s="596"/>
      <c r="T134" s="596"/>
      <c r="U134" s="596"/>
      <c r="V134" s="596"/>
      <c r="W134" s="596"/>
      <c r="X134" s="596"/>
      <c r="Y134" s="596"/>
      <c r="Z134" s="596"/>
      <c r="AA134" s="596"/>
      <c r="AB134" s="596"/>
      <c r="AC134" s="596"/>
      <c r="AD134" s="596"/>
      <c r="AE134" s="596"/>
      <c r="AF134" s="596"/>
      <c r="AG134" s="596"/>
      <c r="AH134" s="596"/>
      <c r="AI134" s="596"/>
      <c r="AJ134" s="596"/>
      <c r="AK134" s="596"/>
      <c r="AL134" s="596"/>
      <c r="AM134" s="596">
        <v>0</v>
      </c>
      <c r="AN134" s="596">
        <f t="shared" si="251"/>
        <v>0</v>
      </c>
      <c r="AO134" s="596">
        <f>IF(AN134&lt;$D134,IF(AN134+($D134/$E134)&lt;$D134,ROUND($D134/$E134,0),ROUND($D134-AN134,0)),0)/12*1</f>
        <v>79.75</v>
      </c>
      <c r="AP134" s="596">
        <f t="shared" ref="AP134" si="255">ROUND(SUM(AN134:AO134),0)</f>
        <v>80</v>
      </c>
      <c r="AQ134" s="597">
        <f t="shared" si="244"/>
        <v>957</v>
      </c>
      <c r="AR134" s="597">
        <f t="shared" ref="AR134" si="256">ROUND(SUM(AP134:AQ134),0)</f>
        <v>1037</v>
      </c>
    </row>
    <row r="135" spans="1:44" x14ac:dyDescent="0.3">
      <c r="B135" s="622" t="s">
        <v>540</v>
      </c>
      <c r="C135" s="623"/>
      <c r="D135" s="624"/>
      <c r="E135" s="398"/>
      <c r="F135" s="398"/>
      <c r="G135" s="398"/>
      <c r="H135" s="398"/>
      <c r="I135" s="625"/>
      <c r="J135" s="625"/>
      <c r="K135" s="625"/>
      <c r="L135" s="625"/>
      <c r="M135" s="625"/>
      <c r="N135" s="625"/>
      <c r="O135" s="625"/>
      <c r="P135" s="625"/>
      <c r="Q135" s="625"/>
      <c r="R135" s="625"/>
      <c r="S135" s="625"/>
      <c r="T135" s="625"/>
      <c r="U135" s="625"/>
      <c r="V135" s="625"/>
      <c r="W135" s="625"/>
      <c r="X135" s="625">
        <v>0</v>
      </c>
      <c r="Y135" s="625"/>
      <c r="Z135" s="625">
        <v>0</v>
      </c>
      <c r="AA135" s="625"/>
      <c r="AB135" s="625"/>
      <c r="AC135" s="625"/>
      <c r="AD135" s="625" t="s">
        <v>559</v>
      </c>
      <c r="AE135" s="626"/>
      <c r="AF135" s="626">
        <v>0</v>
      </c>
      <c r="AG135" s="626"/>
      <c r="AH135" s="626">
        <v>0</v>
      </c>
      <c r="AI135" s="626"/>
      <c r="AJ135" s="626">
        <v>0</v>
      </c>
      <c r="AK135" s="626"/>
      <c r="AL135" s="626">
        <v>0</v>
      </c>
      <c r="AM135" s="626"/>
      <c r="AN135" s="626">
        <v>0</v>
      </c>
      <c r="AO135" s="626">
        <v>0</v>
      </c>
      <c r="AP135" s="629">
        <v>0</v>
      </c>
      <c r="AQ135" s="627"/>
      <c r="AR135" s="628"/>
    </row>
    <row r="136" spans="1:44" x14ac:dyDescent="0.25">
      <c r="A136" s="376" t="s">
        <v>567</v>
      </c>
      <c r="B136" s="372"/>
      <c r="C136" s="346"/>
      <c r="D136" s="630">
        <f>SUM(D105:D135)</f>
        <v>1143855.9280000001</v>
      </c>
      <c r="E136" s="324"/>
      <c r="F136" s="373">
        <f>SUM(F105:F116)</f>
        <v>354133</v>
      </c>
      <c r="G136" s="373">
        <f>SUM(G105:G116)</f>
        <v>35640</v>
      </c>
      <c r="H136" s="373">
        <f>SUM(H105:H116)</f>
        <v>389773</v>
      </c>
      <c r="I136" s="373">
        <f>SUM(I105:I123)</f>
        <v>35590</v>
      </c>
      <c r="J136" s="373">
        <f t="shared" ref="J136:AR136" si="257">SUM(J105:J135)</f>
        <v>425363</v>
      </c>
      <c r="K136" s="373">
        <f t="shared" si="257"/>
        <v>36973</v>
      </c>
      <c r="L136" s="373">
        <f t="shared" si="257"/>
        <v>462336</v>
      </c>
      <c r="M136" s="373">
        <f t="shared" si="257"/>
        <v>41449.833333333328</v>
      </c>
      <c r="N136" s="373">
        <f t="shared" si="257"/>
        <v>503786</v>
      </c>
      <c r="O136" s="373">
        <f t="shared" si="257"/>
        <v>54564.766666666663</v>
      </c>
      <c r="P136" s="373">
        <f t="shared" si="257"/>
        <v>558352</v>
      </c>
      <c r="Q136" s="373">
        <f t="shared" si="257"/>
        <v>55692.183333333334</v>
      </c>
      <c r="R136" s="373">
        <f t="shared" si="257"/>
        <v>614045</v>
      </c>
      <c r="S136" s="373">
        <f t="shared" si="257"/>
        <v>59292.5</v>
      </c>
      <c r="T136" s="373">
        <f t="shared" si="257"/>
        <v>673080</v>
      </c>
      <c r="U136" s="373">
        <f t="shared" si="257"/>
        <v>58121.333333333336</v>
      </c>
      <c r="V136" s="373">
        <f t="shared" si="257"/>
        <v>731201</v>
      </c>
      <c r="W136" s="373">
        <f t="shared" si="257"/>
        <v>53071.5</v>
      </c>
      <c r="X136" s="373">
        <f t="shared" si="257"/>
        <v>784273</v>
      </c>
      <c r="Y136" s="374">
        <f t="shared" si="257"/>
        <v>38941</v>
      </c>
      <c r="Z136" s="374">
        <f t="shared" si="257"/>
        <v>823214</v>
      </c>
      <c r="AA136" s="373">
        <f t="shared" si="257"/>
        <v>20458</v>
      </c>
      <c r="AB136" s="373">
        <f t="shared" si="257"/>
        <v>843672</v>
      </c>
      <c r="AC136" s="373">
        <f t="shared" si="257"/>
        <v>9227.4166666666661</v>
      </c>
      <c r="AD136" s="373">
        <f t="shared" si="257"/>
        <v>852900</v>
      </c>
      <c r="AE136" s="373">
        <f t="shared" si="257"/>
        <v>14243</v>
      </c>
      <c r="AF136" s="373">
        <f t="shared" si="257"/>
        <v>867143</v>
      </c>
      <c r="AG136" s="374">
        <f t="shared" si="257"/>
        <v>21249</v>
      </c>
      <c r="AH136" s="374">
        <f t="shared" si="257"/>
        <v>888392</v>
      </c>
      <c r="AI136" s="373">
        <f t="shared" si="257"/>
        <v>24106</v>
      </c>
      <c r="AJ136" s="373">
        <f t="shared" si="257"/>
        <v>912498</v>
      </c>
      <c r="AK136" s="373">
        <f t="shared" si="257"/>
        <v>36331.666666666664</v>
      </c>
      <c r="AL136" s="373">
        <f t="shared" si="257"/>
        <v>948830</v>
      </c>
      <c r="AM136" s="373">
        <f t="shared" si="257"/>
        <v>38147.916666666664</v>
      </c>
      <c r="AN136" s="373">
        <f t="shared" si="257"/>
        <v>986978</v>
      </c>
      <c r="AO136" s="373">
        <f t="shared" si="257"/>
        <v>46199.75</v>
      </c>
      <c r="AP136" s="373">
        <f t="shared" si="257"/>
        <v>1033178</v>
      </c>
      <c r="AQ136" s="619">
        <f t="shared" si="257"/>
        <v>38372</v>
      </c>
      <c r="AR136" s="619">
        <f t="shared" si="257"/>
        <v>1071550</v>
      </c>
    </row>
    <row r="137" spans="1:44" ht="15" customHeight="1" x14ac:dyDescent="0.25">
      <c r="A137" s="376"/>
      <c r="B137" s="377"/>
      <c r="C137" s="378"/>
      <c r="D137" s="631">
        <f>SUM(D136-AJ136)</f>
        <v>231357.92800000007</v>
      </c>
      <c r="E137" s="606" t="s">
        <v>643</v>
      </c>
      <c r="F137" s="366"/>
      <c r="G137" s="366"/>
      <c r="H137" s="366"/>
      <c r="I137" s="366"/>
      <c r="J137" s="366"/>
      <c r="K137" s="366"/>
      <c r="L137" s="366"/>
      <c r="M137" s="366"/>
      <c r="N137" s="366"/>
      <c r="O137" s="366"/>
      <c r="P137" s="366"/>
      <c r="Q137" s="366"/>
      <c r="R137" s="366"/>
      <c r="S137" s="366"/>
      <c r="T137" s="366"/>
      <c r="U137" s="366"/>
      <c r="V137" s="366"/>
      <c r="W137" s="366"/>
      <c r="X137" s="366"/>
      <c r="Y137" s="342"/>
      <c r="Z137" s="342"/>
      <c r="AA137" s="366"/>
      <c r="AB137" s="366"/>
      <c r="AC137" s="366"/>
      <c r="AD137" s="366"/>
      <c r="AE137" s="366"/>
      <c r="AF137" s="366"/>
      <c r="AG137" s="342"/>
      <c r="AH137" s="342"/>
      <c r="AI137" s="366"/>
      <c r="AJ137" s="366"/>
      <c r="AK137" s="366"/>
      <c r="AL137" s="366"/>
      <c r="AM137" s="366"/>
      <c r="AN137" s="366"/>
      <c r="AO137" s="366"/>
      <c r="AP137" s="366"/>
      <c r="AQ137" s="621"/>
      <c r="AR137" s="621"/>
    </row>
    <row r="138" spans="1:44" ht="9.4" customHeight="1" x14ac:dyDescent="0.25">
      <c r="A138" s="376"/>
      <c r="B138" s="377"/>
      <c r="C138" s="378"/>
      <c r="D138" s="342"/>
      <c r="E138" s="324"/>
      <c r="F138" s="366"/>
      <c r="G138" s="366"/>
      <c r="H138" s="366"/>
      <c r="I138" s="366"/>
      <c r="J138" s="366"/>
      <c r="K138" s="366"/>
      <c r="L138" s="366"/>
      <c r="M138" s="366"/>
      <c r="N138" s="366"/>
      <c r="O138" s="366"/>
      <c r="P138" s="366"/>
      <c r="Q138" s="366"/>
      <c r="R138" s="366"/>
      <c r="S138" s="366"/>
      <c r="T138" s="366"/>
      <c r="U138" s="366"/>
      <c r="V138" s="366"/>
      <c r="W138" s="366"/>
      <c r="X138" s="366"/>
      <c r="Y138" s="342"/>
      <c r="Z138" s="342"/>
      <c r="AA138" s="366"/>
      <c r="AB138" s="366"/>
      <c r="AC138" s="366"/>
      <c r="AD138" s="366"/>
      <c r="AE138" s="366"/>
      <c r="AF138" s="366"/>
      <c r="AG138" s="342"/>
      <c r="AH138" s="342"/>
      <c r="AI138" s="366"/>
      <c r="AJ138" s="366"/>
      <c r="AK138" s="366"/>
      <c r="AL138" s="366"/>
      <c r="AM138" s="366"/>
      <c r="AN138" s="366"/>
      <c r="AO138" s="366"/>
      <c r="AP138" s="366"/>
      <c r="AQ138" s="621"/>
      <c r="AR138" s="621"/>
    </row>
    <row r="139" spans="1:44" x14ac:dyDescent="0.25">
      <c r="A139" s="318" t="s">
        <v>568</v>
      </c>
      <c r="B139" s="376"/>
      <c r="C139" s="346"/>
      <c r="D139" s="366"/>
      <c r="E139" s="324"/>
      <c r="F139" s="324"/>
      <c r="I139" s="314"/>
      <c r="J139" s="314"/>
      <c r="K139" s="314"/>
      <c r="L139" s="314"/>
      <c r="M139" s="314"/>
      <c r="N139" s="314"/>
      <c r="O139" s="314"/>
      <c r="P139" s="314"/>
      <c r="Q139" s="314"/>
      <c r="R139" s="314"/>
      <c r="S139" s="314"/>
      <c r="T139" s="314"/>
      <c r="U139" s="314"/>
      <c r="V139" s="314"/>
      <c r="W139" s="314"/>
      <c r="X139" s="314"/>
      <c r="Y139" s="315"/>
      <c r="Z139" s="315"/>
      <c r="AA139" s="314"/>
      <c r="AB139" s="314"/>
      <c r="AC139" s="314"/>
      <c r="AD139" s="314"/>
      <c r="AE139" s="314"/>
      <c r="AF139" s="314"/>
      <c r="AG139" s="315"/>
      <c r="AH139" s="315"/>
      <c r="AI139" s="314"/>
      <c r="AJ139" s="314"/>
      <c r="AK139" s="314"/>
      <c r="AL139" s="314"/>
      <c r="AM139" s="314"/>
      <c r="AN139" s="314"/>
      <c r="AO139" s="314"/>
      <c r="AP139" s="314"/>
      <c r="AQ139" s="612"/>
      <c r="AR139" s="612"/>
    </row>
    <row r="140" spans="1:44" x14ac:dyDescent="0.25">
      <c r="B140" s="312" t="s">
        <v>569</v>
      </c>
      <c r="C140" s="365">
        <v>30512</v>
      </c>
      <c r="D140" s="348">
        <v>25000</v>
      </c>
      <c r="E140" s="324">
        <v>15</v>
      </c>
      <c r="F140" s="598">
        <v>25000</v>
      </c>
      <c r="G140" s="598">
        <f t="shared" ref="G140:I151" si="258">IF(F140&lt;$D140,IF(F140+($D140/$E140)&lt;$D140,ROUND($D140/$E140,0),ROUND($D140-F140,0)),0)</f>
        <v>0</v>
      </c>
      <c r="H140" s="598">
        <f t="shared" ref="H140:H151" si="259">ROUND(SUM(F140:G140),0)</f>
        <v>25000</v>
      </c>
      <c r="I140" s="598">
        <f t="shared" si="258"/>
        <v>0</v>
      </c>
      <c r="J140" s="598">
        <f t="shared" ref="J140:J151" si="260">ROUND(SUM(H140:I140),0)</f>
        <v>25000</v>
      </c>
      <c r="K140" s="598">
        <f t="shared" ref="K140:M151" si="261">IF(J140&lt;$D140,IF(J140+($D140/$E140)&lt;$D140,ROUND($D140/$E140,0),ROUND($D140-J140,0)),0)</f>
        <v>0</v>
      </c>
      <c r="L140" s="598">
        <f t="shared" ref="L140:L151" si="262">ROUND(SUM(J140:K140),0)</f>
        <v>25000</v>
      </c>
      <c r="M140" s="598">
        <f t="shared" si="261"/>
        <v>0</v>
      </c>
      <c r="N140" s="598">
        <f t="shared" ref="N140:N151" si="263">ROUND(SUM(L140:M140),0)</f>
        <v>25000</v>
      </c>
      <c r="O140" s="598">
        <f t="shared" ref="O140:Q151" si="264">IF(N140&lt;$D140,IF(N140+($D140/$E140)&lt;$D140,ROUND($D140/$E140,0),ROUND($D140-N140,0)),0)</f>
        <v>0</v>
      </c>
      <c r="P140" s="598">
        <f t="shared" ref="P140:P151" si="265">ROUND(SUM(N140:O140),0)</f>
        <v>25000</v>
      </c>
      <c r="Q140" s="598">
        <f t="shared" si="264"/>
        <v>0</v>
      </c>
      <c r="R140" s="598">
        <f t="shared" ref="R140:R151" si="266">ROUND(SUM(P140:Q140),0)</f>
        <v>25000</v>
      </c>
      <c r="S140" s="598">
        <f t="shared" ref="S140:S152" si="267">IF(R140&lt;$D140,IF(R140+($D140/$E140)&lt;$D140,ROUND($D140/$E140,0),ROUND($D140-R140,0)),0)</f>
        <v>0</v>
      </c>
      <c r="T140" s="598">
        <f t="shared" ref="T140:T151" si="268">ROUND(SUM(R140:S140),0)</f>
        <v>25000</v>
      </c>
      <c r="U140" s="598">
        <f t="shared" ref="U140:U152" si="269">IF(T140&lt;$D140,IF(T140+($D140/$E140)&lt;$D140,ROUND($D140/$E140,0),ROUND($D140-T140,0)),0)</f>
        <v>0</v>
      </c>
      <c r="V140" s="598">
        <f t="shared" ref="V140:V151" si="270">ROUND(SUM(T140:U140),0)</f>
        <v>25000</v>
      </c>
      <c r="W140" s="598">
        <f t="shared" ref="W140:W151" si="271">IF(V140&lt;$D140,IF(V140+($D140/$E140)&lt;$D140,ROUND($D140/$E140,0),ROUND($D140-V140,0)),0)</f>
        <v>0</v>
      </c>
      <c r="X140" s="598">
        <f t="shared" ref="X140:X151" si="272">ROUND(SUM(V140:W140),0)</f>
        <v>25000</v>
      </c>
      <c r="Y140" s="596">
        <f t="shared" ref="Y140:Y151" si="273">IF(X140&lt;$D140,IF(X140+($D140/$E140)&lt;$D140,ROUND($D140/$E140,0),ROUND($D140-X140,0)),0)</f>
        <v>0</v>
      </c>
      <c r="Z140" s="596">
        <f t="shared" ref="Z140:Z151" si="274">ROUND(SUM(X140:Y140),0)</f>
        <v>25000</v>
      </c>
      <c r="AA140" s="598">
        <f t="shared" ref="AA140:AA151" si="275">IF(Z140&lt;$D140,IF(Z140+($D140/$E140)&lt;$D140,ROUND($D140/$E140,0),ROUND($D140-Z140,0)),0)</f>
        <v>0</v>
      </c>
      <c r="AB140" s="598">
        <f t="shared" ref="AB140:AB151" si="276">ROUND(SUM(Z140:AA140),0)</f>
        <v>25000</v>
      </c>
      <c r="AC140" s="598">
        <f t="shared" ref="AC140:AC151" si="277">IF(AB140&lt;$D140,IF(AB140+($D140/$E140)&lt;$D140,ROUND($D140/$E140,0),ROUND($D140-AB140,0)),0)</f>
        <v>0</v>
      </c>
      <c r="AD140" s="598">
        <f t="shared" ref="AD140:AD151" si="278">ROUND(SUM(AB140:AC140),0)</f>
        <v>25000</v>
      </c>
      <c r="AE140" s="598">
        <f t="shared" ref="AE140:AE151" si="279">IF(AD140&lt;$D140,IF(AD140+($D140/$E140)&lt;$D140,ROUND($D140/$E140,0),ROUND($D140-AD140,0)),0)</f>
        <v>0</v>
      </c>
      <c r="AF140" s="598">
        <f t="shared" ref="AF140:AF151" si="280">ROUND(SUM(AD140:AE140),0)</f>
        <v>25000</v>
      </c>
      <c r="AG140" s="596">
        <f t="shared" ref="AG140:AG151" si="281">IF(AF140&lt;$D140,IF(AF140+($D140/$E140)&lt;$D140,ROUND($D140/$E140,0),ROUND($D140-AF140,0)),0)</f>
        <v>0</v>
      </c>
      <c r="AH140" s="596">
        <f t="shared" ref="AH140:AH151" si="282">ROUND(SUM(AF140:AG140),0)</f>
        <v>25000</v>
      </c>
      <c r="AI140" s="598">
        <f t="shared" ref="AI140:AI151" si="283">IF(AH140&lt;$D140,IF(AH140+($D140/$E140)&lt;$D140,ROUND($D140/$E140,0),ROUND($D140-AH140,0)),0)</f>
        <v>0</v>
      </c>
      <c r="AJ140" s="598">
        <f t="shared" ref="AJ140:AJ151" si="284">ROUND(SUM(AH140:AI140),0)</f>
        <v>25000</v>
      </c>
      <c r="AK140" s="598">
        <f t="shared" ref="AK140:AK151" si="285">IF(AJ140&lt;$D140,IF(AJ140+($D140/$E140)&lt;$D140,ROUND($D140/$E140,0),ROUND($D140-AJ140,0)),0)</f>
        <v>0</v>
      </c>
      <c r="AL140" s="598">
        <f t="shared" ref="AL140:AL151" si="286">ROUND(SUM(AJ140:AK140),0)</f>
        <v>25000</v>
      </c>
      <c r="AM140" s="598">
        <f t="shared" ref="AM140:AM151" si="287">IF(AL140&lt;$D140,IF(AL140+($D140/$E140)&lt;$D140,ROUND($D140/$E140,0),ROUND($D140-AL140,0)),0)</f>
        <v>0</v>
      </c>
      <c r="AN140" s="598">
        <f t="shared" ref="AN140:AN151" si="288">ROUND(SUM(AL140:AM140),0)</f>
        <v>25000</v>
      </c>
      <c r="AO140" s="598">
        <f t="shared" ref="AO140:AO151" si="289">IF(AN140&lt;$D140,IF(AN140+($D140/$E140)&lt;$D140,ROUND($D140/$E140,0),ROUND($D140-AN140,0)),0)</f>
        <v>0</v>
      </c>
      <c r="AP140" s="598">
        <f t="shared" ref="AP140:AP151" si="290">ROUND(SUM(AN140:AO140),0)</f>
        <v>25000</v>
      </c>
      <c r="AQ140" s="599">
        <f t="shared" ref="AQ140:AQ151" si="291">IF(AP140&lt;$D140,IF(AP140+($D140/$E140)&lt;$D140,ROUND($D140/$E140,0),ROUND($D140-AP140,0)),0)</f>
        <v>0</v>
      </c>
      <c r="AR140" s="599">
        <f t="shared" ref="AR140:AR151" si="292">ROUND(SUM(AP140:AQ140),0)</f>
        <v>25000</v>
      </c>
    </row>
    <row r="141" spans="1:44" x14ac:dyDescent="0.25">
      <c r="B141" s="312" t="s">
        <v>570</v>
      </c>
      <c r="C141" s="365">
        <v>31229</v>
      </c>
      <c r="D141" s="348">
        <v>1497</v>
      </c>
      <c r="E141" s="324">
        <v>10</v>
      </c>
      <c r="F141" s="598">
        <v>1497</v>
      </c>
      <c r="G141" s="598">
        <f t="shared" si="258"/>
        <v>0</v>
      </c>
      <c r="H141" s="598">
        <f t="shared" si="259"/>
        <v>1497</v>
      </c>
      <c r="I141" s="598">
        <f t="shared" si="258"/>
        <v>0</v>
      </c>
      <c r="J141" s="598">
        <f t="shared" si="260"/>
        <v>1497</v>
      </c>
      <c r="K141" s="598">
        <f t="shared" si="261"/>
        <v>0</v>
      </c>
      <c r="L141" s="598">
        <f t="shared" si="262"/>
        <v>1497</v>
      </c>
      <c r="M141" s="598">
        <f t="shared" si="261"/>
        <v>0</v>
      </c>
      <c r="N141" s="598">
        <f t="shared" si="263"/>
        <v>1497</v>
      </c>
      <c r="O141" s="598">
        <f t="shared" si="264"/>
        <v>0</v>
      </c>
      <c r="P141" s="598">
        <f t="shared" si="265"/>
        <v>1497</v>
      </c>
      <c r="Q141" s="598">
        <f t="shared" si="264"/>
        <v>0</v>
      </c>
      <c r="R141" s="598">
        <f t="shared" si="266"/>
        <v>1497</v>
      </c>
      <c r="S141" s="598">
        <f t="shared" si="267"/>
        <v>0</v>
      </c>
      <c r="T141" s="598">
        <f t="shared" si="268"/>
        <v>1497</v>
      </c>
      <c r="U141" s="598">
        <f t="shared" si="269"/>
        <v>0</v>
      </c>
      <c r="V141" s="598">
        <f t="shared" si="270"/>
        <v>1497</v>
      </c>
      <c r="W141" s="598">
        <f t="shared" si="271"/>
        <v>0</v>
      </c>
      <c r="X141" s="598">
        <f t="shared" si="272"/>
        <v>1497</v>
      </c>
      <c r="Y141" s="596">
        <f t="shared" si="273"/>
        <v>0</v>
      </c>
      <c r="Z141" s="596">
        <f t="shared" si="274"/>
        <v>1497</v>
      </c>
      <c r="AA141" s="598">
        <f t="shared" si="275"/>
        <v>0</v>
      </c>
      <c r="AB141" s="598">
        <f t="shared" si="276"/>
        <v>1497</v>
      </c>
      <c r="AC141" s="598">
        <f t="shared" si="277"/>
        <v>0</v>
      </c>
      <c r="AD141" s="598">
        <f t="shared" si="278"/>
        <v>1497</v>
      </c>
      <c r="AE141" s="598">
        <f t="shared" si="279"/>
        <v>0</v>
      </c>
      <c r="AF141" s="598">
        <f t="shared" si="280"/>
        <v>1497</v>
      </c>
      <c r="AG141" s="596">
        <f t="shared" si="281"/>
        <v>0</v>
      </c>
      <c r="AH141" s="596">
        <f t="shared" si="282"/>
        <v>1497</v>
      </c>
      <c r="AI141" s="598">
        <f t="shared" si="283"/>
        <v>0</v>
      </c>
      <c r="AJ141" s="598">
        <f t="shared" si="284"/>
        <v>1497</v>
      </c>
      <c r="AK141" s="598">
        <f t="shared" si="285"/>
        <v>0</v>
      </c>
      <c r="AL141" s="598">
        <f t="shared" si="286"/>
        <v>1497</v>
      </c>
      <c r="AM141" s="598">
        <f t="shared" si="287"/>
        <v>0</v>
      </c>
      <c r="AN141" s="598">
        <f t="shared" si="288"/>
        <v>1497</v>
      </c>
      <c r="AO141" s="598">
        <f t="shared" si="289"/>
        <v>0</v>
      </c>
      <c r="AP141" s="598">
        <f t="shared" si="290"/>
        <v>1497</v>
      </c>
      <c r="AQ141" s="599">
        <f t="shared" si="291"/>
        <v>0</v>
      </c>
      <c r="AR141" s="599">
        <f t="shared" si="292"/>
        <v>1497</v>
      </c>
    </row>
    <row r="142" spans="1:44" x14ac:dyDescent="0.25">
      <c r="B142" s="312" t="s">
        <v>571</v>
      </c>
      <c r="C142" s="365">
        <v>31564</v>
      </c>
      <c r="D142" s="348">
        <v>3511</v>
      </c>
      <c r="E142" s="324">
        <v>5</v>
      </c>
      <c r="F142" s="598">
        <v>3511</v>
      </c>
      <c r="G142" s="598">
        <f t="shared" si="258"/>
        <v>0</v>
      </c>
      <c r="H142" s="598">
        <f t="shared" si="259"/>
        <v>3511</v>
      </c>
      <c r="I142" s="598">
        <f t="shared" si="258"/>
        <v>0</v>
      </c>
      <c r="J142" s="598">
        <f t="shared" si="260"/>
        <v>3511</v>
      </c>
      <c r="K142" s="598">
        <f t="shared" si="261"/>
        <v>0</v>
      </c>
      <c r="L142" s="598">
        <f t="shared" si="262"/>
        <v>3511</v>
      </c>
      <c r="M142" s="598">
        <f t="shared" si="261"/>
        <v>0</v>
      </c>
      <c r="N142" s="598">
        <f t="shared" si="263"/>
        <v>3511</v>
      </c>
      <c r="O142" s="598">
        <f t="shared" si="264"/>
        <v>0</v>
      </c>
      <c r="P142" s="598">
        <f t="shared" si="265"/>
        <v>3511</v>
      </c>
      <c r="Q142" s="598">
        <f t="shared" si="264"/>
        <v>0</v>
      </c>
      <c r="R142" s="598">
        <f t="shared" si="266"/>
        <v>3511</v>
      </c>
      <c r="S142" s="598">
        <f t="shared" si="267"/>
        <v>0</v>
      </c>
      <c r="T142" s="598">
        <f t="shared" si="268"/>
        <v>3511</v>
      </c>
      <c r="U142" s="598">
        <f t="shared" si="269"/>
        <v>0</v>
      </c>
      <c r="V142" s="598">
        <f t="shared" si="270"/>
        <v>3511</v>
      </c>
      <c r="W142" s="598">
        <f t="shared" si="271"/>
        <v>0</v>
      </c>
      <c r="X142" s="598">
        <f t="shared" si="272"/>
        <v>3511</v>
      </c>
      <c r="Y142" s="596">
        <f t="shared" si="273"/>
        <v>0</v>
      </c>
      <c r="Z142" s="596">
        <f t="shared" si="274"/>
        <v>3511</v>
      </c>
      <c r="AA142" s="598">
        <f t="shared" si="275"/>
        <v>0</v>
      </c>
      <c r="AB142" s="598">
        <f t="shared" si="276"/>
        <v>3511</v>
      </c>
      <c r="AC142" s="598">
        <f t="shared" si="277"/>
        <v>0</v>
      </c>
      <c r="AD142" s="598">
        <f t="shared" si="278"/>
        <v>3511</v>
      </c>
      <c r="AE142" s="598">
        <f t="shared" si="279"/>
        <v>0</v>
      </c>
      <c r="AF142" s="598">
        <f t="shared" si="280"/>
        <v>3511</v>
      </c>
      <c r="AG142" s="596">
        <f t="shared" si="281"/>
        <v>0</v>
      </c>
      <c r="AH142" s="596">
        <f t="shared" si="282"/>
        <v>3511</v>
      </c>
      <c r="AI142" s="598">
        <f t="shared" si="283"/>
        <v>0</v>
      </c>
      <c r="AJ142" s="598">
        <f t="shared" si="284"/>
        <v>3511</v>
      </c>
      <c r="AK142" s="598">
        <f t="shared" si="285"/>
        <v>0</v>
      </c>
      <c r="AL142" s="598">
        <f t="shared" si="286"/>
        <v>3511</v>
      </c>
      <c r="AM142" s="598">
        <f t="shared" si="287"/>
        <v>0</v>
      </c>
      <c r="AN142" s="598">
        <f t="shared" si="288"/>
        <v>3511</v>
      </c>
      <c r="AO142" s="598">
        <f t="shared" si="289"/>
        <v>0</v>
      </c>
      <c r="AP142" s="598">
        <f t="shared" si="290"/>
        <v>3511</v>
      </c>
      <c r="AQ142" s="599">
        <f t="shared" si="291"/>
        <v>0</v>
      </c>
      <c r="AR142" s="599">
        <f t="shared" si="292"/>
        <v>3511</v>
      </c>
    </row>
    <row r="143" spans="1:44" x14ac:dyDescent="0.25">
      <c r="B143" s="312" t="s">
        <v>572</v>
      </c>
      <c r="C143" s="365">
        <v>31959</v>
      </c>
      <c r="D143" s="348">
        <v>684</v>
      </c>
      <c r="E143" s="324">
        <v>10</v>
      </c>
      <c r="F143" s="598">
        <v>684</v>
      </c>
      <c r="G143" s="598">
        <f t="shared" si="258"/>
        <v>0</v>
      </c>
      <c r="H143" s="598">
        <f t="shared" si="259"/>
        <v>684</v>
      </c>
      <c r="I143" s="598">
        <f t="shared" si="258"/>
        <v>0</v>
      </c>
      <c r="J143" s="598">
        <f t="shared" si="260"/>
        <v>684</v>
      </c>
      <c r="K143" s="598">
        <f t="shared" si="261"/>
        <v>0</v>
      </c>
      <c r="L143" s="598">
        <f t="shared" si="262"/>
        <v>684</v>
      </c>
      <c r="M143" s="598">
        <f t="shared" si="261"/>
        <v>0</v>
      </c>
      <c r="N143" s="598">
        <f t="shared" si="263"/>
        <v>684</v>
      </c>
      <c r="O143" s="598">
        <f t="shared" si="264"/>
        <v>0</v>
      </c>
      <c r="P143" s="598">
        <f t="shared" si="265"/>
        <v>684</v>
      </c>
      <c r="Q143" s="598">
        <f t="shared" si="264"/>
        <v>0</v>
      </c>
      <c r="R143" s="598">
        <f t="shared" si="266"/>
        <v>684</v>
      </c>
      <c r="S143" s="598">
        <f t="shared" si="267"/>
        <v>0</v>
      </c>
      <c r="T143" s="598">
        <f t="shared" si="268"/>
        <v>684</v>
      </c>
      <c r="U143" s="598">
        <f t="shared" si="269"/>
        <v>0</v>
      </c>
      <c r="V143" s="598">
        <f t="shared" si="270"/>
        <v>684</v>
      </c>
      <c r="W143" s="598">
        <f t="shared" si="271"/>
        <v>0</v>
      </c>
      <c r="X143" s="598">
        <f t="shared" si="272"/>
        <v>684</v>
      </c>
      <c r="Y143" s="596">
        <f t="shared" si="273"/>
        <v>0</v>
      </c>
      <c r="Z143" s="596">
        <f t="shared" si="274"/>
        <v>684</v>
      </c>
      <c r="AA143" s="598">
        <f t="shared" si="275"/>
        <v>0</v>
      </c>
      <c r="AB143" s="598">
        <f t="shared" si="276"/>
        <v>684</v>
      </c>
      <c r="AC143" s="598">
        <f t="shared" si="277"/>
        <v>0</v>
      </c>
      <c r="AD143" s="598">
        <f t="shared" si="278"/>
        <v>684</v>
      </c>
      <c r="AE143" s="598">
        <f t="shared" si="279"/>
        <v>0</v>
      </c>
      <c r="AF143" s="598">
        <f t="shared" si="280"/>
        <v>684</v>
      </c>
      <c r="AG143" s="596">
        <f t="shared" si="281"/>
        <v>0</v>
      </c>
      <c r="AH143" s="596">
        <f t="shared" si="282"/>
        <v>684</v>
      </c>
      <c r="AI143" s="598">
        <f t="shared" si="283"/>
        <v>0</v>
      </c>
      <c r="AJ143" s="598">
        <f t="shared" si="284"/>
        <v>684</v>
      </c>
      <c r="AK143" s="598">
        <f t="shared" si="285"/>
        <v>0</v>
      </c>
      <c r="AL143" s="598">
        <f t="shared" si="286"/>
        <v>684</v>
      </c>
      <c r="AM143" s="598">
        <f t="shared" si="287"/>
        <v>0</v>
      </c>
      <c r="AN143" s="598">
        <f t="shared" si="288"/>
        <v>684</v>
      </c>
      <c r="AO143" s="598">
        <f t="shared" si="289"/>
        <v>0</v>
      </c>
      <c r="AP143" s="598">
        <f t="shared" si="290"/>
        <v>684</v>
      </c>
      <c r="AQ143" s="599">
        <f t="shared" si="291"/>
        <v>0</v>
      </c>
      <c r="AR143" s="599">
        <f t="shared" si="292"/>
        <v>684</v>
      </c>
    </row>
    <row r="144" spans="1:44" x14ac:dyDescent="0.25">
      <c r="B144" s="312" t="s">
        <v>570</v>
      </c>
      <c r="C144" s="365">
        <v>32082</v>
      </c>
      <c r="D144" s="348">
        <v>389</v>
      </c>
      <c r="E144" s="324">
        <v>10</v>
      </c>
      <c r="F144" s="598">
        <v>389</v>
      </c>
      <c r="G144" s="598">
        <f t="shared" si="258"/>
        <v>0</v>
      </c>
      <c r="H144" s="598">
        <f t="shared" si="259"/>
        <v>389</v>
      </c>
      <c r="I144" s="598">
        <f t="shared" si="258"/>
        <v>0</v>
      </c>
      <c r="J144" s="598">
        <f t="shared" si="260"/>
        <v>389</v>
      </c>
      <c r="K144" s="598">
        <f t="shared" si="261"/>
        <v>0</v>
      </c>
      <c r="L144" s="598">
        <f t="shared" si="262"/>
        <v>389</v>
      </c>
      <c r="M144" s="598">
        <f t="shared" si="261"/>
        <v>0</v>
      </c>
      <c r="N144" s="598">
        <f t="shared" si="263"/>
        <v>389</v>
      </c>
      <c r="O144" s="598">
        <f t="shared" si="264"/>
        <v>0</v>
      </c>
      <c r="P144" s="598">
        <f t="shared" si="265"/>
        <v>389</v>
      </c>
      <c r="Q144" s="598">
        <f t="shared" si="264"/>
        <v>0</v>
      </c>
      <c r="R144" s="598">
        <f t="shared" si="266"/>
        <v>389</v>
      </c>
      <c r="S144" s="598">
        <f t="shared" si="267"/>
        <v>0</v>
      </c>
      <c r="T144" s="598">
        <f t="shared" si="268"/>
        <v>389</v>
      </c>
      <c r="U144" s="598">
        <f t="shared" si="269"/>
        <v>0</v>
      </c>
      <c r="V144" s="598">
        <f t="shared" si="270"/>
        <v>389</v>
      </c>
      <c r="W144" s="598">
        <f t="shared" si="271"/>
        <v>0</v>
      </c>
      <c r="X144" s="598">
        <f t="shared" si="272"/>
        <v>389</v>
      </c>
      <c r="Y144" s="596">
        <f t="shared" si="273"/>
        <v>0</v>
      </c>
      <c r="Z144" s="596">
        <f t="shared" si="274"/>
        <v>389</v>
      </c>
      <c r="AA144" s="598">
        <f t="shared" si="275"/>
        <v>0</v>
      </c>
      <c r="AB144" s="598">
        <f t="shared" si="276"/>
        <v>389</v>
      </c>
      <c r="AC144" s="598">
        <f t="shared" si="277"/>
        <v>0</v>
      </c>
      <c r="AD144" s="598">
        <f t="shared" si="278"/>
        <v>389</v>
      </c>
      <c r="AE144" s="598">
        <f t="shared" si="279"/>
        <v>0</v>
      </c>
      <c r="AF144" s="598">
        <f t="shared" si="280"/>
        <v>389</v>
      </c>
      <c r="AG144" s="596">
        <f t="shared" si="281"/>
        <v>0</v>
      </c>
      <c r="AH144" s="596">
        <f t="shared" si="282"/>
        <v>389</v>
      </c>
      <c r="AI144" s="598">
        <f t="shared" si="283"/>
        <v>0</v>
      </c>
      <c r="AJ144" s="598">
        <f t="shared" si="284"/>
        <v>389</v>
      </c>
      <c r="AK144" s="598">
        <f t="shared" si="285"/>
        <v>0</v>
      </c>
      <c r="AL144" s="598">
        <f t="shared" si="286"/>
        <v>389</v>
      </c>
      <c r="AM144" s="598">
        <f t="shared" si="287"/>
        <v>0</v>
      </c>
      <c r="AN144" s="598">
        <f t="shared" si="288"/>
        <v>389</v>
      </c>
      <c r="AO144" s="598">
        <f t="shared" si="289"/>
        <v>0</v>
      </c>
      <c r="AP144" s="598">
        <f t="shared" si="290"/>
        <v>389</v>
      </c>
      <c r="AQ144" s="599">
        <f t="shared" si="291"/>
        <v>0</v>
      </c>
      <c r="AR144" s="599">
        <f t="shared" si="292"/>
        <v>389</v>
      </c>
    </row>
    <row r="145" spans="1:44" x14ac:dyDescent="0.25">
      <c r="B145" s="312" t="s">
        <v>573</v>
      </c>
      <c r="C145" s="365">
        <v>32690</v>
      </c>
      <c r="D145" s="348">
        <v>2408</v>
      </c>
      <c r="E145" s="324">
        <v>10</v>
      </c>
      <c r="F145" s="598">
        <v>2408</v>
      </c>
      <c r="G145" s="598">
        <f t="shared" si="258"/>
        <v>0</v>
      </c>
      <c r="H145" s="598">
        <f t="shared" si="259"/>
        <v>2408</v>
      </c>
      <c r="I145" s="598">
        <f t="shared" si="258"/>
        <v>0</v>
      </c>
      <c r="J145" s="598">
        <f t="shared" si="260"/>
        <v>2408</v>
      </c>
      <c r="K145" s="598">
        <f t="shared" si="261"/>
        <v>0</v>
      </c>
      <c r="L145" s="598">
        <f t="shared" si="262"/>
        <v>2408</v>
      </c>
      <c r="M145" s="598">
        <f t="shared" si="261"/>
        <v>0</v>
      </c>
      <c r="N145" s="598">
        <f t="shared" si="263"/>
        <v>2408</v>
      </c>
      <c r="O145" s="598">
        <f t="shared" si="264"/>
        <v>0</v>
      </c>
      <c r="P145" s="598">
        <f t="shared" si="265"/>
        <v>2408</v>
      </c>
      <c r="Q145" s="598">
        <f t="shared" si="264"/>
        <v>0</v>
      </c>
      <c r="R145" s="598">
        <f t="shared" si="266"/>
        <v>2408</v>
      </c>
      <c r="S145" s="598">
        <f t="shared" si="267"/>
        <v>0</v>
      </c>
      <c r="T145" s="598">
        <f t="shared" si="268"/>
        <v>2408</v>
      </c>
      <c r="U145" s="598">
        <f t="shared" si="269"/>
        <v>0</v>
      </c>
      <c r="V145" s="598">
        <f t="shared" si="270"/>
        <v>2408</v>
      </c>
      <c r="W145" s="598">
        <f t="shared" si="271"/>
        <v>0</v>
      </c>
      <c r="X145" s="598">
        <f t="shared" si="272"/>
        <v>2408</v>
      </c>
      <c r="Y145" s="596">
        <f t="shared" si="273"/>
        <v>0</v>
      </c>
      <c r="Z145" s="596">
        <f t="shared" si="274"/>
        <v>2408</v>
      </c>
      <c r="AA145" s="598">
        <f t="shared" si="275"/>
        <v>0</v>
      </c>
      <c r="AB145" s="598">
        <f t="shared" si="276"/>
        <v>2408</v>
      </c>
      <c r="AC145" s="598">
        <f t="shared" si="277"/>
        <v>0</v>
      </c>
      <c r="AD145" s="598">
        <f t="shared" si="278"/>
        <v>2408</v>
      </c>
      <c r="AE145" s="598">
        <f t="shared" si="279"/>
        <v>0</v>
      </c>
      <c r="AF145" s="598">
        <f t="shared" si="280"/>
        <v>2408</v>
      </c>
      <c r="AG145" s="596">
        <f t="shared" si="281"/>
        <v>0</v>
      </c>
      <c r="AH145" s="596">
        <f t="shared" si="282"/>
        <v>2408</v>
      </c>
      <c r="AI145" s="598">
        <f t="shared" si="283"/>
        <v>0</v>
      </c>
      <c r="AJ145" s="598">
        <f t="shared" si="284"/>
        <v>2408</v>
      </c>
      <c r="AK145" s="598">
        <f t="shared" si="285"/>
        <v>0</v>
      </c>
      <c r="AL145" s="598">
        <f t="shared" si="286"/>
        <v>2408</v>
      </c>
      <c r="AM145" s="598">
        <f t="shared" si="287"/>
        <v>0</v>
      </c>
      <c r="AN145" s="598">
        <f t="shared" si="288"/>
        <v>2408</v>
      </c>
      <c r="AO145" s="598">
        <f t="shared" si="289"/>
        <v>0</v>
      </c>
      <c r="AP145" s="598">
        <f t="shared" si="290"/>
        <v>2408</v>
      </c>
      <c r="AQ145" s="599">
        <f t="shared" si="291"/>
        <v>0</v>
      </c>
      <c r="AR145" s="599">
        <f t="shared" si="292"/>
        <v>2408</v>
      </c>
    </row>
    <row r="146" spans="1:44" x14ac:dyDescent="0.25">
      <c r="B146" s="312" t="s">
        <v>573</v>
      </c>
      <c r="C146" s="365">
        <v>32933</v>
      </c>
      <c r="D146" s="348">
        <v>10111</v>
      </c>
      <c r="E146" s="324">
        <v>10</v>
      </c>
      <c r="F146" s="598">
        <v>9942</v>
      </c>
      <c r="G146" s="598">
        <f t="shared" si="258"/>
        <v>169</v>
      </c>
      <c r="H146" s="598">
        <f t="shared" si="259"/>
        <v>10111</v>
      </c>
      <c r="I146" s="598">
        <f t="shared" si="258"/>
        <v>0</v>
      </c>
      <c r="J146" s="598">
        <f t="shared" si="260"/>
        <v>10111</v>
      </c>
      <c r="K146" s="598">
        <f t="shared" si="261"/>
        <v>0</v>
      </c>
      <c r="L146" s="598">
        <f t="shared" si="262"/>
        <v>10111</v>
      </c>
      <c r="M146" s="598">
        <f t="shared" si="261"/>
        <v>0</v>
      </c>
      <c r="N146" s="598">
        <f t="shared" si="263"/>
        <v>10111</v>
      </c>
      <c r="O146" s="598">
        <f t="shared" si="264"/>
        <v>0</v>
      </c>
      <c r="P146" s="598">
        <f t="shared" si="265"/>
        <v>10111</v>
      </c>
      <c r="Q146" s="598">
        <f t="shared" si="264"/>
        <v>0</v>
      </c>
      <c r="R146" s="598">
        <f t="shared" si="266"/>
        <v>10111</v>
      </c>
      <c r="S146" s="598">
        <f t="shared" si="267"/>
        <v>0</v>
      </c>
      <c r="T146" s="598">
        <f t="shared" si="268"/>
        <v>10111</v>
      </c>
      <c r="U146" s="598">
        <f t="shared" si="269"/>
        <v>0</v>
      </c>
      <c r="V146" s="598">
        <f t="shared" si="270"/>
        <v>10111</v>
      </c>
      <c r="W146" s="598">
        <f t="shared" si="271"/>
        <v>0</v>
      </c>
      <c r="X146" s="598">
        <f t="shared" si="272"/>
        <v>10111</v>
      </c>
      <c r="Y146" s="596">
        <f t="shared" si="273"/>
        <v>0</v>
      </c>
      <c r="Z146" s="596">
        <f t="shared" si="274"/>
        <v>10111</v>
      </c>
      <c r="AA146" s="598">
        <f t="shared" si="275"/>
        <v>0</v>
      </c>
      <c r="AB146" s="598">
        <f t="shared" si="276"/>
        <v>10111</v>
      </c>
      <c r="AC146" s="598">
        <f t="shared" si="277"/>
        <v>0</v>
      </c>
      <c r="AD146" s="598">
        <f t="shared" si="278"/>
        <v>10111</v>
      </c>
      <c r="AE146" s="598">
        <f t="shared" si="279"/>
        <v>0</v>
      </c>
      <c r="AF146" s="598">
        <f t="shared" si="280"/>
        <v>10111</v>
      </c>
      <c r="AG146" s="596">
        <f t="shared" si="281"/>
        <v>0</v>
      </c>
      <c r="AH146" s="596">
        <f t="shared" si="282"/>
        <v>10111</v>
      </c>
      <c r="AI146" s="598">
        <f t="shared" si="283"/>
        <v>0</v>
      </c>
      <c r="AJ146" s="598">
        <f t="shared" si="284"/>
        <v>10111</v>
      </c>
      <c r="AK146" s="598">
        <f t="shared" si="285"/>
        <v>0</v>
      </c>
      <c r="AL146" s="598">
        <f t="shared" si="286"/>
        <v>10111</v>
      </c>
      <c r="AM146" s="598">
        <f t="shared" si="287"/>
        <v>0</v>
      </c>
      <c r="AN146" s="598">
        <f t="shared" si="288"/>
        <v>10111</v>
      </c>
      <c r="AO146" s="598">
        <f t="shared" si="289"/>
        <v>0</v>
      </c>
      <c r="AP146" s="598">
        <f t="shared" si="290"/>
        <v>10111</v>
      </c>
      <c r="AQ146" s="599">
        <f t="shared" si="291"/>
        <v>0</v>
      </c>
      <c r="AR146" s="599">
        <f t="shared" si="292"/>
        <v>10111</v>
      </c>
    </row>
    <row r="147" spans="1:44" x14ac:dyDescent="0.25">
      <c r="B147" s="312" t="s">
        <v>112</v>
      </c>
      <c r="C147" s="365">
        <v>33147</v>
      </c>
      <c r="D147" s="348">
        <v>4466</v>
      </c>
      <c r="E147" s="324">
        <v>10</v>
      </c>
      <c r="F147" s="598">
        <v>4134</v>
      </c>
      <c r="G147" s="598">
        <f t="shared" si="258"/>
        <v>332</v>
      </c>
      <c r="H147" s="598">
        <f t="shared" si="259"/>
        <v>4466</v>
      </c>
      <c r="I147" s="598">
        <f t="shared" si="258"/>
        <v>0</v>
      </c>
      <c r="J147" s="598">
        <f t="shared" si="260"/>
        <v>4466</v>
      </c>
      <c r="K147" s="598">
        <f t="shared" si="261"/>
        <v>0</v>
      </c>
      <c r="L147" s="598">
        <f t="shared" si="262"/>
        <v>4466</v>
      </c>
      <c r="M147" s="598">
        <f t="shared" si="261"/>
        <v>0</v>
      </c>
      <c r="N147" s="598">
        <f t="shared" si="263"/>
        <v>4466</v>
      </c>
      <c r="O147" s="598">
        <f t="shared" si="264"/>
        <v>0</v>
      </c>
      <c r="P147" s="598">
        <f t="shared" si="265"/>
        <v>4466</v>
      </c>
      <c r="Q147" s="598">
        <f t="shared" si="264"/>
        <v>0</v>
      </c>
      <c r="R147" s="598">
        <f t="shared" si="266"/>
        <v>4466</v>
      </c>
      <c r="S147" s="598">
        <f t="shared" si="267"/>
        <v>0</v>
      </c>
      <c r="T147" s="598">
        <f t="shared" si="268"/>
        <v>4466</v>
      </c>
      <c r="U147" s="598">
        <f t="shared" si="269"/>
        <v>0</v>
      </c>
      <c r="V147" s="598">
        <f t="shared" si="270"/>
        <v>4466</v>
      </c>
      <c r="W147" s="598">
        <f t="shared" si="271"/>
        <v>0</v>
      </c>
      <c r="X147" s="598">
        <f t="shared" si="272"/>
        <v>4466</v>
      </c>
      <c r="Y147" s="596">
        <f t="shared" si="273"/>
        <v>0</v>
      </c>
      <c r="Z147" s="596">
        <f t="shared" si="274"/>
        <v>4466</v>
      </c>
      <c r="AA147" s="598">
        <f t="shared" si="275"/>
        <v>0</v>
      </c>
      <c r="AB147" s="598">
        <f t="shared" si="276"/>
        <v>4466</v>
      </c>
      <c r="AC147" s="598">
        <f t="shared" si="277"/>
        <v>0</v>
      </c>
      <c r="AD147" s="598">
        <f t="shared" si="278"/>
        <v>4466</v>
      </c>
      <c r="AE147" s="598">
        <f t="shared" si="279"/>
        <v>0</v>
      </c>
      <c r="AF147" s="598">
        <f t="shared" si="280"/>
        <v>4466</v>
      </c>
      <c r="AG147" s="596">
        <f t="shared" si="281"/>
        <v>0</v>
      </c>
      <c r="AH147" s="596">
        <f t="shared" si="282"/>
        <v>4466</v>
      </c>
      <c r="AI147" s="598">
        <f t="shared" si="283"/>
        <v>0</v>
      </c>
      <c r="AJ147" s="598">
        <f t="shared" si="284"/>
        <v>4466</v>
      </c>
      <c r="AK147" s="598">
        <f t="shared" si="285"/>
        <v>0</v>
      </c>
      <c r="AL147" s="598">
        <f t="shared" si="286"/>
        <v>4466</v>
      </c>
      <c r="AM147" s="598">
        <f t="shared" si="287"/>
        <v>0</v>
      </c>
      <c r="AN147" s="598">
        <f t="shared" si="288"/>
        <v>4466</v>
      </c>
      <c r="AO147" s="598">
        <f t="shared" si="289"/>
        <v>0</v>
      </c>
      <c r="AP147" s="598">
        <f t="shared" si="290"/>
        <v>4466</v>
      </c>
      <c r="AQ147" s="599">
        <f t="shared" si="291"/>
        <v>0</v>
      </c>
      <c r="AR147" s="599">
        <f t="shared" si="292"/>
        <v>4466</v>
      </c>
    </row>
    <row r="148" spans="1:44" x14ac:dyDescent="0.25">
      <c r="B148" s="312" t="s">
        <v>574</v>
      </c>
      <c r="C148" s="365">
        <v>34121</v>
      </c>
      <c r="D148" s="342">
        <v>44306</v>
      </c>
      <c r="E148" s="366">
        <v>20</v>
      </c>
      <c r="F148" s="598">
        <v>14583</v>
      </c>
      <c r="G148" s="598">
        <f t="shared" si="258"/>
        <v>2215</v>
      </c>
      <c r="H148" s="598">
        <f t="shared" si="259"/>
        <v>16798</v>
      </c>
      <c r="I148" s="598">
        <f t="shared" si="258"/>
        <v>2215</v>
      </c>
      <c r="J148" s="598">
        <f t="shared" si="260"/>
        <v>19013</v>
      </c>
      <c r="K148" s="598">
        <f t="shared" si="261"/>
        <v>2215</v>
      </c>
      <c r="L148" s="598">
        <f t="shared" si="262"/>
        <v>21228</v>
      </c>
      <c r="M148" s="598">
        <f t="shared" si="261"/>
        <v>2215</v>
      </c>
      <c r="N148" s="598">
        <f t="shared" si="263"/>
        <v>23443</v>
      </c>
      <c r="O148" s="598">
        <f t="shared" si="264"/>
        <v>2215</v>
      </c>
      <c r="P148" s="598">
        <f t="shared" si="265"/>
        <v>25658</v>
      </c>
      <c r="Q148" s="598">
        <f t="shared" si="264"/>
        <v>2215</v>
      </c>
      <c r="R148" s="598">
        <f t="shared" si="266"/>
        <v>27873</v>
      </c>
      <c r="S148" s="598">
        <f t="shared" si="267"/>
        <v>2215</v>
      </c>
      <c r="T148" s="598">
        <f t="shared" si="268"/>
        <v>30088</v>
      </c>
      <c r="U148" s="598">
        <f t="shared" si="269"/>
        <v>2215</v>
      </c>
      <c r="V148" s="598">
        <f t="shared" si="270"/>
        <v>32303</v>
      </c>
      <c r="W148" s="598">
        <f t="shared" si="271"/>
        <v>2215</v>
      </c>
      <c r="X148" s="598">
        <f t="shared" si="272"/>
        <v>34518</v>
      </c>
      <c r="Y148" s="596">
        <f t="shared" si="273"/>
        <v>2215</v>
      </c>
      <c r="Z148" s="596">
        <f t="shared" si="274"/>
        <v>36733</v>
      </c>
      <c r="AA148" s="598">
        <f t="shared" si="275"/>
        <v>2215</v>
      </c>
      <c r="AB148" s="598">
        <f t="shared" si="276"/>
        <v>38948</v>
      </c>
      <c r="AC148" s="598">
        <f t="shared" si="277"/>
        <v>2215</v>
      </c>
      <c r="AD148" s="598">
        <f t="shared" si="278"/>
        <v>41163</v>
      </c>
      <c r="AE148" s="598">
        <f t="shared" si="279"/>
        <v>2215</v>
      </c>
      <c r="AF148" s="598">
        <f t="shared" si="280"/>
        <v>43378</v>
      </c>
      <c r="AG148" s="596">
        <f t="shared" si="281"/>
        <v>928</v>
      </c>
      <c r="AH148" s="596">
        <f t="shared" si="282"/>
        <v>44306</v>
      </c>
      <c r="AI148" s="598">
        <f t="shared" si="283"/>
        <v>0</v>
      </c>
      <c r="AJ148" s="598">
        <f t="shared" si="284"/>
        <v>44306</v>
      </c>
      <c r="AK148" s="598">
        <f t="shared" si="285"/>
        <v>0</v>
      </c>
      <c r="AL148" s="598">
        <f t="shared" si="286"/>
        <v>44306</v>
      </c>
      <c r="AM148" s="598">
        <f t="shared" si="287"/>
        <v>0</v>
      </c>
      <c r="AN148" s="598">
        <f t="shared" si="288"/>
        <v>44306</v>
      </c>
      <c r="AO148" s="598">
        <f t="shared" si="289"/>
        <v>0</v>
      </c>
      <c r="AP148" s="598">
        <f t="shared" si="290"/>
        <v>44306</v>
      </c>
      <c r="AQ148" s="599">
        <f t="shared" si="291"/>
        <v>0</v>
      </c>
      <c r="AR148" s="599">
        <f t="shared" si="292"/>
        <v>44306</v>
      </c>
    </row>
    <row r="149" spans="1:44" x14ac:dyDescent="0.25">
      <c r="B149" s="312" t="s">
        <v>575</v>
      </c>
      <c r="C149" s="365">
        <v>35185</v>
      </c>
      <c r="D149" s="342">
        <v>5937</v>
      </c>
      <c r="E149" s="324">
        <v>10</v>
      </c>
      <c r="F149" s="598">
        <v>2079</v>
      </c>
      <c r="G149" s="598">
        <f t="shared" si="258"/>
        <v>594</v>
      </c>
      <c r="H149" s="598">
        <f t="shared" si="259"/>
        <v>2673</v>
      </c>
      <c r="I149" s="598">
        <f t="shared" si="258"/>
        <v>594</v>
      </c>
      <c r="J149" s="598">
        <f t="shared" si="260"/>
        <v>3267</v>
      </c>
      <c r="K149" s="598">
        <f t="shared" si="261"/>
        <v>594</v>
      </c>
      <c r="L149" s="598">
        <f t="shared" si="262"/>
        <v>3861</v>
      </c>
      <c r="M149" s="598">
        <f t="shared" si="261"/>
        <v>594</v>
      </c>
      <c r="N149" s="598">
        <f t="shared" si="263"/>
        <v>4455</v>
      </c>
      <c r="O149" s="598">
        <f t="shared" si="264"/>
        <v>594</v>
      </c>
      <c r="P149" s="598">
        <f t="shared" si="265"/>
        <v>5049</v>
      </c>
      <c r="Q149" s="598">
        <f t="shared" si="264"/>
        <v>594</v>
      </c>
      <c r="R149" s="598">
        <f t="shared" si="266"/>
        <v>5643</v>
      </c>
      <c r="S149" s="598">
        <f t="shared" si="267"/>
        <v>294</v>
      </c>
      <c r="T149" s="598">
        <f t="shared" si="268"/>
        <v>5937</v>
      </c>
      <c r="U149" s="598">
        <f t="shared" si="269"/>
        <v>0</v>
      </c>
      <c r="V149" s="598">
        <f t="shared" si="270"/>
        <v>5937</v>
      </c>
      <c r="W149" s="598">
        <f t="shared" si="271"/>
        <v>0</v>
      </c>
      <c r="X149" s="598">
        <f t="shared" si="272"/>
        <v>5937</v>
      </c>
      <c r="Y149" s="596">
        <f t="shared" si="273"/>
        <v>0</v>
      </c>
      <c r="Z149" s="596">
        <f t="shared" si="274"/>
        <v>5937</v>
      </c>
      <c r="AA149" s="598">
        <f t="shared" si="275"/>
        <v>0</v>
      </c>
      <c r="AB149" s="598">
        <f t="shared" si="276"/>
        <v>5937</v>
      </c>
      <c r="AC149" s="598">
        <f t="shared" si="277"/>
        <v>0</v>
      </c>
      <c r="AD149" s="598">
        <f t="shared" si="278"/>
        <v>5937</v>
      </c>
      <c r="AE149" s="598">
        <f t="shared" si="279"/>
        <v>0</v>
      </c>
      <c r="AF149" s="598">
        <f t="shared" si="280"/>
        <v>5937</v>
      </c>
      <c r="AG149" s="596">
        <f t="shared" si="281"/>
        <v>0</v>
      </c>
      <c r="AH149" s="596">
        <f t="shared" si="282"/>
        <v>5937</v>
      </c>
      <c r="AI149" s="598">
        <f t="shared" si="283"/>
        <v>0</v>
      </c>
      <c r="AJ149" s="598">
        <f t="shared" si="284"/>
        <v>5937</v>
      </c>
      <c r="AK149" s="598">
        <f t="shared" si="285"/>
        <v>0</v>
      </c>
      <c r="AL149" s="598">
        <f t="shared" si="286"/>
        <v>5937</v>
      </c>
      <c r="AM149" s="598">
        <f t="shared" si="287"/>
        <v>0</v>
      </c>
      <c r="AN149" s="598">
        <f t="shared" si="288"/>
        <v>5937</v>
      </c>
      <c r="AO149" s="598">
        <f t="shared" si="289"/>
        <v>0</v>
      </c>
      <c r="AP149" s="598">
        <f t="shared" si="290"/>
        <v>5937</v>
      </c>
      <c r="AQ149" s="599">
        <f t="shared" si="291"/>
        <v>0</v>
      </c>
      <c r="AR149" s="599">
        <f t="shared" si="292"/>
        <v>5937</v>
      </c>
    </row>
    <row r="150" spans="1:44" x14ac:dyDescent="0.25">
      <c r="B150" s="312" t="s">
        <v>576</v>
      </c>
      <c r="C150" s="365">
        <v>35216</v>
      </c>
      <c r="D150" s="342">
        <v>15545</v>
      </c>
      <c r="E150" s="324">
        <v>5</v>
      </c>
      <c r="F150" s="598">
        <v>10882</v>
      </c>
      <c r="G150" s="598">
        <f t="shared" si="258"/>
        <v>3109</v>
      </c>
      <c r="H150" s="598">
        <f t="shared" si="259"/>
        <v>13991</v>
      </c>
      <c r="I150" s="598">
        <f t="shared" si="258"/>
        <v>1554</v>
      </c>
      <c r="J150" s="598">
        <f t="shared" si="260"/>
        <v>15545</v>
      </c>
      <c r="K150" s="598">
        <f t="shared" si="261"/>
        <v>0</v>
      </c>
      <c r="L150" s="598">
        <f t="shared" si="262"/>
        <v>15545</v>
      </c>
      <c r="M150" s="598">
        <f t="shared" si="261"/>
        <v>0</v>
      </c>
      <c r="N150" s="598">
        <f t="shared" si="263"/>
        <v>15545</v>
      </c>
      <c r="O150" s="598">
        <f t="shared" si="264"/>
        <v>0</v>
      </c>
      <c r="P150" s="598">
        <f t="shared" si="265"/>
        <v>15545</v>
      </c>
      <c r="Q150" s="598">
        <f t="shared" si="264"/>
        <v>0</v>
      </c>
      <c r="R150" s="598">
        <f t="shared" si="266"/>
        <v>15545</v>
      </c>
      <c r="S150" s="598">
        <f t="shared" si="267"/>
        <v>0</v>
      </c>
      <c r="T150" s="598">
        <f t="shared" si="268"/>
        <v>15545</v>
      </c>
      <c r="U150" s="598">
        <f t="shared" si="269"/>
        <v>0</v>
      </c>
      <c r="V150" s="598">
        <f t="shared" si="270"/>
        <v>15545</v>
      </c>
      <c r="W150" s="598">
        <f t="shared" si="271"/>
        <v>0</v>
      </c>
      <c r="X150" s="598">
        <f t="shared" si="272"/>
        <v>15545</v>
      </c>
      <c r="Y150" s="596">
        <f t="shared" si="273"/>
        <v>0</v>
      </c>
      <c r="Z150" s="596">
        <f t="shared" si="274"/>
        <v>15545</v>
      </c>
      <c r="AA150" s="598">
        <f t="shared" si="275"/>
        <v>0</v>
      </c>
      <c r="AB150" s="598">
        <f t="shared" si="276"/>
        <v>15545</v>
      </c>
      <c r="AC150" s="598">
        <f t="shared" si="277"/>
        <v>0</v>
      </c>
      <c r="AD150" s="598">
        <f t="shared" si="278"/>
        <v>15545</v>
      </c>
      <c r="AE150" s="598">
        <f t="shared" si="279"/>
        <v>0</v>
      </c>
      <c r="AF150" s="598">
        <f t="shared" si="280"/>
        <v>15545</v>
      </c>
      <c r="AG150" s="596">
        <f t="shared" si="281"/>
        <v>0</v>
      </c>
      <c r="AH150" s="596">
        <f t="shared" si="282"/>
        <v>15545</v>
      </c>
      <c r="AI150" s="598">
        <f t="shared" si="283"/>
        <v>0</v>
      </c>
      <c r="AJ150" s="598">
        <f t="shared" si="284"/>
        <v>15545</v>
      </c>
      <c r="AK150" s="598">
        <f t="shared" si="285"/>
        <v>0</v>
      </c>
      <c r="AL150" s="598">
        <f t="shared" si="286"/>
        <v>15545</v>
      </c>
      <c r="AM150" s="598">
        <f t="shared" si="287"/>
        <v>0</v>
      </c>
      <c r="AN150" s="598">
        <f t="shared" si="288"/>
        <v>15545</v>
      </c>
      <c r="AO150" s="598">
        <f t="shared" si="289"/>
        <v>0</v>
      </c>
      <c r="AP150" s="598">
        <f t="shared" si="290"/>
        <v>15545</v>
      </c>
      <c r="AQ150" s="599">
        <f t="shared" si="291"/>
        <v>0</v>
      </c>
      <c r="AR150" s="599">
        <f t="shared" si="292"/>
        <v>15545</v>
      </c>
    </row>
    <row r="151" spans="1:44" x14ac:dyDescent="0.25">
      <c r="B151" s="312" t="s">
        <v>577</v>
      </c>
      <c r="C151" s="365">
        <v>35581</v>
      </c>
      <c r="D151" s="342">
        <v>2750.65</v>
      </c>
      <c r="E151" s="324">
        <v>5</v>
      </c>
      <c r="F151" s="598">
        <v>1375</v>
      </c>
      <c r="G151" s="598">
        <f t="shared" si="258"/>
        <v>550</v>
      </c>
      <c r="H151" s="598">
        <f t="shared" si="259"/>
        <v>1925</v>
      </c>
      <c r="I151" s="598">
        <f t="shared" si="258"/>
        <v>550</v>
      </c>
      <c r="J151" s="598">
        <f t="shared" si="260"/>
        <v>2475</v>
      </c>
      <c r="K151" s="598">
        <f t="shared" si="261"/>
        <v>276</v>
      </c>
      <c r="L151" s="598">
        <f t="shared" si="262"/>
        <v>2751</v>
      </c>
      <c r="M151" s="598">
        <f t="shared" si="261"/>
        <v>0</v>
      </c>
      <c r="N151" s="598">
        <f t="shared" si="263"/>
        <v>2751</v>
      </c>
      <c r="O151" s="598">
        <f t="shared" si="264"/>
        <v>0</v>
      </c>
      <c r="P151" s="598">
        <f t="shared" si="265"/>
        <v>2751</v>
      </c>
      <c r="Q151" s="598">
        <f t="shared" si="264"/>
        <v>0</v>
      </c>
      <c r="R151" s="598">
        <f t="shared" si="266"/>
        <v>2751</v>
      </c>
      <c r="S151" s="598">
        <f t="shared" si="267"/>
        <v>0</v>
      </c>
      <c r="T151" s="598">
        <f t="shared" si="268"/>
        <v>2751</v>
      </c>
      <c r="U151" s="598">
        <f t="shared" si="269"/>
        <v>0</v>
      </c>
      <c r="V151" s="598">
        <f t="shared" si="270"/>
        <v>2751</v>
      </c>
      <c r="W151" s="598">
        <f t="shared" si="271"/>
        <v>0</v>
      </c>
      <c r="X151" s="598">
        <f t="shared" si="272"/>
        <v>2751</v>
      </c>
      <c r="Y151" s="596">
        <f t="shared" si="273"/>
        <v>0</v>
      </c>
      <c r="Z151" s="596">
        <f t="shared" si="274"/>
        <v>2751</v>
      </c>
      <c r="AA151" s="598">
        <f t="shared" si="275"/>
        <v>0</v>
      </c>
      <c r="AB151" s="598">
        <f t="shared" si="276"/>
        <v>2751</v>
      </c>
      <c r="AC151" s="598">
        <f t="shared" si="277"/>
        <v>0</v>
      </c>
      <c r="AD151" s="598">
        <f t="shared" si="278"/>
        <v>2751</v>
      </c>
      <c r="AE151" s="598">
        <f t="shared" si="279"/>
        <v>0</v>
      </c>
      <c r="AF151" s="598">
        <f t="shared" si="280"/>
        <v>2751</v>
      </c>
      <c r="AG151" s="596">
        <f t="shared" si="281"/>
        <v>0</v>
      </c>
      <c r="AH151" s="596">
        <f t="shared" si="282"/>
        <v>2751</v>
      </c>
      <c r="AI151" s="598">
        <f t="shared" si="283"/>
        <v>0</v>
      </c>
      <c r="AJ151" s="598">
        <f t="shared" si="284"/>
        <v>2751</v>
      </c>
      <c r="AK151" s="598">
        <f t="shared" si="285"/>
        <v>0</v>
      </c>
      <c r="AL151" s="598">
        <f t="shared" si="286"/>
        <v>2751</v>
      </c>
      <c r="AM151" s="598">
        <f t="shared" si="287"/>
        <v>0</v>
      </c>
      <c r="AN151" s="598">
        <f t="shared" si="288"/>
        <v>2751</v>
      </c>
      <c r="AO151" s="598">
        <f t="shared" si="289"/>
        <v>0</v>
      </c>
      <c r="AP151" s="598">
        <f t="shared" si="290"/>
        <v>2751</v>
      </c>
      <c r="AQ151" s="599">
        <f t="shared" si="291"/>
        <v>0</v>
      </c>
      <c r="AR151" s="599">
        <f t="shared" si="292"/>
        <v>2751</v>
      </c>
    </row>
    <row r="152" spans="1:44" x14ac:dyDescent="0.25">
      <c r="B152" s="312" t="s">
        <v>578</v>
      </c>
      <c r="C152" s="365">
        <v>36311</v>
      </c>
      <c r="D152" s="342">
        <v>3692.4</v>
      </c>
      <c r="E152" s="324">
        <v>10</v>
      </c>
      <c r="F152" s="598">
        <v>369</v>
      </c>
      <c r="G152" s="598">
        <f>IF(F152&lt;$D152,IF(F152+($D152/$E152)&lt;$D152,ROUND($D152/$E152,0),ROUND($D152-F152,0)),0)</f>
        <v>369</v>
      </c>
      <c r="H152" s="598">
        <f>ROUND(SUM(F152:G152),0)</f>
        <v>738</v>
      </c>
      <c r="I152" s="598">
        <f>IF(H152&lt;$D152,IF(H152+($D152/$E152)&lt;$D152,ROUND($D152/$E152,0),ROUND($D152-H152,0)),0)</f>
        <v>369</v>
      </c>
      <c r="J152" s="598">
        <f>ROUND(SUM(H152:I152),0)</f>
        <v>1107</v>
      </c>
      <c r="K152" s="598">
        <f>IF(J152&lt;$D152,IF(J152+($D152/$E152)&lt;$D152,ROUND($D152/$E152,0),ROUND($D152-J152,0)),0)</f>
        <v>369</v>
      </c>
      <c r="L152" s="598">
        <f>ROUND(SUM(J152:K152),0)</f>
        <v>1476</v>
      </c>
      <c r="M152" s="598">
        <f>IF(L152&lt;$D152,IF(L152+($D152/$E152)&lt;$D152,ROUND($D152/$E152,0),ROUND($D152-L152,0)),0)</f>
        <v>369</v>
      </c>
      <c r="N152" s="598">
        <f>ROUND(SUM(L152:M152),0)</f>
        <v>1845</v>
      </c>
      <c r="O152" s="598">
        <f>IF(N152&lt;$D152,IF(N152+($D152/$E152)&lt;$D152,ROUND($D152/$E152,0),ROUND($D152-N152,0)),0)</f>
        <v>369</v>
      </c>
      <c r="P152" s="598">
        <f>ROUND(SUM(N152:O152),0)</f>
        <v>2214</v>
      </c>
      <c r="Q152" s="598">
        <f>IF(P152&lt;$D152,IF(P152+($D152/$E152)&lt;$D152,ROUND($D152/$E152,0),ROUND($D152-P152,0)),0)</f>
        <v>369</v>
      </c>
      <c r="R152" s="598">
        <f>ROUND(SUM(P152:Q152),0)</f>
        <v>2583</v>
      </c>
      <c r="S152" s="598">
        <f t="shared" si="267"/>
        <v>369</v>
      </c>
      <c r="T152" s="598">
        <f>ROUND(SUM(R152:S152),0)</f>
        <v>2952</v>
      </c>
      <c r="U152" s="598">
        <f t="shared" si="269"/>
        <v>369</v>
      </c>
      <c r="V152" s="598">
        <f>ROUND(SUM(T152:U152),0)</f>
        <v>3321</v>
      </c>
      <c r="W152" s="598">
        <f>IF(V152&lt;$D152,IF(V152+($D152/$E152)&lt;$D152,ROUND($D152/$E152,0),ROUND($D152-V152,0)),0)+2</f>
        <v>371</v>
      </c>
      <c r="X152" s="598">
        <f>ROUND(SUM(V152:W152),0)</f>
        <v>3692</v>
      </c>
      <c r="Y152" s="596">
        <f>IF(X152&lt;$D152,IF(X152+($D152/$E152)&lt;$D152,ROUND($D152/$E152,0),ROUND($D152-X152,0)),0)</f>
        <v>0</v>
      </c>
      <c r="Z152" s="596">
        <f>ROUND(SUM(X152:Y152),0)</f>
        <v>3692</v>
      </c>
      <c r="AA152" s="598">
        <f>IF(Z152&lt;$D152,IF(Z152+($D152/$E152)&lt;$D152,ROUND($D152/$E152,0),ROUND($D152-Z152,0)),0)</f>
        <v>0</v>
      </c>
      <c r="AB152" s="598">
        <f>ROUND(SUM(Z152:AA152),0)</f>
        <v>3692</v>
      </c>
      <c r="AC152" s="598">
        <f>IF(AB152&lt;$D152,IF(AB152+($D152/$E152)&lt;$D152,ROUND($D152/$E152,0),ROUND($D152-AB152,0)),0)</f>
        <v>0</v>
      </c>
      <c r="AD152" s="598">
        <f>ROUND(SUM(AB152:AC152),0)</f>
        <v>3692</v>
      </c>
      <c r="AE152" s="598">
        <f>IF(AD152&lt;$D152,IF(AD152+($D152/$E152)&lt;$D152,ROUND($D152/$E152,0),ROUND($D152-AD152,0)),0)</f>
        <v>0</v>
      </c>
      <c r="AF152" s="598">
        <f>ROUND(SUM(AD152:AE152),0)</f>
        <v>3692</v>
      </c>
      <c r="AG152" s="596">
        <f>IF(AF152&lt;$D152,IF(AF152+($D152/$E152)&lt;$D152,ROUND($D152/$E152,0),ROUND($D152-AF152,0)),0)</f>
        <v>0</v>
      </c>
      <c r="AH152" s="596">
        <f>ROUND(SUM(AF152:AG152),0)</f>
        <v>3692</v>
      </c>
      <c r="AI152" s="598">
        <f>IF(AH152&lt;$D152,IF(AH152+($D152/$E152)&lt;$D152,ROUND($D152/$E152,0),ROUND($D152-AH152,0)),0)</f>
        <v>0</v>
      </c>
      <c r="AJ152" s="598">
        <f>ROUND(SUM(AH152:AI152),0)</f>
        <v>3692</v>
      </c>
      <c r="AK152" s="598">
        <f>IF(AJ152&lt;$D152,IF(AJ152+($D152/$E152)&lt;$D152,ROUND($D152/$E152,0),ROUND($D152-AJ152,0)),0)</f>
        <v>0</v>
      </c>
      <c r="AL152" s="598">
        <f>ROUND(SUM(AJ152:AK152),0)</f>
        <v>3692</v>
      </c>
      <c r="AM152" s="598">
        <f>IF(AL152&lt;$D152,IF(AL152+($D152/$E152)&lt;$D152,ROUND($D152/$E152,0),ROUND($D152-AL152,0)),0)</f>
        <v>0</v>
      </c>
      <c r="AN152" s="598">
        <f>ROUND(SUM(AL152:AM152),0)</f>
        <v>3692</v>
      </c>
      <c r="AO152" s="598">
        <f>IF(AN152&lt;$D152,IF(AN152+($D152/$E152)&lt;$D152,ROUND($D152/$E152,0),ROUND($D152-AN152,0)),0)</f>
        <v>0</v>
      </c>
      <c r="AP152" s="598">
        <f>ROUND(SUM(AN152:AO152),0)</f>
        <v>3692</v>
      </c>
      <c r="AQ152" s="599">
        <f>IF(AP152&lt;$D152,IF(AP152+($D152/$E152)&lt;$D152,ROUND($D152/$E152,0),ROUND($D152-AP152,0)),0)</f>
        <v>0</v>
      </c>
      <c r="AR152" s="599">
        <f>ROUND(SUM(AP152:AQ152),0)</f>
        <v>3692</v>
      </c>
    </row>
    <row r="153" spans="1:44" x14ac:dyDescent="0.3">
      <c r="B153" s="351" t="s">
        <v>540</v>
      </c>
      <c r="C153" s="360"/>
      <c r="D153" s="357"/>
      <c r="E153" s="357"/>
      <c r="F153" s="357"/>
      <c r="G153" s="357"/>
      <c r="H153" s="357"/>
      <c r="I153" s="361"/>
      <c r="J153" s="361"/>
      <c r="K153" s="361"/>
      <c r="L153" s="361"/>
      <c r="M153" s="361"/>
      <c r="N153" s="361"/>
      <c r="O153" s="361"/>
      <c r="P153" s="361"/>
      <c r="Q153" s="361"/>
      <c r="R153" s="361"/>
      <c r="S153" s="361"/>
      <c r="T153" s="361"/>
      <c r="U153" s="361"/>
      <c r="V153" s="361"/>
      <c r="W153" s="361"/>
      <c r="X153" s="361"/>
      <c r="Y153" s="361"/>
      <c r="Z153" s="361"/>
      <c r="AA153" s="361"/>
      <c r="AB153" s="361"/>
      <c r="AC153" s="361"/>
      <c r="AD153" s="361"/>
      <c r="AE153" s="402"/>
      <c r="AF153" s="402"/>
      <c r="AG153" s="402"/>
      <c r="AH153" s="601">
        <f>ROUND(SUM(AF153:AG153),0)</f>
        <v>0</v>
      </c>
      <c r="AI153" s="402"/>
      <c r="AJ153" s="601">
        <f>ROUND(SUM(AH153:AI153),0)</f>
        <v>0</v>
      </c>
      <c r="AK153" s="402"/>
      <c r="AL153" s="601">
        <f>ROUND(SUM(AJ153:AK153),0)</f>
        <v>0</v>
      </c>
      <c r="AM153" s="402"/>
      <c r="AN153" s="601">
        <f>ROUND(SUM(AL153:AM153),0)</f>
        <v>0</v>
      </c>
      <c r="AO153" s="402"/>
      <c r="AP153" s="601">
        <f>ROUND(SUM(AN153:AO153),0)</f>
        <v>0</v>
      </c>
      <c r="AQ153" s="614"/>
      <c r="AR153" s="603">
        <f>ROUND(SUM(AP153:AQ153),0)</f>
        <v>0</v>
      </c>
    </row>
    <row r="154" spans="1:44" x14ac:dyDescent="0.25">
      <c r="A154" s="376" t="s">
        <v>579</v>
      </c>
      <c r="B154" s="372"/>
      <c r="C154" s="346"/>
      <c r="D154" s="618">
        <f>SUM(D140:D153)</f>
        <v>120297.04999999999</v>
      </c>
      <c r="E154" s="324"/>
      <c r="F154" s="373">
        <f>SUM(F140:F152)</f>
        <v>76853</v>
      </c>
      <c r="G154" s="373">
        <f>SUM(G140:G152)</f>
        <v>7338</v>
      </c>
      <c r="H154" s="373">
        <f>SUM(H140:H152)</f>
        <v>84191</v>
      </c>
      <c r="I154" s="373">
        <f>SUM(I140:I152)</f>
        <v>5282</v>
      </c>
      <c r="J154" s="373">
        <f t="shared" ref="J154:AR154" si="293">SUM(J140:J153)</f>
        <v>89473</v>
      </c>
      <c r="K154" s="373">
        <f t="shared" si="293"/>
        <v>3454</v>
      </c>
      <c r="L154" s="373">
        <f t="shared" si="293"/>
        <v>92927</v>
      </c>
      <c r="M154" s="373">
        <f t="shared" si="293"/>
        <v>3178</v>
      </c>
      <c r="N154" s="373">
        <f t="shared" si="293"/>
        <v>96105</v>
      </c>
      <c r="O154" s="373">
        <f t="shared" si="293"/>
        <v>3178</v>
      </c>
      <c r="P154" s="373">
        <f t="shared" si="293"/>
        <v>99283</v>
      </c>
      <c r="Q154" s="373">
        <f t="shared" si="293"/>
        <v>3178</v>
      </c>
      <c r="R154" s="373">
        <f t="shared" si="293"/>
        <v>102461</v>
      </c>
      <c r="S154" s="373">
        <f t="shared" si="293"/>
        <v>2878</v>
      </c>
      <c r="T154" s="373">
        <f t="shared" si="293"/>
        <v>105339</v>
      </c>
      <c r="U154" s="373">
        <f t="shared" si="293"/>
        <v>2584</v>
      </c>
      <c r="V154" s="373">
        <f t="shared" si="293"/>
        <v>107923</v>
      </c>
      <c r="W154" s="373">
        <f t="shared" si="293"/>
        <v>2586</v>
      </c>
      <c r="X154" s="373">
        <f t="shared" si="293"/>
        <v>110509</v>
      </c>
      <c r="Y154" s="374">
        <f t="shared" si="293"/>
        <v>2215</v>
      </c>
      <c r="Z154" s="374">
        <f t="shared" si="293"/>
        <v>112724</v>
      </c>
      <c r="AA154" s="373">
        <f t="shared" si="293"/>
        <v>2215</v>
      </c>
      <c r="AB154" s="373">
        <f t="shared" si="293"/>
        <v>114939</v>
      </c>
      <c r="AC154" s="373">
        <f t="shared" si="293"/>
        <v>2215</v>
      </c>
      <c r="AD154" s="373">
        <f t="shared" si="293"/>
        <v>117154</v>
      </c>
      <c r="AE154" s="373">
        <f t="shared" si="293"/>
        <v>2215</v>
      </c>
      <c r="AF154" s="373">
        <f t="shared" si="293"/>
        <v>119369</v>
      </c>
      <c r="AG154" s="374">
        <f t="shared" si="293"/>
        <v>928</v>
      </c>
      <c r="AH154" s="374">
        <f t="shared" si="293"/>
        <v>120297</v>
      </c>
      <c r="AI154" s="373">
        <f t="shared" si="293"/>
        <v>0</v>
      </c>
      <c r="AJ154" s="373">
        <f t="shared" si="293"/>
        <v>120297</v>
      </c>
      <c r="AK154" s="373">
        <f t="shared" si="293"/>
        <v>0</v>
      </c>
      <c r="AL154" s="373">
        <f t="shared" si="293"/>
        <v>120297</v>
      </c>
      <c r="AM154" s="373">
        <f t="shared" si="293"/>
        <v>0</v>
      </c>
      <c r="AN154" s="373">
        <f t="shared" si="293"/>
        <v>120297</v>
      </c>
      <c r="AO154" s="373">
        <f t="shared" si="293"/>
        <v>0</v>
      </c>
      <c r="AP154" s="373">
        <f t="shared" si="293"/>
        <v>120297</v>
      </c>
      <c r="AQ154" s="619">
        <f t="shared" si="293"/>
        <v>0</v>
      </c>
      <c r="AR154" s="619">
        <f t="shared" si="293"/>
        <v>120297</v>
      </c>
    </row>
    <row r="155" spans="1:44" x14ac:dyDescent="0.25">
      <c r="B155" s="376"/>
      <c r="C155" s="346"/>
      <c r="D155" s="620">
        <f>SUM(D154-AJ154)</f>
        <v>4.9999999988358468E-2</v>
      </c>
      <c r="E155" s="606" t="s">
        <v>643</v>
      </c>
      <c r="F155" s="324"/>
      <c r="I155" s="314"/>
      <c r="J155" s="314"/>
      <c r="K155" s="314"/>
      <c r="L155" s="314"/>
      <c r="M155" s="314"/>
      <c r="N155" s="314"/>
      <c r="O155" s="314"/>
      <c r="P155" s="314"/>
      <c r="Q155" s="314"/>
      <c r="R155" s="314"/>
      <c r="S155" s="314"/>
      <c r="T155" s="314"/>
      <c r="U155" s="314"/>
      <c r="V155" s="314"/>
      <c r="W155" s="314"/>
      <c r="X155" s="314"/>
      <c r="Y155" s="315"/>
      <c r="Z155" s="315"/>
      <c r="AA155" s="314"/>
      <c r="AB155" s="314"/>
      <c r="AC155" s="314"/>
      <c r="AD155" s="314"/>
      <c r="AE155" s="314"/>
      <c r="AF155" s="314"/>
      <c r="AG155" s="315"/>
      <c r="AH155" s="315"/>
      <c r="AI155" s="314"/>
      <c r="AJ155" s="314"/>
      <c r="AK155" s="314"/>
      <c r="AL155" s="314"/>
      <c r="AM155" s="314"/>
      <c r="AN155" s="314"/>
      <c r="AO155" s="314"/>
      <c r="AP155" s="314"/>
      <c r="AQ155" s="612"/>
      <c r="AR155" s="612"/>
    </row>
    <row r="156" spans="1:44" x14ac:dyDescent="0.25">
      <c r="C156" s="364"/>
      <c r="D156" s="324"/>
      <c r="E156" s="324"/>
      <c r="F156" s="324"/>
      <c r="I156" s="314"/>
      <c r="J156" s="314"/>
      <c r="K156" s="314"/>
      <c r="L156" s="314"/>
      <c r="M156" s="314"/>
      <c r="N156" s="314"/>
      <c r="O156" s="314"/>
      <c r="P156" s="314"/>
      <c r="Q156" s="314"/>
      <c r="R156" s="314"/>
      <c r="S156" s="314"/>
      <c r="T156" s="314"/>
      <c r="U156" s="314"/>
      <c r="V156" s="314"/>
      <c r="W156" s="314"/>
      <c r="X156" s="314"/>
      <c r="Y156" s="315"/>
      <c r="Z156" s="315"/>
      <c r="AA156" s="314"/>
      <c r="AB156" s="314"/>
      <c r="AC156" s="314"/>
      <c r="AD156" s="314"/>
      <c r="AE156" s="314"/>
      <c r="AF156" s="314"/>
      <c r="AG156" s="315"/>
      <c r="AH156" s="315"/>
      <c r="AI156" s="314"/>
      <c r="AJ156" s="314"/>
      <c r="AK156" s="314"/>
      <c r="AL156" s="314"/>
      <c r="AM156" s="314"/>
      <c r="AN156" s="314"/>
      <c r="AO156" s="314"/>
      <c r="AP156" s="314"/>
      <c r="AQ156" s="612"/>
      <c r="AR156" s="612"/>
    </row>
    <row r="157" spans="1:44" x14ac:dyDescent="0.25">
      <c r="A157" s="318" t="s">
        <v>580</v>
      </c>
      <c r="B157" s="379"/>
      <c r="C157" s="346"/>
      <c r="D157" s="366"/>
      <c r="E157" s="324"/>
      <c r="F157" s="366"/>
      <c r="G157" s="366"/>
      <c r="H157" s="366"/>
      <c r="I157" s="366"/>
      <c r="J157" s="366"/>
      <c r="K157" s="366"/>
      <c r="L157" s="366"/>
      <c r="M157" s="366"/>
      <c r="N157" s="366"/>
      <c r="O157" s="366"/>
      <c r="P157" s="366"/>
      <c r="Q157" s="366"/>
      <c r="R157" s="366"/>
      <c r="S157" s="366"/>
      <c r="T157" s="366"/>
      <c r="U157" s="366"/>
      <c r="V157" s="366"/>
      <c r="W157" s="366"/>
      <c r="X157" s="366"/>
      <c r="Y157" s="342"/>
      <c r="Z157" s="342"/>
      <c r="AA157" s="366"/>
      <c r="AB157" s="366"/>
      <c r="AC157" s="366"/>
      <c r="AD157" s="366"/>
      <c r="AE157" s="366"/>
      <c r="AF157" s="366"/>
      <c r="AG157" s="342"/>
      <c r="AH157" s="342"/>
      <c r="AI157" s="366"/>
      <c r="AJ157" s="366"/>
      <c r="AK157" s="366"/>
      <c r="AL157" s="366"/>
      <c r="AM157" s="366"/>
      <c r="AN157" s="366"/>
      <c r="AO157" s="366"/>
      <c r="AP157" s="366"/>
      <c r="AQ157" s="621"/>
      <c r="AR157" s="621"/>
    </row>
    <row r="158" spans="1:44" x14ac:dyDescent="0.25">
      <c r="B158" s="349" t="s">
        <v>106</v>
      </c>
      <c r="C158" s="350">
        <v>36341</v>
      </c>
      <c r="D158" s="342">
        <v>105031.93</v>
      </c>
      <c r="E158" s="324">
        <v>10</v>
      </c>
      <c r="F158" s="632">
        <v>10503</v>
      </c>
      <c r="G158" s="632">
        <f>IF(F158&lt;$D158,IF(F158+($D158/$E158)&lt;$D158,ROUND($D158/$E158,0),ROUND($D158-F158,0)),0)</f>
        <v>10503</v>
      </c>
      <c r="H158" s="632">
        <f>ROUND(SUM(F158:G158),0)</f>
        <v>21006</v>
      </c>
      <c r="I158" s="632">
        <f>IF(H158&lt;$D158,IF(H158+($D158/$E158)&lt;$D158,ROUND($D158/$E158,0),ROUND($D158-H158,0)),0)</f>
        <v>10503</v>
      </c>
      <c r="J158" s="632">
        <f>ROUND(SUM(H158:I158),0)</f>
        <v>31509</v>
      </c>
      <c r="K158" s="632">
        <f>IF(J158&lt;$D158,IF(J158+($D158/$E158)&lt;$D158,ROUND($D158/$E158,0),ROUND($D158-J158,0)),0)</f>
        <v>10503</v>
      </c>
      <c r="L158" s="632">
        <f>ROUND(SUM(J158:K158),0)</f>
        <v>42012</v>
      </c>
      <c r="M158" s="632">
        <f>IF(L158&lt;$D158,IF(L158+($D158/$E158)&lt;$D158,ROUND($D158/$E158,0),ROUND($D158-L158,0)),0)</f>
        <v>10503</v>
      </c>
      <c r="N158" s="632">
        <f>ROUND(SUM(L158:M158),0)</f>
        <v>52515</v>
      </c>
      <c r="O158" s="632">
        <f>IF(N158&lt;$D158,IF(N158+($D158/$E158)&lt;$D158,ROUND($D158/$E158,0),ROUND($D158-N158,0)),0)</f>
        <v>10503</v>
      </c>
      <c r="P158" s="632">
        <f>ROUND(SUM(N158:O158),0)</f>
        <v>63018</v>
      </c>
      <c r="Q158" s="632">
        <f>IF(P158&lt;$D158,IF(P158+($D158/$E158)&lt;$D158,ROUND($D158/$E158,0),ROUND($D158-P158,0)),0)</f>
        <v>10503</v>
      </c>
      <c r="R158" s="632">
        <f>ROUND(SUM(P158:Q158),0)</f>
        <v>73521</v>
      </c>
      <c r="S158" s="632">
        <f>IF(R158&lt;$D158,IF(R158+($D158/$E158)&lt;$D158,ROUND($D158/$E158,0),ROUND($D158-R158,0)),0)</f>
        <v>10503</v>
      </c>
      <c r="T158" s="632">
        <f>ROUND(SUM(R158:S158),0)</f>
        <v>84024</v>
      </c>
      <c r="U158" s="632">
        <f>IF(T158&lt;$D158,IF(T158+($D158/$E158)&lt;$D158,ROUND($D158/$E158,0),ROUND($D158-T158,0)),0)</f>
        <v>10503</v>
      </c>
      <c r="V158" s="632">
        <f>ROUND(SUM(T158:U158),0)</f>
        <v>94527</v>
      </c>
      <c r="W158" s="632">
        <f>IF(V158&lt;$D158,IF(V158+($D158/$E158)&lt;$D158,ROUND($D158/$E158,0),ROUND($D158-V158,0)),0)+2</f>
        <v>10505</v>
      </c>
      <c r="X158" s="632">
        <f>ROUND(SUM(V158:W158),0)</f>
        <v>105032</v>
      </c>
      <c r="Y158" s="633">
        <f>IF(X158&lt;$D158,IF(X158+($D158/$E158)&lt;$D158,ROUND($D158/$E158,0),ROUND($D158-X158,0)),0)</f>
        <v>0</v>
      </c>
      <c r="Z158" s="633">
        <f>ROUND(SUM(X158:Y158),0)</f>
        <v>105032</v>
      </c>
      <c r="AA158" s="632">
        <f>IF(Z158&lt;$D158,IF(Z158+($D158/$E158)&lt;$D158,ROUND($D158/$E158,0),ROUND($D158-Z158,0)),0)</f>
        <v>0</v>
      </c>
      <c r="AB158" s="632">
        <f>ROUND(SUM(Z158:AA158),0)</f>
        <v>105032</v>
      </c>
      <c r="AC158" s="632">
        <f>IF(AB158&lt;$D158,IF(AB158+($D158/$E158)&lt;$D158,ROUND($D158/$E158,0),ROUND($D158-AB158,0)),0)</f>
        <v>0</v>
      </c>
      <c r="AD158" s="632">
        <f>ROUND(SUM(AB158:AC158),0)</f>
        <v>105032</v>
      </c>
      <c r="AE158" s="632">
        <f>IF(AD158&lt;$D158,IF(AD158+($D158/$E158)&lt;$D158,ROUND($D158/$E158,0),ROUND($D158-AD158,0)),0)</f>
        <v>0</v>
      </c>
      <c r="AF158" s="632">
        <f>ROUND(SUM(AD158:AE158),0)</f>
        <v>105032</v>
      </c>
      <c r="AG158" s="633">
        <f>IF(AF158&lt;$D158,IF(AF158+($D158/$E158)&lt;$D158,ROUND($D158/$E158,0),ROUND($D158-AF158,0)),0)</f>
        <v>0</v>
      </c>
      <c r="AH158" s="633">
        <f>ROUND(SUM(AF158:AG158),0)</f>
        <v>105032</v>
      </c>
      <c r="AI158" s="632">
        <f>IF(AH158&lt;$D158,IF(AH158+($D158/$E158)&lt;$D158,ROUND($D158/$E158,0),ROUND($D158-AH158,0)),0)</f>
        <v>0</v>
      </c>
      <c r="AJ158" s="632">
        <f>ROUND(SUM(AH158:AI158),0)</f>
        <v>105032</v>
      </c>
      <c r="AK158" s="632">
        <f>IF(AJ158&lt;$D158,IF(AJ158+($D158/$E158)&lt;$D158,ROUND($D158/$E158,0),ROUND($D158-AJ158,0)),0)</f>
        <v>0</v>
      </c>
      <c r="AL158" s="632">
        <f>ROUND(SUM(AJ158:AK158),0)</f>
        <v>105032</v>
      </c>
      <c r="AM158" s="632">
        <f>IF(AL158&lt;$D158,IF(AL158+($D158/$E158)&lt;$D158,ROUND($D158/$E158,0),ROUND($D158-AL158,0)),0)</f>
        <v>0</v>
      </c>
      <c r="AN158" s="632">
        <f>ROUND(SUM(AL158:AM158),0)</f>
        <v>105032</v>
      </c>
      <c r="AO158" s="632">
        <f>IF(AN158&lt;$D158,IF(AN158+($D158/$E158)&lt;$D158,ROUND($D158/$E158,0),ROUND($D158-AN158,0)),0)</f>
        <v>0</v>
      </c>
      <c r="AP158" s="632">
        <f>ROUND(SUM(AN158:AO158),0)</f>
        <v>105032</v>
      </c>
      <c r="AQ158" s="634">
        <f>IF(AP158&lt;$D158,IF(AP158+($D158/$E158)&lt;$D158,ROUND($D158/$E158,0),ROUND($D158-AP158,0)),0)</f>
        <v>0</v>
      </c>
      <c r="AR158" s="634">
        <f>ROUND(SUM(AP158:AQ158),0)</f>
        <v>105032</v>
      </c>
    </row>
    <row r="159" spans="1:44" x14ac:dyDescent="0.25">
      <c r="B159" s="351" t="s">
        <v>540</v>
      </c>
      <c r="C159" s="356"/>
      <c r="D159" s="353"/>
      <c r="E159" s="354"/>
      <c r="F159" s="635"/>
      <c r="G159" s="635"/>
      <c r="H159" s="635"/>
      <c r="I159" s="635"/>
      <c r="J159" s="635"/>
      <c r="K159" s="635"/>
      <c r="L159" s="635"/>
      <c r="M159" s="635"/>
      <c r="N159" s="635"/>
      <c r="O159" s="635"/>
      <c r="P159" s="635"/>
      <c r="Q159" s="635"/>
      <c r="R159" s="635"/>
      <c r="S159" s="635"/>
      <c r="T159" s="635"/>
      <c r="U159" s="635"/>
      <c r="V159" s="635"/>
      <c r="W159" s="635"/>
      <c r="X159" s="635"/>
      <c r="Y159" s="635"/>
      <c r="Z159" s="635"/>
      <c r="AA159" s="635"/>
      <c r="AB159" s="635"/>
      <c r="AC159" s="635"/>
      <c r="AD159" s="635"/>
      <c r="AE159" s="635"/>
      <c r="AF159" s="635"/>
      <c r="AG159" s="635"/>
      <c r="AH159" s="635"/>
      <c r="AI159" s="635"/>
      <c r="AJ159" s="635"/>
      <c r="AK159" s="635"/>
      <c r="AL159" s="635"/>
      <c r="AM159" s="635"/>
      <c r="AN159" s="635"/>
      <c r="AO159" s="635"/>
      <c r="AP159" s="635"/>
      <c r="AQ159" s="636"/>
      <c r="AR159" s="636"/>
    </row>
    <row r="160" spans="1:44" x14ac:dyDescent="0.25">
      <c r="A160" s="318" t="s">
        <v>581</v>
      </c>
      <c r="B160" s="379"/>
      <c r="C160" s="346"/>
      <c r="D160" s="618">
        <f>D158</f>
        <v>105031.93</v>
      </c>
      <c r="E160" s="324"/>
      <c r="F160" s="373">
        <f t="shared" ref="F160:AR160" si="294">F158</f>
        <v>10503</v>
      </c>
      <c r="G160" s="373">
        <f t="shared" si="294"/>
        <v>10503</v>
      </c>
      <c r="H160" s="373">
        <f t="shared" si="294"/>
        <v>21006</v>
      </c>
      <c r="I160" s="373">
        <f t="shared" si="294"/>
        <v>10503</v>
      </c>
      <c r="J160" s="373">
        <f t="shared" si="294"/>
        <v>31509</v>
      </c>
      <c r="K160" s="373">
        <f t="shared" si="294"/>
        <v>10503</v>
      </c>
      <c r="L160" s="373">
        <f t="shared" si="294"/>
        <v>42012</v>
      </c>
      <c r="M160" s="373">
        <f t="shared" si="294"/>
        <v>10503</v>
      </c>
      <c r="N160" s="373">
        <f t="shared" si="294"/>
        <v>52515</v>
      </c>
      <c r="O160" s="373">
        <f t="shared" si="294"/>
        <v>10503</v>
      </c>
      <c r="P160" s="373">
        <f t="shared" si="294"/>
        <v>63018</v>
      </c>
      <c r="Q160" s="373">
        <f t="shared" si="294"/>
        <v>10503</v>
      </c>
      <c r="R160" s="373">
        <f t="shared" si="294"/>
        <v>73521</v>
      </c>
      <c r="S160" s="373">
        <f t="shared" si="294"/>
        <v>10503</v>
      </c>
      <c r="T160" s="373">
        <f t="shared" si="294"/>
        <v>84024</v>
      </c>
      <c r="U160" s="373">
        <f t="shared" si="294"/>
        <v>10503</v>
      </c>
      <c r="V160" s="373">
        <f t="shared" si="294"/>
        <v>94527</v>
      </c>
      <c r="W160" s="373">
        <f t="shared" si="294"/>
        <v>10505</v>
      </c>
      <c r="X160" s="373">
        <f t="shared" si="294"/>
        <v>105032</v>
      </c>
      <c r="Y160" s="374">
        <f t="shared" si="294"/>
        <v>0</v>
      </c>
      <c r="Z160" s="374">
        <f t="shared" si="294"/>
        <v>105032</v>
      </c>
      <c r="AA160" s="373">
        <f t="shared" si="294"/>
        <v>0</v>
      </c>
      <c r="AB160" s="373">
        <f t="shared" si="294"/>
        <v>105032</v>
      </c>
      <c r="AC160" s="373">
        <f t="shared" si="294"/>
        <v>0</v>
      </c>
      <c r="AD160" s="373">
        <f t="shared" si="294"/>
        <v>105032</v>
      </c>
      <c r="AE160" s="373">
        <f t="shared" si="294"/>
        <v>0</v>
      </c>
      <c r="AF160" s="373">
        <f t="shared" si="294"/>
        <v>105032</v>
      </c>
      <c r="AG160" s="374">
        <f t="shared" si="294"/>
        <v>0</v>
      </c>
      <c r="AH160" s="374">
        <f t="shared" si="294"/>
        <v>105032</v>
      </c>
      <c r="AI160" s="373">
        <f t="shared" si="294"/>
        <v>0</v>
      </c>
      <c r="AJ160" s="373">
        <f t="shared" si="294"/>
        <v>105032</v>
      </c>
      <c r="AK160" s="373">
        <f t="shared" si="294"/>
        <v>0</v>
      </c>
      <c r="AL160" s="373">
        <f t="shared" si="294"/>
        <v>105032</v>
      </c>
      <c r="AM160" s="373">
        <f t="shared" si="294"/>
        <v>0</v>
      </c>
      <c r="AN160" s="373">
        <f t="shared" si="294"/>
        <v>105032</v>
      </c>
      <c r="AO160" s="373">
        <f t="shared" si="294"/>
        <v>0</v>
      </c>
      <c r="AP160" s="373">
        <f t="shared" si="294"/>
        <v>105032</v>
      </c>
      <c r="AQ160" s="619">
        <f t="shared" si="294"/>
        <v>0</v>
      </c>
      <c r="AR160" s="619">
        <f t="shared" si="294"/>
        <v>105032</v>
      </c>
    </row>
    <row r="161" spans="1:44" x14ac:dyDescent="0.25">
      <c r="B161" s="379"/>
      <c r="C161" s="346"/>
      <c r="D161" s="620">
        <f>D160-AJ160</f>
        <v>-7.0000000006984919E-2</v>
      </c>
      <c r="E161" s="606" t="s">
        <v>643</v>
      </c>
      <c r="F161" s="366"/>
      <c r="G161" s="366"/>
      <c r="H161" s="366"/>
      <c r="I161" s="366"/>
      <c r="J161" s="366"/>
      <c r="K161" s="366"/>
      <c r="L161" s="366"/>
      <c r="M161" s="366"/>
      <c r="N161" s="366"/>
      <c r="O161" s="366"/>
      <c r="P161" s="366"/>
      <c r="Q161" s="366"/>
      <c r="R161" s="366"/>
      <c r="S161" s="366"/>
      <c r="T161" s="366"/>
      <c r="U161" s="366"/>
      <c r="V161" s="366"/>
      <c r="W161" s="366"/>
      <c r="X161" s="366"/>
      <c r="Y161" s="342"/>
      <c r="Z161" s="342"/>
      <c r="AA161" s="366"/>
      <c r="AB161" s="366"/>
      <c r="AC161" s="366"/>
      <c r="AD161" s="366"/>
      <c r="AE161" s="366"/>
      <c r="AF161" s="366"/>
      <c r="AG161" s="342"/>
      <c r="AH161" s="342"/>
      <c r="AI161" s="366"/>
      <c r="AJ161" s="366"/>
      <c r="AK161" s="366"/>
      <c r="AL161" s="366"/>
      <c r="AM161" s="366"/>
      <c r="AN161" s="366"/>
      <c r="AO161" s="366"/>
      <c r="AP161" s="366"/>
      <c r="AQ161" s="621"/>
      <c r="AR161" s="621"/>
    </row>
    <row r="162" spans="1:44" x14ac:dyDescent="0.25">
      <c r="C162" s="364"/>
      <c r="D162" s="380"/>
      <c r="F162" s="324"/>
      <c r="I162" s="314"/>
      <c r="J162" s="314"/>
      <c r="K162" s="314"/>
      <c r="L162" s="314"/>
      <c r="M162" s="314"/>
      <c r="N162" s="314"/>
      <c r="O162" s="314"/>
      <c r="P162" s="314"/>
      <c r="Q162" s="314"/>
      <c r="R162" s="314"/>
      <c r="S162" s="314"/>
      <c r="T162" s="314"/>
      <c r="U162" s="314"/>
      <c r="V162" s="314"/>
      <c r="W162" s="314"/>
      <c r="X162" s="314"/>
      <c r="Y162" s="315"/>
      <c r="Z162" s="315"/>
      <c r="AA162" s="314"/>
      <c r="AB162" s="314"/>
      <c r="AC162" s="314"/>
      <c r="AD162" s="314"/>
      <c r="AE162" s="314"/>
      <c r="AF162" s="314"/>
      <c r="AG162" s="315"/>
      <c r="AH162" s="315"/>
      <c r="AI162" s="314"/>
      <c r="AJ162" s="314"/>
      <c r="AK162" s="314"/>
      <c r="AL162" s="314"/>
      <c r="AM162" s="314"/>
      <c r="AN162" s="314"/>
      <c r="AO162" s="314"/>
      <c r="AP162" s="314"/>
      <c r="AQ162" s="612"/>
      <c r="AR162" s="612"/>
    </row>
    <row r="163" spans="1:44" ht="13.5" thickBot="1" x14ac:dyDescent="0.3">
      <c r="A163" s="339" t="s">
        <v>582</v>
      </c>
      <c r="C163" s="323"/>
      <c r="D163" s="637">
        <f>SUM(D74+D101+D136+D154+D160)</f>
        <v>3110993.4379999996</v>
      </c>
      <c r="E163" s="324"/>
      <c r="F163" s="381">
        <f t="shared" ref="F163:AR163" si="295">SUM(F74+F101+F136+F154+F160)</f>
        <v>928029</v>
      </c>
      <c r="G163" s="381">
        <f t="shared" si="295"/>
        <v>124900</v>
      </c>
      <c r="H163" s="381">
        <f t="shared" si="295"/>
        <v>1052929</v>
      </c>
      <c r="I163" s="381">
        <f t="shared" si="295"/>
        <v>124492</v>
      </c>
      <c r="J163" s="381">
        <f t="shared" si="295"/>
        <v>1177421</v>
      </c>
      <c r="K163" s="381">
        <f t="shared" si="295"/>
        <v>124371</v>
      </c>
      <c r="L163" s="381">
        <f t="shared" si="295"/>
        <v>1301792</v>
      </c>
      <c r="M163" s="381">
        <f t="shared" si="295"/>
        <v>130687.83333333333</v>
      </c>
      <c r="N163" s="381">
        <f t="shared" si="295"/>
        <v>1432480</v>
      </c>
      <c r="O163" s="381">
        <f t="shared" si="295"/>
        <v>145135.1</v>
      </c>
      <c r="P163" s="381">
        <f t="shared" si="295"/>
        <v>1577616</v>
      </c>
      <c r="Q163" s="381">
        <f t="shared" si="295"/>
        <v>145899.18333333335</v>
      </c>
      <c r="R163" s="381">
        <f t="shared" si="295"/>
        <v>1723516</v>
      </c>
      <c r="S163" s="381">
        <f t="shared" si="295"/>
        <v>148424.16666666669</v>
      </c>
      <c r="T163" s="381">
        <f t="shared" si="295"/>
        <v>1871683</v>
      </c>
      <c r="U163" s="381">
        <f t="shared" si="295"/>
        <v>149174.33333333334</v>
      </c>
      <c r="V163" s="381">
        <f t="shared" si="295"/>
        <v>2020857</v>
      </c>
      <c r="W163" s="381">
        <f t="shared" si="295"/>
        <v>126343.5</v>
      </c>
      <c r="X163" s="381">
        <f t="shared" si="295"/>
        <v>2147201</v>
      </c>
      <c r="Y163" s="382">
        <f t="shared" si="295"/>
        <v>80324.5</v>
      </c>
      <c r="Z163" s="382">
        <f t="shared" si="295"/>
        <v>2227526</v>
      </c>
      <c r="AA163" s="381">
        <f t="shared" si="295"/>
        <v>60123</v>
      </c>
      <c r="AB163" s="381">
        <f t="shared" si="295"/>
        <v>2287649</v>
      </c>
      <c r="AC163" s="381">
        <f t="shared" si="295"/>
        <v>48819.416666666664</v>
      </c>
      <c r="AD163" s="381">
        <f t="shared" si="295"/>
        <v>2336469</v>
      </c>
      <c r="AE163" s="381">
        <f t="shared" si="295"/>
        <v>53984.083333333336</v>
      </c>
      <c r="AF163" s="381">
        <f t="shared" si="295"/>
        <v>2390453</v>
      </c>
      <c r="AG163" s="382">
        <f t="shared" si="295"/>
        <v>64811</v>
      </c>
      <c r="AH163" s="382">
        <f t="shared" si="295"/>
        <v>2455264</v>
      </c>
      <c r="AI163" s="381">
        <f t="shared" si="295"/>
        <v>69636</v>
      </c>
      <c r="AJ163" s="381">
        <f t="shared" si="295"/>
        <v>2524900</v>
      </c>
      <c r="AK163" s="381">
        <f t="shared" si="295"/>
        <v>87665.25</v>
      </c>
      <c r="AL163" s="381">
        <f t="shared" si="295"/>
        <v>2612566</v>
      </c>
      <c r="AM163" s="381">
        <f t="shared" si="295"/>
        <v>97299.333333333343</v>
      </c>
      <c r="AN163" s="381">
        <f t="shared" si="295"/>
        <v>2709866</v>
      </c>
      <c r="AO163" s="381">
        <f t="shared" si="295"/>
        <v>113675.33333333334</v>
      </c>
      <c r="AP163" s="381">
        <f t="shared" si="295"/>
        <v>2823542</v>
      </c>
      <c r="AQ163" s="638">
        <f t="shared" si="295"/>
        <v>100868</v>
      </c>
      <c r="AR163" s="638">
        <f t="shared" si="295"/>
        <v>2924410</v>
      </c>
    </row>
    <row r="164" spans="1:44" ht="13.5" thickTop="1" x14ac:dyDescent="0.3">
      <c r="C164" s="323"/>
      <c r="D164" s="639">
        <f>D163-AJ163</f>
        <v>586093.43799999962</v>
      </c>
      <c r="E164" s="606" t="s">
        <v>643</v>
      </c>
      <c r="AO164" s="401"/>
      <c r="AP164" s="401"/>
      <c r="AQ164" s="594"/>
      <c r="AR164" s="594"/>
    </row>
    <row r="165" spans="1:44" x14ac:dyDescent="0.3">
      <c r="AO165" s="401"/>
      <c r="AP165" s="401"/>
      <c r="AQ165" s="594"/>
      <c r="AR165" s="594"/>
    </row>
    <row r="166" spans="1:44" x14ac:dyDescent="0.3">
      <c r="A166" s="344" t="s">
        <v>583</v>
      </c>
      <c r="AO166" s="401"/>
      <c r="AP166" s="401"/>
      <c r="AQ166" s="594"/>
      <c r="AR166" s="594"/>
    </row>
    <row r="167" spans="1:44" x14ac:dyDescent="0.3">
      <c r="A167" s="376" t="s">
        <v>584</v>
      </c>
      <c r="C167" s="346"/>
      <c r="D167" s="324"/>
      <c r="E167" s="324"/>
      <c r="AO167" s="401"/>
      <c r="AP167" s="401"/>
      <c r="AQ167" s="594"/>
      <c r="AR167" s="594"/>
    </row>
    <row r="168" spans="1:44" x14ac:dyDescent="0.25">
      <c r="B168" s="312" t="s">
        <v>166</v>
      </c>
      <c r="C168" s="350">
        <v>33178</v>
      </c>
      <c r="D168" s="348">
        <v>4320</v>
      </c>
      <c r="E168" s="324">
        <v>7</v>
      </c>
      <c r="F168" s="598">
        <v>4320</v>
      </c>
      <c r="G168" s="598">
        <f t="shared" ref="G168:I174" si="296">IF(F168&lt;$D168,IF(F168+($D168/$E168)&lt;$D168,ROUND($D168/$E168,0),ROUND($D168-F168,0)),0)</f>
        <v>0</v>
      </c>
      <c r="H168" s="598">
        <f t="shared" ref="H168:H172" si="297">ROUND(SUM(F168:G168),0)</f>
        <v>4320</v>
      </c>
      <c r="I168" s="598">
        <f t="shared" si="296"/>
        <v>0</v>
      </c>
      <c r="J168" s="598">
        <f t="shared" ref="J168:J172" si="298">ROUND(SUM(H168:I168),0)</f>
        <v>4320</v>
      </c>
      <c r="K168" s="598">
        <f t="shared" ref="K168:M174" si="299">IF(J168&lt;$D168,IF(J168+($D168/$E168)&lt;$D168,ROUND($D168/$E168,0),ROUND($D168-J168,0)),0)</f>
        <v>0</v>
      </c>
      <c r="L168" s="598">
        <f t="shared" ref="L168:L172" si="300">ROUND(SUM(J168:K168),0)</f>
        <v>4320</v>
      </c>
      <c r="M168" s="598">
        <f t="shared" si="299"/>
        <v>0</v>
      </c>
      <c r="N168" s="598">
        <f t="shared" ref="N168:N176" si="301">ROUND(SUM(L168:M168),0)</f>
        <v>4320</v>
      </c>
      <c r="O168" s="598">
        <f t="shared" ref="O168:Q176" si="302">IF(N168&lt;$D168,IF(N168+($D168/$E168)&lt;$D168,ROUND($D168/$E168,0),ROUND($D168-N168,0)),0)</f>
        <v>0</v>
      </c>
      <c r="P168" s="598">
        <f t="shared" ref="P168:P176" si="303">ROUND(SUM(N168:O168),0)</f>
        <v>4320</v>
      </c>
      <c r="Q168" s="598">
        <f t="shared" si="302"/>
        <v>0</v>
      </c>
      <c r="R168" s="598">
        <f t="shared" ref="R168:R176" si="304">ROUND(SUM(P168:Q168),0)</f>
        <v>4320</v>
      </c>
      <c r="S168" s="598">
        <f t="shared" ref="S168:S178" si="305">IF(R168&lt;$D168,IF(R168+($D168/$E168)&lt;$D168,ROUND($D168/$E168,0),ROUND($D168-R168,0)),0)</f>
        <v>0</v>
      </c>
      <c r="T168" s="598">
        <f t="shared" ref="T168:T176" si="306">ROUND(SUM(R168:S168),0)</f>
        <v>4320</v>
      </c>
      <c r="U168" s="598">
        <f t="shared" ref="U168:U178" si="307">IF(T168&lt;$D168,IF(T168+($D168/$E168)&lt;$D168,ROUND($D168/$E168,0),ROUND($D168-T168,0)),0)</f>
        <v>0</v>
      </c>
      <c r="V168" s="598">
        <f>ROUND(SUM(T168:U168),0)</f>
        <v>4320</v>
      </c>
      <c r="W168" s="598">
        <f t="shared" ref="W168:W178" si="308">IF(V168&lt;$D168,IF(V168+($D168/$E168)&lt;$D168,ROUND($D168/$E168,0),ROUND($D168-V168,0)),0)</f>
        <v>0</v>
      </c>
      <c r="X168" s="598">
        <f t="shared" ref="X168:X180" si="309">ROUND(SUM(V168:W168),0)</f>
        <v>4320</v>
      </c>
      <c r="Y168" s="596">
        <f t="shared" ref="Y168:Y179" si="310">IF(X168&lt;$D168,IF(X168+($D168/$E168)&lt;$D168,ROUND($D168/$E168,0),ROUND($D168-X168,0)),0)</f>
        <v>0</v>
      </c>
      <c r="Z168" s="596">
        <f t="shared" ref="Z168:Z180" si="311">ROUND(SUM(X168:Y168),0)</f>
        <v>4320</v>
      </c>
      <c r="AA168" s="598">
        <f t="shared" ref="AA168:AA179" si="312">IF(Z168&lt;$D168,IF(Z168+($D168/$E168)&lt;$D168,ROUND($D168/$E168,0),ROUND($D168-Z168,0)),0)</f>
        <v>0</v>
      </c>
      <c r="AB168" s="598">
        <f t="shared" ref="AB168:AB181" si="313">ROUND(SUM(Z168:AA168),0)</f>
        <v>4320</v>
      </c>
      <c r="AC168" s="598">
        <f t="shared" ref="AC168:AC179" si="314">IF(AB168&lt;$D168,IF(AB168+($D168/$E168)&lt;$D168,ROUND($D168/$E168,0),ROUND($D168-AB168,0)),0)</f>
        <v>0</v>
      </c>
      <c r="AD168" s="598">
        <f t="shared" ref="AD168:AD181" si="315">ROUND(SUM(AB168:AC168),0)</f>
        <v>4320</v>
      </c>
      <c r="AE168" s="598">
        <f t="shared" ref="AE168:AE179" si="316">IF(AD168&lt;$D168,IF(AD168+($D168/$E168)&lt;$D168,ROUND($D168/$E168,0),ROUND($D168-AD168,0)),0)</f>
        <v>0</v>
      </c>
      <c r="AF168" s="598">
        <f t="shared" ref="AF168:AF181" si="317">ROUND(SUM(AD168:AE168),0)</f>
        <v>4320</v>
      </c>
      <c r="AG168" s="596">
        <f t="shared" ref="AG168:AG179" si="318">IF(AF168&lt;$D168,IF(AF168+($D168/$E168)&lt;$D168,ROUND($D168/$E168,0),ROUND($D168-AF168,0)),0)</f>
        <v>0</v>
      </c>
      <c r="AH168" s="596">
        <f t="shared" ref="AH168:AH183" si="319">ROUND(SUM(AF168:AG168),0)</f>
        <v>4320</v>
      </c>
      <c r="AI168" s="598">
        <f t="shared" ref="AI168:AI179" si="320">IF(AH168&lt;$D168,IF(AH168+($D168/$E168)&lt;$D168,ROUND($D168/$E168,0),ROUND($D168-AH168,0)),0)</f>
        <v>0</v>
      </c>
      <c r="AJ168" s="598">
        <f t="shared" ref="AJ168:AJ181" si="321">ROUND(SUM(AH168:AI168),0)</f>
        <v>4320</v>
      </c>
      <c r="AK168" s="598">
        <f t="shared" ref="AK168:AK179" si="322">IF(AJ168&lt;$D168,IF(AJ168+($D168/$E168)&lt;$D168,ROUND($D168/$E168,0),ROUND($D168-AJ168,0)),0)</f>
        <v>0</v>
      </c>
      <c r="AL168" s="598">
        <f t="shared" ref="AL168:AL181" si="323">ROUND(SUM(AJ168:AK168),0)</f>
        <v>4320</v>
      </c>
      <c r="AM168" s="598">
        <f t="shared" ref="AM168:AM179" si="324">IF(AL168&lt;$D168,IF(AL168+($D168/$E168)&lt;$D168,ROUND($D168/$E168,0),ROUND($D168-AL168,0)),0)</f>
        <v>0</v>
      </c>
      <c r="AN168" s="598">
        <f t="shared" ref="AN168:AN181" si="325">ROUND(SUM(AL168:AM168),0)</f>
        <v>4320</v>
      </c>
      <c r="AO168" s="598">
        <f t="shared" ref="AO168:AO179" si="326">IF(AN168&lt;$D168,IF(AN168+($D168/$E168)&lt;$D168,ROUND($D168/$E168,0),ROUND($D168-AN168,0)),0)</f>
        <v>0</v>
      </c>
      <c r="AP168" s="598">
        <f t="shared" ref="AP168:AP182" si="327">ROUND(SUM(AN168:AO168),0)</f>
        <v>4320</v>
      </c>
      <c r="AQ168" s="599">
        <f t="shared" ref="AQ168:AQ179" si="328">IF(AP168&lt;$D168,IF(AP168+($D168/$E168)&lt;$D168,ROUND($D168/$E168,0),ROUND($D168-AP168,0)),0)</f>
        <v>0</v>
      </c>
      <c r="AR168" s="599">
        <f t="shared" ref="AR168:AR182" si="329">ROUND(SUM(AP168:AQ168),0)</f>
        <v>4320</v>
      </c>
    </row>
    <row r="169" spans="1:44" x14ac:dyDescent="0.25">
      <c r="B169" s="312" t="s">
        <v>167</v>
      </c>
      <c r="C169" s="350">
        <v>33388</v>
      </c>
      <c r="D169" s="348">
        <v>534</v>
      </c>
      <c r="E169" s="324">
        <v>5</v>
      </c>
      <c r="F169" s="598">
        <v>534</v>
      </c>
      <c r="G169" s="598">
        <f t="shared" si="296"/>
        <v>0</v>
      </c>
      <c r="H169" s="598">
        <f t="shared" si="297"/>
        <v>534</v>
      </c>
      <c r="I169" s="598">
        <f t="shared" si="296"/>
        <v>0</v>
      </c>
      <c r="J169" s="598">
        <f t="shared" si="298"/>
        <v>534</v>
      </c>
      <c r="K169" s="598">
        <f t="shared" si="299"/>
        <v>0</v>
      </c>
      <c r="L169" s="598">
        <f t="shared" si="300"/>
        <v>534</v>
      </c>
      <c r="M169" s="598">
        <f t="shared" si="299"/>
        <v>0</v>
      </c>
      <c r="N169" s="598">
        <f t="shared" si="301"/>
        <v>534</v>
      </c>
      <c r="O169" s="598">
        <f t="shared" si="302"/>
        <v>0</v>
      </c>
      <c r="P169" s="598">
        <f t="shared" si="303"/>
        <v>534</v>
      </c>
      <c r="Q169" s="598">
        <f t="shared" si="302"/>
        <v>0</v>
      </c>
      <c r="R169" s="598">
        <f t="shared" si="304"/>
        <v>534</v>
      </c>
      <c r="S169" s="598">
        <f t="shared" si="305"/>
        <v>0</v>
      </c>
      <c r="T169" s="598">
        <f t="shared" si="306"/>
        <v>534</v>
      </c>
      <c r="U169" s="598">
        <f t="shared" si="307"/>
        <v>0</v>
      </c>
      <c r="V169" s="598">
        <f t="shared" ref="V169:V178" si="330">ROUND(SUM(T169:U169),0)</f>
        <v>534</v>
      </c>
      <c r="W169" s="598">
        <f t="shared" si="308"/>
        <v>0</v>
      </c>
      <c r="X169" s="598">
        <f t="shared" si="309"/>
        <v>534</v>
      </c>
      <c r="Y169" s="596">
        <f t="shared" si="310"/>
        <v>0</v>
      </c>
      <c r="Z169" s="596">
        <f t="shared" si="311"/>
        <v>534</v>
      </c>
      <c r="AA169" s="598">
        <f t="shared" si="312"/>
        <v>0</v>
      </c>
      <c r="AB169" s="598">
        <f t="shared" si="313"/>
        <v>534</v>
      </c>
      <c r="AC169" s="598">
        <f t="shared" si="314"/>
        <v>0</v>
      </c>
      <c r="AD169" s="598">
        <f t="shared" si="315"/>
        <v>534</v>
      </c>
      <c r="AE169" s="598">
        <f t="shared" si="316"/>
        <v>0</v>
      </c>
      <c r="AF169" s="598">
        <f t="shared" si="317"/>
        <v>534</v>
      </c>
      <c r="AG169" s="596">
        <f t="shared" si="318"/>
        <v>0</v>
      </c>
      <c r="AH169" s="596">
        <f t="shared" si="319"/>
        <v>534</v>
      </c>
      <c r="AI169" s="598">
        <f t="shared" si="320"/>
        <v>0</v>
      </c>
      <c r="AJ169" s="598">
        <f t="shared" si="321"/>
        <v>534</v>
      </c>
      <c r="AK169" s="598">
        <f t="shared" si="322"/>
        <v>0</v>
      </c>
      <c r="AL169" s="598">
        <f t="shared" si="323"/>
        <v>534</v>
      </c>
      <c r="AM169" s="598">
        <f t="shared" si="324"/>
        <v>0</v>
      </c>
      <c r="AN169" s="598">
        <f t="shared" si="325"/>
        <v>534</v>
      </c>
      <c r="AO169" s="598">
        <f t="shared" si="326"/>
        <v>0</v>
      </c>
      <c r="AP169" s="598">
        <f t="shared" si="327"/>
        <v>534</v>
      </c>
      <c r="AQ169" s="599">
        <f t="shared" si="328"/>
        <v>0</v>
      </c>
      <c r="AR169" s="599">
        <f t="shared" si="329"/>
        <v>534</v>
      </c>
    </row>
    <row r="170" spans="1:44" x14ac:dyDescent="0.25">
      <c r="B170" s="312" t="s">
        <v>168</v>
      </c>
      <c r="C170" s="350">
        <v>33770</v>
      </c>
      <c r="D170" s="348">
        <v>351</v>
      </c>
      <c r="E170" s="324">
        <v>10</v>
      </c>
      <c r="F170" s="598">
        <v>265</v>
      </c>
      <c r="G170" s="598">
        <f t="shared" si="296"/>
        <v>35</v>
      </c>
      <c r="H170" s="598">
        <f t="shared" si="297"/>
        <v>300</v>
      </c>
      <c r="I170" s="598">
        <f t="shared" si="296"/>
        <v>35</v>
      </c>
      <c r="J170" s="598">
        <f t="shared" si="298"/>
        <v>335</v>
      </c>
      <c r="K170" s="598">
        <f t="shared" si="299"/>
        <v>16</v>
      </c>
      <c r="L170" s="598">
        <f t="shared" si="300"/>
        <v>351</v>
      </c>
      <c r="M170" s="598">
        <f t="shared" si="299"/>
        <v>0</v>
      </c>
      <c r="N170" s="598">
        <f t="shared" si="301"/>
        <v>351</v>
      </c>
      <c r="O170" s="598">
        <f t="shared" si="302"/>
        <v>0</v>
      </c>
      <c r="P170" s="598">
        <f t="shared" si="303"/>
        <v>351</v>
      </c>
      <c r="Q170" s="598">
        <f t="shared" si="302"/>
        <v>0</v>
      </c>
      <c r="R170" s="598">
        <f t="shared" si="304"/>
        <v>351</v>
      </c>
      <c r="S170" s="598">
        <f t="shared" si="305"/>
        <v>0</v>
      </c>
      <c r="T170" s="598">
        <f t="shared" si="306"/>
        <v>351</v>
      </c>
      <c r="U170" s="598">
        <f t="shared" si="307"/>
        <v>0</v>
      </c>
      <c r="V170" s="598">
        <f t="shared" si="330"/>
        <v>351</v>
      </c>
      <c r="W170" s="598">
        <f t="shared" si="308"/>
        <v>0</v>
      </c>
      <c r="X170" s="598">
        <f t="shared" si="309"/>
        <v>351</v>
      </c>
      <c r="Y170" s="596">
        <f t="shared" si="310"/>
        <v>0</v>
      </c>
      <c r="Z170" s="596">
        <f t="shared" si="311"/>
        <v>351</v>
      </c>
      <c r="AA170" s="598">
        <f t="shared" si="312"/>
        <v>0</v>
      </c>
      <c r="AB170" s="598">
        <f t="shared" si="313"/>
        <v>351</v>
      </c>
      <c r="AC170" s="598">
        <f t="shared" si="314"/>
        <v>0</v>
      </c>
      <c r="AD170" s="598">
        <f t="shared" si="315"/>
        <v>351</v>
      </c>
      <c r="AE170" s="598">
        <f t="shared" si="316"/>
        <v>0</v>
      </c>
      <c r="AF170" s="598">
        <f t="shared" si="317"/>
        <v>351</v>
      </c>
      <c r="AG170" s="596">
        <f t="shared" si="318"/>
        <v>0</v>
      </c>
      <c r="AH170" s="596">
        <f t="shared" si="319"/>
        <v>351</v>
      </c>
      <c r="AI170" s="598">
        <f t="shared" si="320"/>
        <v>0</v>
      </c>
      <c r="AJ170" s="598">
        <f t="shared" si="321"/>
        <v>351</v>
      </c>
      <c r="AK170" s="598">
        <f t="shared" si="322"/>
        <v>0</v>
      </c>
      <c r="AL170" s="598">
        <f t="shared" si="323"/>
        <v>351</v>
      </c>
      <c r="AM170" s="598">
        <f t="shared" si="324"/>
        <v>0</v>
      </c>
      <c r="AN170" s="598">
        <f t="shared" si="325"/>
        <v>351</v>
      </c>
      <c r="AO170" s="598">
        <f t="shared" si="326"/>
        <v>0</v>
      </c>
      <c r="AP170" s="598">
        <f t="shared" si="327"/>
        <v>351</v>
      </c>
      <c r="AQ170" s="599">
        <f t="shared" si="328"/>
        <v>0</v>
      </c>
      <c r="AR170" s="599">
        <f t="shared" si="329"/>
        <v>351</v>
      </c>
    </row>
    <row r="171" spans="1:44" x14ac:dyDescent="0.25">
      <c r="B171" s="312" t="s">
        <v>169</v>
      </c>
      <c r="C171" s="350">
        <v>34104</v>
      </c>
      <c r="D171" s="348">
        <v>405</v>
      </c>
      <c r="E171" s="324">
        <v>7</v>
      </c>
      <c r="F171" s="598">
        <v>387</v>
      </c>
      <c r="G171" s="598">
        <f t="shared" si="296"/>
        <v>18</v>
      </c>
      <c r="H171" s="598">
        <f t="shared" si="297"/>
        <v>405</v>
      </c>
      <c r="I171" s="598">
        <f t="shared" si="296"/>
        <v>0</v>
      </c>
      <c r="J171" s="598">
        <f t="shared" si="298"/>
        <v>405</v>
      </c>
      <c r="K171" s="598">
        <f t="shared" si="299"/>
        <v>0</v>
      </c>
      <c r="L171" s="598">
        <f t="shared" si="300"/>
        <v>405</v>
      </c>
      <c r="M171" s="598">
        <f t="shared" si="299"/>
        <v>0</v>
      </c>
      <c r="N171" s="598">
        <f t="shared" si="301"/>
        <v>405</v>
      </c>
      <c r="O171" s="598">
        <f t="shared" si="302"/>
        <v>0</v>
      </c>
      <c r="P171" s="598">
        <f t="shared" si="303"/>
        <v>405</v>
      </c>
      <c r="Q171" s="598">
        <f t="shared" si="302"/>
        <v>0</v>
      </c>
      <c r="R171" s="598">
        <f t="shared" si="304"/>
        <v>405</v>
      </c>
      <c r="S171" s="598">
        <f t="shared" si="305"/>
        <v>0</v>
      </c>
      <c r="T171" s="598">
        <f t="shared" si="306"/>
        <v>405</v>
      </c>
      <c r="U171" s="598">
        <f t="shared" si="307"/>
        <v>0</v>
      </c>
      <c r="V171" s="598">
        <f t="shared" si="330"/>
        <v>405</v>
      </c>
      <c r="W171" s="598">
        <f t="shared" si="308"/>
        <v>0</v>
      </c>
      <c r="X171" s="598">
        <f t="shared" si="309"/>
        <v>405</v>
      </c>
      <c r="Y171" s="596">
        <f t="shared" si="310"/>
        <v>0</v>
      </c>
      <c r="Z171" s="596">
        <f t="shared" si="311"/>
        <v>405</v>
      </c>
      <c r="AA171" s="598">
        <f t="shared" si="312"/>
        <v>0</v>
      </c>
      <c r="AB171" s="598">
        <f t="shared" si="313"/>
        <v>405</v>
      </c>
      <c r="AC171" s="598">
        <f t="shared" si="314"/>
        <v>0</v>
      </c>
      <c r="AD171" s="598">
        <f t="shared" si="315"/>
        <v>405</v>
      </c>
      <c r="AE171" s="598">
        <f t="shared" si="316"/>
        <v>0</v>
      </c>
      <c r="AF171" s="598">
        <f t="shared" si="317"/>
        <v>405</v>
      </c>
      <c r="AG171" s="596">
        <f t="shared" si="318"/>
        <v>0</v>
      </c>
      <c r="AH171" s="596">
        <f t="shared" si="319"/>
        <v>405</v>
      </c>
      <c r="AI171" s="598">
        <f t="shared" si="320"/>
        <v>0</v>
      </c>
      <c r="AJ171" s="598">
        <f t="shared" si="321"/>
        <v>405</v>
      </c>
      <c r="AK171" s="598">
        <f t="shared" si="322"/>
        <v>0</v>
      </c>
      <c r="AL171" s="598">
        <f t="shared" si="323"/>
        <v>405</v>
      </c>
      <c r="AM171" s="598">
        <f t="shared" si="324"/>
        <v>0</v>
      </c>
      <c r="AN171" s="598">
        <f t="shared" si="325"/>
        <v>405</v>
      </c>
      <c r="AO171" s="598">
        <f t="shared" si="326"/>
        <v>0</v>
      </c>
      <c r="AP171" s="598">
        <f t="shared" si="327"/>
        <v>405</v>
      </c>
      <c r="AQ171" s="599">
        <f t="shared" si="328"/>
        <v>0</v>
      </c>
      <c r="AR171" s="599">
        <f t="shared" si="329"/>
        <v>405</v>
      </c>
    </row>
    <row r="172" spans="1:44" x14ac:dyDescent="0.25">
      <c r="B172" s="312" t="s">
        <v>170</v>
      </c>
      <c r="C172" s="350">
        <v>34104</v>
      </c>
      <c r="D172" s="348">
        <v>2805</v>
      </c>
      <c r="E172" s="324">
        <v>10</v>
      </c>
      <c r="F172" s="598">
        <v>1872</v>
      </c>
      <c r="G172" s="598">
        <f t="shared" si="296"/>
        <v>281</v>
      </c>
      <c r="H172" s="598">
        <f t="shared" si="297"/>
        <v>2153</v>
      </c>
      <c r="I172" s="598">
        <f t="shared" si="296"/>
        <v>281</v>
      </c>
      <c r="J172" s="598">
        <f t="shared" si="298"/>
        <v>2434</v>
      </c>
      <c r="K172" s="598">
        <f t="shared" si="299"/>
        <v>281</v>
      </c>
      <c r="L172" s="598">
        <f t="shared" si="300"/>
        <v>2715</v>
      </c>
      <c r="M172" s="598">
        <f t="shared" si="299"/>
        <v>90</v>
      </c>
      <c r="N172" s="598">
        <f t="shared" si="301"/>
        <v>2805</v>
      </c>
      <c r="O172" s="598">
        <f t="shared" si="302"/>
        <v>0</v>
      </c>
      <c r="P172" s="598">
        <f t="shared" si="303"/>
        <v>2805</v>
      </c>
      <c r="Q172" s="598">
        <f t="shared" si="302"/>
        <v>0</v>
      </c>
      <c r="R172" s="598">
        <f t="shared" si="304"/>
        <v>2805</v>
      </c>
      <c r="S172" s="598">
        <f t="shared" si="305"/>
        <v>0</v>
      </c>
      <c r="T172" s="598">
        <f t="shared" si="306"/>
        <v>2805</v>
      </c>
      <c r="U172" s="598">
        <f t="shared" si="307"/>
        <v>0</v>
      </c>
      <c r="V172" s="598">
        <f t="shared" si="330"/>
        <v>2805</v>
      </c>
      <c r="W172" s="598">
        <f t="shared" si="308"/>
        <v>0</v>
      </c>
      <c r="X172" s="598">
        <f t="shared" si="309"/>
        <v>2805</v>
      </c>
      <c r="Y172" s="596">
        <f t="shared" si="310"/>
        <v>0</v>
      </c>
      <c r="Z172" s="596">
        <f t="shared" si="311"/>
        <v>2805</v>
      </c>
      <c r="AA172" s="598">
        <f t="shared" si="312"/>
        <v>0</v>
      </c>
      <c r="AB172" s="598">
        <f t="shared" si="313"/>
        <v>2805</v>
      </c>
      <c r="AC172" s="598">
        <f t="shared" si="314"/>
        <v>0</v>
      </c>
      <c r="AD172" s="598">
        <f t="shared" si="315"/>
        <v>2805</v>
      </c>
      <c r="AE172" s="598">
        <f t="shared" si="316"/>
        <v>0</v>
      </c>
      <c r="AF172" s="598">
        <f t="shared" si="317"/>
        <v>2805</v>
      </c>
      <c r="AG172" s="596">
        <f t="shared" si="318"/>
        <v>0</v>
      </c>
      <c r="AH172" s="596">
        <f t="shared" si="319"/>
        <v>2805</v>
      </c>
      <c r="AI172" s="598">
        <f t="shared" si="320"/>
        <v>0</v>
      </c>
      <c r="AJ172" s="598">
        <f t="shared" si="321"/>
        <v>2805</v>
      </c>
      <c r="AK172" s="598">
        <f t="shared" si="322"/>
        <v>0</v>
      </c>
      <c r="AL172" s="598">
        <f t="shared" si="323"/>
        <v>2805</v>
      </c>
      <c r="AM172" s="598">
        <f t="shared" si="324"/>
        <v>0</v>
      </c>
      <c r="AN172" s="598">
        <f t="shared" si="325"/>
        <v>2805</v>
      </c>
      <c r="AO172" s="598">
        <f t="shared" si="326"/>
        <v>0</v>
      </c>
      <c r="AP172" s="598">
        <f t="shared" si="327"/>
        <v>2805</v>
      </c>
      <c r="AQ172" s="599">
        <f t="shared" si="328"/>
        <v>0</v>
      </c>
      <c r="AR172" s="599">
        <f t="shared" si="329"/>
        <v>2805</v>
      </c>
    </row>
    <row r="173" spans="1:44" x14ac:dyDescent="0.25">
      <c r="B173" s="312" t="s">
        <v>101</v>
      </c>
      <c r="C173" s="350">
        <v>35826</v>
      </c>
      <c r="D173" s="342">
        <v>383.05</v>
      </c>
      <c r="E173" s="324">
        <v>10</v>
      </c>
      <c r="F173" s="598">
        <v>57</v>
      </c>
      <c r="G173" s="598">
        <f t="shared" si="296"/>
        <v>38</v>
      </c>
      <c r="H173" s="598">
        <f>ROUND(SUM(F173:G173),0)</f>
        <v>95</v>
      </c>
      <c r="I173" s="598">
        <f t="shared" si="296"/>
        <v>38</v>
      </c>
      <c r="J173" s="598">
        <f>ROUND(SUM(H173:I173),0)</f>
        <v>133</v>
      </c>
      <c r="K173" s="598">
        <f t="shared" si="299"/>
        <v>38</v>
      </c>
      <c r="L173" s="598">
        <f t="shared" ref="L173:L176" si="331">ROUND(SUM(J173:K173),0)</f>
        <v>171</v>
      </c>
      <c r="M173" s="598">
        <f t="shared" si="299"/>
        <v>38</v>
      </c>
      <c r="N173" s="598">
        <f t="shared" si="301"/>
        <v>209</v>
      </c>
      <c r="O173" s="598">
        <f t="shared" si="302"/>
        <v>38</v>
      </c>
      <c r="P173" s="598">
        <f t="shared" si="303"/>
        <v>247</v>
      </c>
      <c r="Q173" s="598">
        <f t="shared" si="302"/>
        <v>38</v>
      </c>
      <c r="R173" s="598">
        <f t="shared" si="304"/>
        <v>285</v>
      </c>
      <c r="S173" s="598">
        <f t="shared" si="305"/>
        <v>38</v>
      </c>
      <c r="T173" s="598">
        <f t="shared" si="306"/>
        <v>323</v>
      </c>
      <c r="U173" s="598">
        <f t="shared" si="307"/>
        <v>38</v>
      </c>
      <c r="V173" s="598">
        <f t="shared" si="330"/>
        <v>361</v>
      </c>
      <c r="W173" s="598">
        <f t="shared" si="308"/>
        <v>22</v>
      </c>
      <c r="X173" s="598">
        <f t="shared" si="309"/>
        <v>383</v>
      </c>
      <c r="Y173" s="596">
        <f t="shared" si="310"/>
        <v>0</v>
      </c>
      <c r="Z173" s="596">
        <f t="shared" si="311"/>
        <v>383</v>
      </c>
      <c r="AA173" s="598">
        <f t="shared" si="312"/>
        <v>0</v>
      </c>
      <c r="AB173" s="598">
        <f t="shared" si="313"/>
        <v>383</v>
      </c>
      <c r="AC173" s="598">
        <f t="shared" si="314"/>
        <v>0</v>
      </c>
      <c r="AD173" s="598">
        <f t="shared" si="315"/>
        <v>383</v>
      </c>
      <c r="AE173" s="598">
        <f t="shared" si="316"/>
        <v>0</v>
      </c>
      <c r="AF173" s="598">
        <f t="shared" si="317"/>
        <v>383</v>
      </c>
      <c r="AG173" s="596">
        <f t="shared" si="318"/>
        <v>0</v>
      </c>
      <c r="AH173" s="596">
        <f t="shared" si="319"/>
        <v>383</v>
      </c>
      <c r="AI173" s="598">
        <f t="shared" si="320"/>
        <v>0</v>
      </c>
      <c r="AJ173" s="598">
        <f t="shared" si="321"/>
        <v>383</v>
      </c>
      <c r="AK173" s="598">
        <f t="shared" si="322"/>
        <v>0</v>
      </c>
      <c r="AL173" s="598">
        <f t="shared" si="323"/>
        <v>383</v>
      </c>
      <c r="AM173" s="598">
        <f t="shared" si="324"/>
        <v>0</v>
      </c>
      <c r="AN173" s="598">
        <f t="shared" si="325"/>
        <v>383</v>
      </c>
      <c r="AO173" s="598">
        <f t="shared" si="326"/>
        <v>0</v>
      </c>
      <c r="AP173" s="598">
        <f t="shared" si="327"/>
        <v>383</v>
      </c>
      <c r="AQ173" s="599">
        <f t="shared" si="328"/>
        <v>0</v>
      </c>
      <c r="AR173" s="599">
        <f t="shared" si="329"/>
        <v>383</v>
      </c>
    </row>
    <row r="174" spans="1:44" x14ac:dyDescent="0.25">
      <c r="B174" s="312" t="s">
        <v>102</v>
      </c>
      <c r="C174" s="350">
        <v>37196</v>
      </c>
      <c r="D174" s="342">
        <v>70778.52</v>
      </c>
      <c r="E174" s="348">
        <v>10</v>
      </c>
      <c r="F174" s="598"/>
      <c r="G174" s="598"/>
      <c r="H174" s="598">
        <f>ROUND(SUM(F174:G174),0)</f>
        <v>0</v>
      </c>
      <c r="I174" s="598">
        <f t="shared" si="296"/>
        <v>7078</v>
      </c>
      <c r="J174" s="598">
        <f>ROUND(SUM(H174:I174),0)</f>
        <v>7078</v>
      </c>
      <c r="K174" s="598">
        <f t="shared" si="299"/>
        <v>7078</v>
      </c>
      <c r="L174" s="598">
        <f t="shared" si="331"/>
        <v>14156</v>
      </c>
      <c r="M174" s="598">
        <f t="shared" si="299"/>
        <v>7078</v>
      </c>
      <c r="N174" s="598">
        <f t="shared" si="301"/>
        <v>21234</v>
      </c>
      <c r="O174" s="598">
        <f t="shared" si="302"/>
        <v>7078</v>
      </c>
      <c r="P174" s="598">
        <f t="shared" si="303"/>
        <v>28312</v>
      </c>
      <c r="Q174" s="598">
        <f t="shared" si="302"/>
        <v>7078</v>
      </c>
      <c r="R174" s="598">
        <f t="shared" si="304"/>
        <v>35390</v>
      </c>
      <c r="S174" s="598">
        <f t="shared" si="305"/>
        <v>7078</v>
      </c>
      <c r="T174" s="598">
        <f t="shared" si="306"/>
        <v>42468</v>
      </c>
      <c r="U174" s="598">
        <f t="shared" si="307"/>
        <v>7078</v>
      </c>
      <c r="V174" s="598">
        <f t="shared" si="330"/>
        <v>49546</v>
      </c>
      <c r="W174" s="598">
        <f t="shared" si="308"/>
        <v>7078</v>
      </c>
      <c r="X174" s="598">
        <f t="shared" si="309"/>
        <v>56624</v>
      </c>
      <c r="Y174" s="596">
        <f t="shared" si="310"/>
        <v>7078</v>
      </c>
      <c r="Z174" s="596">
        <f t="shared" si="311"/>
        <v>63702</v>
      </c>
      <c r="AA174" s="598">
        <f t="shared" si="312"/>
        <v>7077</v>
      </c>
      <c r="AB174" s="598">
        <f t="shared" si="313"/>
        <v>70779</v>
      </c>
      <c r="AC174" s="598">
        <f t="shared" si="314"/>
        <v>0</v>
      </c>
      <c r="AD174" s="598">
        <f t="shared" si="315"/>
        <v>70779</v>
      </c>
      <c r="AE174" s="598">
        <f t="shared" si="316"/>
        <v>0</v>
      </c>
      <c r="AF174" s="598">
        <f t="shared" si="317"/>
        <v>70779</v>
      </c>
      <c r="AG174" s="596">
        <f t="shared" si="318"/>
        <v>0</v>
      </c>
      <c r="AH174" s="596">
        <f t="shared" si="319"/>
        <v>70779</v>
      </c>
      <c r="AI174" s="598">
        <f t="shared" si="320"/>
        <v>0</v>
      </c>
      <c r="AJ174" s="598">
        <f t="shared" si="321"/>
        <v>70779</v>
      </c>
      <c r="AK174" s="598">
        <f t="shared" si="322"/>
        <v>0</v>
      </c>
      <c r="AL174" s="598">
        <f t="shared" si="323"/>
        <v>70779</v>
      </c>
      <c r="AM174" s="598">
        <f t="shared" si="324"/>
        <v>0</v>
      </c>
      <c r="AN174" s="598">
        <f t="shared" si="325"/>
        <v>70779</v>
      </c>
      <c r="AO174" s="598">
        <f t="shared" si="326"/>
        <v>0</v>
      </c>
      <c r="AP174" s="598">
        <f t="shared" si="327"/>
        <v>70779</v>
      </c>
      <c r="AQ174" s="599">
        <f t="shared" si="328"/>
        <v>0</v>
      </c>
      <c r="AR174" s="599">
        <f t="shared" si="329"/>
        <v>70779</v>
      </c>
    </row>
    <row r="175" spans="1:44" x14ac:dyDescent="0.25">
      <c r="B175" s="383" t="s">
        <v>103</v>
      </c>
      <c r="C175" s="350">
        <v>37274</v>
      </c>
      <c r="D175" s="342">
        <v>699.84</v>
      </c>
      <c r="E175" s="348">
        <v>7</v>
      </c>
      <c r="F175" s="598"/>
      <c r="G175" s="598"/>
      <c r="H175" s="598"/>
      <c r="I175" s="598"/>
      <c r="J175" s="366"/>
      <c r="K175" s="640">
        <v>0</v>
      </c>
      <c r="L175" s="640">
        <f t="shared" si="331"/>
        <v>0</v>
      </c>
      <c r="M175" s="640">
        <v>200</v>
      </c>
      <c r="N175" s="598">
        <f t="shared" si="301"/>
        <v>200</v>
      </c>
      <c r="O175" s="598">
        <f t="shared" si="302"/>
        <v>100</v>
      </c>
      <c r="P175" s="598">
        <f t="shared" si="303"/>
        <v>300</v>
      </c>
      <c r="Q175" s="598">
        <f t="shared" si="302"/>
        <v>100</v>
      </c>
      <c r="R175" s="598">
        <f t="shared" si="304"/>
        <v>400</v>
      </c>
      <c r="S175" s="598">
        <f t="shared" si="305"/>
        <v>100</v>
      </c>
      <c r="T175" s="598">
        <f t="shared" si="306"/>
        <v>500</v>
      </c>
      <c r="U175" s="598">
        <f t="shared" si="307"/>
        <v>100</v>
      </c>
      <c r="V175" s="598">
        <f t="shared" si="330"/>
        <v>600</v>
      </c>
      <c r="W175" s="598">
        <f t="shared" si="308"/>
        <v>100</v>
      </c>
      <c r="X175" s="598">
        <f t="shared" si="309"/>
        <v>700</v>
      </c>
      <c r="Y175" s="596">
        <f t="shared" si="310"/>
        <v>0</v>
      </c>
      <c r="Z175" s="596">
        <f t="shared" si="311"/>
        <v>700</v>
      </c>
      <c r="AA175" s="598">
        <f t="shared" si="312"/>
        <v>0</v>
      </c>
      <c r="AB175" s="598">
        <f t="shared" si="313"/>
        <v>700</v>
      </c>
      <c r="AC175" s="598">
        <f t="shared" si="314"/>
        <v>0</v>
      </c>
      <c r="AD175" s="598">
        <f t="shared" si="315"/>
        <v>700</v>
      </c>
      <c r="AE175" s="598">
        <f t="shared" si="316"/>
        <v>0</v>
      </c>
      <c r="AF175" s="598">
        <f t="shared" si="317"/>
        <v>700</v>
      </c>
      <c r="AG175" s="596">
        <f t="shared" si="318"/>
        <v>0</v>
      </c>
      <c r="AH175" s="596">
        <f t="shared" si="319"/>
        <v>700</v>
      </c>
      <c r="AI175" s="598">
        <f t="shared" si="320"/>
        <v>0</v>
      </c>
      <c r="AJ175" s="598">
        <f t="shared" si="321"/>
        <v>700</v>
      </c>
      <c r="AK175" s="598">
        <f t="shared" si="322"/>
        <v>0</v>
      </c>
      <c r="AL175" s="598">
        <f t="shared" si="323"/>
        <v>700</v>
      </c>
      <c r="AM175" s="598">
        <f t="shared" si="324"/>
        <v>0</v>
      </c>
      <c r="AN175" s="598">
        <f t="shared" si="325"/>
        <v>700</v>
      </c>
      <c r="AO175" s="598">
        <f t="shared" si="326"/>
        <v>0</v>
      </c>
      <c r="AP175" s="598">
        <f t="shared" si="327"/>
        <v>700</v>
      </c>
      <c r="AQ175" s="599">
        <f t="shared" si="328"/>
        <v>0</v>
      </c>
      <c r="AR175" s="599">
        <f t="shared" si="329"/>
        <v>700</v>
      </c>
    </row>
    <row r="176" spans="1:44" x14ac:dyDescent="0.25">
      <c r="B176" s="383" t="s">
        <v>104</v>
      </c>
      <c r="C176" s="350">
        <v>37371</v>
      </c>
      <c r="D176" s="342">
        <v>669.97</v>
      </c>
      <c r="E176" s="348">
        <v>10</v>
      </c>
      <c r="F176" s="598"/>
      <c r="G176" s="598"/>
      <c r="H176" s="598"/>
      <c r="I176" s="598"/>
      <c r="J176" s="366"/>
      <c r="K176" s="640">
        <v>0</v>
      </c>
      <c r="L176" s="640">
        <f t="shared" si="331"/>
        <v>0</v>
      </c>
      <c r="M176" s="640">
        <v>134</v>
      </c>
      <c r="N176" s="598">
        <f t="shared" si="301"/>
        <v>134</v>
      </c>
      <c r="O176" s="598">
        <f t="shared" si="302"/>
        <v>67</v>
      </c>
      <c r="P176" s="598">
        <f t="shared" si="303"/>
        <v>201</v>
      </c>
      <c r="Q176" s="598">
        <f t="shared" si="302"/>
        <v>67</v>
      </c>
      <c r="R176" s="598">
        <f t="shared" si="304"/>
        <v>268</v>
      </c>
      <c r="S176" s="598">
        <f t="shared" si="305"/>
        <v>67</v>
      </c>
      <c r="T176" s="598">
        <f t="shared" si="306"/>
        <v>335</v>
      </c>
      <c r="U176" s="598">
        <f t="shared" si="307"/>
        <v>67</v>
      </c>
      <c r="V176" s="598">
        <f t="shared" si="330"/>
        <v>402</v>
      </c>
      <c r="W176" s="598">
        <f t="shared" si="308"/>
        <v>67</v>
      </c>
      <c r="X176" s="598">
        <f t="shared" si="309"/>
        <v>469</v>
      </c>
      <c r="Y176" s="596">
        <f t="shared" si="310"/>
        <v>67</v>
      </c>
      <c r="Z176" s="596">
        <f t="shared" si="311"/>
        <v>536</v>
      </c>
      <c r="AA176" s="598">
        <f t="shared" si="312"/>
        <v>67</v>
      </c>
      <c r="AB176" s="598">
        <f t="shared" si="313"/>
        <v>603</v>
      </c>
      <c r="AC176" s="598">
        <f t="shared" si="314"/>
        <v>67</v>
      </c>
      <c r="AD176" s="598">
        <f t="shared" si="315"/>
        <v>670</v>
      </c>
      <c r="AE176" s="598">
        <f t="shared" si="316"/>
        <v>0</v>
      </c>
      <c r="AF176" s="598">
        <f t="shared" si="317"/>
        <v>670</v>
      </c>
      <c r="AG176" s="596">
        <f t="shared" si="318"/>
        <v>0</v>
      </c>
      <c r="AH176" s="596">
        <f t="shared" si="319"/>
        <v>670</v>
      </c>
      <c r="AI176" s="598">
        <f t="shared" si="320"/>
        <v>0</v>
      </c>
      <c r="AJ176" s="598">
        <f t="shared" si="321"/>
        <v>670</v>
      </c>
      <c r="AK176" s="598">
        <f t="shared" si="322"/>
        <v>0</v>
      </c>
      <c r="AL176" s="598">
        <f t="shared" si="323"/>
        <v>670</v>
      </c>
      <c r="AM176" s="598">
        <f t="shared" si="324"/>
        <v>0</v>
      </c>
      <c r="AN176" s="598">
        <f t="shared" si="325"/>
        <v>670</v>
      </c>
      <c r="AO176" s="598">
        <f t="shared" si="326"/>
        <v>0</v>
      </c>
      <c r="AP176" s="598">
        <f t="shared" si="327"/>
        <v>670</v>
      </c>
      <c r="AQ176" s="599">
        <f t="shared" si="328"/>
        <v>0</v>
      </c>
      <c r="AR176" s="599">
        <f t="shared" si="329"/>
        <v>670</v>
      </c>
    </row>
    <row r="177" spans="1:44" x14ac:dyDescent="0.25">
      <c r="B177" s="383" t="s">
        <v>171</v>
      </c>
      <c r="C177" s="350">
        <v>37653</v>
      </c>
      <c r="D177" s="342">
        <v>19011.18</v>
      </c>
      <c r="E177" s="348">
        <v>7</v>
      </c>
      <c r="F177" s="598"/>
      <c r="G177" s="598"/>
      <c r="H177" s="598"/>
      <c r="I177" s="598"/>
      <c r="J177" s="366"/>
      <c r="K177" s="598">
        <f>IF(J177&lt;$D177,IF(J177+($D177/$E177)&lt;$D177,ROUND($D177/$E177,0),ROUND($D177-J177,0)),0)</f>
        <v>2716</v>
      </c>
      <c r="L177" s="598">
        <v>0</v>
      </c>
      <c r="M177" s="598">
        <f>IF(L177&lt;$D177,IF(L177+($D177/$E177)&lt;$D177,ROUND($D177/$E177,0),ROUND($D177-L177,0)),0)</f>
        <v>2716</v>
      </c>
      <c r="N177" s="598">
        <f>ROUND(SUM(L177:M177),0)</f>
        <v>2716</v>
      </c>
      <c r="O177" s="598">
        <f>IF(N177&lt;$D177,IF(N177+($D177/$E177)&lt;$D177,ROUND($D177/$E177,0),ROUND($D177-N177,0)),0)</f>
        <v>2716</v>
      </c>
      <c r="P177" s="598">
        <f>ROUND(SUM(N177:O177),0)</f>
        <v>5432</v>
      </c>
      <c r="Q177" s="598">
        <f>IF(P177&lt;$D177,IF(P177+($D177/$E177)&lt;$D177,ROUND($D177/$E177,0),ROUND($D177-P177,0)),0)</f>
        <v>2716</v>
      </c>
      <c r="R177" s="598">
        <f>ROUND(SUM(P177:Q177),0)</f>
        <v>8148</v>
      </c>
      <c r="S177" s="598">
        <f t="shared" si="305"/>
        <v>2716</v>
      </c>
      <c r="T177" s="598">
        <f>ROUND(SUM(R177:S177),0)</f>
        <v>10864</v>
      </c>
      <c r="U177" s="598">
        <f t="shared" si="307"/>
        <v>2716</v>
      </c>
      <c r="V177" s="598">
        <f t="shared" si="330"/>
        <v>13580</v>
      </c>
      <c r="W177" s="598">
        <f t="shared" si="308"/>
        <v>2716</v>
      </c>
      <c r="X177" s="598">
        <f t="shared" si="309"/>
        <v>16296</v>
      </c>
      <c r="Y177" s="596">
        <f t="shared" si="310"/>
        <v>2715</v>
      </c>
      <c r="Z177" s="596">
        <f t="shared" si="311"/>
        <v>19011</v>
      </c>
      <c r="AA177" s="598">
        <f t="shared" si="312"/>
        <v>0</v>
      </c>
      <c r="AB177" s="598">
        <f t="shared" si="313"/>
        <v>19011</v>
      </c>
      <c r="AC177" s="598">
        <f t="shared" si="314"/>
        <v>0</v>
      </c>
      <c r="AD177" s="598">
        <f t="shared" si="315"/>
        <v>19011</v>
      </c>
      <c r="AE177" s="598">
        <f t="shared" si="316"/>
        <v>0</v>
      </c>
      <c r="AF177" s="598">
        <f t="shared" si="317"/>
        <v>19011</v>
      </c>
      <c r="AG177" s="596">
        <f t="shared" si="318"/>
        <v>0</v>
      </c>
      <c r="AH177" s="596">
        <f t="shared" si="319"/>
        <v>19011</v>
      </c>
      <c r="AI177" s="598">
        <f t="shared" si="320"/>
        <v>0</v>
      </c>
      <c r="AJ177" s="598">
        <f t="shared" si="321"/>
        <v>19011</v>
      </c>
      <c r="AK177" s="598">
        <f t="shared" si="322"/>
        <v>0</v>
      </c>
      <c r="AL177" s="598">
        <f t="shared" si="323"/>
        <v>19011</v>
      </c>
      <c r="AM177" s="598">
        <f t="shared" si="324"/>
        <v>0</v>
      </c>
      <c r="AN177" s="598">
        <f t="shared" si="325"/>
        <v>19011</v>
      </c>
      <c r="AO177" s="598">
        <f t="shared" si="326"/>
        <v>0</v>
      </c>
      <c r="AP177" s="598">
        <f t="shared" si="327"/>
        <v>19011</v>
      </c>
      <c r="AQ177" s="599">
        <f t="shared" si="328"/>
        <v>0</v>
      </c>
      <c r="AR177" s="599">
        <f t="shared" si="329"/>
        <v>19011</v>
      </c>
    </row>
    <row r="178" spans="1:44" x14ac:dyDescent="0.25">
      <c r="B178" s="383" t="s">
        <v>172</v>
      </c>
      <c r="C178" s="350">
        <v>38119</v>
      </c>
      <c r="D178" s="342">
        <v>2700</v>
      </c>
      <c r="E178" s="348">
        <v>7</v>
      </c>
      <c r="F178" s="598"/>
      <c r="G178" s="598"/>
      <c r="H178" s="598"/>
      <c r="I178" s="598"/>
      <c r="J178" s="366"/>
      <c r="K178" s="640"/>
      <c r="L178" s="640"/>
      <c r="M178" s="640"/>
      <c r="N178" s="598"/>
      <c r="O178" s="598">
        <f>IF(N178&lt;$D178,IF(N178+($D178/$E178)&lt;$D178,ROUND($D178/$E178,0),ROUND($D178-N178,0)),0)/12*8</f>
        <v>257.33333333333331</v>
      </c>
      <c r="P178" s="598">
        <f>ROUND(SUM(N178:O178),0)</f>
        <v>257</v>
      </c>
      <c r="Q178" s="598">
        <f>IF(P178&lt;$D178,IF(P178+($D178/$E178)&lt;$D178,ROUND($D178/$E178,0),ROUND($D178-P178,0)),0)</f>
        <v>386</v>
      </c>
      <c r="R178" s="598">
        <f>ROUND(SUM(P178:Q178),0)</f>
        <v>643</v>
      </c>
      <c r="S178" s="598">
        <f t="shared" si="305"/>
        <v>386</v>
      </c>
      <c r="T178" s="598">
        <f>ROUND(SUM(R178:S178),0)</f>
        <v>1029</v>
      </c>
      <c r="U178" s="598">
        <f t="shared" si="307"/>
        <v>386</v>
      </c>
      <c r="V178" s="598">
        <f t="shared" si="330"/>
        <v>1415</v>
      </c>
      <c r="W178" s="598">
        <f t="shared" si="308"/>
        <v>386</v>
      </c>
      <c r="X178" s="598">
        <f t="shared" si="309"/>
        <v>1801</v>
      </c>
      <c r="Y178" s="596">
        <f t="shared" si="310"/>
        <v>386</v>
      </c>
      <c r="Z178" s="596">
        <f t="shared" si="311"/>
        <v>2187</v>
      </c>
      <c r="AA178" s="598">
        <f t="shared" si="312"/>
        <v>386</v>
      </c>
      <c r="AB178" s="598">
        <f t="shared" si="313"/>
        <v>2573</v>
      </c>
      <c r="AC178" s="598">
        <f t="shared" si="314"/>
        <v>127</v>
      </c>
      <c r="AD178" s="598">
        <f t="shared" si="315"/>
        <v>2700</v>
      </c>
      <c r="AE178" s="598">
        <f t="shared" si="316"/>
        <v>0</v>
      </c>
      <c r="AF178" s="598">
        <f t="shared" si="317"/>
        <v>2700</v>
      </c>
      <c r="AG178" s="596">
        <f t="shared" si="318"/>
        <v>0</v>
      </c>
      <c r="AH178" s="596">
        <f t="shared" si="319"/>
        <v>2700</v>
      </c>
      <c r="AI178" s="598">
        <f t="shared" si="320"/>
        <v>0</v>
      </c>
      <c r="AJ178" s="598">
        <f t="shared" si="321"/>
        <v>2700</v>
      </c>
      <c r="AK178" s="598">
        <f t="shared" si="322"/>
        <v>0</v>
      </c>
      <c r="AL178" s="598">
        <f t="shared" si="323"/>
        <v>2700</v>
      </c>
      <c r="AM178" s="598">
        <f t="shared" si="324"/>
        <v>0</v>
      </c>
      <c r="AN178" s="598">
        <f t="shared" si="325"/>
        <v>2700</v>
      </c>
      <c r="AO178" s="598">
        <f t="shared" si="326"/>
        <v>0</v>
      </c>
      <c r="AP178" s="598">
        <f t="shared" si="327"/>
        <v>2700</v>
      </c>
      <c r="AQ178" s="599">
        <f t="shared" si="328"/>
        <v>0</v>
      </c>
      <c r="AR178" s="599">
        <f t="shared" si="329"/>
        <v>2700</v>
      </c>
    </row>
    <row r="179" spans="1:44" x14ac:dyDescent="0.25">
      <c r="B179" s="383" t="s">
        <v>173</v>
      </c>
      <c r="C179" s="350">
        <v>39783</v>
      </c>
      <c r="D179" s="342">
        <v>4968</v>
      </c>
      <c r="E179" s="348">
        <v>5</v>
      </c>
      <c r="F179" s="598"/>
      <c r="G179" s="598"/>
      <c r="H179" s="598"/>
      <c r="I179" s="598"/>
      <c r="J179" s="366"/>
      <c r="K179" s="640"/>
      <c r="L179" s="640"/>
      <c r="M179" s="640"/>
      <c r="N179" s="598"/>
      <c r="O179" s="598"/>
      <c r="P179" s="598"/>
      <c r="Q179" s="598"/>
      <c r="R179" s="598"/>
      <c r="S179" s="598"/>
      <c r="T179" s="598"/>
      <c r="U179" s="598">
        <v>0</v>
      </c>
      <c r="V179" s="598">
        <v>0</v>
      </c>
      <c r="W179" s="598">
        <f>IF(V179&lt;$D179,IF(V179+($D179/$E179)&lt;$D179,ROUND($D179/$E179,0),ROUND($D179-V179,0)),0)/12*1</f>
        <v>82.833333333333329</v>
      </c>
      <c r="X179" s="598">
        <f t="shared" si="309"/>
        <v>83</v>
      </c>
      <c r="Y179" s="596">
        <f t="shared" si="310"/>
        <v>994</v>
      </c>
      <c r="Z179" s="596">
        <f t="shared" si="311"/>
        <v>1077</v>
      </c>
      <c r="AA179" s="598">
        <f t="shared" si="312"/>
        <v>994</v>
      </c>
      <c r="AB179" s="598">
        <f t="shared" si="313"/>
        <v>2071</v>
      </c>
      <c r="AC179" s="598">
        <f t="shared" si="314"/>
        <v>994</v>
      </c>
      <c r="AD179" s="598">
        <f t="shared" si="315"/>
        <v>3065</v>
      </c>
      <c r="AE179" s="598">
        <f t="shared" si="316"/>
        <v>994</v>
      </c>
      <c r="AF179" s="598">
        <f t="shared" si="317"/>
        <v>4059</v>
      </c>
      <c r="AG179" s="596">
        <f t="shared" si="318"/>
        <v>909</v>
      </c>
      <c r="AH179" s="596">
        <f t="shared" si="319"/>
        <v>4968</v>
      </c>
      <c r="AI179" s="598">
        <f t="shared" si="320"/>
        <v>0</v>
      </c>
      <c r="AJ179" s="598">
        <f t="shared" si="321"/>
        <v>4968</v>
      </c>
      <c r="AK179" s="598">
        <f t="shared" si="322"/>
        <v>0</v>
      </c>
      <c r="AL179" s="598">
        <f t="shared" si="323"/>
        <v>4968</v>
      </c>
      <c r="AM179" s="598">
        <f t="shared" si="324"/>
        <v>0</v>
      </c>
      <c r="AN179" s="598">
        <f t="shared" si="325"/>
        <v>4968</v>
      </c>
      <c r="AO179" s="598">
        <f t="shared" si="326"/>
        <v>0</v>
      </c>
      <c r="AP179" s="598">
        <f t="shared" si="327"/>
        <v>4968</v>
      </c>
      <c r="AQ179" s="599">
        <f t="shared" si="328"/>
        <v>0</v>
      </c>
      <c r="AR179" s="599">
        <f t="shared" si="329"/>
        <v>4968</v>
      </c>
    </row>
    <row r="180" spans="1:44" s="101" customFormat="1" x14ac:dyDescent="0.25">
      <c r="A180" s="312"/>
      <c r="B180" s="383" t="s">
        <v>308</v>
      </c>
      <c r="C180" s="350">
        <v>40148</v>
      </c>
      <c r="D180" s="342">
        <v>22870.81</v>
      </c>
      <c r="E180" s="348">
        <v>10</v>
      </c>
      <c r="F180" s="596"/>
      <c r="G180" s="596"/>
      <c r="H180" s="596"/>
      <c r="I180" s="596"/>
      <c r="J180" s="342"/>
      <c r="K180" s="596"/>
      <c r="L180" s="596"/>
      <c r="M180" s="596"/>
      <c r="N180" s="596"/>
      <c r="O180" s="596"/>
      <c r="P180" s="596"/>
      <c r="Q180" s="596"/>
      <c r="R180" s="596"/>
      <c r="S180" s="596"/>
      <c r="T180" s="596"/>
      <c r="U180" s="596"/>
      <c r="V180" s="596"/>
      <c r="W180" s="596"/>
      <c r="X180" s="596">
        <f t="shared" si="309"/>
        <v>0</v>
      </c>
      <c r="Y180" s="596">
        <f>IF(X180&lt;$D180,IF(X180+($D180/$E180)&lt;$D180,ROUND($D180/$E180,0),ROUND($D180-X180,0)),0)/12*1</f>
        <v>190.58333333333334</v>
      </c>
      <c r="Z180" s="596">
        <f t="shared" si="311"/>
        <v>191</v>
      </c>
      <c r="AA180" s="596">
        <f>IF(Z180&lt;$D180,IF(Z180+($D180/$E180)&lt;$D180,ROUND($D180/$E180,0),ROUND($D180-Z180,0)),0)</f>
        <v>2287</v>
      </c>
      <c r="AB180" s="596">
        <f t="shared" si="313"/>
        <v>2478</v>
      </c>
      <c r="AC180" s="596">
        <f>IF(AB180&lt;$D180,IF(AB180+($D180/$E180)&lt;$D180,ROUND($D180/$E180,0),ROUND($D180-AB180,0)),0)</f>
        <v>2287</v>
      </c>
      <c r="AD180" s="596">
        <f t="shared" si="315"/>
        <v>4765</v>
      </c>
      <c r="AE180" s="596">
        <f>IF(AD180&lt;$D180,IF(AD180+($D180/$E180)&lt;$D180,ROUND($D180/$E180,0),ROUND($D180-AD180,0)),0)</f>
        <v>2287</v>
      </c>
      <c r="AF180" s="596">
        <f t="shared" si="317"/>
        <v>7052</v>
      </c>
      <c r="AG180" s="596">
        <f>IF(AF180&lt;$D180,IF(AF180+($D180/$E180)&lt;$D180,ROUND($D180/$E180,0),ROUND($D180-AF180,0)),0)</f>
        <v>2287</v>
      </c>
      <c r="AH180" s="596">
        <f t="shared" si="319"/>
        <v>9339</v>
      </c>
      <c r="AI180" s="596">
        <f>IF(AH180&lt;$D180,IF(AH180+($D180/$E180)&lt;$D180,ROUND($D180/$E180,0),ROUND($D180-AH180,0)),0)</f>
        <v>2287</v>
      </c>
      <c r="AJ180" s="596">
        <f t="shared" si="321"/>
        <v>11626</v>
      </c>
      <c r="AK180" s="596">
        <f>IF(AJ180&lt;$D180,IF(AJ180+($D180/$E180)&lt;$D180,ROUND($D180/$E180,0),ROUND($D180-AJ180,0)),0)</f>
        <v>2287</v>
      </c>
      <c r="AL180" s="596">
        <f t="shared" si="323"/>
        <v>13913</v>
      </c>
      <c r="AM180" s="596">
        <f>IF(AL180&lt;$D180,IF(AL180+($D180/$E180)&lt;$D180,ROUND($D180/$E180,0),ROUND($D180-AL180,0)),0)</f>
        <v>2287</v>
      </c>
      <c r="AN180" s="596">
        <f t="shared" si="325"/>
        <v>16200</v>
      </c>
      <c r="AO180" s="596">
        <f>IF(AN180&lt;$D180,IF(AN180+($D180/$E180)&lt;$D180,ROUND($D180/$E180,0),ROUND($D180-AN180,0)),0)</f>
        <v>2287</v>
      </c>
      <c r="AP180" s="596">
        <f t="shared" si="327"/>
        <v>18487</v>
      </c>
      <c r="AQ180" s="597">
        <f>IF(AP180&lt;$D180,IF(AP180+($D180/$E180)&lt;$D180,ROUND($D180/$E180,0),ROUND($D180-AP180,0)),0)</f>
        <v>2287</v>
      </c>
      <c r="AR180" s="597">
        <f t="shared" si="329"/>
        <v>20774</v>
      </c>
    </row>
    <row r="181" spans="1:44" s="101" customFormat="1" x14ac:dyDescent="0.25">
      <c r="A181" s="312"/>
      <c r="B181" s="383" t="s">
        <v>585</v>
      </c>
      <c r="C181" s="350">
        <v>40521</v>
      </c>
      <c r="D181" s="342">
        <v>58290.51</v>
      </c>
      <c r="E181" s="348">
        <v>10</v>
      </c>
      <c r="F181" s="596"/>
      <c r="G181" s="596"/>
      <c r="H181" s="596"/>
      <c r="I181" s="596"/>
      <c r="J181" s="342"/>
      <c r="K181" s="596"/>
      <c r="L181" s="596"/>
      <c r="M181" s="596"/>
      <c r="N181" s="596"/>
      <c r="O181" s="596"/>
      <c r="P181" s="596"/>
      <c r="Q181" s="596"/>
      <c r="R181" s="596"/>
      <c r="S181" s="596"/>
      <c r="T181" s="596"/>
      <c r="U181" s="596"/>
      <c r="V181" s="596"/>
      <c r="W181" s="596"/>
      <c r="X181" s="596">
        <v>0</v>
      </c>
      <c r="Y181" s="596">
        <v>0</v>
      </c>
      <c r="Z181" s="596">
        <v>0</v>
      </c>
      <c r="AA181" s="596">
        <f>IF(Z181&lt;$D181,IF(Z181+($D181/$E181)&lt;$D181,ROUND($D181/$E181,0),ROUND($D181-Z181,0)),0)/12*1</f>
        <v>485.75</v>
      </c>
      <c r="AB181" s="596">
        <f t="shared" si="313"/>
        <v>486</v>
      </c>
      <c r="AC181" s="596">
        <f>IF(AB181&lt;$D181,IF(AB181+($D181/$E181)&lt;$D181,ROUND($D181/$E181,0),ROUND($D181-AB181,0)),0)</f>
        <v>5829</v>
      </c>
      <c r="AD181" s="596">
        <f t="shared" si="315"/>
        <v>6315</v>
      </c>
      <c r="AE181" s="596">
        <f>IF(AD181&lt;$D181,IF(AD181+($D181/$E181)&lt;$D181,ROUND($D181/$E181,0),ROUND($D181-AD181,0)),0)</f>
        <v>5829</v>
      </c>
      <c r="AF181" s="596">
        <f t="shared" si="317"/>
        <v>12144</v>
      </c>
      <c r="AG181" s="596">
        <f>IF(AF181&lt;$D181,IF(AF181+($D181/$E181)&lt;$D181,ROUND($D181/$E181,0),ROUND($D181-AF181,0)),0)</f>
        <v>5829</v>
      </c>
      <c r="AH181" s="596">
        <f t="shared" si="319"/>
        <v>17973</v>
      </c>
      <c r="AI181" s="596">
        <f>IF(AH181&lt;$D181,IF(AH181+($D181/$E181)&lt;$D181,ROUND($D181/$E181,0),ROUND($D181-AH181,0)),0)</f>
        <v>5829</v>
      </c>
      <c r="AJ181" s="596">
        <f t="shared" si="321"/>
        <v>23802</v>
      </c>
      <c r="AK181" s="596">
        <f>IF(AJ181&lt;$D181,IF(AJ181+($D181/$E181)&lt;$D181,ROUND($D181/$E181,0),ROUND($D181-AJ181,0)),0)</f>
        <v>5829</v>
      </c>
      <c r="AL181" s="596">
        <f t="shared" si="323"/>
        <v>29631</v>
      </c>
      <c r="AM181" s="596">
        <f>IF(AL181&lt;$D181,IF(AL181+($D181/$E181)&lt;$D181,ROUND($D181/$E181,0),ROUND($D181-AL181,0)),0)</f>
        <v>5829</v>
      </c>
      <c r="AN181" s="596">
        <f t="shared" si="325"/>
        <v>35460</v>
      </c>
      <c r="AO181" s="596">
        <f>IF(AN181&lt;$D181,IF(AN181+($D181/$E181)&lt;$D181,ROUND($D181/$E181,0),ROUND($D181-AN181,0)),0)</f>
        <v>5829</v>
      </c>
      <c r="AP181" s="596">
        <f t="shared" si="327"/>
        <v>41289</v>
      </c>
      <c r="AQ181" s="597">
        <f>IF(AP181&lt;$D181,IF(AP181+($D181/$E181)&lt;$D181,ROUND($D181/$E181,0),ROUND($D181-AP181,0)),0)</f>
        <v>5829</v>
      </c>
      <c r="AR181" s="597">
        <f t="shared" si="329"/>
        <v>47118</v>
      </c>
    </row>
    <row r="182" spans="1:44" x14ac:dyDescent="0.25">
      <c r="A182" s="312"/>
      <c r="B182" s="737" t="s">
        <v>709</v>
      </c>
      <c r="C182" s="732">
        <v>43252</v>
      </c>
      <c r="D182" s="733">
        <v>2696.61</v>
      </c>
      <c r="E182" s="738">
        <v>5</v>
      </c>
      <c r="F182" s="735"/>
      <c r="G182" s="735"/>
      <c r="H182" s="735"/>
      <c r="I182" s="735"/>
      <c r="J182" s="733"/>
      <c r="K182" s="735"/>
      <c r="L182" s="735"/>
      <c r="M182" s="735"/>
      <c r="N182" s="735"/>
      <c r="O182" s="735"/>
      <c r="P182" s="735"/>
      <c r="Q182" s="735"/>
      <c r="R182" s="735"/>
      <c r="S182" s="735"/>
      <c r="T182" s="735"/>
      <c r="U182" s="735"/>
      <c r="V182" s="735"/>
      <c r="W182" s="735"/>
      <c r="X182" s="735"/>
      <c r="Y182" s="735"/>
      <c r="Z182" s="735"/>
      <c r="AA182" s="735"/>
      <c r="AB182" s="735"/>
      <c r="AC182" s="735"/>
      <c r="AD182" s="735"/>
      <c r="AE182" s="735"/>
      <c r="AF182" s="735"/>
      <c r="AG182" s="735"/>
      <c r="AH182" s="735"/>
      <c r="AI182" s="735"/>
      <c r="AJ182" s="735"/>
      <c r="AK182" s="735"/>
      <c r="AL182" s="735"/>
      <c r="AM182" s="735"/>
      <c r="AN182" s="735"/>
      <c r="AO182" s="735"/>
      <c r="AP182" s="735">
        <f t="shared" si="327"/>
        <v>0</v>
      </c>
      <c r="AQ182" s="736">
        <f>IF(AP182&lt;$D182,IF(AP182+($D182/$E182)&lt;$D182,ROUND($D182/$E182,0),ROUND($D182-AP182,0)),0)/12*7</f>
        <v>314.41666666666663</v>
      </c>
      <c r="AR182" s="736">
        <f t="shared" si="329"/>
        <v>314</v>
      </c>
    </row>
    <row r="183" spans="1:44" x14ac:dyDescent="0.25">
      <c r="B183" s="368"/>
      <c r="C183" s="369"/>
      <c r="D183" s="370">
        <v>0</v>
      </c>
      <c r="E183" s="371"/>
      <c r="F183" s="640"/>
      <c r="G183" s="640"/>
      <c r="H183" s="640"/>
      <c r="I183" s="640"/>
      <c r="J183" s="370"/>
      <c r="K183" s="640"/>
      <c r="L183" s="640"/>
      <c r="M183" s="640"/>
      <c r="N183" s="640"/>
      <c r="O183" s="640"/>
      <c r="P183" s="640"/>
      <c r="Q183" s="640"/>
      <c r="R183" s="640"/>
      <c r="S183" s="640"/>
      <c r="T183" s="640"/>
      <c r="U183" s="640"/>
      <c r="V183" s="640"/>
      <c r="W183" s="640"/>
      <c r="X183" s="640">
        <v>0</v>
      </c>
      <c r="Y183" s="601"/>
      <c r="Z183" s="601">
        <v>0</v>
      </c>
      <c r="AA183" s="640"/>
      <c r="AB183" s="640"/>
      <c r="AC183" s="640"/>
      <c r="AD183" s="640"/>
      <c r="AE183" s="640"/>
      <c r="AF183" s="640">
        <v>0</v>
      </c>
      <c r="AG183" s="596">
        <v>0</v>
      </c>
      <c r="AH183" s="596">
        <f t="shared" si="319"/>
        <v>0</v>
      </c>
      <c r="AI183" s="640"/>
      <c r="AJ183" s="640">
        <v>0</v>
      </c>
      <c r="AK183" s="640"/>
      <c r="AL183" s="640">
        <v>0</v>
      </c>
      <c r="AM183" s="640"/>
      <c r="AN183" s="640">
        <v>0</v>
      </c>
      <c r="AO183" s="640"/>
      <c r="AP183" s="640">
        <v>0</v>
      </c>
      <c r="AQ183" s="641"/>
      <c r="AR183" s="641">
        <v>0</v>
      </c>
    </row>
    <row r="184" spans="1:44" x14ac:dyDescent="0.25">
      <c r="A184" s="376" t="s">
        <v>586</v>
      </c>
      <c r="B184" s="372"/>
      <c r="C184" s="642" t="s">
        <v>659</v>
      </c>
      <c r="D184" s="618">
        <f>SUM(D168:D183)</f>
        <v>191483.49</v>
      </c>
      <c r="E184" s="324"/>
      <c r="F184" s="373">
        <f>SUM(F167:F174)</f>
        <v>7435</v>
      </c>
      <c r="G184" s="373">
        <f>SUM(G167:G174)</f>
        <v>372</v>
      </c>
      <c r="H184" s="373">
        <f>SUM(H167:H174)</f>
        <v>7807</v>
      </c>
      <c r="I184" s="373">
        <f t="shared" ref="I184:AR184" si="332">SUM(I168:I183)</f>
        <v>7432</v>
      </c>
      <c r="J184" s="373">
        <f t="shared" si="332"/>
        <v>15239</v>
      </c>
      <c r="K184" s="373">
        <f t="shared" si="332"/>
        <v>10129</v>
      </c>
      <c r="L184" s="373">
        <f t="shared" si="332"/>
        <v>22652</v>
      </c>
      <c r="M184" s="373">
        <f t="shared" si="332"/>
        <v>10256</v>
      </c>
      <c r="N184" s="373">
        <f t="shared" si="332"/>
        <v>32908</v>
      </c>
      <c r="O184" s="373">
        <f t="shared" si="332"/>
        <v>10256.333333333334</v>
      </c>
      <c r="P184" s="373">
        <f t="shared" si="332"/>
        <v>43164</v>
      </c>
      <c r="Q184" s="373">
        <f t="shared" si="332"/>
        <v>10385</v>
      </c>
      <c r="R184" s="373">
        <f t="shared" si="332"/>
        <v>53549</v>
      </c>
      <c r="S184" s="373">
        <f t="shared" si="332"/>
        <v>10385</v>
      </c>
      <c r="T184" s="373">
        <f t="shared" si="332"/>
        <v>63934</v>
      </c>
      <c r="U184" s="373">
        <f t="shared" si="332"/>
        <v>10385</v>
      </c>
      <c r="V184" s="373">
        <f t="shared" si="332"/>
        <v>74319</v>
      </c>
      <c r="W184" s="373">
        <f t="shared" si="332"/>
        <v>10451.833333333334</v>
      </c>
      <c r="X184" s="373">
        <f t="shared" si="332"/>
        <v>84771</v>
      </c>
      <c r="Y184" s="374">
        <f t="shared" si="332"/>
        <v>11430.583333333334</v>
      </c>
      <c r="Z184" s="374">
        <f t="shared" si="332"/>
        <v>96202</v>
      </c>
      <c r="AA184" s="373">
        <f t="shared" si="332"/>
        <v>11296.75</v>
      </c>
      <c r="AB184" s="373">
        <f t="shared" si="332"/>
        <v>107499</v>
      </c>
      <c r="AC184" s="373">
        <f t="shared" si="332"/>
        <v>9304</v>
      </c>
      <c r="AD184" s="373">
        <f t="shared" si="332"/>
        <v>116803</v>
      </c>
      <c r="AE184" s="373">
        <f t="shared" si="332"/>
        <v>9110</v>
      </c>
      <c r="AF184" s="373">
        <f t="shared" si="332"/>
        <v>125913</v>
      </c>
      <c r="AG184" s="374">
        <f t="shared" si="332"/>
        <v>9025</v>
      </c>
      <c r="AH184" s="374">
        <f t="shared" si="332"/>
        <v>134938</v>
      </c>
      <c r="AI184" s="373">
        <f t="shared" si="332"/>
        <v>8116</v>
      </c>
      <c r="AJ184" s="373">
        <f t="shared" si="332"/>
        <v>143054</v>
      </c>
      <c r="AK184" s="373">
        <f t="shared" si="332"/>
        <v>8116</v>
      </c>
      <c r="AL184" s="373">
        <f t="shared" si="332"/>
        <v>151170</v>
      </c>
      <c r="AM184" s="373">
        <f t="shared" si="332"/>
        <v>8116</v>
      </c>
      <c r="AN184" s="373">
        <f t="shared" si="332"/>
        <v>159286</v>
      </c>
      <c r="AO184" s="373">
        <f t="shared" si="332"/>
        <v>8116</v>
      </c>
      <c r="AP184" s="373">
        <f t="shared" si="332"/>
        <v>167402</v>
      </c>
      <c r="AQ184" s="619">
        <f t="shared" si="332"/>
        <v>8430.4166666666661</v>
      </c>
      <c r="AR184" s="619">
        <f t="shared" si="332"/>
        <v>175832</v>
      </c>
    </row>
    <row r="185" spans="1:44" x14ac:dyDescent="0.25">
      <c r="A185" s="344"/>
      <c r="D185" s="617">
        <f>D184-AJ184</f>
        <v>48429.489999999991</v>
      </c>
      <c r="E185" s="606" t="s">
        <v>643</v>
      </c>
      <c r="I185" s="314"/>
      <c r="J185" s="314"/>
      <c r="K185" s="314"/>
      <c r="L185" s="375" t="s">
        <v>587</v>
      </c>
      <c r="M185" s="314"/>
      <c r="N185" s="314"/>
      <c r="O185" s="314"/>
      <c r="P185" s="314"/>
      <c r="Q185" s="314"/>
      <c r="R185" s="314"/>
      <c r="S185" s="314"/>
      <c r="T185" s="314"/>
      <c r="U185" s="314"/>
      <c r="V185" s="314"/>
      <c r="W185" s="314"/>
      <c r="X185" s="314"/>
      <c r="Y185" s="315"/>
      <c r="Z185" s="315"/>
      <c r="AA185" s="314"/>
      <c r="AB185" s="314"/>
      <c r="AC185" s="314"/>
      <c r="AD185" s="314"/>
      <c r="AE185" s="314"/>
      <c r="AF185" s="314"/>
      <c r="AG185" s="315"/>
      <c r="AH185" s="315"/>
      <c r="AI185" s="314"/>
      <c r="AJ185" s="314"/>
      <c r="AK185" s="314"/>
      <c r="AL185" s="314"/>
      <c r="AM185" s="314"/>
      <c r="AN185" s="314"/>
      <c r="AO185" s="314"/>
      <c r="AP185" s="314"/>
      <c r="AQ185" s="612"/>
      <c r="AR185" s="612"/>
    </row>
    <row r="186" spans="1:44" x14ac:dyDescent="0.25">
      <c r="A186" s="376" t="s">
        <v>588</v>
      </c>
      <c r="C186" s="346"/>
      <c r="D186" s="324"/>
      <c r="E186" s="324"/>
      <c r="I186" s="314"/>
      <c r="J186" s="314"/>
      <c r="K186" s="314"/>
      <c r="L186" s="314"/>
      <c r="M186" s="314"/>
      <c r="N186" s="314"/>
      <c r="O186" s="314"/>
      <c r="P186" s="314"/>
      <c r="Q186" s="314"/>
      <c r="R186" s="314"/>
      <c r="S186" s="314"/>
      <c r="T186" s="314"/>
      <c r="U186" s="314"/>
      <c r="V186" s="314"/>
      <c r="W186" s="314"/>
      <c r="X186" s="314"/>
      <c r="Y186" s="315"/>
      <c r="Z186" s="315"/>
      <c r="AA186" s="314"/>
      <c r="AB186" s="314"/>
      <c r="AC186" s="314"/>
      <c r="AD186" s="314"/>
      <c r="AE186" s="314"/>
      <c r="AF186" s="314"/>
      <c r="AG186" s="315"/>
      <c r="AH186" s="315"/>
      <c r="AI186" s="314"/>
      <c r="AJ186" s="314"/>
      <c r="AK186" s="314"/>
      <c r="AL186" s="314"/>
      <c r="AM186" s="314"/>
      <c r="AN186" s="314"/>
      <c r="AO186" s="314"/>
      <c r="AP186" s="314"/>
      <c r="AQ186" s="612"/>
      <c r="AR186" s="612"/>
    </row>
    <row r="187" spans="1:44" x14ac:dyDescent="0.25">
      <c r="B187" s="312" t="s">
        <v>175</v>
      </c>
      <c r="C187" s="350">
        <v>34104</v>
      </c>
      <c r="D187" s="348">
        <v>561</v>
      </c>
      <c r="E187" s="324">
        <v>7</v>
      </c>
      <c r="F187" s="598">
        <v>533</v>
      </c>
      <c r="G187" s="598">
        <f t="shared" ref="G187:I190" si="333">IF(F187&lt;$D187,IF(F187+($D187/$E187)&lt;$D187,ROUND($D187/$E187,0),ROUND($D187-F187,0)),0)</f>
        <v>28</v>
      </c>
      <c r="H187" s="598">
        <f t="shared" ref="H187:H191" si="334">ROUND(SUM(F187:G187),0)</f>
        <v>561</v>
      </c>
      <c r="I187" s="598">
        <f t="shared" si="333"/>
        <v>0</v>
      </c>
      <c r="J187" s="598">
        <f t="shared" ref="J187:J190" si="335">ROUND(SUM(H187:I187),0)</f>
        <v>561</v>
      </c>
      <c r="K187" s="598">
        <f t="shared" ref="K187:M191" si="336">IF(J187&lt;$D187,IF(J187+($D187/$E187)&lt;$D187,ROUND($D187/$E187,0),ROUND($D187-J187,0)),0)</f>
        <v>0</v>
      </c>
      <c r="L187" s="598">
        <f t="shared" ref="L187:L190" si="337">ROUND(SUM(J187:K187),0)</f>
        <v>561</v>
      </c>
      <c r="M187" s="598">
        <f t="shared" ref="M187:Q191" si="338">IF(L187&lt;$D187,IF(L187+($D187/$E187)&lt;$D187,ROUND($D187/$E187,0),ROUND($D187-L187,0)),0)</f>
        <v>0</v>
      </c>
      <c r="N187" s="598">
        <f t="shared" ref="N187:N191" si="339">ROUND(SUM(L187:M187),0)</f>
        <v>561</v>
      </c>
      <c r="O187" s="598">
        <f t="shared" si="338"/>
        <v>0</v>
      </c>
      <c r="P187" s="598">
        <f t="shared" ref="P187:P191" si="340">ROUND(SUM(N187:O187),0)</f>
        <v>561</v>
      </c>
      <c r="Q187" s="598">
        <f t="shared" ref="Q187:Q189" si="341">IF(P187&lt;$D187,IF(P187+($D187/$E187)&lt;$D187,ROUND($D187/$E187,0),ROUND($D187-P187,0)),0)</f>
        <v>0</v>
      </c>
      <c r="R187" s="598">
        <f t="shared" ref="R187:R191" si="342">ROUND(SUM(P187:Q187),0)</f>
        <v>561</v>
      </c>
      <c r="S187" s="598">
        <f t="shared" ref="S187:S193" si="343">IF(R187&lt;$D187,IF(R187+($D187/$E187)&lt;$D187,ROUND($D187/$E187,0),ROUND($D187-R187,0)),0)</f>
        <v>0</v>
      </c>
      <c r="T187" s="598">
        <f t="shared" ref="T187:T191" si="344">ROUND(SUM(R187:S187),0)</f>
        <v>561</v>
      </c>
      <c r="U187" s="598">
        <f t="shared" ref="U187:U193" si="345">IF(T187&lt;$D187,IF(T187+($D187/$E187)&lt;$D187,ROUND($D187/$E187,0),ROUND($D187-T187,0)),0)</f>
        <v>0</v>
      </c>
      <c r="V187" s="598">
        <f t="shared" ref="V187:V190" si="346">ROUND(SUM(T187:U187),0)</f>
        <v>561</v>
      </c>
      <c r="W187" s="598">
        <f t="shared" ref="W187:W194" si="347">IF(V187&lt;$D187,IF(V187+($D187/$E187)&lt;$D187,ROUND($D187/$E187,0),ROUND($D187-V187,0)),0)</f>
        <v>0</v>
      </c>
      <c r="X187" s="598">
        <f t="shared" ref="X187:X193" si="348">ROUND(SUM(V187:W187),0)</f>
        <v>561</v>
      </c>
      <c r="Y187" s="596">
        <f t="shared" ref="Y187:Y195" si="349">IF(X187&lt;$D187,IF(X187+($D187/$E187)&lt;$D187,ROUND($D187/$E187,0),ROUND($D187-X187,0)),0)</f>
        <v>0</v>
      </c>
      <c r="Z187" s="596">
        <f t="shared" ref="Z187:Z199" si="350">ROUND(SUM(X187:Y187),0)</f>
        <v>561</v>
      </c>
      <c r="AA187" s="598">
        <f t="shared" ref="AA187:AA195" si="351">IF(Z187&lt;$D187,IF(Z187+($D187/$E187)&lt;$D187,ROUND($D187/$E187,0),ROUND($D187-Z187,0)),0)</f>
        <v>0</v>
      </c>
      <c r="AB187" s="598">
        <f t="shared" ref="AB187:AB202" si="352">ROUND(SUM(Z187:AA187),0)</f>
        <v>561</v>
      </c>
      <c r="AC187" s="598">
        <f t="shared" ref="AC187:AC195" si="353">IF(AB187&lt;$D187,IF(AB187+($D187/$E187)&lt;$D187,ROUND($D187/$E187,0),ROUND($D187-AB187,0)),0)</f>
        <v>0</v>
      </c>
      <c r="AD187" s="598">
        <f t="shared" ref="AD187:AD202" si="354">ROUND(SUM(AB187:AC187),0)</f>
        <v>561</v>
      </c>
      <c r="AE187" s="598">
        <f t="shared" ref="AE187:AE202" si="355">IF(AD187&lt;$D187,IF(AD187+($D187/$E187)&lt;$D187,ROUND($D187/$E187,0),ROUND($D187-AD187,0)),0)</f>
        <v>0</v>
      </c>
      <c r="AF187" s="598">
        <f t="shared" ref="AF187:AF206" si="356">ROUND(SUM(AD187:AE187),0)</f>
        <v>561</v>
      </c>
      <c r="AG187" s="596">
        <f t="shared" ref="AG187:AG202" si="357">IF(AF187&lt;$D187,IF(AF187+($D187/$E187)&lt;$D187,ROUND($D187/$E187,0),ROUND($D187-AF187,0)),0)</f>
        <v>0</v>
      </c>
      <c r="AH187" s="596">
        <f t="shared" ref="AH187:AH207" si="358">ROUND(SUM(AF187:AG187),0)</f>
        <v>561</v>
      </c>
      <c r="AI187" s="598">
        <f t="shared" ref="AI187:AI202" si="359">IF(AH187&lt;$D187,IF(AH187+($D187/$E187)&lt;$D187,ROUND($D187/$E187,0),ROUND($D187-AH187,0)),0)</f>
        <v>0</v>
      </c>
      <c r="AJ187" s="598">
        <f t="shared" ref="AJ187:AJ211" si="360">ROUND(SUM(AH187:AI187),0)</f>
        <v>561</v>
      </c>
      <c r="AK187" s="598">
        <f t="shared" ref="AK187:AK202" si="361">IF(AJ187&lt;$D187,IF(AJ187+($D187/$E187)&lt;$D187,ROUND($D187/$E187,0),ROUND($D187-AJ187,0)),0)</f>
        <v>0</v>
      </c>
      <c r="AL187" s="598">
        <f t="shared" ref="AL187:AL213" si="362">ROUND(SUM(AJ187:AK187),0)</f>
        <v>561</v>
      </c>
      <c r="AM187" s="598">
        <f t="shared" ref="AM187:AM202" si="363">IF(AL187&lt;$D187,IF(AL187+($D187/$E187)&lt;$D187,ROUND($D187/$E187,0),ROUND($D187-AL187,0)),0)</f>
        <v>0</v>
      </c>
      <c r="AN187" s="598">
        <f t="shared" ref="AN187:AN215" si="364">ROUND(SUM(AL187:AM187),0)</f>
        <v>561</v>
      </c>
      <c r="AO187" s="598">
        <f t="shared" ref="AO187:AO202" si="365">IF(AN187&lt;$D187,IF(AN187+($D187/$E187)&lt;$D187,ROUND($D187/$E187,0),ROUND($D187-AN187,0)),0)</f>
        <v>0</v>
      </c>
      <c r="AP187" s="598">
        <f t="shared" ref="AP187:AP215" si="366">ROUND(SUM(AN187:AO187),0)</f>
        <v>561</v>
      </c>
      <c r="AQ187" s="599">
        <f t="shared" ref="AQ187:AQ202" si="367">IF(AP187&lt;$D187,IF(AP187+($D187/$E187)&lt;$D187,ROUND($D187/$E187,0),ROUND($D187-AP187,0)),0)</f>
        <v>0</v>
      </c>
      <c r="AR187" s="599">
        <f t="shared" ref="AR187:AR215" si="368">ROUND(SUM(AP187:AQ187),0)</f>
        <v>561</v>
      </c>
    </row>
    <row r="188" spans="1:44" x14ac:dyDescent="0.25">
      <c r="B188" s="312" t="s">
        <v>174</v>
      </c>
      <c r="C188" s="350">
        <v>34408</v>
      </c>
      <c r="D188" s="348">
        <v>227</v>
      </c>
      <c r="E188" s="324">
        <v>10</v>
      </c>
      <c r="F188" s="598">
        <v>133</v>
      </c>
      <c r="G188" s="598">
        <f t="shared" si="333"/>
        <v>23</v>
      </c>
      <c r="H188" s="598">
        <f t="shared" si="334"/>
        <v>156</v>
      </c>
      <c r="I188" s="598">
        <f t="shared" si="333"/>
        <v>23</v>
      </c>
      <c r="J188" s="598">
        <f t="shared" si="335"/>
        <v>179</v>
      </c>
      <c r="K188" s="598">
        <f t="shared" si="336"/>
        <v>23</v>
      </c>
      <c r="L188" s="598">
        <f t="shared" si="337"/>
        <v>202</v>
      </c>
      <c r="M188" s="598">
        <f t="shared" si="338"/>
        <v>23</v>
      </c>
      <c r="N188" s="598">
        <f t="shared" si="339"/>
        <v>225</v>
      </c>
      <c r="O188" s="598">
        <f t="shared" si="338"/>
        <v>2</v>
      </c>
      <c r="P188" s="598">
        <f t="shared" si="340"/>
        <v>227</v>
      </c>
      <c r="Q188" s="598">
        <f t="shared" si="341"/>
        <v>0</v>
      </c>
      <c r="R188" s="598">
        <f t="shared" si="342"/>
        <v>227</v>
      </c>
      <c r="S188" s="598">
        <f t="shared" si="343"/>
        <v>0</v>
      </c>
      <c r="T188" s="598">
        <f t="shared" si="344"/>
        <v>227</v>
      </c>
      <c r="U188" s="598">
        <f t="shared" si="345"/>
        <v>0</v>
      </c>
      <c r="V188" s="598">
        <f t="shared" si="346"/>
        <v>227</v>
      </c>
      <c r="W188" s="598">
        <f t="shared" si="347"/>
        <v>0</v>
      </c>
      <c r="X188" s="598">
        <f t="shared" si="348"/>
        <v>227</v>
      </c>
      <c r="Y188" s="596">
        <f t="shared" si="349"/>
        <v>0</v>
      </c>
      <c r="Z188" s="596">
        <f t="shared" si="350"/>
        <v>227</v>
      </c>
      <c r="AA188" s="598">
        <f t="shared" si="351"/>
        <v>0</v>
      </c>
      <c r="AB188" s="598">
        <f t="shared" si="352"/>
        <v>227</v>
      </c>
      <c r="AC188" s="598">
        <f t="shared" si="353"/>
        <v>0</v>
      </c>
      <c r="AD188" s="598">
        <f t="shared" si="354"/>
        <v>227</v>
      </c>
      <c r="AE188" s="598">
        <f t="shared" si="355"/>
        <v>0</v>
      </c>
      <c r="AF188" s="598">
        <f t="shared" si="356"/>
        <v>227</v>
      </c>
      <c r="AG188" s="596">
        <f t="shared" si="357"/>
        <v>0</v>
      </c>
      <c r="AH188" s="596">
        <f t="shared" si="358"/>
        <v>227</v>
      </c>
      <c r="AI188" s="598">
        <f t="shared" si="359"/>
        <v>0</v>
      </c>
      <c r="AJ188" s="598">
        <f t="shared" si="360"/>
        <v>227</v>
      </c>
      <c r="AK188" s="598">
        <f t="shared" si="361"/>
        <v>0</v>
      </c>
      <c r="AL188" s="598">
        <f t="shared" si="362"/>
        <v>227</v>
      </c>
      <c r="AM188" s="598">
        <f t="shared" si="363"/>
        <v>0</v>
      </c>
      <c r="AN188" s="598">
        <f t="shared" si="364"/>
        <v>227</v>
      </c>
      <c r="AO188" s="598">
        <f t="shared" si="365"/>
        <v>0</v>
      </c>
      <c r="AP188" s="598">
        <f t="shared" si="366"/>
        <v>227</v>
      </c>
      <c r="AQ188" s="599">
        <f t="shared" si="367"/>
        <v>0</v>
      </c>
      <c r="AR188" s="599">
        <f t="shared" si="368"/>
        <v>227</v>
      </c>
    </row>
    <row r="189" spans="1:44" x14ac:dyDescent="0.25">
      <c r="B189" s="312" t="s">
        <v>174</v>
      </c>
      <c r="C189" s="350">
        <v>34439</v>
      </c>
      <c r="D189" s="348">
        <v>150</v>
      </c>
      <c r="E189" s="324">
        <v>10</v>
      </c>
      <c r="F189" s="598">
        <v>86</v>
      </c>
      <c r="G189" s="598">
        <f t="shared" si="333"/>
        <v>15</v>
      </c>
      <c r="H189" s="598">
        <f t="shared" si="334"/>
        <v>101</v>
      </c>
      <c r="I189" s="598">
        <f t="shared" si="333"/>
        <v>15</v>
      </c>
      <c r="J189" s="598">
        <f t="shared" si="335"/>
        <v>116</v>
      </c>
      <c r="K189" s="598">
        <f t="shared" si="336"/>
        <v>15</v>
      </c>
      <c r="L189" s="598">
        <f t="shared" si="337"/>
        <v>131</v>
      </c>
      <c r="M189" s="598">
        <f t="shared" si="338"/>
        <v>15</v>
      </c>
      <c r="N189" s="598">
        <f t="shared" si="339"/>
        <v>146</v>
      </c>
      <c r="O189" s="598">
        <f t="shared" si="338"/>
        <v>4</v>
      </c>
      <c r="P189" s="598">
        <f t="shared" si="340"/>
        <v>150</v>
      </c>
      <c r="Q189" s="598">
        <f t="shared" si="341"/>
        <v>0</v>
      </c>
      <c r="R189" s="598">
        <f t="shared" si="342"/>
        <v>150</v>
      </c>
      <c r="S189" s="598">
        <f t="shared" si="343"/>
        <v>0</v>
      </c>
      <c r="T189" s="598">
        <f t="shared" si="344"/>
        <v>150</v>
      </c>
      <c r="U189" s="598">
        <f t="shared" si="345"/>
        <v>0</v>
      </c>
      <c r="V189" s="598">
        <f t="shared" si="346"/>
        <v>150</v>
      </c>
      <c r="W189" s="598">
        <f t="shared" si="347"/>
        <v>0</v>
      </c>
      <c r="X189" s="598">
        <f t="shared" si="348"/>
        <v>150</v>
      </c>
      <c r="Y189" s="596">
        <f t="shared" si="349"/>
        <v>0</v>
      </c>
      <c r="Z189" s="596">
        <f t="shared" si="350"/>
        <v>150</v>
      </c>
      <c r="AA189" s="598">
        <f t="shared" si="351"/>
        <v>0</v>
      </c>
      <c r="AB189" s="598">
        <f t="shared" si="352"/>
        <v>150</v>
      </c>
      <c r="AC189" s="598">
        <f t="shared" si="353"/>
        <v>0</v>
      </c>
      <c r="AD189" s="598">
        <f t="shared" si="354"/>
        <v>150</v>
      </c>
      <c r="AE189" s="598">
        <f t="shared" si="355"/>
        <v>0</v>
      </c>
      <c r="AF189" s="598">
        <f t="shared" si="356"/>
        <v>150</v>
      </c>
      <c r="AG189" s="596">
        <f t="shared" si="357"/>
        <v>0</v>
      </c>
      <c r="AH189" s="596">
        <f t="shared" si="358"/>
        <v>150</v>
      </c>
      <c r="AI189" s="598">
        <f t="shared" si="359"/>
        <v>0</v>
      </c>
      <c r="AJ189" s="598">
        <f t="shared" si="360"/>
        <v>150</v>
      </c>
      <c r="AK189" s="598">
        <f t="shared" si="361"/>
        <v>0</v>
      </c>
      <c r="AL189" s="598">
        <f t="shared" si="362"/>
        <v>150</v>
      </c>
      <c r="AM189" s="598">
        <f t="shared" si="363"/>
        <v>0</v>
      </c>
      <c r="AN189" s="598">
        <f t="shared" si="364"/>
        <v>150</v>
      </c>
      <c r="AO189" s="598">
        <f t="shared" si="365"/>
        <v>0</v>
      </c>
      <c r="AP189" s="598">
        <f t="shared" si="366"/>
        <v>150</v>
      </c>
      <c r="AQ189" s="599">
        <f t="shared" si="367"/>
        <v>0</v>
      </c>
      <c r="AR189" s="599">
        <f t="shared" si="368"/>
        <v>150</v>
      </c>
    </row>
    <row r="190" spans="1:44" x14ac:dyDescent="0.25">
      <c r="B190" s="312" t="s">
        <v>177</v>
      </c>
      <c r="C190" s="350">
        <v>35018</v>
      </c>
      <c r="D190" s="348">
        <v>360</v>
      </c>
      <c r="E190" s="324">
        <v>10</v>
      </c>
      <c r="F190" s="598">
        <v>162</v>
      </c>
      <c r="G190" s="598">
        <f t="shared" si="333"/>
        <v>36</v>
      </c>
      <c r="H190" s="598">
        <f t="shared" si="334"/>
        <v>198</v>
      </c>
      <c r="I190" s="598">
        <f t="shared" si="333"/>
        <v>36</v>
      </c>
      <c r="J190" s="598">
        <f t="shared" si="335"/>
        <v>234</v>
      </c>
      <c r="K190" s="598">
        <f t="shared" si="336"/>
        <v>36</v>
      </c>
      <c r="L190" s="598">
        <f t="shared" si="337"/>
        <v>270</v>
      </c>
      <c r="M190" s="598">
        <f t="shared" si="336"/>
        <v>36</v>
      </c>
      <c r="N190" s="598">
        <f t="shared" si="339"/>
        <v>306</v>
      </c>
      <c r="O190" s="598">
        <f t="shared" si="338"/>
        <v>36</v>
      </c>
      <c r="P190" s="598">
        <f t="shared" si="340"/>
        <v>342</v>
      </c>
      <c r="Q190" s="598">
        <f t="shared" si="338"/>
        <v>18</v>
      </c>
      <c r="R190" s="598">
        <f t="shared" si="342"/>
        <v>360</v>
      </c>
      <c r="S190" s="598">
        <f t="shared" si="343"/>
        <v>0</v>
      </c>
      <c r="T190" s="598">
        <f t="shared" si="344"/>
        <v>360</v>
      </c>
      <c r="U190" s="598">
        <f t="shared" si="345"/>
        <v>0</v>
      </c>
      <c r="V190" s="598">
        <f t="shared" si="346"/>
        <v>360</v>
      </c>
      <c r="W190" s="598">
        <f t="shared" si="347"/>
        <v>0</v>
      </c>
      <c r="X190" s="598">
        <f t="shared" si="348"/>
        <v>360</v>
      </c>
      <c r="Y190" s="596">
        <f t="shared" si="349"/>
        <v>0</v>
      </c>
      <c r="Z190" s="596">
        <f t="shared" si="350"/>
        <v>360</v>
      </c>
      <c r="AA190" s="598">
        <f t="shared" si="351"/>
        <v>0</v>
      </c>
      <c r="AB190" s="598">
        <f t="shared" si="352"/>
        <v>360</v>
      </c>
      <c r="AC190" s="598">
        <f t="shared" si="353"/>
        <v>0</v>
      </c>
      <c r="AD190" s="598">
        <f t="shared" si="354"/>
        <v>360</v>
      </c>
      <c r="AE190" s="598">
        <f t="shared" si="355"/>
        <v>0</v>
      </c>
      <c r="AF190" s="598">
        <f t="shared" si="356"/>
        <v>360</v>
      </c>
      <c r="AG190" s="596">
        <f t="shared" si="357"/>
        <v>0</v>
      </c>
      <c r="AH190" s="596">
        <f t="shared" si="358"/>
        <v>360</v>
      </c>
      <c r="AI190" s="598">
        <f t="shared" si="359"/>
        <v>0</v>
      </c>
      <c r="AJ190" s="598">
        <f t="shared" si="360"/>
        <v>360</v>
      </c>
      <c r="AK190" s="598">
        <f t="shared" si="361"/>
        <v>0</v>
      </c>
      <c r="AL190" s="598">
        <f t="shared" si="362"/>
        <v>360</v>
      </c>
      <c r="AM190" s="598">
        <f t="shared" si="363"/>
        <v>0</v>
      </c>
      <c r="AN190" s="598">
        <f t="shared" si="364"/>
        <v>360</v>
      </c>
      <c r="AO190" s="598">
        <f t="shared" si="365"/>
        <v>0</v>
      </c>
      <c r="AP190" s="598">
        <f t="shared" si="366"/>
        <v>360</v>
      </c>
      <c r="AQ190" s="599">
        <f t="shared" si="367"/>
        <v>0</v>
      </c>
      <c r="AR190" s="599">
        <f t="shared" si="368"/>
        <v>360</v>
      </c>
    </row>
    <row r="191" spans="1:44" x14ac:dyDescent="0.25">
      <c r="B191" s="349" t="s">
        <v>96</v>
      </c>
      <c r="C191" s="350">
        <v>37008</v>
      </c>
      <c r="D191" s="342">
        <v>16829.740000000002</v>
      </c>
      <c r="E191" s="324">
        <v>8</v>
      </c>
      <c r="F191" s="598"/>
      <c r="G191" s="598"/>
      <c r="H191" s="598">
        <f t="shared" si="334"/>
        <v>0</v>
      </c>
      <c r="I191" s="598">
        <f>IF(H191&lt;$D191,IF(H191+($D191/$E191)&lt;$D191,ROUND($D191/$E191,0),ROUND($D191-H191,0)),0)</f>
        <v>2104</v>
      </c>
      <c r="J191" s="598">
        <f>ROUND(SUM(H191:I191),0)</f>
        <v>2104</v>
      </c>
      <c r="K191" s="598">
        <f t="shared" si="336"/>
        <v>2104</v>
      </c>
      <c r="L191" s="598">
        <f>ROUND(SUM(J191:K191),0)</f>
        <v>4208</v>
      </c>
      <c r="M191" s="598">
        <f t="shared" si="336"/>
        <v>2104</v>
      </c>
      <c r="N191" s="598">
        <f t="shared" si="339"/>
        <v>6312</v>
      </c>
      <c r="O191" s="598">
        <f t="shared" si="338"/>
        <v>2104</v>
      </c>
      <c r="P191" s="598">
        <f t="shared" si="340"/>
        <v>8416</v>
      </c>
      <c r="Q191" s="598">
        <f t="shared" si="338"/>
        <v>2104</v>
      </c>
      <c r="R191" s="598">
        <f t="shared" si="342"/>
        <v>10520</v>
      </c>
      <c r="S191" s="598">
        <f t="shared" si="343"/>
        <v>2104</v>
      </c>
      <c r="T191" s="598">
        <f t="shared" si="344"/>
        <v>12624</v>
      </c>
      <c r="U191" s="598">
        <f t="shared" si="345"/>
        <v>2104</v>
      </c>
      <c r="V191" s="598">
        <f t="shared" ref="V191:V193" si="369">ROUND(SUM(T191:U191),0)</f>
        <v>14728</v>
      </c>
      <c r="W191" s="598">
        <f t="shared" si="347"/>
        <v>2102</v>
      </c>
      <c r="X191" s="598">
        <f t="shared" si="348"/>
        <v>16830</v>
      </c>
      <c r="Y191" s="596">
        <f t="shared" si="349"/>
        <v>0</v>
      </c>
      <c r="Z191" s="596">
        <f t="shared" si="350"/>
        <v>16830</v>
      </c>
      <c r="AA191" s="598">
        <f t="shared" si="351"/>
        <v>0</v>
      </c>
      <c r="AB191" s="598">
        <f t="shared" si="352"/>
        <v>16830</v>
      </c>
      <c r="AC191" s="598">
        <f t="shared" si="353"/>
        <v>0</v>
      </c>
      <c r="AD191" s="598">
        <f t="shared" si="354"/>
        <v>16830</v>
      </c>
      <c r="AE191" s="598">
        <f t="shared" si="355"/>
        <v>0</v>
      </c>
      <c r="AF191" s="598">
        <f t="shared" si="356"/>
        <v>16830</v>
      </c>
      <c r="AG191" s="596">
        <f t="shared" si="357"/>
        <v>0</v>
      </c>
      <c r="AH191" s="596">
        <f t="shared" si="358"/>
        <v>16830</v>
      </c>
      <c r="AI191" s="598">
        <f t="shared" si="359"/>
        <v>0</v>
      </c>
      <c r="AJ191" s="598">
        <f t="shared" si="360"/>
        <v>16830</v>
      </c>
      <c r="AK191" s="598">
        <f t="shared" si="361"/>
        <v>0</v>
      </c>
      <c r="AL191" s="598">
        <f t="shared" si="362"/>
        <v>16830</v>
      </c>
      <c r="AM191" s="598">
        <f t="shared" si="363"/>
        <v>0</v>
      </c>
      <c r="AN191" s="598">
        <f t="shared" si="364"/>
        <v>16830</v>
      </c>
      <c r="AO191" s="598">
        <f t="shared" si="365"/>
        <v>0</v>
      </c>
      <c r="AP191" s="598">
        <f t="shared" si="366"/>
        <v>16830</v>
      </c>
      <c r="AQ191" s="599">
        <f t="shared" si="367"/>
        <v>0</v>
      </c>
      <c r="AR191" s="599">
        <f t="shared" si="368"/>
        <v>16830</v>
      </c>
    </row>
    <row r="192" spans="1:44" x14ac:dyDescent="0.25">
      <c r="B192" s="349" t="s">
        <v>98</v>
      </c>
      <c r="C192" s="350">
        <v>38196</v>
      </c>
      <c r="D192" s="342">
        <v>3974.4</v>
      </c>
      <c r="E192" s="324">
        <v>5</v>
      </c>
      <c r="F192" s="598"/>
      <c r="G192" s="598"/>
      <c r="H192" s="598"/>
      <c r="I192" s="598"/>
      <c r="J192" s="366"/>
      <c r="K192" s="598"/>
      <c r="L192" s="598"/>
      <c r="M192" s="598"/>
      <c r="N192" s="598"/>
      <c r="O192" s="598">
        <f>IF(N192&lt;$D192,IF(N192+($D192/$E192)&lt;$D192,ROUND($D192/$E192,0),ROUND($D192-N192,0)),0)/12*6</f>
        <v>397.5</v>
      </c>
      <c r="P192" s="598">
        <f>ROUND(SUM(N192:O192),0)</f>
        <v>398</v>
      </c>
      <c r="Q192" s="598">
        <f>IF(P192&lt;$D192,IF(P192+($D192/$E192)&lt;$D192,ROUND($D192/$E192,0),ROUND($D192-P192,0)),0)</f>
        <v>795</v>
      </c>
      <c r="R192" s="598">
        <f>ROUND(SUM(P192:Q192),0)</f>
        <v>1193</v>
      </c>
      <c r="S192" s="598">
        <f t="shared" si="343"/>
        <v>795</v>
      </c>
      <c r="T192" s="598">
        <f t="shared" ref="T192:T193" si="370">ROUND(SUM(R192:S192),0)</f>
        <v>1988</v>
      </c>
      <c r="U192" s="598">
        <f t="shared" si="345"/>
        <v>795</v>
      </c>
      <c r="V192" s="598">
        <f t="shared" si="369"/>
        <v>2783</v>
      </c>
      <c r="W192" s="598">
        <f t="shared" si="347"/>
        <v>795</v>
      </c>
      <c r="X192" s="598">
        <f t="shared" si="348"/>
        <v>3578</v>
      </c>
      <c r="Y192" s="596">
        <f t="shared" si="349"/>
        <v>396</v>
      </c>
      <c r="Z192" s="596">
        <f t="shared" si="350"/>
        <v>3974</v>
      </c>
      <c r="AA192" s="598">
        <f t="shared" si="351"/>
        <v>0</v>
      </c>
      <c r="AB192" s="598">
        <f t="shared" si="352"/>
        <v>3974</v>
      </c>
      <c r="AC192" s="598">
        <f t="shared" si="353"/>
        <v>0</v>
      </c>
      <c r="AD192" s="598">
        <f t="shared" si="354"/>
        <v>3974</v>
      </c>
      <c r="AE192" s="598">
        <f t="shared" si="355"/>
        <v>0</v>
      </c>
      <c r="AF192" s="598">
        <f t="shared" si="356"/>
        <v>3974</v>
      </c>
      <c r="AG192" s="596">
        <f t="shared" si="357"/>
        <v>0</v>
      </c>
      <c r="AH192" s="596">
        <f t="shared" si="358"/>
        <v>3974</v>
      </c>
      <c r="AI192" s="598">
        <f t="shared" si="359"/>
        <v>0</v>
      </c>
      <c r="AJ192" s="598">
        <f t="shared" si="360"/>
        <v>3974</v>
      </c>
      <c r="AK192" s="598">
        <f t="shared" si="361"/>
        <v>0</v>
      </c>
      <c r="AL192" s="598">
        <f t="shared" si="362"/>
        <v>3974</v>
      </c>
      <c r="AM192" s="598">
        <f t="shared" si="363"/>
        <v>0</v>
      </c>
      <c r="AN192" s="598">
        <f t="shared" si="364"/>
        <v>3974</v>
      </c>
      <c r="AO192" s="598">
        <f t="shared" si="365"/>
        <v>0</v>
      </c>
      <c r="AP192" s="598">
        <f t="shared" si="366"/>
        <v>3974</v>
      </c>
      <c r="AQ192" s="599">
        <f t="shared" si="367"/>
        <v>0</v>
      </c>
      <c r="AR192" s="599">
        <f t="shared" si="368"/>
        <v>3974</v>
      </c>
    </row>
    <row r="193" spans="1:44" x14ac:dyDescent="0.25">
      <c r="B193" s="349" t="s">
        <v>179</v>
      </c>
      <c r="C193" s="350">
        <v>38539</v>
      </c>
      <c r="D193" s="342">
        <v>1350</v>
      </c>
      <c r="E193" s="324">
        <v>5</v>
      </c>
      <c r="F193" s="598"/>
      <c r="G193" s="598"/>
      <c r="H193" s="598"/>
      <c r="I193" s="598"/>
      <c r="J193" s="366"/>
      <c r="K193" s="598"/>
      <c r="L193" s="598"/>
      <c r="M193" s="598"/>
      <c r="N193" s="598"/>
      <c r="O193" s="598"/>
      <c r="P193" s="598"/>
      <c r="Q193" s="598">
        <f>IF(P193&lt;$D193,IF(P193+($D193/$E193)&lt;$D193,ROUND($D193/$E193,0),ROUND($D193-P193,0)),0)/12*6</f>
        <v>135</v>
      </c>
      <c r="R193" s="598">
        <f>ROUND(SUM(P193:Q193),0)</f>
        <v>135</v>
      </c>
      <c r="S193" s="598">
        <f t="shared" si="343"/>
        <v>270</v>
      </c>
      <c r="T193" s="598">
        <f t="shared" si="370"/>
        <v>405</v>
      </c>
      <c r="U193" s="598">
        <f t="shared" si="345"/>
        <v>270</v>
      </c>
      <c r="V193" s="598">
        <f t="shared" si="369"/>
        <v>675</v>
      </c>
      <c r="W193" s="598">
        <f t="shared" si="347"/>
        <v>270</v>
      </c>
      <c r="X193" s="598">
        <f t="shared" si="348"/>
        <v>945</v>
      </c>
      <c r="Y193" s="596">
        <f t="shared" si="349"/>
        <v>270</v>
      </c>
      <c r="Z193" s="596">
        <f t="shared" si="350"/>
        <v>1215</v>
      </c>
      <c r="AA193" s="598">
        <f t="shared" si="351"/>
        <v>135</v>
      </c>
      <c r="AB193" s="598">
        <f t="shared" si="352"/>
        <v>1350</v>
      </c>
      <c r="AC193" s="598">
        <f t="shared" si="353"/>
        <v>0</v>
      </c>
      <c r="AD193" s="598">
        <f t="shared" si="354"/>
        <v>1350</v>
      </c>
      <c r="AE193" s="598">
        <f t="shared" si="355"/>
        <v>0</v>
      </c>
      <c r="AF193" s="598">
        <f t="shared" si="356"/>
        <v>1350</v>
      </c>
      <c r="AG193" s="596">
        <f t="shared" si="357"/>
        <v>0</v>
      </c>
      <c r="AH193" s="596">
        <f t="shared" si="358"/>
        <v>1350</v>
      </c>
      <c r="AI193" s="598">
        <f t="shared" si="359"/>
        <v>0</v>
      </c>
      <c r="AJ193" s="598">
        <f t="shared" si="360"/>
        <v>1350</v>
      </c>
      <c r="AK193" s="598">
        <f t="shared" si="361"/>
        <v>0</v>
      </c>
      <c r="AL193" s="598">
        <f t="shared" si="362"/>
        <v>1350</v>
      </c>
      <c r="AM193" s="598">
        <f t="shared" si="363"/>
        <v>0</v>
      </c>
      <c r="AN193" s="598">
        <f t="shared" si="364"/>
        <v>1350</v>
      </c>
      <c r="AO193" s="598">
        <f t="shared" si="365"/>
        <v>0</v>
      </c>
      <c r="AP193" s="598">
        <f t="shared" si="366"/>
        <v>1350</v>
      </c>
      <c r="AQ193" s="599">
        <f t="shared" si="367"/>
        <v>0</v>
      </c>
      <c r="AR193" s="599">
        <f t="shared" si="368"/>
        <v>1350</v>
      </c>
    </row>
    <row r="194" spans="1:44" x14ac:dyDescent="0.25">
      <c r="A194" s="312"/>
      <c r="B194" s="349" t="s">
        <v>183</v>
      </c>
      <c r="C194" s="350">
        <v>39358</v>
      </c>
      <c r="D194" s="342">
        <v>646.66</v>
      </c>
      <c r="E194" s="348">
        <v>5</v>
      </c>
      <c r="F194" s="596"/>
      <c r="G194" s="596"/>
      <c r="H194" s="596"/>
      <c r="I194" s="596"/>
      <c r="J194" s="342"/>
      <c r="K194" s="596"/>
      <c r="L194" s="596"/>
      <c r="M194" s="596"/>
      <c r="N194" s="596"/>
      <c r="O194" s="596"/>
      <c r="P194" s="596"/>
      <c r="Q194" s="596"/>
      <c r="R194" s="596"/>
      <c r="S194" s="596"/>
      <c r="T194" s="596">
        <v>0</v>
      </c>
      <c r="U194" s="596">
        <f>IF(T194&lt;$D194,IF(T194+($D194/$E194)&lt;$D194,ROUND($D194/$E194,0),ROUND($D194-T194,0)),0)/12*3</f>
        <v>32.25</v>
      </c>
      <c r="V194" s="596">
        <f t="shared" ref="V194:V199" si="371">ROUND(SUM(T194:U194),0)</f>
        <v>32</v>
      </c>
      <c r="W194" s="596">
        <f t="shared" si="347"/>
        <v>129</v>
      </c>
      <c r="X194" s="596">
        <f t="shared" ref="X194:X199" si="372">ROUND(SUM(V194:W194),0)</f>
        <v>161</v>
      </c>
      <c r="Y194" s="596">
        <f t="shared" si="349"/>
        <v>129</v>
      </c>
      <c r="Z194" s="596">
        <f t="shared" si="350"/>
        <v>290</v>
      </c>
      <c r="AA194" s="596">
        <f t="shared" si="351"/>
        <v>129</v>
      </c>
      <c r="AB194" s="596">
        <f t="shared" si="352"/>
        <v>419</v>
      </c>
      <c r="AC194" s="596">
        <f t="shared" si="353"/>
        <v>129</v>
      </c>
      <c r="AD194" s="596">
        <f t="shared" si="354"/>
        <v>548</v>
      </c>
      <c r="AE194" s="596">
        <f t="shared" si="355"/>
        <v>99</v>
      </c>
      <c r="AF194" s="596">
        <f t="shared" si="356"/>
        <v>647</v>
      </c>
      <c r="AG194" s="596">
        <f t="shared" si="357"/>
        <v>0</v>
      </c>
      <c r="AH194" s="596">
        <f t="shared" si="358"/>
        <v>647</v>
      </c>
      <c r="AI194" s="596">
        <f t="shared" si="359"/>
        <v>0</v>
      </c>
      <c r="AJ194" s="596">
        <f t="shared" si="360"/>
        <v>647</v>
      </c>
      <c r="AK194" s="596">
        <f t="shared" si="361"/>
        <v>0</v>
      </c>
      <c r="AL194" s="596">
        <f t="shared" si="362"/>
        <v>647</v>
      </c>
      <c r="AM194" s="596">
        <f t="shared" si="363"/>
        <v>0</v>
      </c>
      <c r="AN194" s="596">
        <f t="shared" si="364"/>
        <v>647</v>
      </c>
      <c r="AO194" s="596">
        <f t="shared" si="365"/>
        <v>0</v>
      </c>
      <c r="AP194" s="596">
        <f t="shared" si="366"/>
        <v>647</v>
      </c>
      <c r="AQ194" s="597">
        <f t="shared" si="367"/>
        <v>0</v>
      </c>
      <c r="AR194" s="597">
        <f t="shared" si="368"/>
        <v>647</v>
      </c>
    </row>
    <row r="195" spans="1:44" s="101" customFormat="1" x14ac:dyDescent="0.25">
      <c r="A195" s="312"/>
      <c r="B195" s="349" t="s">
        <v>184</v>
      </c>
      <c r="C195" s="350">
        <v>39508</v>
      </c>
      <c r="D195" s="342">
        <v>3298.14</v>
      </c>
      <c r="E195" s="348">
        <v>5</v>
      </c>
      <c r="F195" s="596"/>
      <c r="G195" s="596"/>
      <c r="H195" s="596"/>
      <c r="I195" s="596"/>
      <c r="J195" s="342"/>
      <c r="K195" s="596"/>
      <c r="L195" s="596"/>
      <c r="M195" s="596"/>
      <c r="N195" s="596"/>
      <c r="O195" s="596"/>
      <c r="P195" s="596"/>
      <c r="Q195" s="596"/>
      <c r="R195" s="596"/>
      <c r="S195" s="596"/>
      <c r="T195" s="596"/>
      <c r="U195" s="596"/>
      <c r="V195" s="596">
        <f t="shared" si="371"/>
        <v>0</v>
      </c>
      <c r="W195" s="596">
        <f>IF(V195&lt;$D195,IF(V195+($D195/$E195)&lt;$D195,ROUND($D195/$E195,0),ROUND($D195-V195,0)),0)/12*10</f>
        <v>550</v>
      </c>
      <c r="X195" s="596">
        <f t="shared" si="372"/>
        <v>550</v>
      </c>
      <c r="Y195" s="596">
        <f t="shared" si="349"/>
        <v>660</v>
      </c>
      <c r="Z195" s="596">
        <f t="shared" si="350"/>
        <v>1210</v>
      </c>
      <c r="AA195" s="596">
        <f t="shared" si="351"/>
        <v>660</v>
      </c>
      <c r="AB195" s="596">
        <f t="shared" si="352"/>
        <v>1870</v>
      </c>
      <c r="AC195" s="596">
        <f t="shared" si="353"/>
        <v>660</v>
      </c>
      <c r="AD195" s="596">
        <f t="shared" si="354"/>
        <v>2530</v>
      </c>
      <c r="AE195" s="596">
        <f t="shared" si="355"/>
        <v>660</v>
      </c>
      <c r="AF195" s="596">
        <f t="shared" si="356"/>
        <v>3190</v>
      </c>
      <c r="AG195" s="596">
        <f t="shared" si="357"/>
        <v>108</v>
      </c>
      <c r="AH195" s="596">
        <f t="shared" si="358"/>
        <v>3298</v>
      </c>
      <c r="AI195" s="596">
        <f t="shared" si="359"/>
        <v>0</v>
      </c>
      <c r="AJ195" s="596">
        <f t="shared" si="360"/>
        <v>3298</v>
      </c>
      <c r="AK195" s="596">
        <f t="shared" si="361"/>
        <v>0</v>
      </c>
      <c r="AL195" s="596">
        <f t="shared" si="362"/>
        <v>3298</v>
      </c>
      <c r="AM195" s="596">
        <f t="shared" si="363"/>
        <v>0</v>
      </c>
      <c r="AN195" s="596">
        <f t="shared" si="364"/>
        <v>3298</v>
      </c>
      <c r="AO195" s="596">
        <f t="shared" si="365"/>
        <v>0</v>
      </c>
      <c r="AP195" s="596">
        <f t="shared" si="366"/>
        <v>3298</v>
      </c>
      <c r="AQ195" s="597">
        <f t="shared" si="367"/>
        <v>0</v>
      </c>
      <c r="AR195" s="597">
        <f t="shared" si="368"/>
        <v>3298</v>
      </c>
    </row>
    <row r="196" spans="1:44" s="101" customFormat="1" x14ac:dyDescent="0.25">
      <c r="A196" s="312"/>
      <c r="B196" s="349" t="s">
        <v>185</v>
      </c>
      <c r="C196" s="350">
        <v>39508</v>
      </c>
      <c r="D196" s="342">
        <v>884</v>
      </c>
      <c r="E196" s="348">
        <v>5</v>
      </c>
      <c r="F196" s="596"/>
      <c r="G196" s="596"/>
      <c r="H196" s="596"/>
      <c r="I196" s="596"/>
      <c r="J196" s="342"/>
      <c r="K196" s="596"/>
      <c r="L196" s="596"/>
      <c r="M196" s="596"/>
      <c r="N196" s="596"/>
      <c r="O196" s="596"/>
      <c r="P196" s="596"/>
      <c r="Q196" s="596"/>
      <c r="R196" s="596"/>
      <c r="S196" s="596"/>
      <c r="T196" s="596"/>
      <c r="U196" s="596"/>
      <c r="V196" s="596">
        <f t="shared" si="371"/>
        <v>0</v>
      </c>
      <c r="W196" s="596">
        <f>IF(V196&lt;$D196,IF(V196+($D196/$E196)&lt;$D196,ROUND($D196/$E196,0),ROUND($D196-V196,0)),0)/12*10</f>
        <v>147.5</v>
      </c>
      <c r="X196" s="596">
        <f t="shared" si="372"/>
        <v>148</v>
      </c>
      <c r="Y196" s="596">
        <f>IF(X196&lt;$D196,IF(X196+($D196/$E196)&lt;$D196,ROUND($D196/$E196,0),ROUND($D196-X196,0)),0)</f>
        <v>177</v>
      </c>
      <c r="Z196" s="596">
        <f t="shared" si="350"/>
        <v>325</v>
      </c>
      <c r="AA196" s="596">
        <f>IF(Z196&lt;$D196,IF(Z196+($D196/$E196)&lt;$D196,ROUND($D196/$E196,0),ROUND($D196-Z196,0)),0)</f>
        <v>177</v>
      </c>
      <c r="AB196" s="596">
        <f t="shared" si="352"/>
        <v>502</v>
      </c>
      <c r="AC196" s="596">
        <f>IF(AB196&lt;$D196,IF(AB196+($D196/$E196)&lt;$D196,ROUND($D196/$E196,0),ROUND($D196-AB196,0)),0)</f>
        <v>177</v>
      </c>
      <c r="AD196" s="596">
        <f t="shared" si="354"/>
        <v>679</v>
      </c>
      <c r="AE196" s="596">
        <f t="shared" si="355"/>
        <v>177</v>
      </c>
      <c r="AF196" s="596">
        <f t="shared" si="356"/>
        <v>856</v>
      </c>
      <c r="AG196" s="596">
        <f t="shared" si="357"/>
        <v>28</v>
      </c>
      <c r="AH196" s="596">
        <f t="shared" si="358"/>
        <v>884</v>
      </c>
      <c r="AI196" s="596">
        <f t="shared" si="359"/>
        <v>0</v>
      </c>
      <c r="AJ196" s="596">
        <f t="shared" si="360"/>
        <v>884</v>
      </c>
      <c r="AK196" s="596">
        <f t="shared" si="361"/>
        <v>0</v>
      </c>
      <c r="AL196" s="596">
        <f t="shared" si="362"/>
        <v>884</v>
      </c>
      <c r="AM196" s="596">
        <f t="shared" si="363"/>
        <v>0</v>
      </c>
      <c r="AN196" s="596">
        <f t="shared" si="364"/>
        <v>884</v>
      </c>
      <c r="AO196" s="596">
        <f t="shared" si="365"/>
        <v>0</v>
      </c>
      <c r="AP196" s="596">
        <f t="shared" si="366"/>
        <v>884</v>
      </c>
      <c r="AQ196" s="597">
        <f t="shared" si="367"/>
        <v>0</v>
      </c>
      <c r="AR196" s="597">
        <f t="shared" si="368"/>
        <v>884</v>
      </c>
    </row>
    <row r="197" spans="1:44" s="101" customFormat="1" x14ac:dyDescent="0.25">
      <c r="A197" s="312"/>
      <c r="B197" s="349" t="s">
        <v>186</v>
      </c>
      <c r="C197" s="350">
        <v>39600</v>
      </c>
      <c r="D197" s="342">
        <v>726.28</v>
      </c>
      <c r="E197" s="348">
        <v>5</v>
      </c>
      <c r="F197" s="596"/>
      <c r="G197" s="596"/>
      <c r="H197" s="596"/>
      <c r="I197" s="596"/>
      <c r="J197" s="342"/>
      <c r="K197" s="596"/>
      <c r="L197" s="596"/>
      <c r="M197" s="596"/>
      <c r="N197" s="596"/>
      <c r="O197" s="596"/>
      <c r="P197" s="596"/>
      <c r="Q197" s="596"/>
      <c r="R197" s="596"/>
      <c r="S197" s="596"/>
      <c r="T197" s="596"/>
      <c r="U197" s="596"/>
      <c r="V197" s="596">
        <f t="shared" si="371"/>
        <v>0</v>
      </c>
      <c r="W197" s="596">
        <f>IF(V197&lt;$D197,IF(V197+($D197/$E197)&lt;$D197,ROUND($D197/$E197,0),ROUND($D197-V197,0)),0)/12*7</f>
        <v>84.583333333333343</v>
      </c>
      <c r="X197" s="596">
        <f t="shared" si="372"/>
        <v>85</v>
      </c>
      <c r="Y197" s="596">
        <f>IF(X197&lt;$D197,IF(X197+($D197/$E197)&lt;$D197,ROUND($D197/$E197,0),ROUND($D197-X197,0)),0)</f>
        <v>145</v>
      </c>
      <c r="Z197" s="596">
        <f t="shared" si="350"/>
        <v>230</v>
      </c>
      <c r="AA197" s="596">
        <f>IF(Z197&lt;$D197,IF(Z197+($D197/$E197)&lt;$D197,ROUND($D197/$E197,0),ROUND($D197-Z197,0)),0)</f>
        <v>145</v>
      </c>
      <c r="AB197" s="596">
        <f t="shared" si="352"/>
        <v>375</v>
      </c>
      <c r="AC197" s="596">
        <f>IF(AB197&lt;$D197,IF(AB197+($D197/$E197)&lt;$D197,ROUND($D197/$E197,0),ROUND($D197-AB197,0)),0)</f>
        <v>145</v>
      </c>
      <c r="AD197" s="596">
        <f t="shared" si="354"/>
        <v>520</v>
      </c>
      <c r="AE197" s="596">
        <f t="shared" si="355"/>
        <v>145</v>
      </c>
      <c r="AF197" s="596">
        <f t="shared" si="356"/>
        <v>665</v>
      </c>
      <c r="AG197" s="596">
        <f t="shared" si="357"/>
        <v>61</v>
      </c>
      <c r="AH197" s="596">
        <f t="shared" si="358"/>
        <v>726</v>
      </c>
      <c r="AI197" s="596">
        <f t="shared" si="359"/>
        <v>0</v>
      </c>
      <c r="AJ197" s="596">
        <f t="shared" si="360"/>
        <v>726</v>
      </c>
      <c r="AK197" s="596">
        <f t="shared" si="361"/>
        <v>0</v>
      </c>
      <c r="AL197" s="596">
        <f t="shared" si="362"/>
        <v>726</v>
      </c>
      <c r="AM197" s="596">
        <f t="shared" si="363"/>
        <v>0</v>
      </c>
      <c r="AN197" s="596">
        <f t="shared" si="364"/>
        <v>726</v>
      </c>
      <c r="AO197" s="596">
        <f t="shared" si="365"/>
        <v>0</v>
      </c>
      <c r="AP197" s="596">
        <f t="shared" si="366"/>
        <v>726</v>
      </c>
      <c r="AQ197" s="597">
        <f t="shared" si="367"/>
        <v>0</v>
      </c>
      <c r="AR197" s="597">
        <f t="shared" si="368"/>
        <v>726</v>
      </c>
    </row>
    <row r="198" spans="1:44" s="101" customFormat="1" x14ac:dyDescent="0.25">
      <c r="A198" s="312"/>
      <c r="B198" s="349" t="s">
        <v>660</v>
      </c>
      <c r="C198" s="350">
        <v>39630</v>
      </c>
      <c r="D198" s="342">
        <v>983.11</v>
      </c>
      <c r="E198" s="348">
        <v>5</v>
      </c>
      <c r="F198" s="596"/>
      <c r="G198" s="596"/>
      <c r="H198" s="596"/>
      <c r="I198" s="596"/>
      <c r="J198" s="342"/>
      <c r="K198" s="596"/>
      <c r="L198" s="596"/>
      <c r="M198" s="596"/>
      <c r="N198" s="596"/>
      <c r="O198" s="596"/>
      <c r="P198" s="596"/>
      <c r="Q198" s="596"/>
      <c r="R198" s="596"/>
      <c r="S198" s="596"/>
      <c r="T198" s="596"/>
      <c r="U198" s="596"/>
      <c r="V198" s="596">
        <f t="shared" si="371"/>
        <v>0</v>
      </c>
      <c r="W198" s="596">
        <f>IF(V198&lt;$D198,IF(V198+($D198/$E198)&lt;$D198,ROUND($D198/$E198,0),ROUND($D198-V198,0)),0)/12*6</f>
        <v>98.5</v>
      </c>
      <c r="X198" s="596">
        <f t="shared" si="372"/>
        <v>99</v>
      </c>
      <c r="Y198" s="596">
        <f>IF(X198&lt;$D198,IF(X198+($D198/$E198)&lt;$D198,ROUND($D198/$E198,0),ROUND($D198-X198,0)),0)</f>
        <v>197</v>
      </c>
      <c r="Z198" s="596">
        <f t="shared" si="350"/>
        <v>296</v>
      </c>
      <c r="AA198" s="596">
        <f>IF(Z198&lt;$D198,IF(Z198+($D198/$E198)&lt;$D198,ROUND($D198/$E198,0),ROUND($D198-Z198,0)),0)</f>
        <v>197</v>
      </c>
      <c r="AB198" s="596">
        <f t="shared" si="352"/>
        <v>493</v>
      </c>
      <c r="AC198" s="596">
        <f>IF(AB198&lt;$D198,IF(AB198+($D198/$E198)&lt;$D198,ROUND($D198/$E198,0),ROUND($D198-AB198,0)),0)</f>
        <v>197</v>
      </c>
      <c r="AD198" s="596">
        <f t="shared" si="354"/>
        <v>690</v>
      </c>
      <c r="AE198" s="596">
        <f t="shared" si="355"/>
        <v>197</v>
      </c>
      <c r="AF198" s="596">
        <f t="shared" si="356"/>
        <v>887</v>
      </c>
      <c r="AG198" s="596">
        <f t="shared" si="357"/>
        <v>96</v>
      </c>
      <c r="AH198" s="596">
        <f t="shared" si="358"/>
        <v>983</v>
      </c>
      <c r="AI198" s="596">
        <f t="shared" si="359"/>
        <v>0</v>
      </c>
      <c r="AJ198" s="596">
        <f t="shared" si="360"/>
        <v>983</v>
      </c>
      <c r="AK198" s="596">
        <f t="shared" si="361"/>
        <v>0</v>
      </c>
      <c r="AL198" s="596">
        <f t="shared" si="362"/>
        <v>983</v>
      </c>
      <c r="AM198" s="596">
        <f t="shared" si="363"/>
        <v>0</v>
      </c>
      <c r="AN198" s="596">
        <f t="shared" si="364"/>
        <v>983</v>
      </c>
      <c r="AO198" s="596">
        <f t="shared" si="365"/>
        <v>0</v>
      </c>
      <c r="AP198" s="596">
        <f t="shared" si="366"/>
        <v>983</v>
      </c>
      <c r="AQ198" s="597">
        <f t="shared" si="367"/>
        <v>0</v>
      </c>
      <c r="AR198" s="597">
        <f t="shared" si="368"/>
        <v>983</v>
      </c>
    </row>
    <row r="199" spans="1:44" s="101" customFormat="1" x14ac:dyDescent="0.25">
      <c r="A199" s="312"/>
      <c r="B199" s="349" t="s">
        <v>188</v>
      </c>
      <c r="C199" s="350">
        <v>39661</v>
      </c>
      <c r="D199" s="342">
        <v>1419.99</v>
      </c>
      <c r="E199" s="348">
        <v>5</v>
      </c>
      <c r="F199" s="596"/>
      <c r="G199" s="596"/>
      <c r="H199" s="596"/>
      <c r="I199" s="596"/>
      <c r="J199" s="342"/>
      <c r="K199" s="596"/>
      <c r="L199" s="596"/>
      <c r="M199" s="596"/>
      <c r="N199" s="596"/>
      <c r="O199" s="596"/>
      <c r="P199" s="596"/>
      <c r="Q199" s="596"/>
      <c r="R199" s="596"/>
      <c r="S199" s="596"/>
      <c r="T199" s="596"/>
      <c r="U199" s="596"/>
      <c r="V199" s="596">
        <f t="shared" si="371"/>
        <v>0</v>
      </c>
      <c r="W199" s="596">
        <f>IF(V199&lt;$D199,IF(V199+($D199/$E199)&lt;$D199,ROUND($D199/$E199,0),ROUND($D199-V199,0)),0)/12*5</f>
        <v>118.33333333333334</v>
      </c>
      <c r="X199" s="596">
        <f t="shared" si="372"/>
        <v>118</v>
      </c>
      <c r="Y199" s="596">
        <f>IF(X199&lt;$D199,IF(X199+($D199/$E199)&lt;$D199,ROUND($D199/$E199,0),ROUND($D199-X199,0)),0)</f>
        <v>284</v>
      </c>
      <c r="Z199" s="596">
        <f t="shared" si="350"/>
        <v>402</v>
      </c>
      <c r="AA199" s="596">
        <f>IF(Z199&lt;$D199,IF(Z199+($D199/$E199)&lt;$D199,ROUND($D199/$E199,0),ROUND($D199-Z199,0)),0)</f>
        <v>284</v>
      </c>
      <c r="AB199" s="596">
        <f t="shared" si="352"/>
        <v>686</v>
      </c>
      <c r="AC199" s="596">
        <f>IF(AB199&lt;$D199,IF(AB199+($D199/$E199)&lt;$D199,ROUND($D199/$E199,0),ROUND($D199-AB199,0)),0)</f>
        <v>284</v>
      </c>
      <c r="AD199" s="596">
        <f t="shared" si="354"/>
        <v>970</v>
      </c>
      <c r="AE199" s="596">
        <f t="shared" si="355"/>
        <v>284</v>
      </c>
      <c r="AF199" s="596">
        <f t="shared" si="356"/>
        <v>1254</v>
      </c>
      <c r="AG199" s="596">
        <f t="shared" si="357"/>
        <v>166</v>
      </c>
      <c r="AH199" s="596">
        <f t="shared" si="358"/>
        <v>1420</v>
      </c>
      <c r="AI199" s="596">
        <f t="shared" si="359"/>
        <v>0</v>
      </c>
      <c r="AJ199" s="596">
        <f t="shared" si="360"/>
        <v>1420</v>
      </c>
      <c r="AK199" s="596">
        <f t="shared" si="361"/>
        <v>0</v>
      </c>
      <c r="AL199" s="596">
        <f t="shared" si="362"/>
        <v>1420</v>
      </c>
      <c r="AM199" s="596">
        <f t="shared" si="363"/>
        <v>0</v>
      </c>
      <c r="AN199" s="596">
        <f t="shared" si="364"/>
        <v>1420</v>
      </c>
      <c r="AO199" s="596">
        <f t="shared" si="365"/>
        <v>0</v>
      </c>
      <c r="AP199" s="596">
        <f t="shared" si="366"/>
        <v>1420</v>
      </c>
      <c r="AQ199" s="597">
        <f t="shared" si="367"/>
        <v>0</v>
      </c>
      <c r="AR199" s="597">
        <f t="shared" si="368"/>
        <v>1420</v>
      </c>
    </row>
    <row r="200" spans="1:44" s="101" customFormat="1" x14ac:dyDescent="0.25">
      <c r="A200" s="312"/>
      <c r="B200" s="349" t="s">
        <v>589</v>
      </c>
      <c r="C200" s="350">
        <v>40695</v>
      </c>
      <c r="D200" s="342">
        <v>1577.38</v>
      </c>
      <c r="E200" s="348">
        <v>5</v>
      </c>
      <c r="F200" s="596"/>
      <c r="G200" s="596"/>
      <c r="H200" s="596"/>
      <c r="I200" s="596"/>
      <c r="J200" s="342"/>
      <c r="K200" s="596"/>
      <c r="L200" s="596"/>
      <c r="M200" s="596"/>
      <c r="N200" s="596"/>
      <c r="O200" s="596"/>
      <c r="P200" s="596"/>
      <c r="Q200" s="596"/>
      <c r="R200" s="596"/>
      <c r="S200" s="596"/>
      <c r="T200" s="596"/>
      <c r="U200" s="596"/>
      <c r="V200" s="596"/>
      <c r="W200" s="596"/>
      <c r="X200" s="596"/>
      <c r="Y200" s="596"/>
      <c r="Z200" s="596"/>
      <c r="AA200" s="596"/>
      <c r="AB200" s="596">
        <f t="shared" si="352"/>
        <v>0</v>
      </c>
      <c r="AC200" s="596">
        <f>IF(AB200&lt;$D200,IF(AB200+($D200/$E200)&lt;$D200,ROUND($D200/$E200,0),ROUND($D200-AB200,0)),0)/12*7</f>
        <v>183.75</v>
      </c>
      <c r="AD200" s="596">
        <f t="shared" si="354"/>
        <v>184</v>
      </c>
      <c r="AE200" s="596">
        <f t="shared" si="355"/>
        <v>315</v>
      </c>
      <c r="AF200" s="596">
        <f t="shared" si="356"/>
        <v>499</v>
      </c>
      <c r="AG200" s="596">
        <f t="shared" si="357"/>
        <v>315</v>
      </c>
      <c r="AH200" s="596">
        <f t="shared" si="358"/>
        <v>814</v>
      </c>
      <c r="AI200" s="596">
        <f t="shared" si="359"/>
        <v>315</v>
      </c>
      <c r="AJ200" s="596">
        <f t="shared" si="360"/>
        <v>1129</v>
      </c>
      <c r="AK200" s="596">
        <f t="shared" si="361"/>
        <v>315</v>
      </c>
      <c r="AL200" s="596">
        <f t="shared" si="362"/>
        <v>1444</v>
      </c>
      <c r="AM200" s="596">
        <f t="shared" si="363"/>
        <v>133</v>
      </c>
      <c r="AN200" s="596">
        <f t="shared" si="364"/>
        <v>1577</v>
      </c>
      <c r="AO200" s="596">
        <f t="shared" si="365"/>
        <v>0</v>
      </c>
      <c r="AP200" s="596">
        <f t="shared" si="366"/>
        <v>1577</v>
      </c>
      <c r="AQ200" s="597">
        <f t="shared" si="367"/>
        <v>0</v>
      </c>
      <c r="AR200" s="597">
        <f t="shared" si="368"/>
        <v>1577</v>
      </c>
    </row>
    <row r="201" spans="1:44" s="101" customFormat="1" x14ac:dyDescent="0.25">
      <c r="A201" s="312"/>
      <c r="B201" s="349" t="s">
        <v>590</v>
      </c>
      <c r="C201" s="350">
        <v>40787</v>
      </c>
      <c r="D201" s="342">
        <v>556.69000000000005</v>
      </c>
      <c r="E201" s="348">
        <v>5</v>
      </c>
      <c r="F201" s="596"/>
      <c r="G201" s="596"/>
      <c r="H201" s="596"/>
      <c r="I201" s="596"/>
      <c r="J201" s="342"/>
      <c r="K201" s="596"/>
      <c r="L201" s="596"/>
      <c r="M201" s="596"/>
      <c r="N201" s="596"/>
      <c r="O201" s="596"/>
      <c r="P201" s="596"/>
      <c r="Q201" s="596"/>
      <c r="R201" s="596"/>
      <c r="S201" s="596"/>
      <c r="T201" s="596"/>
      <c r="U201" s="596"/>
      <c r="V201" s="596"/>
      <c r="W201" s="596"/>
      <c r="X201" s="596"/>
      <c r="Y201" s="596"/>
      <c r="Z201" s="596"/>
      <c r="AA201" s="596"/>
      <c r="AB201" s="596">
        <f t="shared" si="352"/>
        <v>0</v>
      </c>
      <c r="AC201" s="596">
        <f>IF(AB201&lt;$D201,IF(AB201+($D201/$E201)&lt;$D201,ROUND($D201/$E201,0),ROUND($D201-AB201,0)),0)/12*4</f>
        <v>37</v>
      </c>
      <c r="AD201" s="596">
        <f t="shared" si="354"/>
        <v>37</v>
      </c>
      <c r="AE201" s="596">
        <f t="shared" si="355"/>
        <v>111</v>
      </c>
      <c r="AF201" s="596">
        <f t="shared" si="356"/>
        <v>148</v>
      </c>
      <c r="AG201" s="596">
        <f t="shared" si="357"/>
        <v>111</v>
      </c>
      <c r="AH201" s="596">
        <f t="shared" si="358"/>
        <v>259</v>
      </c>
      <c r="AI201" s="596">
        <f t="shared" si="359"/>
        <v>111</v>
      </c>
      <c r="AJ201" s="596">
        <f t="shared" si="360"/>
        <v>370</v>
      </c>
      <c r="AK201" s="596">
        <f t="shared" si="361"/>
        <v>111</v>
      </c>
      <c r="AL201" s="596">
        <f t="shared" si="362"/>
        <v>481</v>
      </c>
      <c r="AM201" s="596">
        <f t="shared" si="363"/>
        <v>76</v>
      </c>
      <c r="AN201" s="596">
        <f t="shared" si="364"/>
        <v>557</v>
      </c>
      <c r="AO201" s="596">
        <f t="shared" si="365"/>
        <v>0</v>
      </c>
      <c r="AP201" s="596">
        <f t="shared" si="366"/>
        <v>557</v>
      </c>
      <c r="AQ201" s="597">
        <f t="shared" si="367"/>
        <v>0</v>
      </c>
      <c r="AR201" s="597">
        <f t="shared" si="368"/>
        <v>557</v>
      </c>
    </row>
    <row r="202" spans="1:44" s="101" customFormat="1" x14ac:dyDescent="0.25">
      <c r="A202" s="312"/>
      <c r="B202" s="349" t="s">
        <v>591</v>
      </c>
      <c r="C202" s="350">
        <v>40878</v>
      </c>
      <c r="D202" s="342">
        <v>647.52</v>
      </c>
      <c r="E202" s="348">
        <v>5</v>
      </c>
      <c r="F202" s="596"/>
      <c r="G202" s="596"/>
      <c r="H202" s="596"/>
      <c r="I202" s="596"/>
      <c r="J202" s="342"/>
      <c r="K202" s="596"/>
      <c r="L202" s="596"/>
      <c r="M202" s="596"/>
      <c r="N202" s="596"/>
      <c r="O202" s="596"/>
      <c r="P202" s="596"/>
      <c r="Q202" s="596"/>
      <c r="R202" s="596"/>
      <c r="S202" s="596"/>
      <c r="T202" s="596"/>
      <c r="U202" s="596"/>
      <c r="V202" s="596"/>
      <c r="W202" s="596"/>
      <c r="X202" s="596"/>
      <c r="Y202" s="596"/>
      <c r="Z202" s="596"/>
      <c r="AA202" s="596"/>
      <c r="AB202" s="596">
        <f t="shared" si="352"/>
        <v>0</v>
      </c>
      <c r="AC202" s="596">
        <f>IF(AB202&lt;$D202,IF(AB202+($D202/$E202)&lt;$D202,ROUND($D202/$E202,0),ROUND($D202-AB202,0)),0)/12*1</f>
        <v>10.833333333333334</v>
      </c>
      <c r="AD202" s="596">
        <f t="shared" si="354"/>
        <v>11</v>
      </c>
      <c r="AE202" s="596">
        <f t="shared" si="355"/>
        <v>130</v>
      </c>
      <c r="AF202" s="596">
        <f t="shared" si="356"/>
        <v>141</v>
      </c>
      <c r="AG202" s="596">
        <f t="shared" si="357"/>
        <v>130</v>
      </c>
      <c r="AH202" s="596">
        <f t="shared" si="358"/>
        <v>271</v>
      </c>
      <c r="AI202" s="596">
        <f t="shared" si="359"/>
        <v>130</v>
      </c>
      <c r="AJ202" s="596">
        <f t="shared" si="360"/>
        <v>401</v>
      </c>
      <c r="AK202" s="596">
        <f t="shared" si="361"/>
        <v>130</v>
      </c>
      <c r="AL202" s="596">
        <f t="shared" si="362"/>
        <v>531</v>
      </c>
      <c r="AM202" s="596">
        <f t="shared" si="363"/>
        <v>117</v>
      </c>
      <c r="AN202" s="596">
        <f t="shared" si="364"/>
        <v>648</v>
      </c>
      <c r="AO202" s="596">
        <f t="shared" si="365"/>
        <v>0</v>
      </c>
      <c r="AP202" s="596">
        <f t="shared" si="366"/>
        <v>648</v>
      </c>
      <c r="AQ202" s="597">
        <f t="shared" si="367"/>
        <v>0</v>
      </c>
      <c r="AR202" s="597">
        <f t="shared" si="368"/>
        <v>648</v>
      </c>
    </row>
    <row r="203" spans="1:44" s="101" customFormat="1" x14ac:dyDescent="0.25">
      <c r="A203" s="312"/>
      <c r="B203" s="349" t="s">
        <v>592</v>
      </c>
      <c r="C203" s="350">
        <v>41030</v>
      </c>
      <c r="D203" s="342">
        <v>1253.73</v>
      </c>
      <c r="E203" s="348">
        <v>5</v>
      </c>
      <c r="F203" s="596"/>
      <c r="G203" s="596"/>
      <c r="H203" s="596"/>
      <c r="I203" s="596"/>
      <c r="J203" s="342"/>
      <c r="K203" s="596"/>
      <c r="L203" s="596"/>
      <c r="M203" s="596"/>
      <c r="N203" s="596"/>
      <c r="O203" s="596"/>
      <c r="P203" s="596"/>
      <c r="Q203" s="596"/>
      <c r="R203" s="596"/>
      <c r="S203" s="596"/>
      <c r="T203" s="596"/>
      <c r="U203" s="596"/>
      <c r="V203" s="596"/>
      <c r="W203" s="596"/>
      <c r="X203" s="596"/>
      <c r="Y203" s="596"/>
      <c r="Z203" s="596"/>
      <c r="AA203" s="596"/>
      <c r="AB203" s="596"/>
      <c r="AC203" s="596"/>
      <c r="AD203" s="596">
        <f t="shared" ref="AD203:AD206" si="373">ROUND(SUM(AB203:AC203),0)</f>
        <v>0</v>
      </c>
      <c r="AE203" s="596">
        <f>IF(AD203&lt;$D203,IF(AD203+($D203/$E203)&lt;$D203,ROUND($D203/$E203,0),ROUND($D203-AD203,0)),0)/12*9</f>
        <v>188.25</v>
      </c>
      <c r="AF203" s="596">
        <f t="shared" si="356"/>
        <v>188</v>
      </c>
      <c r="AG203" s="596">
        <f>IF(AF203&lt;$D203,IF(AF203+($D203/$E203)&lt;$D203,ROUND($D203/$E203,0),ROUND($D203-AF203,0)),0)</f>
        <v>251</v>
      </c>
      <c r="AH203" s="596">
        <f t="shared" si="358"/>
        <v>439</v>
      </c>
      <c r="AI203" s="596">
        <f>IF(AH203&lt;$D203,IF(AH203+($D203/$E203)&lt;$D203,ROUND($D203/$E203,0),ROUND($D203-AH203,0)),0)</f>
        <v>251</v>
      </c>
      <c r="AJ203" s="596">
        <f t="shared" si="360"/>
        <v>690</v>
      </c>
      <c r="AK203" s="596">
        <f>IF(AJ203&lt;$D203,IF(AJ203+($D203/$E203)&lt;$D203,ROUND($D203/$E203,0),ROUND($D203-AJ203,0)),0)</f>
        <v>251</v>
      </c>
      <c r="AL203" s="596">
        <f t="shared" si="362"/>
        <v>941</v>
      </c>
      <c r="AM203" s="596">
        <f>IF(AL203&lt;$D203,IF(AL203+($D203/$E203)&lt;$D203,ROUND($D203/$E203,0),ROUND($D203-AL203,0)),0)</f>
        <v>251</v>
      </c>
      <c r="AN203" s="596">
        <f t="shared" si="364"/>
        <v>1192</v>
      </c>
      <c r="AO203" s="596">
        <f>IF(AN203&lt;$D203,IF(AN203+($D203/$E203)&lt;$D203,ROUND($D203/$E203,0),ROUND($D203-AN203,0)),0)</f>
        <v>62</v>
      </c>
      <c r="AP203" s="596">
        <f t="shared" si="366"/>
        <v>1254</v>
      </c>
      <c r="AQ203" s="597">
        <f>IF(AP203&lt;$D203,IF(AP203+($D203/$E203)&lt;$D203,ROUND($D203/$E203,0),ROUND($D203-AP203,0)),0)</f>
        <v>0</v>
      </c>
      <c r="AR203" s="597">
        <f t="shared" si="368"/>
        <v>1254</v>
      </c>
    </row>
    <row r="204" spans="1:44" s="101" customFormat="1" x14ac:dyDescent="0.25">
      <c r="A204" s="312"/>
      <c r="B204" s="349" t="s">
        <v>661</v>
      </c>
      <c r="C204" s="350">
        <v>41153</v>
      </c>
      <c r="D204" s="342">
        <v>410.72</v>
      </c>
      <c r="E204" s="348">
        <v>5</v>
      </c>
      <c r="F204" s="596"/>
      <c r="G204" s="596"/>
      <c r="H204" s="596"/>
      <c r="I204" s="596"/>
      <c r="J204" s="342"/>
      <c r="K204" s="596"/>
      <c r="L204" s="596"/>
      <c r="M204" s="596"/>
      <c r="N204" s="596"/>
      <c r="O204" s="596"/>
      <c r="P204" s="596"/>
      <c r="Q204" s="596"/>
      <c r="R204" s="596"/>
      <c r="S204" s="596"/>
      <c r="T204" s="596"/>
      <c r="U204" s="596"/>
      <c r="V204" s="596"/>
      <c r="W204" s="596"/>
      <c r="X204" s="596"/>
      <c r="Y204" s="596"/>
      <c r="Z204" s="596"/>
      <c r="AA204" s="596"/>
      <c r="AB204" s="596"/>
      <c r="AC204" s="596"/>
      <c r="AD204" s="596">
        <f t="shared" si="373"/>
        <v>0</v>
      </c>
      <c r="AE204" s="596">
        <f>IF(AD204&lt;$D204,IF(AD204+($D204/$E204)&lt;$D204,ROUND($D204/$E204,0),ROUND($D204-AD204,0)),0)/12*4</f>
        <v>27.333333333333332</v>
      </c>
      <c r="AF204" s="596">
        <f t="shared" si="356"/>
        <v>27</v>
      </c>
      <c r="AG204" s="596">
        <f>IF(AF204&lt;$D204,IF(AF204+($D204/$E204)&lt;$D204,ROUND($D204/$E204,0),ROUND($D204-AF204,0)),0)</f>
        <v>82</v>
      </c>
      <c r="AH204" s="596">
        <f t="shared" si="358"/>
        <v>109</v>
      </c>
      <c r="AI204" s="596">
        <f>IF(AH204&lt;$D204,IF(AH204+($D204/$E204)&lt;$D204,ROUND($D204/$E204,0),ROUND($D204-AH204,0)),0)</f>
        <v>82</v>
      </c>
      <c r="AJ204" s="596">
        <f t="shared" si="360"/>
        <v>191</v>
      </c>
      <c r="AK204" s="596">
        <f>IF(AJ204&lt;$D204,IF(AJ204+($D204/$E204)&lt;$D204,ROUND($D204/$E204,0),ROUND($D204-AJ204,0)),0)</f>
        <v>82</v>
      </c>
      <c r="AL204" s="596">
        <f t="shared" si="362"/>
        <v>273</v>
      </c>
      <c r="AM204" s="596">
        <f>IF(AL204&lt;$D204,IF(AL204+($D204/$E204)&lt;$D204,ROUND($D204/$E204,0),ROUND($D204-AL204,0)),0)</f>
        <v>82</v>
      </c>
      <c r="AN204" s="596">
        <f t="shared" si="364"/>
        <v>355</v>
      </c>
      <c r="AO204" s="596">
        <f>IF(AN204&lt;$D204,IF(AN204+($D204/$E204)&lt;$D204,ROUND($D204/$E204,0),ROUND($D204-AN204,0)),0)</f>
        <v>56</v>
      </c>
      <c r="AP204" s="596">
        <f t="shared" si="366"/>
        <v>411</v>
      </c>
      <c r="AQ204" s="597">
        <f>IF(AP204&lt;$D204,IF(AP204+($D204/$E204)&lt;$D204,ROUND($D204/$E204,0),ROUND($D204-AP204,0)),0)</f>
        <v>0</v>
      </c>
      <c r="AR204" s="597">
        <f t="shared" si="368"/>
        <v>411</v>
      </c>
    </row>
    <row r="205" spans="1:44" s="101" customFormat="1" x14ac:dyDescent="0.25">
      <c r="A205" s="312"/>
      <c r="B205" s="349" t="s">
        <v>314</v>
      </c>
      <c r="C205" s="350">
        <v>41214</v>
      </c>
      <c r="D205" s="342">
        <v>981.98</v>
      </c>
      <c r="E205" s="348">
        <v>5</v>
      </c>
      <c r="F205" s="596"/>
      <c r="G205" s="596"/>
      <c r="H205" s="596"/>
      <c r="I205" s="596"/>
      <c r="J205" s="342"/>
      <c r="K205" s="596"/>
      <c r="L205" s="596"/>
      <c r="M205" s="596"/>
      <c r="N205" s="596"/>
      <c r="O205" s="596"/>
      <c r="P205" s="596"/>
      <c r="Q205" s="596"/>
      <c r="R205" s="596"/>
      <c r="S205" s="596"/>
      <c r="T205" s="596"/>
      <c r="U205" s="596"/>
      <c r="V205" s="596"/>
      <c r="W205" s="596"/>
      <c r="X205" s="596"/>
      <c r="Y205" s="596"/>
      <c r="Z205" s="596"/>
      <c r="AA205" s="596"/>
      <c r="AB205" s="596"/>
      <c r="AC205" s="596"/>
      <c r="AD205" s="596">
        <f t="shared" si="373"/>
        <v>0</v>
      </c>
      <c r="AE205" s="596">
        <f>IF(AD205&lt;$D205,IF(AD205+($D205/$E205)&lt;$D205,ROUND($D205/$E205,0),ROUND($D205-AD205,0)),0)/12*2</f>
        <v>32.666666666666664</v>
      </c>
      <c r="AF205" s="596">
        <f t="shared" si="356"/>
        <v>33</v>
      </c>
      <c r="AG205" s="596">
        <f>IF(AF205&lt;$D205,IF(AF205+($D205/$E205)&lt;$D205,ROUND($D205/$E205,0),ROUND($D205-AF205,0)),0)</f>
        <v>196</v>
      </c>
      <c r="AH205" s="596">
        <f t="shared" si="358"/>
        <v>229</v>
      </c>
      <c r="AI205" s="596">
        <f>IF(AH205&lt;$D205,IF(AH205+($D205/$E205)&lt;$D205,ROUND($D205/$E205,0),ROUND($D205-AH205,0)),0)</f>
        <v>196</v>
      </c>
      <c r="AJ205" s="596">
        <f t="shared" si="360"/>
        <v>425</v>
      </c>
      <c r="AK205" s="596">
        <f>IF(AJ205&lt;$D205,IF(AJ205+($D205/$E205)&lt;$D205,ROUND($D205/$E205,0),ROUND($D205-AJ205,0)),0)</f>
        <v>196</v>
      </c>
      <c r="AL205" s="596">
        <f t="shared" si="362"/>
        <v>621</v>
      </c>
      <c r="AM205" s="596">
        <f>IF(AL205&lt;$D205,IF(AL205+($D205/$E205)&lt;$D205,ROUND($D205/$E205,0),ROUND($D205-AL205,0)),0)</f>
        <v>196</v>
      </c>
      <c r="AN205" s="596">
        <f t="shared" si="364"/>
        <v>817</v>
      </c>
      <c r="AO205" s="596">
        <f>IF(AN205&lt;$D205,IF(AN205+($D205/$E205)&lt;$D205,ROUND($D205/$E205,0),ROUND($D205-AN205,0)),0)</f>
        <v>165</v>
      </c>
      <c r="AP205" s="596">
        <f t="shared" si="366"/>
        <v>982</v>
      </c>
      <c r="AQ205" s="597">
        <f>IF(AP205&lt;$D205,IF(AP205+($D205/$E205)&lt;$D205,ROUND($D205/$E205,0),ROUND($D205-AP205,0)),0)</f>
        <v>0</v>
      </c>
      <c r="AR205" s="597">
        <f t="shared" si="368"/>
        <v>982</v>
      </c>
    </row>
    <row r="206" spans="1:44" s="101" customFormat="1" x14ac:dyDescent="0.25">
      <c r="A206" s="312"/>
      <c r="B206" s="349" t="s">
        <v>315</v>
      </c>
      <c r="C206" s="350">
        <v>41214</v>
      </c>
      <c r="D206" s="342">
        <v>899</v>
      </c>
      <c r="E206" s="348">
        <v>10</v>
      </c>
      <c r="F206" s="596"/>
      <c r="G206" s="596"/>
      <c r="H206" s="596"/>
      <c r="I206" s="596"/>
      <c r="J206" s="342"/>
      <c r="K206" s="596"/>
      <c r="L206" s="596"/>
      <c r="M206" s="596"/>
      <c r="N206" s="596"/>
      <c r="O206" s="596"/>
      <c r="P206" s="596"/>
      <c r="Q206" s="596"/>
      <c r="R206" s="596"/>
      <c r="S206" s="596"/>
      <c r="T206" s="596"/>
      <c r="U206" s="596"/>
      <c r="V206" s="596"/>
      <c r="W206" s="596"/>
      <c r="X206" s="596"/>
      <c r="Y206" s="596"/>
      <c r="Z206" s="596"/>
      <c r="AA206" s="596"/>
      <c r="AB206" s="596"/>
      <c r="AC206" s="596"/>
      <c r="AD206" s="596">
        <f t="shared" si="373"/>
        <v>0</v>
      </c>
      <c r="AE206" s="596">
        <f>IF(AD206&lt;$D206,IF(AD206+($D206/$E206)&lt;$D206,ROUND($D206/$E206,0),ROUND($D206-AD206,0)),0)/12*2</f>
        <v>15</v>
      </c>
      <c r="AF206" s="596">
        <f t="shared" si="356"/>
        <v>15</v>
      </c>
      <c r="AG206" s="596">
        <f>IF(AF206&lt;$D206,IF(AF206+($D206/$E206)&lt;$D206,ROUND($D206/$E206,0),ROUND($D206-AF206,0)),0)</f>
        <v>90</v>
      </c>
      <c r="AH206" s="596">
        <f t="shared" si="358"/>
        <v>105</v>
      </c>
      <c r="AI206" s="596">
        <f>IF(AH206&lt;$D206,IF(AH206+($D206/$E206)&lt;$D206,ROUND($D206/$E206,0),ROUND($D206-AH206,0)),0)</f>
        <v>90</v>
      </c>
      <c r="AJ206" s="596">
        <f t="shared" si="360"/>
        <v>195</v>
      </c>
      <c r="AK206" s="596">
        <f>IF(AJ206&lt;$D206,IF(AJ206+($D206/$E206)&lt;$D206,ROUND($D206/$E206,0),ROUND($D206-AJ206,0)),0)</f>
        <v>90</v>
      </c>
      <c r="AL206" s="596">
        <f t="shared" si="362"/>
        <v>285</v>
      </c>
      <c r="AM206" s="596">
        <f>IF(AL206&lt;$D206,IF(AL206+($D206/$E206)&lt;$D206,ROUND($D206/$E206,0),ROUND($D206-AL206,0)),0)</f>
        <v>90</v>
      </c>
      <c r="AN206" s="596">
        <f t="shared" si="364"/>
        <v>375</v>
      </c>
      <c r="AO206" s="596">
        <f>IF(AN206&lt;$D206,IF(AN206+($D206/$E206)&lt;$D206,ROUND($D206/$E206,0),ROUND($D206-AN206,0)),0)</f>
        <v>90</v>
      </c>
      <c r="AP206" s="596">
        <f t="shared" si="366"/>
        <v>465</v>
      </c>
      <c r="AQ206" s="597">
        <f>IF(AP206&lt;$D206,IF(AP206+($D206/$E206)&lt;$D206,ROUND($D206/$E206,0),ROUND($D206-AP206,0)),0)</f>
        <v>90</v>
      </c>
      <c r="AR206" s="597">
        <f t="shared" si="368"/>
        <v>555</v>
      </c>
    </row>
    <row r="207" spans="1:44" s="101" customFormat="1" x14ac:dyDescent="0.25">
      <c r="A207" s="312"/>
      <c r="B207" s="349" t="s">
        <v>662</v>
      </c>
      <c r="C207" s="350">
        <v>41275</v>
      </c>
      <c r="D207" s="342">
        <v>324.58999999999997</v>
      </c>
      <c r="E207" s="348">
        <v>5</v>
      </c>
      <c r="F207" s="596"/>
      <c r="G207" s="596"/>
      <c r="H207" s="596"/>
      <c r="I207" s="596"/>
      <c r="J207" s="342"/>
      <c r="K207" s="596"/>
      <c r="L207" s="596"/>
      <c r="M207" s="596"/>
      <c r="N207" s="596"/>
      <c r="O207" s="596"/>
      <c r="P207" s="596"/>
      <c r="Q207" s="596"/>
      <c r="R207" s="596"/>
      <c r="S207" s="596"/>
      <c r="T207" s="596"/>
      <c r="U207" s="596"/>
      <c r="V207" s="596"/>
      <c r="W207" s="596"/>
      <c r="X207" s="596"/>
      <c r="Y207" s="596"/>
      <c r="Z207" s="596"/>
      <c r="AA207" s="596"/>
      <c r="AB207" s="596"/>
      <c r="AC207" s="596"/>
      <c r="AD207" s="596"/>
      <c r="AE207" s="596"/>
      <c r="AF207" s="596"/>
      <c r="AG207" s="596">
        <f>IF(AF207&lt;$D207,IF(AF207+($D207/$E207)&lt;$D207,ROUND($D207/$E207,0),ROUND($D207-AF207,0)),0)</f>
        <v>65</v>
      </c>
      <c r="AH207" s="596">
        <f t="shared" si="358"/>
        <v>65</v>
      </c>
      <c r="AI207" s="596">
        <f>IF(AH207&lt;$D207,IF(AH207+($D207/$E207)&lt;$D207,ROUND($D207/$E207,0),ROUND($D207-AH207,0)),0)</f>
        <v>65</v>
      </c>
      <c r="AJ207" s="596">
        <f t="shared" si="360"/>
        <v>130</v>
      </c>
      <c r="AK207" s="596">
        <f>IF(AJ207&lt;$D207,IF(AJ207+($D207/$E207)&lt;$D207,ROUND($D207/$E207,0),ROUND($D207-AJ207,0)),0)</f>
        <v>65</v>
      </c>
      <c r="AL207" s="596">
        <f t="shared" si="362"/>
        <v>195</v>
      </c>
      <c r="AM207" s="596">
        <f>IF(AL207&lt;$D207,IF(AL207+($D207/$E207)&lt;$D207,ROUND($D207/$E207,0),ROUND($D207-AL207,0)),0)</f>
        <v>65</v>
      </c>
      <c r="AN207" s="596">
        <f t="shared" si="364"/>
        <v>260</v>
      </c>
      <c r="AO207" s="596">
        <f>IF(AN207&lt;$D207,IF(AN207+($D207/$E207)&lt;$D207,ROUND($D207/$E207,0),ROUND($D207-AN207,0)),0)</f>
        <v>65</v>
      </c>
      <c r="AP207" s="596">
        <f t="shared" si="366"/>
        <v>325</v>
      </c>
      <c r="AQ207" s="597">
        <f>IF(AP207&lt;$D207,IF(AP207+($D207/$E207)&lt;$D207,ROUND($D207/$E207,0),ROUND($D207-AP207,0)),0)</f>
        <v>0</v>
      </c>
      <c r="AR207" s="597">
        <f t="shared" si="368"/>
        <v>325</v>
      </c>
    </row>
    <row r="208" spans="1:44" s="101" customFormat="1" x14ac:dyDescent="0.25">
      <c r="A208" s="312"/>
      <c r="B208" s="349" t="s">
        <v>187</v>
      </c>
      <c r="C208" s="350">
        <v>41821</v>
      </c>
      <c r="D208" s="342">
        <v>551.76</v>
      </c>
      <c r="E208" s="348">
        <v>5</v>
      </c>
      <c r="F208" s="596"/>
      <c r="G208" s="596"/>
      <c r="H208" s="596"/>
      <c r="I208" s="596"/>
      <c r="J208" s="342"/>
      <c r="K208" s="596"/>
      <c r="L208" s="596"/>
      <c r="M208" s="596"/>
      <c r="N208" s="596"/>
      <c r="O208" s="596"/>
      <c r="P208" s="596"/>
      <c r="Q208" s="596"/>
      <c r="R208" s="596"/>
      <c r="S208" s="596"/>
      <c r="T208" s="596"/>
      <c r="U208" s="596"/>
      <c r="V208" s="596"/>
      <c r="W208" s="596"/>
      <c r="X208" s="596"/>
      <c r="Y208" s="596"/>
      <c r="Z208" s="596"/>
      <c r="AA208" s="596"/>
      <c r="AB208" s="596"/>
      <c r="AC208" s="596"/>
      <c r="AD208" s="596"/>
      <c r="AE208" s="596"/>
      <c r="AF208" s="596"/>
      <c r="AG208" s="596"/>
      <c r="AH208" s="596"/>
      <c r="AI208" s="596">
        <f>IF(AH208&lt;$D208,IF(AH208+($D208/$E208)&lt;$D208,ROUND($D208/$E208,0),ROUND($D208-AH208,0)),0)/12*6</f>
        <v>55</v>
      </c>
      <c r="AJ208" s="596">
        <f t="shared" si="360"/>
        <v>55</v>
      </c>
      <c r="AK208" s="596">
        <f t="shared" ref="AK208:AK211" si="374">IF(AJ208&lt;$D208,IF(AJ208+($D208/$E208)&lt;$D208,ROUND($D208/$E208,0),ROUND($D208-AJ208,0)),0)</f>
        <v>110</v>
      </c>
      <c r="AL208" s="596">
        <f t="shared" si="362"/>
        <v>165</v>
      </c>
      <c r="AM208" s="596">
        <f t="shared" ref="AM208:AM213" si="375">IF(AL208&lt;$D208,IF(AL208+($D208/$E208)&lt;$D208,ROUND($D208/$E208,0),ROUND($D208-AL208,0)),0)</f>
        <v>110</v>
      </c>
      <c r="AN208" s="596">
        <f t="shared" si="364"/>
        <v>275</v>
      </c>
      <c r="AO208" s="596">
        <f t="shared" ref="AO208:AO215" si="376">IF(AN208&lt;$D208,IF(AN208+($D208/$E208)&lt;$D208,ROUND($D208/$E208,0),ROUND($D208-AN208,0)),0)</f>
        <v>110</v>
      </c>
      <c r="AP208" s="596">
        <f t="shared" si="366"/>
        <v>385</v>
      </c>
      <c r="AQ208" s="597">
        <f t="shared" ref="AQ208:AQ215" si="377">IF(AP208&lt;$D208,IF(AP208+($D208/$E208)&lt;$D208,ROUND($D208/$E208,0),ROUND($D208-AP208,0)),0)</f>
        <v>110</v>
      </c>
      <c r="AR208" s="597">
        <f t="shared" si="368"/>
        <v>495</v>
      </c>
    </row>
    <row r="209" spans="1:44" s="101" customFormat="1" x14ac:dyDescent="0.25">
      <c r="A209" s="312"/>
      <c r="B209" s="349" t="s">
        <v>663</v>
      </c>
      <c r="C209" s="350">
        <v>41821</v>
      </c>
      <c r="D209" s="342">
        <v>777.54</v>
      </c>
      <c r="E209" s="348">
        <v>5</v>
      </c>
      <c r="F209" s="596"/>
      <c r="G209" s="596"/>
      <c r="H209" s="596"/>
      <c r="I209" s="596"/>
      <c r="J209" s="342"/>
      <c r="K209" s="596"/>
      <c r="L209" s="596"/>
      <c r="M209" s="596"/>
      <c r="N209" s="596"/>
      <c r="O209" s="596"/>
      <c r="P209" s="596"/>
      <c r="Q209" s="596"/>
      <c r="R209" s="596"/>
      <c r="S209" s="596"/>
      <c r="T209" s="596"/>
      <c r="U209" s="596"/>
      <c r="V209" s="596"/>
      <c r="W209" s="596"/>
      <c r="X209" s="596"/>
      <c r="Y209" s="596"/>
      <c r="Z209" s="596"/>
      <c r="AA209" s="596"/>
      <c r="AB209" s="596"/>
      <c r="AC209" s="596"/>
      <c r="AD209" s="596"/>
      <c r="AE209" s="596"/>
      <c r="AF209" s="596"/>
      <c r="AG209" s="596"/>
      <c r="AH209" s="596"/>
      <c r="AI209" s="596">
        <f>IF(AH209&lt;$D209,IF(AH209+($D209/$E209)&lt;$D209,ROUND($D209/$E209,0),ROUND($D209-AH209,0)),0)/12*6</f>
        <v>78</v>
      </c>
      <c r="AJ209" s="596">
        <f t="shared" si="360"/>
        <v>78</v>
      </c>
      <c r="AK209" s="596">
        <f t="shared" si="374"/>
        <v>156</v>
      </c>
      <c r="AL209" s="596">
        <f t="shared" si="362"/>
        <v>234</v>
      </c>
      <c r="AM209" s="596">
        <f t="shared" si="375"/>
        <v>156</v>
      </c>
      <c r="AN209" s="596">
        <f t="shared" si="364"/>
        <v>390</v>
      </c>
      <c r="AO209" s="596">
        <f t="shared" si="376"/>
        <v>156</v>
      </c>
      <c r="AP209" s="596">
        <f t="shared" si="366"/>
        <v>546</v>
      </c>
      <c r="AQ209" s="597">
        <f t="shared" si="377"/>
        <v>156</v>
      </c>
      <c r="AR209" s="597">
        <f t="shared" si="368"/>
        <v>702</v>
      </c>
    </row>
    <row r="210" spans="1:44" s="101" customFormat="1" x14ac:dyDescent="0.25">
      <c r="A210" s="312"/>
      <c r="B210" s="349" t="s">
        <v>664</v>
      </c>
      <c r="C210" s="350">
        <v>41852</v>
      </c>
      <c r="D210" s="342">
        <v>647.73</v>
      </c>
      <c r="E210" s="348">
        <v>5</v>
      </c>
      <c r="F210" s="596"/>
      <c r="G210" s="596"/>
      <c r="H210" s="596"/>
      <c r="I210" s="596"/>
      <c r="J210" s="342"/>
      <c r="K210" s="596"/>
      <c r="L210" s="596"/>
      <c r="M210" s="596"/>
      <c r="N210" s="596"/>
      <c r="O210" s="596"/>
      <c r="P210" s="596"/>
      <c r="Q210" s="596"/>
      <c r="R210" s="596"/>
      <c r="S210" s="596"/>
      <c r="T210" s="596"/>
      <c r="U210" s="596"/>
      <c r="V210" s="596"/>
      <c r="W210" s="596"/>
      <c r="X210" s="596"/>
      <c r="Y210" s="596"/>
      <c r="Z210" s="596"/>
      <c r="AA210" s="596"/>
      <c r="AB210" s="596"/>
      <c r="AC210" s="596"/>
      <c r="AD210" s="596"/>
      <c r="AE210" s="596"/>
      <c r="AF210" s="596"/>
      <c r="AG210" s="596"/>
      <c r="AH210" s="596"/>
      <c r="AI210" s="596">
        <f>IF(AH210&lt;$D210,IF(AH210+($D210/$E210)&lt;$D210,ROUND($D210/$E210,0),ROUND($D210-AH210,0)),0)/12*5</f>
        <v>54.166666666666671</v>
      </c>
      <c r="AJ210" s="596">
        <f t="shared" si="360"/>
        <v>54</v>
      </c>
      <c r="AK210" s="596">
        <f t="shared" si="374"/>
        <v>130</v>
      </c>
      <c r="AL210" s="596">
        <f t="shared" si="362"/>
        <v>184</v>
      </c>
      <c r="AM210" s="596">
        <f t="shared" si="375"/>
        <v>130</v>
      </c>
      <c r="AN210" s="596">
        <f t="shared" si="364"/>
        <v>314</v>
      </c>
      <c r="AO210" s="596">
        <f t="shared" si="376"/>
        <v>130</v>
      </c>
      <c r="AP210" s="596">
        <f t="shared" si="366"/>
        <v>444</v>
      </c>
      <c r="AQ210" s="597">
        <f t="shared" si="377"/>
        <v>130</v>
      </c>
      <c r="AR210" s="597">
        <f t="shared" si="368"/>
        <v>574</v>
      </c>
    </row>
    <row r="211" spans="1:44" s="101" customFormat="1" x14ac:dyDescent="0.25">
      <c r="A211" s="312"/>
      <c r="B211" s="349" t="s">
        <v>665</v>
      </c>
      <c r="C211" s="350">
        <v>41973</v>
      </c>
      <c r="D211" s="342">
        <v>826.26</v>
      </c>
      <c r="E211" s="348">
        <v>5</v>
      </c>
      <c r="F211" s="596"/>
      <c r="G211" s="596"/>
      <c r="H211" s="596"/>
      <c r="I211" s="596"/>
      <c r="J211" s="342"/>
      <c r="K211" s="596"/>
      <c r="L211" s="596"/>
      <c r="M211" s="596"/>
      <c r="N211" s="596"/>
      <c r="O211" s="596"/>
      <c r="P211" s="596"/>
      <c r="Q211" s="596"/>
      <c r="R211" s="596"/>
      <c r="S211" s="596"/>
      <c r="T211" s="596"/>
      <c r="U211" s="596"/>
      <c r="V211" s="596"/>
      <c r="W211" s="596"/>
      <c r="X211" s="596"/>
      <c r="Y211" s="596"/>
      <c r="Z211" s="596"/>
      <c r="AA211" s="596"/>
      <c r="AB211" s="596"/>
      <c r="AC211" s="596"/>
      <c r="AD211" s="596"/>
      <c r="AE211" s="596"/>
      <c r="AF211" s="596"/>
      <c r="AG211" s="596"/>
      <c r="AH211" s="596"/>
      <c r="AI211" s="596">
        <f>IF(AH211&lt;$D211,IF(AH211+($D211/$E211)&lt;$D211,ROUND($D211/$E211,0),ROUND($D211-AH211,0)),0)/12*1</f>
        <v>13.75</v>
      </c>
      <c r="AJ211" s="596">
        <f t="shared" si="360"/>
        <v>14</v>
      </c>
      <c r="AK211" s="596">
        <f t="shared" si="374"/>
        <v>165</v>
      </c>
      <c r="AL211" s="596">
        <f t="shared" si="362"/>
        <v>179</v>
      </c>
      <c r="AM211" s="596">
        <f t="shared" si="375"/>
        <v>165</v>
      </c>
      <c r="AN211" s="596">
        <f t="shared" si="364"/>
        <v>344</v>
      </c>
      <c r="AO211" s="596">
        <f t="shared" si="376"/>
        <v>165</v>
      </c>
      <c r="AP211" s="596">
        <f t="shared" si="366"/>
        <v>509</v>
      </c>
      <c r="AQ211" s="597">
        <f t="shared" si="377"/>
        <v>165</v>
      </c>
      <c r="AR211" s="597">
        <f t="shared" si="368"/>
        <v>674</v>
      </c>
    </row>
    <row r="212" spans="1:44" s="101" customFormat="1" x14ac:dyDescent="0.25">
      <c r="A212" s="312"/>
      <c r="B212" s="349" t="s">
        <v>666</v>
      </c>
      <c r="C212" s="350">
        <v>42035</v>
      </c>
      <c r="D212" s="342">
        <v>593.62</v>
      </c>
      <c r="E212" s="348">
        <v>5</v>
      </c>
      <c r="F212" s="596"/>
      <c r="G212" s="596"/>
      <c r="H212" s="596"/>
      <c r="I212" s="596"/>
      <c r="J212" s="342"/>
      <c r="K212" s="596"/>
      <c r="L212" s="596"/>
      <c r="M212" s="596"/>
      <c r="N212" s="596"/>
      <c r="O212" s="596"/>
      <c r="P212" s="596"/>
      <c r="Q212" s="596"/>
      <c r="R212" s="596"/>
      <c r="S212" s="596"/>
      <c r="T212" s="596"/>
      <c r="U212" s="596"/>
      <c r="V212" s="596"/>
      <c r="W212" s="596"/>
      <c r="X212" s="596"/>
      <c r="Y212" s="596"/>
      <c r="Z212" s="596"/>
      <c r="AA212" s="596"/>
      <c r="AB212" s="596"/>
      <c r="AC212" s="596"/>
      <c r="AD212" s="596"/>
      <c r="AE212" s="596"/>
      <c r="AF212" s="596"/>
      <c r="AG212" s="596"/>
      <c r="AH212" s="596"/>
      <c r="AI212" s="596"/>
      <c r="AJ212" s="596"/>
      <c r="AK212" s="596">
        <f>IF(AJ212&lt;$D212,IF(AJ212+($D212/$E212)&lt;$D212,ROUND($D212/$E212,0),ROUND($D212-AJ212,0)),0)/12*11</f>
        <v>109.08333333333333</v>
      </c>
      <c r="AL212" s="596">
        <f t="shared" si="362"/>
        <v>109</v>
      </c>
      <c r="AM212" s="596">
        <f t="shared" si="375"/>
        <v>119</v>
      </c>
      <c r="AN212" s="596">
        <f t="shared" si="364"/>
        <v>228</v>
      </c>
      <c r="AO212" s="596">
        <f t="shared" si="376"/>
        <v>119</v>
      </c>
      <c r="AP212" s="596">
        <f t="shared" si="366"/>
        <v>347</v>
      </c>
      <c r="AQ212" s="597">
        <f t="shared" si="377"/>
        <v>119</v>
      </c>
      <c r="AR212" s="597">
        <f t="shared" si="368"/>
        <v>466</v>
      </c>
    </row>
    <row r="213" spans="1:44" s="101" customFormat="1" x14ac:dyDescent="0.25">
      <c r="A213" s="312"/>
      <c r="B213" s="349" t="s">
        <v>667</v>
      </c>
      <c r="C213" s="350">
        <v>42308</v>
      </c>
      <c r="D213" s="342">
        <v>809.05</v>
      </c>
      <c r="E213" s="348">
        <v>5</v>
      </c>
      <c r="F213" s="596"/>
      <c r="G213" s="596"/>
      <c r="H213" s="596"/>
      <c r="I213" s="596"/>
      <c r="J213" s="342"/>
      <c r="K213" s="596"/>
      <c r="L213" s="596"/>
      <c r="M213" s="596"/>
      <c r="N213" s="596"/>
      <c r="O213" s="596"/>
      <c r="P213" s="596"/>
      <c r="Q213" s="596"/>
      <c r="R213" s="596"/>
      <c r="S213" s="596"/>
      <c r="T213" s="596"/>
      <c r="U213" s="596"/>
      <c r="V213" s="596"/>
      <c r="W213" s="596"/>
      <c r="X213" s="596"/>
      <c r="Y213" s="596"/>
      <c r="Z213" s="596"/>
      <c r="AA213" s="596"/>
      <c r="AB213" s="596"/>
      <c r="AC213" s="596"/>
      <c r="AD213" s="596"/>
      <c r="AE213" s="596"/>
      <c r="AF213" s="596"/>
      <c r="AG213" s="596"/>
      <c r="AH213" s="596"/>
      <c r="AI213" s="596"/>
      <c r="AJ213" s="596"/>
      <c r="AK213" s="596">
        <f>IF(AJ213&lt;$D213,IF(AJ213+($D213/$E213)&lt;$D213,ROUND($D213/$E213,0),ROUND($D213-AJ213,0)),0)/12*2</f>
        <v>27</v>
      </c>
      <c r="AL213" s="596">
        <f t="shared" si="362"/>
        <v>27</v>
      </c>
      <c r="AM213" s="596">
        <f t="shared" si="375"/>
        <v>162</v>
      </c>
      <c r="AN213" s="596">
        <f t="shared" si="364"/>
        <v>189</v>
      </c>
      <c r="AO213" s="596">
        <f t="shared" si="376"/>
        <v>162</v>
      </c>
      <c r="AP213" s="596">
        <f t="shared" si="366"/>
        <v>351</v>
      </c>
      <c r="AQ213" s="597">
        <f t="shared" si="377"/>
        <v>162</v>
      </c>
      <c r="AR213" s="597">
        <f t="shared" si="368"/>
        <v>513</v>
      </c>
    </row>
    <row r="214" spans="1:44" s="101" customFormat="1" x14ac:dyDescent="0.25">
      <c r="A214" s="312"/>
      <c r="B214" s="349" t="s">
        <v>668</v>
      </c>
      <c r="C214" s="350">
        <v>42521</v>
      </c>
      <c r="D214" s="342">
        <v>757.36</v>
      </c>
      <c r="E214" s="348">
        <v>5</v>
      </c>
      <c r="F214" s="596"/>
      <c r="G214" s="596"/>
      <c r="H214" s="596"/>
      <c r="I214" s="596"/>
      <c r="J214" s="342"/>
      <c r="K214" s="596"/>
      <c r="L214" s="596"/>
      <c r="M214" s="596"/>
      <c r="N214" s="596"/>
      <c r="O214" s="596"/>
      <c r="P214" s="596"/>
      <c r="Q214" s="596"/>
      <c r="R214" s="596"/>
      <c r="S214" s="596"/>
      <c r="T214" s="596"/>
      <c r="U214" s="596"/>
      <c r="V214" s="596"/>
      <c r="W214" s="596"/>
      <c r="X214" s="596"/>
      <c r="Y214" s="596"/>
      <c r="Z214" s="596"/>
      <c r="AA214" s="596"/>
      <c r="AB214" s="596"/>
      <c r="AC214" s="596"/>
      <c r="AD214" s="596"/>
      <c r="AE214" s="596"/>
      <c r="AF214" s="596"/>
      <c r="AG214" s="596"/>
      <c r="AH214" s="596"/>
      <c r="AI214" s="596"/>
      <c r="AJ214" s="596"/>
      <c r="AK214" s="596"/>
      <c r="AL214" s="596"/>
      <c r="AM214" s="596">
        <f>IF(AL214&lt;$D214,IF(AL214+($D214/$E214)&lt;$D214,ROUND($D214/$E214,0),ROUND($D214-AL214,0)),0)/12*7</f>
        <v>88.083333333333343</v>
      </c>
      <c r="AN214" s="596">
        <f t="shared" si="364"/>
        <v>88</v>
      </c>
      <c r="AO214" s="596">
        <f t="shared" si="376"/>
        <v>151</v>
      </c>
      <c r="AP214" s="596">
        <f t="shared" si="366"/>
        <v>239</v>
      </c>
      <c r="AQ214" s="597">
        <f t="shared" si="377"/>
        <v>151</v>
      </c>
      <c r="AR214" s="597">
        <f t="shared" si="368"/>
        <v>390</v>
      </c>
    </row>
    <row r="215" spans="1:44" s="101" customFormat="1" x14ac:dyDescent="0.25">
      <c r="A215" s="312"/>
      <c r="B215" s="349" t="s">
        <v>669</v>
      </c>
      <c r="C215" s="350">
        <v>42400</v>
      </c>
      <c r="D215" s="342">
        <v>978.06</v>
      </c>
      <c r="E215" s="348">
        <v>5</v>
      </c>
      <c r="F215" s="596"/>
      <c r="G215" s="596"/>
      <c r="H215" s="596"/>
      <c r="I215" s="596"/>
      <c r="J215" s="342"/>
      <c r="K215" s="596"/>
      <c r="L215" s="596"/>
      <c r="M215" s="596"/>
      <c r="N215" s="596"/>
      <c r="O215" s="596"/>
      <c r="P215" s="596"/>
      <c r="Q215" s="596"/>
      <c r="R215" s="596"/>
      <c r="S215" s="596"/>
      <c r="T215" s="596"/>
      <c r="U215" s="596"/>
      <c r="V215" s="596"/>
      <c r="W215" s="596"/>
      <c r="X215" s="596"/>
      <c r="Y215" s="596"/>
      <c r="Z215" s="596"/>
      <c r="AA215" s="596"/>
      <c r="AB215" s="596"/>
      <c r="AC215" s="596"/>
      <c r="AD215" s="596"/>
      <c r="AE215" s="596"/>
      <c r="AF215" s="596"/>
      <c r="AG215" s="596"/>
      <c r="AH215" s="596"/>
      <c r="AI215" s="596"/>
      <c r="AJ215" s="596"/>
      <c r="AK215" s="596"/>
      <c r="AL215" s="596"/>
      <c r="AM215" s="596">
        <f>IF(AL215&lt;$D215,IF(AL215+($D215/$E215)&lt;$D215,ROUND($D215/$E215,0),ROUND($D215-AL215,0)),0)/12*11</f>
        <v>179.66666666666666</v>
      </c>
      <c r="AN215" s="596">
        <f t="shared" si="364"/>
        <v>180</v>
      </c>
      <c r="AO215" s="596">
        <f t="shared" si="376"/>
        <v>196</v>
      </c>
      <c r="AP215" s="596">
        <f t="shared" si="366"/>
        <v>376</v>
      </c>
      <c r="AQ215" s="597">
        <f t="shared" si="377"/>
        <v>196</v>
      </c>
      <c r="AR215" s="597">
        <f t="shared" si="368"/>
        <v>572</v>
      </c>
    </row>
    <row r="216" spans="1:44" s="101" customFormat="1" x14ac:dyDescent="0.25">
      <c r="A216" s="312"/>
      <c r="B216" s="351" t="s">
        <v>540</v>
      </c>
      <c r="C216" s="360"/>
      <c r="D216" s="357"/>
      <c r="E216" s="357"/>
      <c r="F216" s="357"/>
      <c r="G216" s="357"/>
      <c r="H216" s="357"/>
      <c r="I216" s="361"/>
      <c r="J216" s="361"/>
      <c r="K216" s="361"/>
      <c r="L216" s="361"/>
      <c r="M216" s="361"/>
      <c r="N216" s="361"/>
      <c r="O216" s="361"/>
      <c r="P216" s="361"/>
      <c r="Q216" s="361"/>
      <c r="R216" s="361"/>
      <c r="S216" s="361"/>
      <c r="T216" s="361"/>
      <c r="U216" s="361"/>
      <c r="V216" s="357"/>
      <c r="W216" s="357"/>
      <c r="X216" s="357"/>
      <c r="Y216" s="315"/>
      <c r="Z216" s="315">
        <v>0</v>
      </c>
      <c r="AA216" s="357"/>
      <c r="AB216" s="357">
        <v>0</v>
      </c>
      <c r="AC216" s="357"/>
      <c r="AD216" s="357"/>
      <c r="AE216" s="357"/>
      <c r="AF216" s="357">
        <v>0</v>
      </c>
      <c r="AG216" s="357"/>
      <c r="AH216" s="357">
        <v>-161</v>
      </c>
      <c r="AI216" s="357">
        <v>0</v>
      </c>
      <c r="AJ216" s="357">
        <v>0</v>
      </c>
      <c r="AK216" s="357"/>
      <c r="AL216" s="601">
        <v>0</v>
      </c>
      <c r="AM216" s="357"/>
      <c r="AN216" s="601">
        <v>0</v>
      </c>
      <c r="AO216" s="357"/>
      <c r="AP216" s="601">
        <v>-1721</v>
      </c>
      <c r="AQ216" s="610"/>
      <c r="AR216" s="603"/>
    </row>
    <row r="217" spans="1:44" s="101" customFormat="1" x14ac:dyDescent="0.25">
      <c r="A217" s="376" t="s">
        <v>593</v>
      </c>
      <c r="B217" s="372"/>
      <c r="C217" s="346"/>
      <c r="D217" s="618">
        <f>SUM(D187:D216)</f>
        <v>44003.310000000019</v>
      </c>
      <c r="E217" s="324"/>
      <c r="F217" s="373">
        <f>SUM(F187:F191)</f>
        <v>914</v>
      </c>
      <c r="G217" s="373">
        <f>SUM(G187:G191)</f>
        <v>102</v>
      </c>
      <c r="H217" s="373">
        <f>SUM(H187:H191)</f>
        <v>1016</v>
      </c>
      <c r="I217" s="373">
        <f>SUM(I187:I192)</f>
        <v>2178</v>
      </c>
      <c r="J217" s="373">
        <f>SUM(J187:J192)</f>
        <v>3194</v>
      </c>
      <c r="K217" s="373">
        <f>SUM(K187:K192)</f>
        <v>2178</v>
      </c>
      <c r="L217" s="373">
        <f>SUM(L187:L192)</f>
        <v>5372</v>
      </c>
      <c r="M217" s="373">
        <f t="shared" ref="M217:AR217" si="378">SUM(M187:M216)</f>
        <v>2178</v>
      </c>
      <c r="N217" s="373">
        <f t="shared" si="378"/>
        <v>7550</v>
      </c>
      <c r="O217" s="373">
        <f t="shared" si="378"/>
        <v>2543.5</v>
      </c>
      <c r="P217" s="373">
        <f t="shared" si="378"/>
        <v>10094</v>
      </c>
      <c r="Q217" s="373">
        <f t="shared" si="378"/>
        <v>3052</v>
      </c>
      <c r="R217" s="373">
        <f t="shared" si="378"/>
        <v>13146</v>
      </c>
      <c r="S217" s="373">
        <f t="shared" si="378"/>
        <v>3169</v>
      </c>
      <c r="T217" s="373">
        <f t="shared" si="378"/>
        <v>16315</v>
      </c>
      <c r="U217" s="373">
        <f t="shared" si="378"/>
        <v>3201.25</v>
      </c>
      <c r="V217" s="373">
        <f t="shared" si="378"/>
        <v>19516</v>
      </c>
      <c r="W217" s="373">
        <f t="shared" si="378"/>
        <v>4294.916666666667</v>
      </c>
      <c r="X217" s="373">
        <f t="shared" si="378"/>
        <v>23812</v>
      </c>
      <c r="Y217" s="374">
        <f t="shared" si="378"/>
        <v>2258</v>
      </c>
      <c r="Z217" s="374">
        <f t="shared" si="378"/>
        <v>26070</v>
      </c>
      <c r="AA217" s="373">
        <f t="shared" si="378"/>
        <v>1727</v>
      </c>
      <c r="AB217" s="373">
        <f t="shared" si="378"/>
        <v>27797</v>
      </c>
      <c r="AC217" s="373">
        <f t="shared" si="378"/>
        <v>1823.5833333333333</v>
      </c>
      <c r="AD217" s="373">
        <f t="shared" si="378"/>
        <v>29621</v>
      </c>
      <c r="AE217" s="373">
        <f t="shared" si="378"/>
        <v>2381.25</v>
      </c>
      <c r="AF217" s="373">
        <f t="shared" si="378"/>
        <v>32002</v>
      </c>
      <c r="AG217" s="374">
        <f t="shared" si="378"/>
        <v>1699</v>
      </c>
      <c r="AH217" s="374">
        <f t="shared" si="378"/>
        <v>33540</v>
      </c>
      <c r="AI217" s="373">
        <f t="shared" si="378"/>
        <v>1440.9166666666667</v>
      </c>
      <c r="AJ217" s="373">
        <f t="shared" si="378"/>
        <v>35142</v>
      </c>
      <c r="AK217" s="373">
        <f t="shared" si="378"/>
        <v>1937.0833333333333</v>
      </c>
      <c r="AL217" s="373">
        <f t="shared" si="378"/>
        <v>37079</v>
      </c>
      <c r="AM217" s="373">
        <f t="shared" si="378"/>
        <v>2119.75</v>
      </c>
      <c r="AN217" s="373">
        <f t="shared" si="378"/>
        <v>39199</v>
      </c>
      <c r="AO217" s="373">
        <f t="shared" si="378"/>
        <v>1627</v>
      </c>
      <c r="AP217" s="373">
        <f t="shared" si="378"/>
        <v>39105</v>
      </c>
      <c r="AQ217" s="619">
        <f t="shared" si="378"/>
        <v>1279</v>
      </c>
      <c r="AR217" s="619">
        <f t="shared" si="378"/>
        <v>42105</v>
      </c>
    </row>
    <row r="218" spans="1:44" x14ac:dyDescent="0.25">
      <c r="A218" s="376"/>
      <c r="B218" s="372"/>
      <c r="C218" s="346"/>
      <c r="D218" s="620">
        <f>D217-AJ217</f>
        <v>8861.3100000000195</v>
      </c>
      <c r="E218" s="606" t="s">
        <v>643</v>
      </c>
      <c r="F218" s="366"/>
      <c r="G218" s="366"/>
      <c r="H218" s="366"/>
      <c r="I218" s="366"/>
      <c r="J218" s="366"/>
      <c r="K218" s="366"/>
      <c r="L218" s="366"/>
      <c r="M218" s="366"/>
      <c r="N218" s="366"/>
      <c r="O218" s="366"/>
      <c r="P218" s="366"/>
      <c r="Q218" s="366"/>
      <c r="R218" s="366"/>
      <c r="S218" s="366"/>
      <c r="T218" s="366"/>
      <c r="U218" s="366"/>
      <c r="V218" s="366"/>
      <c r="W218" s="366"/>
      <c r="X218" s="366"/>
      <c r="Y218" s="342"/>
      <c r="Z218" s="342"/>
      <c r="AA218" s="366"/>
      <c r="AB218" s="366"/>
      <c r="AC218" s="366"/>
      <c r="AD218" s="366"/>
      <c r="AE218" s="366"/>
      <c r="AF218" s="366"/>
      <c r="AG218" s="342"/>
      <c r="AH218" s="342"/>
      <c r="AI218" s="366"/>
      <c r="AJ218" s="366"/>
      <c r="AK218" s="366"/>
      <c r="AL218" s="366"/>
      <c r="AM218" s="366"/>
      <c r="AN218" s="366"/>
      <c r="AO218" s="366"/>
      <c r="AP218" s="366"/>
      <c r="AQ218" s="621"/>
      <c r="AR218" s="621"/>
    </row>
    <row r="219" spans="1:44" x14ac:dyDescent="0.25">
      <c r="A219" s="376"/>
      <c r="B219" s="372"/>
      <c r="C219" s="346"/>
      <c r="D219" s="366"/>
      <c r="E219" s="324"/>
      <c r="F219" s="366"/>
      <c r="G219" s="366"/>
      <c r="H219" s="366"/>
      <c r="I219" s="366"/>
      <c r="J219" s="366"/>
      <c r="K219" s="366"/>
      <c r="L219" s="366"/>
      <c r="M219" s="366"/>
      <c r="N219" s="366"/>
      <c r="O219" s="366"/>
      <c r="P219" s="366"/>
      <c r="Q219" s="366"/>
      <c r="R219" s="366"/>
      <c r="S219" s="366"/>
      <c r="T219" s="366"/>
      <c r="U219" s="366"/>
      <c r="V219" s="366"/>
      <c r="W219" s="366"/>
      <c r="X219" s="366"/>
      <c r="Y219" s="342"/>
      <c r="Z219" s="342"/>
      <c r="AA219" s="366"/>
      <c r="AB219" s="366"/>
      <c r="AC219" s="366"/>
      <c r="AD219" s="366"/>
      <c r="AE219" s="366"/>
      <c r="AF219" s="366"/>
      <c r="AG219" s="342"/>
      <c r="AH219" s="342"/>
      <c r="AI219" s="366"/>
      <c r="AJ219" s="366"/>
      <c r="AK219" s="366"/>
      <c r="AL219" s="366"/>
      <c r="AM219" s="366"/>
      <c r="AN219" s="366"/>
      <c r="AO219" s="366"/>
      <c r="AP219" s="366"/>
      <c r="AQ219" s="621"/>
      <c r="AR219" s="621"/>
    </row>
    <row r="220" spans="1:44" ht="13.5" thickBot="1" x14ac:dyDescent="0.3">
      <c r="A220" s="344" t="s">
        <v>594</v>
      </c>
      <c r="B220" s="376"/>
      <c r="C220" s="346"/>
      <c r="D220" s="643">
        <f>SUM(D184,D217)</f>
        <v>235486.80000000002</v>
      </c>
      <c r="E220" s="324"/>
      <c r="F220" s="355">
        <f t="shared" ref="F220:AR220" si="379">SUM(F184,F217)</f>
        <v>8349</v>
      </c>
      <c r="G220" s="355">
        <f t="shared" si="379"/>
        <v>474</v>
      </c>
      <c r="H220" s="355">
        <f t="shared" si="379"/>
        <v>8823</v>
      </c>
      <c r="I220" s="355">
        <f t="shared" si="379"/>
        <v>9610</v>
      </c>
      <c r="J220" s="355">
        <f t="shared" si="379"/>
        <v>18433</v>
      </c>
      <c r="K220" s="355">
        <f t="shared" si="379"/>
        <v>12307</v>
      </c>
      <c r="L220" s="355">
        <f t="shared" si="379"/>
        <v>28024</v>
      </c>
      <c r="M220" s="355">
        <f t="shared" si="379"/>
        <v>12434</v>
      </c>
      <c r="N220" s="355">
        <f t="shared" si="379"/>
        <v>40458</v>
      </c>
      <c r="O220" s="355">
        <f t="shared" si="379"/>
        <v>12799.833333333334</v>
      </c>
      <c r="P220" s="355">
        <f t="shared" si="379"/>
        <v>53258</v>
      </c>
      <c r="Q220" s="355">
        <f t="shared" si="379"/>
        <v>13437</v>
      </c>
      <c r="R220" s="355">
        <f t="shared" si="379"/>
        <v>66695</v>
      </c>
      <c r="S220" s="355">
        <f t="shared" si="379"/>
        <v>13554</v>
      </c>
      <c r="T220" s="355">
        <f t="shared" si="379"/>
        <v>80249</v>
      </c>
      <c r="U220" s="355">
        <f t="shared" si="379"/>
        <v>13586.25</v>
      </c>
      <c r="V220" s="355">
        <f t="shared" si="379"/>
        <v>93835</v>
      </c>
      <c r="W220" s="355">
        <f t="shared" si="379"/>
        <v>14746.75</v>
      </c>
      <c r="X220" s="355">
        <f t="shared" si="379"/>
        <v>108583</v>
      </c>
      <c r="Y220" s="345">
        <f t="shared" si="379"/>
        <v>13688.583333333334</v>
      </c>
      <c r="Z220" s="345">
        <f t="shared" si="379"/>
        <v>122272</v>
      </c>
      <c r="AA220" s="355">
        <f t="shared" si="379"/>
        <v>13023.75</v>
      </c>
      <c r="AB220" s="355">
        <f t="shared" si="379"/>
        <v>135296</v>
      </c>
      <c r="AC220" s="355">
        <f t="shared" si="379"/>
        <v>11127.583333333334</v>
      </c>
      <c r="AD220" s="355">
        <f t="shared" si="379"/>
        <v>146424</v>
      </c>
      <c r="AE220" s="355">
        <f t="shared" si="379"/>
        <v>11491.25</v>
      </c>
      <c r="AF220" s="355">
        <f t="shared" si="379"/>
        <v>157915</v>
      </c>
      <c r="AG220" s="345">
        <f t="shared" si="379"/>
        <v>10724</v>
      </c>
      <c r="AH220" s="345">
        <f t="shared" si="379"/>
        <v>168478</v>
      </c>
      <c r="AI220" s="355">
        <f t="shared" si="379"/>
        <v>9556.9166666666661</v>
      </c>
      <c r="AJ220" s="355">
        <f t="shared" si="379"/>
        <v>178196</v>
      </c>
      <c r="AK220" s="355">
        <f t="shared" si="379"/>
        <v>10053.083333333334</v>
      </c>
      <c r="AL220" s="355">
        <f t="shared" si="379"/>
        <v>188249</v>
      </c>
      <c r="AM220" s="355">
        <f t="shared" si="379"/>
        <v>10235.75</v>
      </c>
      <c r="AN220" s="355">
        <f t="shared" si="379"/>
        <v>198485</v>
      </c>
      <c r="AO220" s="355">
        <f t="shared" si="379"/>
        <v>9743</v>
      </c>
      <c r="AP220" s="355">
        <f t="shared" si="379"/>
        <v>206507</v>
      </c>
      <c r="AQ220" s="605">
        <f t="shared" si="379"/>
        <v>9709.4166666666661</v>
      </c>
      <c r="AR220" s="605">
        <f t="shared" si="379"/>
        <v>217937</v>
      </c>
    </row>
    <row r="221" spans="1:44" ht="13.5" thickTop="1" x14ac:dyDescent="0.25">
      <c r="B221" s="376"/>
      <c r="C221" s="323"/>
      <c r="D221" s="644">
        <f>D220-AJ220</f>
        <v>57290.800000000017</v>
      </c>
      <c r="E221" s="606" t="s">
        <v>643</v>
      </c>
      <c r="I221" s="314"/>
      <c r="J221" s="314"/>
      <c r="K221" s="314"/>
      <c r="L221" s="314"/>
      <c r="M221" s="314"/>
      <c r="N221" s="314"/>
      <c r="O221" s="314"/>
      <c r="P221" s="314"/>
      <c r="Q221" s="314"/>
      <c r="R221" s="314"/>
      <c r="S221" s="314"/>
      <c r="T221" s="314"/>
      <c r="U221" s="314"/>
      <c r="V221" s="314"/>
      <c r="W221" s="314"/>
      <c r="X221" s="314"/>
      <c r="Y221" s="315"/>
      <c r="Z221" s="315"/>
      <c r="AA221" s="314"/>
      <c r="AB221" s="314"/>
      <c r="AC221" s="314"/>
      <c r="AD221" s="314"/>
      <c r="AE221" s="314"/>
      <c r="AF221" s="314"/>
      <c r="AG221" s="315"/>
      <c r="AH221" s="315"/>
      <c r="AI221" s="314"/>
      <c r="AJ221" s="314"/>
      <c r="AK221" s="314"/>
      <c r="AL221" s="314"/>
      <c r="AM221" s="314"/>
      <c r="AN221" s="314"/>
      <c r="AO221" s="314"/>
      <c r="AP221" s="314"/>
      <c r="AQ221" s="612"/>
      <c r="AR221" s="612"/>
    </row>
    <row r="222" spans="1:44" x14ac:dyDescent="0.25">
      <c r="B222" s="376"/>
      <c r="C222" s="323"/>
      <c r="D222" s="607"/>
      <c r="E222" s="324"/>
      <c r="I222" s="314"/>
      <c r="J222" s="314"/>
      <c r="K222" s="314"/>
      <c r="L222" s="314"/>
      <c r="M222" s="314"/>
      <c r="N222" s="314"/>
      <c r="O222" s="314"/>
      <c r="P222" s="314"/>
      <c r="Q222" s="314"/>
      <c r="R222" s="314"/>
      <c r="S222" s="314"/>
      <c r="T222" s="314"/>
      <c r="U222" s="314"/>
      <c r="V222" s="314"/>
      <c r="W222" s="314"/>
      <c r="X222" s="314"/>
      <c r="Y222" s="315"/>
      <c r="Z222" s="315"/>
      <c r="AA222" s="314"/>
      <c r="AB222" s="314"/>
      <c r="AC222" s="314"/>
      <c r="AD222" s="314"/>
      <c r="AE222" s="314"/>
      <c r="AF222" s="314"/>
      <c r="AG222" s="315"/>
      <c r="AH222" s="315"/>
      <c r="AI222" s="314"/>
      <c r="AJ222" s="314"/>
      <c r="AK222" s="314"/>
      <c r="AL222" s="314"/>
      <c r="AM222" s="314"/>
      <c r="AN222" s="314"/>
      <c r="AO222" s="314"/>
      <c r="AP222" s="314"/>
      <c r="AQ222" s="612"/>
      <c r="AR222" s="612"/>
    </row>
    <row r="223" spans="1:44" x14ac:dyDescent="0.25">
      <c r="A223" s="339" t="s">
        <v>595</v>
      </c>
      <c r="C223" s="346"/>
      <c r="D223" s="324"/>
      <c r="E223" s="324"/>
      <c r="I223" s="314"/>
      <c r="J223" s="314"/>
      <c r="K223" s="314"/>
      <c r="L223" s="314"/>
      <c r="M223" s="314"/>
      <c r="N223" s="314"/>
      <c r="O223" s="314"/>
      <c r="P223" s="314"/>
      <c r="Q223" s="314"/>
      <c r="R223" s="314"/>
      <c r="S223" s="314"/>
      <c r="T223" s="314"/>
      <c r="U223" s="314"/>
      <c r="V223" s="314"/>
      <c r="W223" s="314"/>
      <c r="X223" s="314"/>
      <c r="Y223" s="315"/>
      <c r="Z223" s="315"/>
      <c r="AA223" s="314"/>
      <c r="AB223" s="314"/>
      <c r="AC223" s="314"/>
      <c r="AD223" s="314"/>
      <c r="AE223" s="314"/>
      <c r="AF223" s="314"/>
      <c r="AG223" s="315"/>
      <c r="AH223" s="315"/>
      <c r="AI223" s="314"/>
      <c r="AJ223" s="314"/>
      <c r="AK223" s="314"/>
      <c r="AL223" s="314"/>
      <c r="AM223" s="314"/>
      <c r="AN223" s="314"/>
      <c r="AO223" s="314"/>
      <c r="AP223" s="314"/>
      <c r="AQ223" s="612"/>
      <c r="AR223" s="612"/>
    </row>
    <row r="224" spans="1:44" x14ac:dyDescent="0.25">
      <c r="B224" s="349" t="s">
        <v>129</v>
      </c>
      <c r="C224" s="350">
        <v>37607</v>
      </c>
      <c r="D224" s="342">
        <v>42983</v>
      </c>
      <c r="E224" s="348">
        <v>5</v>
      </c>
      <c r="F224" s="596"/>
      <c r="G224" s="596"/>
      <c r="H224" s="596"/>
      <c r="I224" s="596"/>
      <c r="J224" s="596"/>
      <c r="K224" s="596">
        <v>0</v>
      </c>
      <c r="L224" s="596">
        <v>0</v>
      </c>
      <c r="M224" s="596">
        <f>IF(L224&lt;$D224,IF(L224+($D224/$E224)&lt;$D224,ROUND($D224/$E224,0),ROUND($D224-L224,0)),0)</f>
        <v>8597</v>
      </c>
      <c r="N224" s="596">
        <f t="shared" ref="N224:N226" si="380">ROUND(SUM(L224:M224),0)</f>
        <v>8597</v>
      </c>
      <c r="O224" s="596">
        <f t="shared" ref="O224:Q226" si="381">IF(N224&lt;$D224,IF(N224+($D224/$E224)&lt;$D224,ROUND($D224/$E224,0),ROUND($D224-N224,0)),0)</f>
        <v>8597</v>
      </c>
      <c r="P224" s="596">
        <f t="shared" ref="P224:P226" si="382">ROUND(SUM(N224:O224),0)</f>
        <v>17194</v>
      </c>
      <c r="Q224" s="596">
        <f t="shared" si="381"/>
        <v>8597</v>
      </c>
      <c r="R224" s="596">
        <f t="shared" ref="R224:R226" si="383">ROUND(SUM(P224:Q224),0)</f>
        <v>25791</v>
      </c>
      <c r="S224" s="596">
        <f t="shared" ref="S224:S226" si="384">IF(R224&lt;$D224,IF(R224+($D224/$E224)&lt;$D224,ROUND($D224/$E224,0),ROUND($D224-R224,0)),0)</f>
        <v>8597</v>
      </c>
      <c r="T224" s="596">
        <f t="shared" ref="T224:T226" si="385">ROUND(SUM(R224:S224),0)</f>
        <v>34388</v>
      </c>
      <c r="U224" s="596">
        <f t="shared" ref="U224:U226" si="386">IF(T224&lt;$D224,IF(T224+($D224/$E224)&lt;$D224,ROUND($D224/$E224,0),ROUND($D224-T224,0)),0)</f>
        <v>8595</v>
      </c>
      <c r="V224" s="596">
        <f t="shared" ref="V224:V226" si="387">ROUND(SUM(T224:U224),0)</f>
        <v>42983</v>
      </c>
      <c r="W224" s="596">
        <f t="shared" ref="W224:W227" si="388">IF(V224&lt;$D224,IF(V224+($D224/$E224)&lt;$D224,ROUND($D224/$E224,0),ROUND($D224-V224,0)),0)</f>
        <v>0</v>
      </c>
      <c r="X224" s="596">
        <f t="shared" ref="X224:X226" si="389">ROUND(SUM(V224:W224),0)</f>
        <v>42983</v>
      </c>
      <c r="Y224" s="596">
        <f t="shared" ref="Y224:Y229" si="390">IF(X224&lt;$D224,IF(X224+($D224/$E224)&lt;$D224,ROUND($D224/$E224,0),ROUND($D224-X224,0)),0)</f>
        <v>0</v>
      </c>
      <c r="Z224" s="596">
        <f t="shared" ref="Z224:Z226" si="391">ROUND(SUM(X224:Y224),0)</f>
        <v>42983</v>
      </c>
      <c r="AA224" s="596">
        <f t="shared" ref="AA224:AA229" si="392">IF(Z224&lt;$D224,IF(Z224+($D224/$E224)&lt;$D224,ROUND($D224/$E224,0),ROUND($D224-Z224,0)),0)</f>
        <v>0</v>
      </c>
      <c r="AB224" s="596">
        <f t="shared" ref="AB224:AB226" si="393">ROUND(SUM(Z224:AA224),0)</f>
        <v>42983</v>
      </c>
      <c r="AC224" s="596">
        <f t="shared" ref="AC224:AC229" si="394">IF(AB224&lt;$D224,IF(AB224+($D224/$E224)&lt;$D224,ROUND($D224/$E224,0),ROUND($D224-AB224,0)),0)</f>
        <v>0</v>
      </c>
      <c r="AD224" s="596">
        <f t="shared" ref="AD224:AD226" si="395">ROUND(SUM(AB224:AC224),0)</f>
        <v>42983</v>
      </c>
      <c r="AE224" s="596">
        <f t="shared" ref="AE224:AE229" si="396">IF(AD224&lt;$D224,IF(AD224+($D224/$E224)&lt;$D224,ROUND($D224/$E224,0),ROUND($D224-AD224,0)),0)</f>
        <v>0</v>
      </c>
      <c r="AF224" s="596">
        <f t="shared" ref="AF224:AF226" si="397">ROUND(SUM(AD224:AE224),0)</f>
        <v>42983</v>
      </c>
      <c r="AG224" s="596">
        <f t="shared" ref="AG224:AG229" si="398">IF(AF224&lt;$D224,IF(AF224+($D224/$E224)&lt;$D224,ROUND($D224/$E224,0),ROUND($D224-AF224,0)),0)</f>
        <v>0</v>
      </c>
      <c r="AH224" s="596">
        <f t="shared" ref="AH224:AH226" si="399">ROUND(SUM(AF224:AG224),0)</f>
        <v>42983</v>
      </c>
      <c r="AI224" s="596">
        <f t="shared" ref="AI224:AI229" si="400">IF(AH224&lt;$D224,IF(AH224+($D224/$E224)&lt;$D224,ROUND($D224/$E224,0),ROUND($D224-AH224,0)),0)</f>
        <v>0</v>
      </c>
      <c r="AJ224" s="596">
        <f t="shared" ref="AJ224:AJ226" si="401">ROUND(SUM(AH224:AI224),0)</f>
        <v>42983</v>
      </c>
      <c r="AK224" s="596">
        <f t="shared" ref="AK224:AK229" si="402">IF(AJ224&lt;$D224,IF(AJ224+($D224/$E224)&lt;$D224,ROUND($D224/$E224,0),ROUND($D224-AJ224,0)),0)</f>
        <v>0</v>
      </c>
      <c r="AL224" s="596">
        <f t="shared" ref="AL224:AL226" si="403">ROUND(SUM(AJ224:AK224),0)</f>
        <v>42983</v>
      </c>
      <c r="AM224" s="596">
        <f t="shared" ref="AM224:AM229" si="404">IF(AL224&lt;$D224,IF(AL224+($D224/$E224)&lt;$D224,ROUND($D224/$E224,0),ROUND($D224-AL224,0)),0)</f>
        <v>0</v>
      </c>
      <c r="AN224" s="596">
        <f t="shared" ref="AN224:AN226" si="405">ROUND(SUM(AL224:AM224),0)</f>
        <v>42983</v>
      </c>
      <c r="AO224" s="596">
        <f t="shared" ref="AO224:AO229" si="406">IF(AN224&lt;$D224,IF(AN224+($D224/$E224)&lt;$D224,ROUND($D224/$E224,0),ROUND($D224-AN224,0)),0)</f>
        <v>0</v>
      </c>
      <c r="AP224" s="596">
        <f t="shared" ref="AP224:AP226" si="407">ROUND(SUM(AN224:AO224),0)</f>
        <v>42983</v>
      </c>
      <c r="AQ224" s="597">
        <f t="shared" ref="AQ224:AQ229" si="408">IF(AP224&lt;$D224,IF(AP224+($D224/$E224)&lt;$D224,ROUND($D224/$E224,0),ROUND($D224-AP224,0)),0)</f>
        <v>0</v>
      </c>
      <c r="AR224" s="597">
        <f t="shared" ref="AR224:AR226" si="409">ROUND(SUM(AP224:AQ224),0)</f>
        <v>42983</v>
      </c>
    </row>
    <row r="225" spans="1:44" x14ac:dyDescent="0.25">
      <c r="B225" s="349" t="s">
        <v>130</v>
      </c>
      <c r="C225" s="350">
        <v>37895</v>
      </c>
      <c r="D225" s="342">
        <v>3830.17</v>
      </c>
      <c r="E225" s="348">
        <v>5</v>
      </c>
      <c r="F225" s="596"/>
      <c r="G225" s="596"/>
      <c r="H225" s="596"/>
      <c r="I225" s="596"/>
      <c r="J225" s="596"/>
      <c r="K225" s="596"/>
      <c r="L225" s="596">
        <v>0</v>
      </c>
      <c r="M225" s="596">
        <f>IF(L225&lt;$D225,IF(L225+($D225/$E225)&lt;$D225,ROUND($D225/$E225,0),ROUND($D225-L225,0)),0)</f>
        <v>766</v>
      </c>
      <c r="N225" s="596">
        <f t="shared" si="380"/>
        <v>766</v>
      </c>
      <c r="O225" s="596">
        <f t="shared" si="381"/>
        <v>766</v>
      </c>
      <c r="P225" s="596">
        <f t="shared" si="382"/>
        <v>1532</v>
      </c>
      <c r="Q225" s="596">
        <f t="shared" si="381"/>
        <v>766</v>
      </c>
      <c r="R225" s="596">
        <f t="shared" si="383"/>
        <v>2298</v>
      </c>
      <c r="S225" s="596">
        <f t="shared" si="384"/>
        <v>766</v>
      </c>
      <c r="T225" s="596">
        <f t="shared" si="385"/>
        <v>3064</v>
      </c>
      <c r="U225" s="596">
        <f t="shared" si="386"/>
        <v>766</v>
      </c>
      <c r="V225" s="596">
        <f t="shared" si="387"/>
        <v>3830</v>
      </c>
      <c r="W225" s="596">
        <f t="shared" si="388"/>
        <v>0</v>
      </c>
      <c r="X225" s="596">
        <f t="shared" si="389"/>
        <v>3830</v>
      </c>
      <c r="Y225" s="596">
        <f t="shared" si="390"/>
        <v>0</v>
      </c>
      <c r="Z225" s="596">
        <f t="shared" si="391"/>
        <v>3830</v>
      </c>
      <c r="AA225" s="596">
        <f t="shared" si="392"/>
        <v>0</v>
      </c>
      <c r="AB225" s="596">
        <f t="shared" si="393"/>
        <v>3830</v>
      </c>
      <c r="AC225" s="596">
        <f t="shared" si="394"/>
        <v>0</v>
      </c>
      <c r="AD225" s="596">
        <f t="shared" si="395"/>
        <v>3830</v>
      </c>
      <c r="AE225" s="596">
        <f t="shared" si="396"/>
        <v>0</v>
      </c>
      <c r="AF225" s="596">
        <f t="shared" si="397"/>
        <v>3830</v>
      </c>
      <c r="AG225" s="596">
        <f t="shared" si="398"/>
        <v>0</v>
      </c>
      <c r="AH225" s="596">
        <f t="shared" si="399"/>
        <v>3830</v>
      </c>
      <c r="AI225" s="596">
        <f t="shared" si="400"/>
        <v>0</v>
      </c>
      <c r="AJ225" s="596">
        <f t="shared" si="401"/>
        <v>3830</v>
      </c>
      <c r="AK225" s="596">
        <f t="shared" si="402"/>
        <v>0</v>
      </c>
      <c r="AL225" s="596">
        <f t="shared" si="403"/>
        <v>3830</v>
      </c>
      <c r="AM225" s="596">
        <f t="shared" si="404"/>
        <v>0</v>
      </c>
      <c r="AN225" s="596">
        <f t="shared" si="405"/>
        <v>3830</v>
      </c>
      <c r="AO225" s="596">
        <f t="shared" si="406"/>
        <v>0</v>
      </c>
      <c r="AP225" s="596">
        <f t="shared" si="407"/>
        <v>3830</v>
      </c>
      <c r="AQ225" s="597">
        <f t="shared" si="408"/>
        <v>0</v>
      </c>
      <c r="AR225" s="597">
        <f t="shared" si="409"/>
        <v>3830</v>
      </c>
    </row>
    <row r="226" spans="1:44" x14ac:dyDescent="0.25">
      <c r="B226" s="349" t="s">
        <v>95</v>
      </c>
      <c r="C226" s="350">
        <v>37666</v>
      </c>
      <c r="D226" s="342">
        <v>4000</v>
      </c>
      <c r="E226" s="348">
        <v>5</v>
      </c>
      <c r="F226" s="596"/>
      <c r="G226" s="596"/>
      <c r="H226" s="596"/>
      <c r="I226" s="596"/>
      <c r="J226" s="596"/>
      <c r="K226" s="596"/>
      <c r="L226" s="596">
        <v>0</v>
      </c>
      <c r="M226" s="596">
        <f>IF(L226&lt;$D226,IF(L226+($D226/$E226)&lt;$D226,ROUND($D226/$E226,0),ROUND($D226-L226,0)),0)/12*11</f>
        <v>733.33333333333337</v>
      </c>
      <c r="N226" s="596">
        <f t="shared" si="380"/>
        <v>733</v>
      </c>
      <c r="O226" s="596">
        <f t="shared" si="381"/>
        <v>800</v>
      </c>
      <c r="P226" s="596">
        <f t="shared" si="382"/>
        <v>1533</v>
      </c>
      <c r="Q226" s="596">
        <f t="shared" si="381"/>
        <v>800</v>
      </c>
      <c r="R226" s="596">
        <f t="shared" si="383"/>
        <v>2333</v>
      </c>
      <c r="S226" s="596">
        <f t="shared" si="384"/>
        <v>800</v>
      </c>
      <c r="T226" s="596">
        <f t="shared" si="385"/>
        <v>3133</v>
      </c>
      <c r="U226" s="596">
        <f t="shared" si="386"/>
        <v>800</v>
      </c>
      <c r="V226" s="596">
        <f t="shared" si="387"/>
        <v>3933</v>
      </c>
      <c r="W226" s="596">
        <f t="shared" si="388"/>
        <v>67</v>
      </c>
      <c r="X226" s="596">
        <f t="shared" si="389"/>
        <v>4000</v>
      </c>
      <c r="Y226" s="596">
        <f t="shared" si="390"/>
        <v>0</v>
      </c>
      <c r="Z226" s="596">
        <f t="shared" si="391"/>
        <v>4000</v>
      </c>
      <c r="AA226" s="596">
        <f t="shared" si="392"/>
        <v>0</v>
      </c>
      <c r="AB226" s="596">
        <f t="shared" si="393"/>
        <v>4000</v>
      </c>
      <c r="AC226" s="596">
        <f t="shared" si="394"/>
        <v>0</v>
      </c>
      <c r="AD226" s="596">
        <f t="shared" si="395"/>
        <v>4000</v>
      </c>
      <c r="AE226" s="596">
        <f t="shared" si="396"/>
        <v>0</v>
      </c>
      <c r="AF226" s="596">
        <f t="shared" si="397"/>
        <v>4000</v>
      </c>
      <c r="AG226" s="596">
        <f t="shared" si="398"/>
        <v>0</v>
      </c>
      <c r="AH226" s="596">
        <f t="shared" si="399"/>
        <v>4000</v>
      </c>
      <c r="AI226" s="596">
        <f t="shared" si="400"/>
        <v>0</v>
      </c>
      <c r="AJ226" s="596">
        <f t="shared" si="401"/>
        <v>4000</v>
      </c>
      <c r="AK226" s="596">
        <f t="shared" si="402"/>
        <v>0</v>
      </c>
      <c r="AL226" s="596">
        <f t="shared" si="403"/>
        <v>4000</v>
      </c>
      <c r="AM226" s="596">
        <f t="shared" si="404"/>
        <v>0</v>
      </c>
      <c r="AN226" s="596">
        <f t="shared" si="405"/>
        <v>4000</v>
      </c>
      <c r="AO226" s="596">
        <f t="shared" si="406"/>
        <v>0</v>
      </c>
      <c r="AP226" s="596">
        <f t="shared" si="407"/>
        <v>4000</v>
      </c>
      <c r="AQ226" s="597">
        <f t="shared" si="408"/>
        <v>0</v>
      </c>
      <c r="AR226" s="597">
        <f t="shared" si="409"/>
        <v>4000</v>
      </c>
    </row>
    <row r="227" spans="1:44" x14ac:dyDescent="0.25">
      <c r="A227" s="312"/>
      <c r="B227" s="349" t="s">
        <v>131</v>
      </c>
      <c r="C227" s="350">
        <v>39386</v>
      </c>
      <c r="D227" s="342">
        <v>2450.27</v>
      </c>
      <c r="E227" s="348">
        <v>5</v>
      </c>
      <c r="F227" s="596"/>
      <c r="G227" s="596"/>
      <c r="H227" s="596"/>
      <c r="I227" s="596"/>
      <c r="J227" s="596"/>
      <c r="K227" s="596"/>
      <c r="L227" s="596"/>
      <c r="M227" s="596"/>
      <c r="N227" s="596"/>
      <c r="O227" s="596"/>
      <c r="P227" s="596"/>
      <c r="Q227" s="596"/>
      <c r="R227" s="596"/>
      <c r="S227" s="596"/>
      <c r="T227" s="596">
        <v>0</v>
      </c>
      <c r="U227" s="596">
        <f>IF(T227&lt;$D227,IF(T227+($D227/$E227)&lt;$D227,ROUND($D227/$E227,0),ROUND($D227-T227,0)),0)/12*3</f>
        <v>122.5</v>
      </c>
      <c r="V227" s="596">
        <f>ROUND(SUM(T227:U227),0)</f>
        <v>123</v>
      </c>
      <c r="W227" s="596">
        <f t="shared" si="388"/>
        <v>490</v>
      </c>
      <c r="X227" s="596">
        <f>ROUND(SUM(V227:W227),0)</f>
        <v>613</v>
      </c>
      <c r="Y227" s="596">
        <f t="shared" si="390"/>
        <v>490</v>
      </c>
      <c r="Z227" s="596">
        <f>ROUND(SUM(X227:Y227),0)</f>
        <v>1103</v>
      </c>
      <c r="AA227" s="596">
        <f t="shared" si="392"/>
        <v>490</v>
      </c>
      <c r="AB227" s="596">
        <f>ROUND(SUM(Z227:AA227),0)</f>
        <v>1593</v>
      </c>
      <c r="AC227" s="596">
        <f t="shared" si="394"/>
        <v>490</v>
      </c>
      <c r="AD227" s="596">
        <f>ROUND(SUM(AB227:AC227),0)</f>
        <v>2083</v>
      </c>
      <c r="AE227" s="596">
        <f t="shared" si="396"/>
        <v>367</v>
      </c>
      <c r="AF227" s="596">
        <f>ROUND(SUM(AD227:AE227),0)</f>
        <v>2450</v>
      </c>
      <c r="AG227" s="596">
        <f t="shared" si="398"/>
        <v>0</v>
      </c>
      <c r="AH227" s="596">
        <f>ROUND(SUM(AF227:AG227),0)</f>
        <v>2450</v>
      </c>
      <c r="AI227" s="596">
        <f t="shared" si="400"/>
        <v>0</v>
      </c>
      <c r="AJ227" s="596">
        <f>ROUND(SUM(AH227:AI227),0)</f>
        <v>2450</v>
      </c>
      <c r="AK227" s="596">
        <f t="shared" si="402"/>
        <v>0</v>
      </c>
      <c r="AL227" s="596">
        <f>ROUND(SUM(AJ227:AK227),0)</f>
        <v>2450</v>
      </c>
      <c r="AM227" s="596">
        <f t="shared" si="404"/>
        <v>0</v>
      </c>
      <c r="AN227" s="596">
        <f>ROUND(SUM(AL227:AM227),0)</f>
        <v>2450</v>
      </c>
      <c r="AO227" s="596">
        <f t="shared" si="406"/>
        <v>0</v>
      </c>
      <c r="AP227" s="596">
        <f>ROUND(SUM(AN227:AO227),0)</f>
        <v>2450</v>
      </c>
      <c r="AQ227" s="597">
        <f t="shared" si="408"/>
        <v>0</v>
      </c>
      <c r="AR227" s="597">
        <f>ROUND(SUM(AP227:AQ227),0)</f>
        <v>2450</v>
      </c>
    </row>
    <row r="228" spans="1:44" s="101" customFormat="1" x14ac:dyDescent="0.25">
      <c r="A228" s="312"/>
      <c r="B228" s="349" t="s">
        <v>132</v>
      </c>
      <c r="C228" s="350">
        <v>39479</v>
      </c>
      <c r="D228" s="342">
        <v>7656</v>
      </c>
      <c r="E228" s="348">
        <v>5</v>
      </c>
      <c r="F228" s="596"/>
      <c r="G228" s="596"/>
      <c r="H228" s="596"/>
      <c r="I228" s="596"/>
      <c r="J228" s="596"/>
      <c r="K228" s="596"/>
      <c r="L228" s="596"/>
      <c r="M228" s="596"/>
      <c r="N228" s="596"/>
      <c r="O228" s="596"/>
      <c r="P228" s="596"/>
      <c r="Q228" s="596"/>
      <c r="R228" s="596"/>
      <c r="S228" s="596"/>
      <c r="T228" s="596"/>
      <c r="U228" s="596"/>
      <c r="V228" s="596">
        <f>ROUND(SUM(T228:U228),0)</f>
        <v>0</v>
      </c>
      <c r="W228" s="596">
        <f>IF(V228&lt;$D228,IF(V228+($D228/$E228)&lt;$D228,ROUND($D228/$E228,0),ROUND($D228-V228,0)),0)/12*11</f>
        <v>1403.4166666666665</v>
      </c>
      <c r="X228" s="596">
        <f>ROUND(SUM(V228:W228),0)</f>
        <v>1403</v>
      </c>
      <c r="Y228" s="596">
        <f t="shared" si="390"/>
        <v>1531</v>
      </c>
      <c r="Z228" s="596">
        <f>ROUND(SUM(X228:Y228),0)</f>
        <v>2934</v>
      </c>
      <c r="AA228" s="596">
        <f t="shared" si="392"/>
        <v>1531</v>
      </c>
      <c r="AB228" s="596">
        <f>ROUND(SUM(Z228:AA228),0)</f>
        <v>4465</v>
      </c>
      <c r="AC228" s="596">
        <f t="shared" si="394"/>
        <v>1531</v>
      </c>
      <c r="AD228" s="596">
        <f>ROUND(SUM(AB228:AC228),0)</f>
        <v>5996</v>
      </c>
      <c r="AE228" s="596">
        <f t="shared" si="396"/>
        <v>1531</v>
      </c>
      <c r="AF228" s="596">
        <f>ROUND(SUM(AD228:AE228),0)</f>
        <v>7527</v>
      </c>
      <c r="AG228" s="596">
        <f t="shared" si="398"/>
        <v>129</v>
      </c>
      <c r="AH228" s="596">
        <f>ROUND(SUM(AF228:AG228),0)</f>
        <v>7656</v>
      </c>
      <c r="AI228" s="596">
        <f t="shared" si="400"/>
        <v>0</v>
      </c>
      <c r="AJ228" s="596">
        <f>ROUND(SUM(AH228:AI228),0)</f>
        <v>7656</v>
      </c>
      <c r="AK228" s="596">
        <f t="shared" si="402"/>
        <v>0</v>
      </c>
      <c r="AL228" s="596">
        <f>ROUND(SUM(AJ228:AK228),0)</f>
        <v>7656</v>
      </c>
      <c r="AM228" s="596">
        <f t="shared" si="404"/>
        <v>0</v>
      </c>
      <c r="AN228" s="596">
        <f>ROUND(SUM(AL228:AM228),0)</f>
        <v>7656</v>
      </c>
      <c r="AO228" s="596">
        <f t="shared" si="406"/>
        <v>0</v>
      </c>
      <c r="AP228" s="596">
        <f>ROUND(SUM(AN228:AO228),0)</f>
        <v>7656</v>
      </c>
      <c r="AQ228" s="597">
        <f t="shared" si="408"/>
        <v>0</v>
      </c>
      <c r="AR228" s="597">
        <f>ROUND(SUM(AP228:AQ228),0)</f>
        <v>7656</v>
      </c>
    </row>
    <row r="229" spans="1:44" s="101" customFormat="1" x14ac:dyDescent="0.25">
      <c r="A229" s="312"/>
      <c r="B229" s="349" t="s">
        <v>133</v>
      </c>
      <c r="C229" s="350">
        <v>39599</v>
      </c>
      <c r="D229" s="342">
        <v>3634</v>
      </c>
      <c r="E229" s="348">
        <v>5</v>
      </c>
      <c r="F229" s="596"/>
      <c r="G229" s="596"/>
      <c r="H229" s="596"/>
      <c r="I229" s="596"/>
      <c r="J229" s="596"/>
      <c r="K229" s="596"/>
      <c r="L229" s="596"/>
      <c r="M229" s="596"/>
      <c r="N229" s="596"/>
      <c r="O229" s="596"/>
      <c r="P229" s="596"/>
      <c r="Q229" s="596"/>
      <c r="R229" s="596"/>
      <c r="S229" s="596"/>
      <c r="T229" s="596"/>
      <c r="U229" s="596"/>
      <c r="V229" s="596">
        <v>0</v>
      </c>
      <c r="W229" s="596">
        <f>IF(V229&lt;$D229,IF(V229+($D229/$E229)&lt;$D229,ROUND($D229/$E229,0),ROUND($D229-V229,0)),0)</f>
        <v>727</v>
      </c>
      <c r="X229" s="596">
        <f>ROUND(SUM(V229:W229),0)</f>
        <v>727</v>
      </c>
      <c r="Y229" s="596">
        <f t="shared" si="390"/>
        <v>727</v>
      </c>
      <c r="Z229" s="596">
        <f>ROUND(SUM(X229:Y229),0)</f>
        <v>1454</v>
      </c>
      <c r="AA229" s="596">
        <f t="shared" si="392"/>
        <v>727</v>
      </c>
      <c r="AB229" s="596">
        <f>ROUND(SUM(Z229:AA229),0)</f>
        <v>2181</v>
      </c>
      <c r="AC229" s="596">
        <f t="shared" si="394"/>
        <v>727</v>
      </c>
      <c r="AD229" s="596">
        <f>ROUND(SUM(AB229:AC229),0)</f>
        <v>2908</v>
      </c>
      <c r="AE229" s="596">
        <f t="shared" si="396"/>
        <v>726</v>
      </c>
      <c r="AF229" s="596">
        <f>ROUND(SUM(AD229:AE229),0)</f>
        <v>3634</v>
      </c>
      <c r="AG229" s="596">
        <f t="shared" si="398"/>
        <v>0</v>
      </c>
      <c r="AH229" s="596">
        <f>ROUND(SUM(AF229:AG229),0)</f>
        <v>3634</v>
      </c>
      <c r="AI229" s="596">
        <f t="shared" si="400"/>
        <v>0</v>
      </c>
      <c r="AJ229" s="596">
        <f>ROUND(SUM(AH229:AI229),0)</f>
        <v>3634</v>
      </c>
      <c r="AK229" s="596">
        <f t="shared" si="402"/>
        <v>0</v>
      </c>
      <c r="AL229" s="596">
        <f>ROUND(SUM(AJ229:AK229),0)</f>
        <v>3634</v>
      </c>
      <c r="AM229" s="596">
        <f t="shared" si="404"/>
        <v>0</v>
      </c>
      <c r="AN229" s="596">
        <f>ROUND(SUM(AL229:AM229),0)</f>
        <v>3634</v>
      </c>
      <c r="AO229" s="596">
        <f t="shared" si="406"/>
        <v>0</v>
      </c>
      <c r="AP229" s="596">
        <f>ROUND(SUM(AN229:AO229),0)</f>
        <v>3634</v>
      </c>
      <c r="AQ229" s="597">
        <f t="shared" si="408"/>
        <v>0</v>
      </c>
      <c r="AR229" s="597">
        <f>ROUND(SUM(AP229:AQ229),0)</f>
        <v>3634</v>
      </c>
    </row>
    <row r="230" spans="1:44" s="101" customFormat="1" x14ac:dyDescent="0.25">
      <c r="A230" s="312"/>
      <c r="B230" s="731" t="s">
        <v>710</v>
      </c>
      <c r="C230" s="732">
        <v>43126</v>
      </c>
      <c r="D230" s="733">
        <v>10000</v>
      </c>
      <c r="E230" s="738">
        <v>5</v>
      </c>
      <c r="F230" s="735"/>
      <c r="G230" s="735"/>
      <c r="H230" s="735"/>
      <c r="I230" s="735"/>
      <c r="J230" s="735"/>
      <c r="K230" s="735"/>
      <c r="L230" s="735"/>
      <c r="M230" s="735"/>
      <c r="N230" s="735"/>
      <c r="O230" s="735"/>
      <c r="P230" s="735"/>
      <c r="Q230" s="735"/>
      <c r="R230" s="735"/>
      <c r="S230" s="735"/>
      <c r="T230" s="735"/>
      <c r="U230" s="735"/>
      <c r="V230" s="735"/>
      <c r="W230" s="735"/>
      <c r="X230" s="735"/>
      <c r="Y230" s="735"/>
      <c r="Z230" s="735"/>
      <c r="AA230" s="735"/>
      <c r="AB230" s="735"/>
      <c r="AC230" s="735"/>
      <c r="AD230" s="735"/>
      <c r="AE230" s="735"/>
      <c r="AF230" s="735"/>
      <c r="AG230" s="735"/>
      <c r="AH230" s="735"/>
      <c r="AI230" s="735"/>
      <c r="AJ230" s="735"/>
      <c r="AK230" s="735"/>
      <c r="AL230" s="735"/>
      <c r="AM230" s="735"/>
      <c r="AN230" s="735"/>
      <c r="AO230" s="735"/>
      <c r="AP230" s="735">
        <f>ROUND(SUM(AN230:AO230),0)</f>
        <v>0</v>
      </c>
      <c r="AQ230" s="736">
        <f>IF(AP230&lt;$D230,IF(AP230+($D230/$E230)&lt;$D230,ROUND($D230/$E230,0),ROUND($D230-AP230,0)),0)/12*11</f>
        <v>1833.3333333333333</v>
      </c>
      <c r="AR230" s="736">
        <f>ROUND(SUM(AP230:AQ230),0)</f>
        <v>1833</v>
      </c>
    </row>
    <row r="231" spans="1:44" s="101" customFormat="1" ht="12" customHeight="1" x14ac:dyDescent="0.25">
      <c r="A231" s="312"/>
      <c r="B231" s="368" t="s">
        <v>540</v>
      </c>
      <c r="C231" s="356"/>
      <c r="D231" s="353">
        <v>0</v>
      </c>
      <c r="E231" s="354"/>
      <c r="F231" s="601"/>
      <c r="G231" s="601"/>
      <c r="H231" s="601"/>
      <c r="I231" s="601"/>
      <c r="J231" s="601"/>
      <c r="K231" s="601"/>
      <c r="L231" s="601"/>
      <c r="M231" s="601"/>
      <c r="N231" s="601"/>
      <c r="O231" s="601"/>
      <c r="P231" s="601"/>
      <c r="Q231" s="601"/>
      <c r="R231" s="601"/>
      <c r="S231" s="601"/>
      <c r="T231" s="601"/>
      <c r="U231" s="601"/>
      <c r="V231" s="601">
        <v>0</v>
      </c>
      <c r="W231" s="601">
        <f>IF(V231&lt;$D231,IF(V231+($D231/$E231)&lt;$D231,ROUND($D231/$E231,0),ROUND($D231-V231,0)),0)</f>
        <v>0</v>
      </c>
      <c r="X231" s="601">
        <v>0</v>
      </c>
      <c r="Y231" s="601">
        <v>0</v>
      </c>
      <c r="Z231" s="601">
        <v>0</v>
      </c>
      <c r="AA231" s="601">
        <v>0</v>
      </c>
      <c r="AB231" s="601">
        <v>-4163</v>
      </c>
      <c r="AC231" s="601">
        <v>0</v>
      </c>
      <c r="AD231" s="601">
        <v>0</v>
      </c>
      <c r="AE231" s="601">
        <v>0</v>
      </c>
      <c r="AF231" s="601">
        <v>0</v>
      </c>
      <c r="AG231" s="601">
        <v>0</v>
      </c>
      <c r="AH231" s="601">
        <v>0</v>
      </c>
      <c r="AI231" s="601">
        <v>0</v>
      </c>
      <c r="AJ231" s="353">
        <v>0</v>
      </c>
      <c r="AK231" s="601">
        <v>0</v>
      </c>
      <c r="AL231" s="601">
        <f>ROUND(SUM(AJ231:AK231),0)</f>
        <v>0</v>
      </c>
      <c r="AM231" s="601">
        <v>0</v>
      </c>
      <c r="AN231" s="601">
        <f>ROUND(SUM(AL231:AM231),0)</f>
        <v>0</v>
      </c>
      <c r="AO231" s="601">
        <v>0</v>
      </c>
      <c r="AP231" s="601">
        <f>ROUND(SUM(AN231:AO231),0)</f>
        <v>0</v>
      </c>
      <c r="AQ231" s="603">
        <v>0</v>
      </c>
      <c r="AR231" s="603">
        <f>ROUND(SUM(AP231:AQ231),0)</f>
        <v>0</v>
      </c>
    </row>
    <row r="232" spans="1:44" ht="13.5" thickBot="1" x14ac:dyDescent="0.3">
      <c r="A232" s="344" t="s">
        <v>596</v>
      </c>
      <c r="B232" s="376"/>
      <c r="C232" s="346"/>
      <c r="D232" s="643">
        <f>SUM(D224:D231)</f>
        <v>74553.440000000002</v>
      </c>
      <c r="E232" s="324"/>
      <c r="F232" s="355">
        <f>SUM(F224:F224)</f>
        <v>0</v>
      </c>
      <c r="G232" s="355">
        <f>SUM(G224:G224)</f>
        <v>0</v>
      </c>
      <c r="H232" s="355">
        <f>SUM(H224:H224)</f>
        <v>0</v>
      </c>
      <c r="I232" s="355">
        <f t="shared" ref="I232:AR232" si="410">SUM(I224:I231)</f>
        <v>0</v>
      </c>
      <c r="J232" s="355">
        <f t="shared" si="410"/>
        <v>0</v>
      </c>
      <c r="K232" s="355">
        <f t="shared" si="410"/>
        <v>0</v>
      </c>
      <c r="L232" s="355">
        <f t="shared" si="410"/>
        <v>0</v>
      </c>
      <c r="M232" s="355">
        <f t="shared" si="410"/>
        <v>10096.333333333334</v>
      </c>
      <c r="N232" s="355">
        <f t="shared" si="410"/>
        <v>10096</v>
      </c>
      <c r="O232" s="355">
        <f t="shared" si="410"/>
        <v>10163</v>
      </c>
      <c r="P232" s="355">
        <f t="shared" si="410"/>
        <v>20259</v>
      </c>
      <c r="Q232" s="355">
        <f t="shared" si="410"/>
        <v>10163</v>
      </c>
      <c r="R232" s="355">
        <f t="shared" si="410"/>
        <v>30422</v>
      </c>
      <c r="S232" s="355">
        <f t="shared" si="410"/>
        <v>10163</v>
      </c>
      <c r="T232" s="355">
        <f t="shared" si="410"/>
        <v>40585</v>
      </c>
      <c r="U232" s="355">
        <f t="shared" si="410"/>
        <v>10283.5</v>
      </c>
      <c r="V232" s="355">
        <f t="shared" si="410"/>
        <v>50869</v>
      </c>
      <c r="W232" s="355">
        <f t="shared" si="410"/>
        <v>2687.4166666666665</v>
      </c>
      <c r="X232" s="355">
        <f t="shared" si="410"/>
        <v>53556</v>
      </c>
      <c r="Y232" s="345">
        <f t="shared" si="410"/>
        <v>2748</v>
      </c>
      <c r="Z232" s="345">
        <f t="shared" si="410"/>
        <v>56304</v>
      </c>
      <c r="AA232" s="355">
        <f t="shared" si="410"/>
        <v>2748</v>
      </c>
      <c r="AB232" s="355">
        <f t="shared" si="410"/>
        <v>54889</v>
      </c>
      <c r="AC232" s="355">
        <f t="shared" si="410"/>
        <v>2748</v>
      </c>
      <c r="AD232" s="355">
        <f t="shared" si="410"/>
        <v>61800</v>
      </c>
      <c r="AE232" s="355">
        <f t="shared" si="410"/>
        <v>2624</v>
      </c>
      <c r="AF232" s="355">
        <f t="shared" si="410"/>
        <v>64424</v>
      </c>
      <c r="AG232" s="345">
        <f t="shared" si="410"/>
        <v>129</v>
      </c>
      <c r="AH232" s="345">
        <f t="shared" si="410"/>
        <v>64553</v>
      </c>
      <c r="AI232" s="355">
        <f t="shared" si="410"/>
        <v>0</v>
      </c>
      <c r="AJ232" s="355">
        <f t="shared" si="410"/>
        <v>64553</v>
      </c>
      <c r="AK232" s="355">
        <f t="shared" si="410"/>
        <v>0</v>
      </c>
      <c r="AL232" s="355">
        <f t="shared" si="410"/>
        <v>64553</v>
      </c>
      <c r="AM232" s="355">
        <f t="shared" si="410"/>
        <v>0</v>
      </c>
      <c r="AN232" s="355">
        <f t="shared" si="410"/>
        <v>64553</v>
      </c>
      <c r="AO232" s="355">
        <f t="shared" si="410"/>
        <v>0</v>
      </c>
      <c r="AP232" s="355">
        <f t="shared" si="410"/>
        <v>64553</v>
      </c>
      <c r="AQ232" s="605">
        <f t="shared" si="410"/>
        <v>1833.3333333333333</v>
      </c>
      <c r="AR232" s="605">
        <f t="shared" si="410"/>
        <v>66386</v>
      </c>
    </row>
    <row r="233" spans="1:44" ht="13.5" thickTop="1" x14ac:dyDescent="0.25">
      <c r="D233" s="645">
        <f>D232-AJ232</f>
        <v>10000.440000000002</v>
      </c>
      <c r="E233" s="606" t="s">
        <v>643</v>
      </c>
      <c r="F233" s="598"/>
      <c r="G233" s="598"/>
      <c r="H233" s="598"/>
      <c r="I233" s="598"/>
      <c r="J233" s="598"/>
      <c r="K233" s="598"/>
      <c r="L233" s="598"/>
      <c r="M233" s="598"/>
      <c r="N233" s="598"/>
      <c r="O233" s="598"/>
      <c r="P233" s="598"/>
      <c r="Q233" s="598"/>
      <c r="R233" s="598"/>
      <c r="S233" s="598"/>
      <c r="T233" s="598"/>
      <c r="U233" s="598"/>
      <c r="V233" s="598"/>
      <c r="W233" s="598"/>
      <c r="X233" s="598"/>
      <c r="Y233" s="596"/>
      <c r="Z233" s="596"/>
      <c r="AA233" s="598"/>
      <c r="AB233" s="598"/>
      <c r="AC233" s="598"/>
      <c r="AD233" s="598"/>
      <c r="AE233" s="598"/>
      <c r="AF233" s="598"/>
      <c r="AG233" s="596"/>
      <c r="AH233" s="596"/>
      <c r="AI233" s="598"/>
      <c r="AJ233" s="598"/>
      <c r="AK233" s="598"/>
      <c r="AL233" s="598"/>
      <c r="AM233" s="598"/>
      <c r="AN233" s="598"/>
      <c r="AO233" s="598"/>
      <c r="AP233" s="598"/>
      <c r="AQ233" s="599"/>
      <c r="AR233" s="599"/>
    </row>
    <row r="234" spans="1:44" ht="13.5" thickBot="1" x14ac:dyDescent="0.3">
      <c r="D234" s="384"/>
      <c r="F234" s="384"/>
      <c r="G234" s="384"/>
      <c r="H234" s="384"/>
      <c r="I234" s="384"/>
      <c r="J234" s="384"/>
      <c r="K234" s="384"/>
      <c r="L234" s="384"/>
      <c r="M234" s="384"/>
      <c r="N234" s="384"/>
      <c r="O234" s="384"/>
      <c r="P234" s="384"/>
      <c r="Q234" s="384"/>
      <c r="R234" s="384"/>
      <c r="S234" s="384"/>
      <c r="T234" s="384"/>
      <c r="U234" s="384"/>
      <c r="V234" s="384"/>
      <c r="W234" s="384"/>
      <c r="X234" s="384"/>
      <c r="Y234" s="385"/>
      <c r="Z234" s="385"/>
      <c r="AA234" s="384"/>
      <c r="AB234" s="384"/>
      <c r="AC234" s="384"/>
      <c r="AD234" s="384"/>
      <c r="AE234" s="384"/>
      <c r="AF234" s="384"/>
      <c r="AG234" s="385"/>
      <c r="AH234" s="385"/>
      <c r="AI234" s="384"/>
      <c r="AJ234" s="384"/>
      <c r="AK234" s="384"/>
      <c r="AL234" s="384"/>
      <c r="AM234" s="384"/>
      <c r="AN234" s="384"/>
      <c r="AO234" s="384"/>
      <c r="AP234" s="384"/>
      <c r="AQ234" s="646"/>
      <c r="AR234" s="646"/>
    </row>
    <row r="235" spans="1:44" ht="13.5" thickBot="1" x14ac:dyDescent="0.3">
      <c r="A235" s="339" t="s">
        <v>597</v>
      </c>
      <c r="D235" s="647">
        <f>SUM(D12+D37+D59+D163+D220+D232)</f>
        <v>4090900.4179999991</v>
      </c>
      <c r="F235" s="387" t="e">
        <f>SUM(#REF!,F220,F232,F163,F59,F37)</f>
        <v>#REF!</v>
      </c>
      <c r="G235" s="387" t="e">
        <f>SUM(#REF!,G220,G232,G163,G59,G37)</f>
        <v>#REF!</v>
      </c>
      <c r="H235" s="387" t="e">
        <f>SUM(#REF!,H220,H232,H163,H59,H37)</f>
        <v>#REF!</v>
      </c>
      <c r="I235" s="387" t="e">
        <f>SUM(#REF!,#REF!,I220,I232,I163,I59,I37,I10)</f>
        <v>#REF!</v>
      </c>
      <c r="J235" s="388" t="e">
        <f>SUM(#REF!,#REF!,J220,J232,J163,J59,J37,J10)</f>
        <v>#REF!</v>
      </c>
      <c r="K235" s="388" t="e">
        <f>SUM(#REF!,#REF!,K220,K232,K163,K59,K37,K10)</f>
        <v>#REF!</v>
      </c>
      <c r="L235" s="388" t="e">
        <f>SUM(#REF!,#REF!,L220,L232,L163,L59,L37,L10)</f>
        <v>#REF!</v>
      </c>
      <c r="M235" s="388" t="e">
        <f>SUM(#REF!,#REF!,M220,M232,M163,M59,M37,M10)</f>
        <v>#REF!</v>
      </c>
      <c r="N235" s="388" t="e">
        <f>SUM(#REF!,#REF!,N220,N232,N163,N59,N37,N10)</f>
        <v>#REF!</v>
      </c>
      <c r="O235" s="388" t="e">
        <f>SUM(#REF!,#REF!,O220,O232,O163,O59,O37,O10)</f>
        <v>#REF!</v>
      </c>
      <c r="P235" s="388" t="e">
        <f>SUM(#REF!,#REF!,P220,P232,P163,P59,P37,P10)</f>
        <v>#REF!</v>
      </c>
      <c r="Q235" s="388" t="e">
        <f>SUM(#REF!,#REF!,Q220,Q232,Q163,Q59,Q37,Q10)</f>
        <v>#REF!</v>
      </c>
      <c r="R235" s="388" t="e">
        <f>SUM(#REF!,#REF!,R220,R232,R163,R59,R37,R10)</f>
        <v>#REF!</v>
      </c>
      <c r="S235" s="388" t="e">
        <f>SUM(#REF!,#REF!,S220,S232,S163,S59,S37,S10)</f>
        <v>#REF!</v>
      </c>
      <c r="T235" s="387" t="e">
        <f>SUM(#REF!,T220,T232,T163,T59,T37,T10)</f>
        <v>#REF!</v>
      </c>
      <c r="U235" s="387" t="e">
        <f>SUM(U12+U37+U59+#REF!+U163+U220+U232)</f>
        <v>#REF!</v>
      </c>
      <c r="V235" s="387" t="e">
        <f>SUM(V12+V37+V59+#REF!+V163+V220+V232)</f>
        <v>#REF!</v>
      </c>
      <c r="W235" s="387" t="e">
        <f>SUM(W12+W37+W59+#REF!+W163+W220+W232)</f>
        <v>#REF!</v>
      </c>
      <c r="X235" s="387" t="e">
        <f>SUM(X12+X37+X59+#REF!+X163+X220+X232)</f>
        <v>#REF!</v>
      </c>
      <c r="Y235" s="388" t="e">
        <f>SUM(Y12+Y37+Y59+#REF!+Y163+Y220+Y232)</f>
        <v>#REF!</v>
      </c>
      <c r="Z235" s="388" t="e">
        <f>SUM(Z12+Z37+Z59+#REF!+Z163+Z220+Z232)</f>
        <v>#REF!</v>
      </c>
      <c r="AA235" s="387" t="e">
        <f>SUM(AA12+AA37+AA59+#REF!+AA163+AA220+AA232)</f>
        <v>#REF!</v>
      </c>
      <c r="AB235" s="386" t="e">
        <f>SUM(AB12+AB37+AB59+#REF!+AB163+AB220+AB232)</f>
        <v>#REF!</v>
      </c>
      <c r="AC235" s="386">
        <f t="shared" ref="AC235:AR235" si="411">SUM(AC12+AC37+AC59+AC163+AC220+AC232)</f>
        <v>68891</v>
      </c>
      <c r="AD235" s="386">
        <f t="shared" si="411"/>
        <v>2780853</v>
      </c>
      <c r="AE235" s="386">
        <f t="shared" si="411"/>
        <v>78485.833333333343</v>
      </c>
      <c r="AF235" s="386">
        <f t="shared" si="411"/>
        <v>2859338</v>
      </c>
      <c r="AG235" s="388">
        <f t="shared" si="411"/>
        <v>89531</v>
      </c>
      <c r="AH235" s="388">
        <f t="shared" si="411"/>
        <v>2948708</v>
      </c>
      <c r="AI235" s="386">
        <f t="shared" si="411"/>
        <v>92701.916666666672</v>
      </c>
      <c r="AJ235" s="386">
        <f t="shared" si="411"/>
        <v>3041571</v>
      </c>
      <c r="AK235" s="386">
        <f t="shared" si="411"/>
        <v>110641.33333333333</v>
      </c>
      <c r="AL235" s="386">
        <f t="shared" si="411"/>
        <v>3152213</v>
      </c>
      <c r="AM235" s="386">
        <f t="shared" si="411"/>
        <v>120142.08333333334</v>
      </c>
      <c r="AN235" s="386">
        <f t="shared" si="411"/>
        <v>3272356</v>
      </c>
      <c r="AO235" s="386">
        <f t="shared" si="411"/>
        <v>135710.33333333334</v>
      </c>
      <c r="AP235" s="386">
        <f t="shared" si="411"/>
        <v>3406346</v>
      </c>
      <c r="AQ235" s="648">
        <f t="shared" si="411"/>
        <v>126248.91666666667</v>
      </c>
      <c r="AR235" s="648">
        <f t="shared" si="411"/>
        <v>3534316</v>
      </c>
    </row>
    <row r="236" spans="1:44" ht="13.5" thickTop="1" x14ac:dyDescent="0.3">
      <c r="D236" s="389"/>
      <c r="J236" s="2"/>
      <c r="K236" s="2"/>
      <c r="L236" s="2"/>
      <c r="M236" s="2"/>
      <c r="N236" s="2"/>
      <c r="O236" s="2"/>
      <c r="P236" s="2"/>
      <c r="Q236" s="2"/>
      <c r="R236" s="2"/>
      <c r="S236" s="2"/>
      <c r="T236" s="2"/>
      <c r="U236" s="2"/>
      <c r="V236" s="2"/>
      <c r="W236" s="2"/>
      <c r="X236" s="2"/>
      <c r="AA236" s="2"/>
      <c r="AB236" s="2"/>
      <c r="AC236" s="2"/>
      <c r="AD236" s="2"/>
      <c r="AE236" s="399"/>
      <c r="AF236" s="399"/>
      <c r="AI236" s="399"/>
      <c r="AJ236" s="399"/>
      <c r="AK236" s="399"/>
      <c r="AL236" s="399"/>
      <c r="AM236" s="399"/>
      <c r="AN236" s="399"/>
      <c r="AO236" s="399"/>
      <c r="AP236" s="399"/>
      <c r="AQ236" s="649"/>
      <c r="AR236" s="649"/>
    </row>
    <row r="237" spans="1:44" x14ac:dyDescent="0.3">
      <c r="B237" s="650" t="s">
        <v>598</v>
      </c>
      <c r="C237" s="390" t="s">
        <v>599</v>
      </c>
      <c r="D237" s="391" t="s">
        <v>600</v>
      </c>
      <c r="I237" s="242" t="s">
        <v>224</v>
      </c>
      <c r="J237" s="2"/>
      <c r="K237" s="2"/>
      <c r="L237" s="2"/>
      <c r="M237" s="2"/>
      <c r="N237" s="2"/>
      <c r="O237" s="2"/>
      <c r="P237" s="2"/>
      <c r="Q237" s="2"/>
      <c r="R237" s="2"/>
      <c r="S237" s="2"/>
      <c r="T237" s="2"/>
      <c r="U237" s="392" t="s">
        <v>521</v>
      </c>
      <c r="V237" s="2"/>
      <c r="W237" s="2"/>
      <c r="X237" s="2"/>
      <c r="AA237" s="2"/>
      <c r="AB237" s="2"/>
      <c r="AC237" s="2"/>
      <c r="AD237" s="2"/>
      <c r="AE237" s="399"/>
      <c r="AF237" s="399"/>
      <c r="AI237" s="399"/>
      <c r="AJ237" s="399"/>
      <c r="AK237" s="399"/>
      <c r="AL237" s="399"/>
      <c r="AM237" s="399"/>
      <c r="AN237" s="399"/>
      <c r="AO237" s="399"/>
      <c r="AP237" s="399"/>
      <c r="AQ237" s="649"/>
      <c r="AR237" s="649"/>
    </row>
    <row r="238" spans="1:44" x14ac:dyDescent="0.3">
      <c r="B238" s="651">
        <f>A5</f>
        <v>43465</v>
      </c>
      <c r="C238" s="393" t="s">
        <v>601</v>
      </c>
      <c r="D238" s="394">
        <v>43465</v>
      </c>
      <c r="I238" s="242" t="s">
        <v>229</v>
      </c>
      <c r="J238" s="2"/>
      <c r="K238" s="2"/>
      <c r="L238" s="395"/>
      <c r="M238" s="2"/>
      <c r="N238" s="2"/>
      <c r="O238" s="2"/>
      <c r="P238" s="2"/>
      <c r="Q238" s="2"/>
      <c r="R238" s="2"/>
      <c r="S238" s="2"/>
      <c r="T238" s="2"/>
      <c r="U238" s="326" t="s">
        <v>602</v>
      </c>
      <c r="V238" s="2"/>
      <c r="W238" s="2"/>
      <c r="X238" s="2"/>
      <c r="AA238" s="2"/>
      <c r="AB238" s="2"/>
      <c r="AC238" s="2"/>
      <c r="AD238" s="2"/>
      <c r="AE238" s="399"/>
      <c r="AF238" s="399"/>
      <c r="AI238" s="399"/>
      <c r="AJ238" s="399"/>
      <c r="AK238" s="399"/>
      <c r="AL238" s="399"/>
      <c r="AM238" s="399"/>
      <c r="AN238" s="399"/>
      <c r="AO238" s="399"/>
      <c r="AP238" s="399"/>
      <c r="AQ238" s="649"/>
      <c r="AR238" s="649"/>
    </row>
    <row r="239" spans="1:44" x14ac:dyDescent="0.3">
      <c r="B239" s="318" t="s">
        <v>535</v>
      </c>
      <c r="C239" s="396">
        <f>D12</f>
        <v>80000</v>
      </c>
      <c r="D239" s="652">
        <f>D12-AP12</f>
        <v>80000</v>
      </c>
      <c r="I239" s="242">
        <f t="shared" ref="I239:I245" si="412">SUM(C239-D239)</f>
        <v>0</v>
      </c>
      <c r="J239" s="2"/>
      <c r="K239" s="2"/>
      <c r="L239" s="2"/>
      <c r="M239" s="2"/>
      <c r="N239" s="2"/>
      <c r="O239" s="2"/>
      <c r="P239" s="2"/>
      <c r="Q239" s="2"/>
      <c r="R239" s="2"/>
      <c r="S239" s="2"/>
      <c r="T239" s="2"/>
      <c r="U239" s="2">
        <f t="shared" ref="U239:U244" si="413">SUM(C239-D239)</f>
        <v>0</v>
      </c>
      <c r="V239" s="2"/>
      <c r="W239" s="2"/>
      <c r="X239" s="2"/>
      <c r="Z239" s="397" t="e">
        <f>SUM(D235-Z235)</f>
        <v>#REF!</v>
      </c>
      <c r="AA239" s="2"/>
      <c r="AB239" s="397" t="e">
        <f>SUM(D235-AB235)</f>
        <v>#REF!</v>
      </c>
      <c r="AC239" s="2"/>
      <c r="AD239" s="397">
        <f>SUM(D235-AD235)</f>
        <v>1310047.4179999991</v>
      </c>
      <c r="AE239" s="399"/>
      <c r="AF239" s="403">
        <f>SUM(D235-AF235)</f>
        <v>1231562.4179999991</v>
      </c>
      <c r="AH239" s="653">
        <f>SUM(D235-AH235)</f>
        <v>1142192.4179999991</v>
      </c>
      <c r="AI239" s="399"/>
      <c r="AJ239" s="403">
        <f>SUM(D235-AJ235)</f>
        <v>1049329.4179999991</v>
      </c>
      <c r="AK239" s="403"/>
      <c r="AL239" s="403">
        <f>SUM(D235-AL235)</f>
        <v>938687.41799999913</v>
      </c>
      <c r="AM239" s="403"/>
      <c r="AN239" s="654">
        <f>SUM(D235-AN235)</f>
        <v>818544.41799999913</v>
      </c>
      <c r="AO239" s="403"/>
      <c r="AP239" s="403">
        <f>D235-AP235</f>
        <v>684554.41799999913</v>
      </c>
      <c r="AQ239" s="655"/>
      <c r="AR239" s="655">
        <f>D235-AR235</f>
        <v>556584.41799999913</v>
      </c>
    </row>
    <row r="240" spans="1:44" x14ac:dyDescent="0.3">
      <c r="B240" s="376" t="s">
        <v>237</v>
      </c>
      <c r="C240" s="396">
        <f>D37</f>
        <v>263352.26</v>
      </c>
      <c r="D240" s="656">
        <f>D37-AP37</f>
        <v>136309.26</v>
      </c>
      <c r="I240" s="242">
        <f t="shared" si="412"/>
        <v>127043</v>
      </c>
      <c r="P240" s="2"/>
      <c r="U240" s="2">
        <f t="shared" si="413"/>
        <v>127043</v>
      </c>
      <c r="V240" s="2"/>
      <c r="W240" s="2"/>
      <c r="X240" s="2"/>
      <c r="AA240" s="2"/>
      <c r="AC240" s="2"/>
      <c r="AE240" s="399"/>
      <c r="AF240" s="399"/>
      <c r="AI240" s="399"/>
      <c r="AJ240" s="399"/>
      <c r="AK240" s="399"/>
      <c r="AL240" s="399"/>
      <c r="AM240" s="399"/>
      <c r="AN240" s="399"/>
      <c r="AO240" s="399"/>
      <c r="AP240" s="399"/>
      <c r="AQ240" s="649"/>
      <c r="AR240" s="649"/>
    </row>
    <row r="241" spans="1:44" x14ac:dyDescent="0.3">
      <c r="B241" s="376" t="s">
        <v>79</v>
      </c>
      <c r="C241" s="396">
        <f>D59</f>
        <v>326514.48</v>
      </c>
      <c r="D241" s="656">
        <f>D59-AP59</f>
        <v>141813.47999999998</v>
      </c>
      <c r="I241" s="242">
        <f t="shared" si="412"/>
        <v>184701</v>
      </c>
      <c r="U241" s="2">
        <f t="shared" si="413"/>
        <v>184701</v>
      </c>
      <c r="V241" s="2"/>
      <c r="W241" s="2"/>
      <c r="X241" s="2"/>
      <c r="AA241" s="2"/>
      <c r="AC241" s="2"/>
      <c r="AE241" s="399"/>
      <c r="AI241" s="399"/>
      <c r="AK241" s="399"/>
      <c r="AM241" s="399"/>
      <c r="AO241" s="399"/>
      <c r="AP241" s="401"/>
      <c r="AQ241" s="649"/>
      <c r="AR241" s="594"/>
    </row>
    <row r="242" spans="1:44" x14ac:dyDescent="0.3">
      <c r="B242" s="376" t="s">
        <v>603</v>
      </c>
      <c r="C242" s="396">
        <f>D163</f>
        <v>3110993.4379999996</v>
      </c>
      <c r="D242" s="656">
        <f>D163-AP163</f>
        <v>287451.43799999962</v>
      </c>
      <c r="I242" s="242">
        <f t="shared" si="412"/>
        <v>2823542</v>
      </c>
      <c r="U242" s="2">
        <f t="shared" si="413"/>
        <v>2823542</v>
      </c>
      <c r="V242" s="2"/>
      <c r="W242" s="2"/>
      <c r="AA242" s="2"/>
      <c r="AC242" s="2"/>
      <c r="AE242" s="399"/>
      <c r="AI242" s="399"/>
      <c r="AK242" s="399"/>
      <c r="AM242" s="399"/>
      <c r="AO242" s="399"/>
      <c r="AP242" s="401"/>
      <c r="AQ242" s="649"/>
      <c r="AR242" s="594"/>
    </row>
    <row r="243" spans="1:44" x14ac:dyDescent="0.3">
      <c r="B243" s="376" t="s">
        <v>604</v>
      </c>
      <c r="C243" s="396">
        <f>D220</f>
        <v>235486.80000000002</v>
      </c>
      <c r="D243" s="656">
        <f>D220-AP220</f>
        <v>28979.800000000017</v>
      </c>
      <c r="I243" s="242">
        <f t="shared" si="412"/>
        <v>206507</v>
      </c>
      <c r="U243" s="2">
        <f t="shared" si="413"/>
        <v>206507</v>
      </c>
      <c r="V243" s="2"/>
      <c r="W243" s="2"/>
      <c r="AA243" s="2"/>
      <c r="AC243" s="2"/>
      <c r="AE243" s="399"/>
      <c r="AI243" s="399"/>
      <c r="AK243" s="399"/>
      <c r="AM243" s="399"/>
      <c r="AO243" s="399"/>
      <c r="AP243" s="401"/>
      <c r="AQ243" s="649"/>
      <c r="AR243" s="594"/>
    </row>
    <row r="244" spans="1:44" x14ac:dyDescent="0.3">
      <c r="B244" s="376" t="s">
        <v>605</v>
      </c>
      <c r="C244" s="396">
        <f>D232</f>
        <v>74553.440000000002</v>
      </c>
      <c r="D244" s="656">
        <f>D232-AJ232</f>
        <v>10000.440000000002</v>
      </c>
      <c r="I244" s="242">
        <f t="shared" si="412"/>
        <v>64553</v>
      </c>
      <c r="U244" s="2">
        <f t="shared" si="413"/>
        <v>64553</v>
      </c>
      <c r="V244" s="2"/>
      <c r="W244" s="2"/>
      <c r="AA244" s="2"/>
      <c r="AC244" s="2"/>
      <c r="AD244" s="358" t="s">
        <v>606</v>
      </c>
      <c r="AE244" s="313"/>
      <c r="AI244" s="399"/>
      <c r="AK244" s="399"/>
      <c r="AM244" s="399"/>
      <c r="AO244" s="399"/>
      <c r="AP244" s="401"/>
      <c r="AQ244" s="649"/>
      <c r="AR244" s="594"/>
    </row>
    <row r="245" spans="1:44" x14ac:dyDescent="0.3">
      <c r="C245" s="312"/>
      <c r="D245" s="399"/>
      <c r="I245" s="243">
        <f t="shared" si="412"/>
        <v>0</v>
      </c>
      <c r="U245" s="2"/>
      <c r="V245" s="2"/>
      <c r="W245" s="2"/>
      <c r="AA245" s="2"/>
      <c r="AC245" s="2"/>
      <c r="AD245" s="358" t="s">
        <v>607</v>
      </c>
      <c r="AE245" s="323"/>
      <c r="AI245" s="399"/>
      <c r="AK245" s="399"/>
      <c r="AM245" s="399"/>
      <c r="AO245" s="399"/>
      <c r="AP245" s="401"/>
      <c r="AQ245" s="649"/>
      <c r="AR245" s="594"/>
    </row>
    <row r="246" spans="1:44" ht="13.5" thickBot="1" x14ac:dyDescent="0.35">
      <c r="C246" s="657">
        <f>SUM(C239:C245)</f>
        <v>4090900.4179999991</v>
      </c>
      <c r="D246" s="658">
        <f>SUM(D239:D245)</f>
        <v>684554.4179999996</v>
      </c>
      <c r="I246" s="355">
        <f>SUM(I239:I245)</f>
        <v>3406346</v>
      </c>
      <c r="U246" s="400">
        <f>SUM(C246-D246)</f>
        <v>3406345.9999999995</v>
      </c>
      <c r="V246" s="2"/>
      <c r="W246" s="2"/>
      <c r="AA246" s="2"/>
      <c r="AC246" s="2"/>
      <c r="AE246" s="399"/>
      <c r="AI246" s="399"/>
      <c r="AK246" s="399"/>
      <c r="AM246" s="399"/>
      <c r="AO246" s="399"/>
      <c r="AP246" s="401"/>
      <c r="AQ246" s="649"/>
      <c r="AR246" s="594"/>
    </row>
    <row r="247" spans="1:44" ht="13.5" thickTop="1" x14ac:dyDescent="0.3">
      <c r="D247" s="389"/>
      <c r="AO247" s="401"/>
      <c r="AP247" s="401"/>
      <c r="AQ247" s="649"/>
      <c r="AR247" s="594"/>
    </row>
    <row r="248" spans="1:44" x14ac:dyDescent="0.3">
      <c r="B248" s="659"/>
      <c r="D248" s="660">
        <f>SUM(C246-D246)</f>
        <v>3406345.9999999995</v>
      </c>
      <c r="E248" s="314" t="s">
        <v>608</v>
      </c>
      <c r="AO248" s="401"/>
      <c r="AP248" s="401"/>
      <c r="AQ248" s="594"/>
      <c r="AR248" s="594"/>
    </row>
    <row r="249" spans="1:44" x14ac:dyDescent="0.3">
      <c r="AO249" s="401"/>
      <c r="AP249" s="401"/>
      <c r="AQ249" s="594"/>
      <c r="AR249" s="594"/>
    </row>
    <row r="250" spans="1:44" s="704" customFormat="1" x14ac:dyDescent="0.3">
      <c r="A250" s="318"/>
      <c r="B250" s="318"/>
      <c r="C250" s="313"/>
      <c r="D250" s="314"/>
      <c r="E250" s="314"/>
      <c r="F250" s="314"/>
      <c r="G250" s="314"/>
      <c r="H250" s="314"/>
      <c r="I250" s="242"/>
      <c r="J250" s="242"/>
      <c r="K250" s="242"/>
      <c r="L250" s="242"/>
      <c r="M250" s="242"/>
      <c r="N250" s="242"/>
      <c r="O250" s="242"/>
      <c r="P250" s="242"/>
      <c r="Q250" s="242"/>
      <c r="R250" s="242"/>
      <c r="S250" s="242"/>
      <c r="T250" s="242"/>
      <c r="U250" s="242"/>
      <c r="V250" s="242"/>
      <c r="W250" s="242"/>
      <c r="X250" s="242"/>
      <c r="Y250" s="2"/>
      <c r="Z250" s="2"/>
      <c r="AA250" s="242"/>
      <c r="AB250" s="242"/>
      <c r="AC250" s="242"/>
      <c r="AD250" s="242"/>
      <c r="AE250" s="401"/>
      <c r="AF250" s="401"/>
      <c r="AG250" s="399"/>
      <c r="AH250" s="399"/>
      <c r="AI250" s="401"/>
      <c r="AJ250" s="401"/>
      <c r="AK250" s="401"/>
      <c r="AL250" s="401"/>
      <c r="AM250" s="401"/>
      <c r="AN250" s="401"/>
      <c r="AO250" s="401"/>
      <c r="AP250" s="401"/>
      <c r="AQ250" s="594"/>
      <c r="AR250" s="594"/>
    </row>
    <row r="251" spans="1:44" s="704" customFormat="1" x14ac:dyDescent="0.3">
      <c r="A251" s="318"/>
      <c r="B251" s="318"/>
      <c r="C251" s="313"/>
      <c r="D251" s="314"/>
      <c r="E251" s="314"/>
      <c r="F251" s="314"/>
      <c r="G251" s="314"/>
      <c r="H251" s="314"/>
      <c r="I251" s="242"/>
      <c r="J251" s="242"/>
      <c r="K251" s="242"/>
      <c r="L251" s="242"/>
      <c r="M251" s="242"/>
      <c r="N251" s="242"/>
      <c r="O251" s="242"/>
      <c r="P251" s="242"/>
      <c r="Q251" s="242"/>
      <c r="R251" s="242"/>
      <c r="S251" s="242"/>
      <c r="T251" s="242"/>
      <c r="U251" s="242"/>
      <c r="V251" s="242"/>
      <c r="W251" s="242"/>
      <c r="X251" s="242"/>
      <c r="Y251" s="2"/>
      <c r="Z251" s="2"/>
      <c r="AA251" s="242"/>
      <c r="AB251" s="242"/>
      <c r="AC251" s="242"/>
      <c r="AD251" s="242"/>
      <c r="AE251" s="401"/>
      <c r="AF251" s="401"/>
      <c r="AG251" s="399"/>
      <c r="AH251" s="399"/>
      <c r="AI251" s="401"/>
      <c r="AJ251" s="401"/>
      <c r="AK251" s="401"/>
      <c r="AL251" s="401"/>
      <c r="AM251" s="401"/>
      <c r="AN251" s="401"/>
      <c r="AO251" s="401"/>
      <c r="AP251" s="401"/>
      <c r="AQ251" s="594"/>
      <c r="AR251" s="594"/>
    </row>
    <row r="252" spans="1:44" s="704" customFormat="1" x14ac:dyDescent="0.3">
      <c r="A252" s="318"/>
      <c r="B252" s="318"/>
      <c r="C252" s="313"/>
      <c r="D252" s="314"/>
      <c r="E252" s="314"/>
      <c r="F252" s="314"/>
      <c r="G252" s="314"/>
      <c r="H252" s="314"/>
      <c r="I252" s="242"/>
      <c r="J252" s="242"/>
      <c r="K252" s="242"/>
      <c r="L252" s="242"/>
      <c r="M252" s="242"/>
      <c r="N252" s="242"/>
      <c r="O252" s="242"/>
      <c r="P252" s="242"/>
      <c r="Q252" s="242"/>
      <c r="R252" s="242"/>
      <c r="S252" s="242"/>
      <c r="T252" s="242"/>
      <c r="U252" s="242"/>
      <c r="V252" s="242"/>
      <c r="W252" s="242"/>
      <c r="X252" s="242"/>
      <c r="Y252" s="2"/>
      <c r="Z252" s="2"/>
      <c r="AA252" s="242"/>
      <c r="AB252" s="242"/>
      <c r="AC252" s="242"/>
      <c r="AD252" s="242"/>
      <c r="AE252" s="401"/>
      <c r="AF252" s="401"/>
      <c r="AG252" s="399"/>
      <c r="AH252" s="399"/>
      <c r="AI252" s="401"/>
      <c r="AJ252" s="401"/>
      <c r="AK252" s="401"/>
      <c r="AL252" s="401"/>
      <c r="AM252" s="401"/>
      <c r="AN252" s="401"/>
      <c r="AO252" s="401"/>
      <c r="AP252" s="401"/>
      <c r="AQ252" s="594"/>
      <c r="AR252" s="594"/>
    </row>
    <row r="253" spans="1:44" s="704" customFormat="1" x14ac:dyDescent="0.3">
      <c r="A253" s="318"/>
      <c r="B253" s="318"/>
      <c r="C253" s="313"/>
      <c r="D253" s="314"/>
      <c r="E253" s="314"/>
      <c r="F253" s="314"/>
      <c r="G253" s="314"/>
      <c r="H253" s="314"/>
      <c r="I253" s="242"/>
      <c r="J253" s="242"/>
      <c r="K253" s="242"/>
      <c r="L253" s="242"/>
      <c r="M253" s="242"/>
      <c r="N253" s="242"/>
      <c r="O253" s="242"/>
      <c r="P253" s="242"/>
      <c r="Q253" s="242"/>
      <c r="R253" s="242"/>
      <c r="S253" s="242"/>
      <c r="T253" s="242"/>
      <c r="U253" s="242"/>
      <c r="V253" s="242"/>
      <c r="W253" s="242"/>
      <c r="X253" s="242"/>
      <c r="Y253" s="2"/>
      <c r="Z253" s="2"/>
      <c r="AA253" s="242"/>
      <c r="AB253" s="242"/>
      <c r="AC253" s="242"/>
      <c r="AD253" s="242"/>
      <c r="AE253" s="401"/>
      <c r="AF253" s="401"/>
      <c r="AG253" s="399"/>
      <c r="AH253" s="399"/>
      <c r="AI253" s="401"/>
      <c r="AJ253" s="401"/>
      <c r="AK253" s="401"/>
      <c r="AL253" s="401"/>
      <c r="AM253" s="401"/>
      <c r="AN253" s="401"/>
      <c r="AO253" s="401"/>
      <c r="AP253" s="401"/>
      <c r="AQ253" s="594"/>
      <c r="AR253" s="594"/>
    </row>
    <row r="254" spans="1:44" s="704" customFormat="1" x14ac:dyDescent="0.3">
      <c r="A254" s="318"/>
      <c r="B254" s="318"/>
      <c r="C254" s="313"/>
      <c r="D254" s="314"/>
      <c r="E254" s="314"/>
      <c r="F254" s="314"/>
      <c r="G254" s="314"/>
      <c r="H254" s="314"/>
      <c r="I254" s="242"/>
      <c r="J254" s="242"/>
      <c r="K254" s="242"/>
      <c r="L254" s="242"/>
      <c r="M254" s="242"/>
      <c r="N254" s="242"/>
      <c r="O254" s="242"/>
      <c r="P254" s="242"/>
      <c r="Q254" s="242"/>
      <c r="R254" s="242"/>
      <c r="S254" s="242"/>
      <c r="T254" s="242"/>
      <c r="U254" s="242"/>
      <c r="V254" s="242"/>
      <c r="W254" s="242"/>
      <c r="X254" s="242"/>
      <c r="Y254" s="2"/>
      <c r="Z254" s="2"/>
      <c r="AA254" s="242"/>
      <c r="AB254" s="242"/>
      <c r="AC254" s="242"/>
      <c r="AD254" s="242"/>
      <c r="AE254" s="401"/>
      <c r="AF254" s="401"/>
      <c r="AG254" s="399"/>
      <c r="AH254" s="399"/>
      <c r="AI254" s="401"/>
      <c r="AJ254" s="401"/>
      <c r="AK254" s="401"/>
      <c r="AL254" s="401"/>
      <c r="AM254" s="401"/>
      <c r="AN254" s="401"/>
      <c r="AO254" s="401"/>
      <c r="AP254" s="401"/>
      <c r="AQ254" s="594"/>
      <c r="AR254" s="594"/>
    </row>
    <row r="255" spans="1:44" x14ac:dyDescent="0.3">
      <c r="D255" s="324"/>
      <c r="E255" s="324"/>
      <c r="AO255" s="401"/>
      <c r="AP255" s="401"/>
      <c r="AQ255" s="594"/>
      <c r="AR255" s="594"/>
    </row>
    <row r="256" spans="1:44" x14ac:dyDescent="0.3">
      <c r="D256" s="324"/>
      <c r="E256" s="324"/>
      <c r="AO256" s="401"/>
      <c r="AP256" s="401"/>
      <c r="AQ256" s="594"/>
      <c r="AR256" s="594"/>
    </row>
    <row r="257" spans="4:44" x14ac:dyDescent="0.3">
      <c r="D257" s="324"/>
      <c r="E257" s="324"/>
      <c r="AO257" s="401"/>
      <c r="AP257" s="401"/>
      <c r="AQ257" s="594"/>
      <c r="AR257" s="594"/>
    </row>
    <row r="258" spans="4:44" x14ac:dyDescent="0.3">
      <c r="D258" s="324"/>
      <c r="E258" s="324"/>
      <c r="AO258" s="401"/>
      <c r="AP258" s="401"/>
      <c r="AQ258" s="594"/>
      <c r="AR258" s="594"/>
    </row>
    <row r="259" spans="4:44" x14ac:dyDescent="0.3">
      <c r="D259" s="324"/>
      <c r="E259" s="324"/>
      <c r="AO259" s="401"/>
      <c r="AP259" s="401"/>
      <c r="AQ259" s="594"/>
      <c r="AR259" s="594"/>
    </row>
    <row r="260" spans="4:44" x14ac:dyDescent="0.3">
      <c r="D260" s="324"/>
      <c r="AO260" s="401"/>
      <c r="AP260" s="401"/>
      <c r="AQ260" s="594"/>
      <c r="AR260" s="594"/>
    </row>
    <row r="261" spans="4:44" x14ac:dyDescent="0.3">
      <c r="D261" s="324"/>
      <c r="AO261" s="401"/>
      <c r="AP261" s="401"/>
      <c r="AQ261" s="594"/>
      <c r="AR261" s="594"/>
    </row>
    <row r="262" spans="4:44" x14ac:dyDescent="0.3">
      <c r="D262" s="324"/>
      <c r="AO262" s="401"/>
      <c r="AP262" s="401"/>
      <c r="AQ262" s="594"/>
      <c r="AR262" s="594"/>
    </row>
    <row r="263" spans="4:44" x14ac:dyDescent="0.3">
      <c r="D263" s="324"/>
      <c r="AO263" s="401"/>
      <c r="AP263" s="401"/>
      <c r="AQ263" s="594"/>
      <c r="AR263" s="594"/>
    </row>
    <row r="264" spans="4:44" x14ac:dyDescent="0.3">
      <c r="D264" s="324"/>
      <c r="AO264" s="401"/>
      <c r="AP264" s="401"/>
      <c r="AQ264" s="594"/>
      <c r="AR264" s="594"/>
    </row>
    <row r="265" spans="4:44" x14ac:dyDescent="0.3">
      <c r="D265" s="324"/>
      <c r="AO265" s="401"/>
      <c r="AP265" s="401"/>
      <c r="AQ265" s="594"/>
      <c r="AR265" s="594"/>
    </row>
    <row r="266" spans="4:44" x14ac:dyDescent="0.3">
      <c r="D266" s="324"/>
      <c r="AO266" s="401"/>
      <c r="AP266" s="401"/>
      <c r="AQ266" s="594"/>
      <c r="AR266" s="594"/>
    </row>
    <row r="267" spans="4:44" x14ac:dyDescent="0.3">
      <c r="D267" s="324"/>
      <c r="AO267" s="401"/>
      <c r="AP267" s="401"/>
      <c r="AQ267" s="594"/>
      <c r="AR267" s="594"/>
    </row>
    <row r="268" spans="4:44" x14ac:dyDescent="0.3">
      <c r="D268" s="324"/>
      <c r="AO268" s="401"/>
      <c r="AP268" s="401"/>
      <c r="AQ268" s="594"/>
      <c r="AR268" s="594"/>
    </row>
    <row r="269" spans="4:44" x14ac:dyDescent="0.3">
      <c r="D269" s="324"/>
      <c r="AO269" s="401"/>
      <c r="AP269" s="401"/>
      <c r="AQ269" s="594"/>
      <c r="AR269" s="594"/>
    </row>
    <row r="270" spans="4:44" x14ac:dyDescent="0.3">
      <c r="D270" s="324"/>
      <c r="AO270" s="401"/>
      <c r="AP270" s="401"/>
      <c r="AQ270" s="594"/>
      <c r="AR270" s="594"/>
    </row>
    <row r="271" spans="4:44" x14ac:dyDescent="0.3">
      <c r="D271" s="324"/>
      <c r="AO271" s="401"/>
      <c r="AP271" s="401"/>
      <c r="AQ271" s="594"/>
      <c r="AR271" s="594"/>
    </row>
    <row r="272" spans="4:44" x14ac:dyDescent="0.3">
      <c r="D272" s="324"/>
      <c r="AO272" s="401"/>
      <c r="AP272" s="401"/>
      <c r="AQ272" s="594"/>
      <c r="AR272" s="594"/>
    </row>
    <row r="273" spans="4:44" x14ac:dyDescent="0.3">
      <c r="D273" s="324"/>
      <c r="AO273" s="401"/>
      <c r="AP273" s="401"/>
      <c r="AQ273" s="594"/>
      <c r="AR273" s="594"/>
    </row>
    <row r="274" spans="4:44" x14ac:dyDescent="0.3">
      <c r="D274" s="324"/>
      <c r="AO274" s="401"/>
      <c r="AP274" s="401"/>
      <c r="AQ274" s="594"/>
      <c r="AR274" s="594"/>
    </row>
    <row r="275" spans="4:44" x14ac:dyDescent="0.3">
      <c r="D275" s="324"/>
      <c r="AO275" s="401"/>
      <c r="AP275" s="401"/>
      <c r="AQ275" s="594"/>
      <c r="AR275" s="594"/>
    </row>
    <row r="276" spans="4:44" x14ac:dyDescent="0.3">
      <c r="D276" s="324"/>
      <c r="AO276" s="401"/>
      <c r="AP276" s="401"/>
      <c r="AQ276" s="594"/>
      <c r="AR276" s="594"/>
    </row>
    <row r="277" spans="4:44" x14ac:dyDescent="0.3">
      <c r="D277" s="324"/>
      <c r="AO277" s="401"/>
      <c r="AP277" s="401"/>
      <c r="AQ277" s="594"/>
      <c r="AR277" s="594"/>
    </row>
    <row r="278" spans="4:44" x14ac:dyDescent="0.3">
      <c r="D278" s="324"/>
      <c r="AO278" s="401"/>
      <c r="AP278" s="401"/>
      <c r="AQ278" s="594"/>
      <c r="AR278" s="594"/>
    </row>
    <row r="279" spans="4:44" x14ac:dyDescent="0.3">
      <c r="D279" s="324"/>
      <c r="AO279" s="401"/>
      <c r="AP279" s="401"/>
      <c r="AQ279" s="594"/>
      <c r="AR279" s="594"/>
    </row>
    <row r="280" spans="4:44" x14ac:dyDescent="0.3">
      <c r="D280" s="324"/>
      <c r="AO280" s="401"/>
      <c r="AP280" s="401"/>
      <c r="AQ280" s="594"/>
      <c r="AR280" s="594"/>
    </row>
    <row r="281" spans="4:44" x14ac:dyDescent="0.3">
      <c r="D281" s="324"/>
      <c r="AO281" s="401"/>
      <c r="AP281" s="401"/>
      <c r="AQ281" s="594"/>
      <c r="AR281" s="594"/>
    </row>
    <row r="282" spans="4:44" x14ac:dyDescent="0.3">
      <c r="D282" s="324"/>
      <c r="AO282" s="401"/>
      <c r="AP282" s="401"/>
      <c r="AQ282" s="594"/>
      <c r="AR282" s="594"/>
    </row>
    <row r="283" spans="4:44" x14ac:dyDescent="0.3">
      <c r="D283" s="324"/>
      <c r="AO283" s="401"/>
      <c r="AP283" s="401"/>
      <c r="AQ283" s="594"/>
      <c r="AR283" s="594"/>
    </row>
    <row r="284" spans="4:44" x14ac:dyDescent="0.3">
      <c r="D284" s="324"/>
      <c r="AO284" s="401"/>
      <c r="AP284" s="401"/>
      <c r="AQ284" s="594"/>
      <c r="AR284" s="594"/>
    </row>
    <row r="285" spans="4:44" x14ac:dyDescent="0.3">
      <c r="D285" s="324"/>
      <c r="AO285" s="401"/>
      <c r="AP285" s="401"/>
      <c r="AQ285" s="594"/>
      <c r="AR285" s="594"/>
    </row>
    <row r="286" spans="4:44" x14ac:dyDescent="0.3">
      <c r="D286" s="324"/>
      <c r="AO286" s="401"/>
      <c r="AP286" s="401"/>
      <c r="AQ286" s="594"/>
      <c r="AR286" s="594"/>
    </row>
    <row r="287" spans="4:44" x14ac:dyDescent="0.3">
      <c r="D287" s="324"/>
      <c r="AO287" s="401"/>
      <c r="AP287" s="401"/>
      <c r="AQ287" s="594"/>
      <c r="AR287" s="594"/>
    </row>
    <row r="288" spans="4:44" x14ac:dyDescent="0.3">
      <c r="D288" s="324"/>
      <c r="AO288" s="401"/>
      <c r="AP288" s="401"/>
      <c r="AQ288" s="594"/>
      <c r="AR288" s="594"/>
    </row>
    <row r="289" spans="4:44" x14ac:dyDescent="0.3">
      <c r="D289" s="324"/>
      <c r="AO289" s="401"/>
      <c r="AP289" s="401"/>
      <c r="AQ289" s="594"/>
      <c r="AR289" s="594"/>
    </row>
    <row r="290" spans="4:44" x14ac:dyDescent="0.3">
      <c r="D290" s="324"/>
      <c r="AO290" s="401"/>
      <c r="AP290" s="401"/>
      <c r="AQ290" s="594"/>
      <c r="AR290" s="594"/>
    </row>
    <row r="291" spans="4:44" x14ac:dyDescent="0.3">
      <c r="D291" s="324"/>
      <c r="AO291" s="401"/>
      <c r="AP291" s="401"/>
      <c r="AQ291" s="594"/>
      <c r="AR291" s="594"/>
    </row>
    <row r="292" spans="4:44" x14ac:dyDescent="0.3">
      <c r="D292" s="324"/>
      <c r="AO292" s="401"/>
      <c r="AP292" s="401"/>
      <c r="AQ292" s="594"/>
      <c r="AR292" s="594"/>
    </row>
    <row r="293" spans="4:44" x14ac:dyDescent="0.3">
      <c r="D293" s="324"/>
      <c r="AO293" s="401"/>
      <c r="AP293" s="401"/>
      <c r="AQ293" s="594"/>
      <c r="AR293" s="594"/>
    </row>
    <row r="294" spans="4:44" x14ac:dyDescent="0.3">
      <c r="D294" s="324"/>
      <c r="AO294" s="401"/>
      <c r="AP294" s="401"/>
      <c r="AQ294" s="594"/>
      <c r="AR294" s="594"/>
    </row>
    <row r="295" spans="4:44" x14ac:dyDescent="0.3">
      <c r="D295" s="324"/>
      <c r="AO295" s="401"/>
      <c r="AP295" s="401"/>
      <c r="AQ295" s="594"/>
      <c r="AR295" s="594"/>
    </row>
    <row r="296" spans="4:44" x14ac:dyDescent="0.3">
      <c r="D296" s="324"/>
      <c r="AO296" s="401"/>
      <c r="AP296" s="401"/>
      <c r="AQ296" s="594"/>
      <c r="AR296" s="594"/>
    </row>
    <row r="297" spans="4:44" x14ac:dyDescent="0.3">
      <c r="D297" s="324"/>
      <c r="AO297" s="401"/>
      <c r="AP297" s="401"/>
      <c r="AQ297" s="594"/>
      <c r="AR297" s="594"/>
    </row>
    <row r="298" spans="4:44" x14ac:dyDescent="0.3">
      <c r="D298" s="324"/>
      <c r="AO298" s="401"/>
      <c r="AP298" s="401"/>
      <c r="AQ298" s="594"/>
      <c r="AR298" s="594"/>
    </row>
    <row r="299" spans="4:44" x14ac:dyDescent="0.3">
      <c r="D299" s="324"/>
      <c r="AO299" s="401"/>
      <c r="AP299" s="401"/>
      <c r="AQ299" s="594"/>
      <c r="AR299" s="594"/>
    </row>
    <row r="300" spans="4:44" x14ac:dyDescent="0.3">
      <c r="D300" s="324"/>
      <c r="AO300" s="401"/>
      <c r="AP300" s="401"/>
      <c r="AQ300" s="594"/>
      <c r="AR300" s="594"/>
    </row>
    <row r="301" spans="4:44" x14ac:dyDescent="0.3">
      <c r="D301" s="324"/>
      <c r="AO301" s="401"/>
      <c r="AP301" s="401"/>
      <c r="AQ301" s="594"/>
      <c r="AR301" s="594"/>
    </row>
    <row r="302" spans="4:44" x14ac:dyDescent="0.3">
      <c r="D302" s="324"/>
      <c r="AO302" s="401"/>
      <c r="AP302" s="401"/>
      <c r="AQ302" s="594"/>
      <c r="AR302" s="594"/>
    </row>
    <row r="303" spans="4:44" x14ac:dyDescent="0.3">
      <c r="D303" s="324"/>
      <c r="AO303" s="401"/>
      <c r="AP303" s="401"/>
      <c r="AQ303" s="594"/>
      <c r="AR303" s="594"/>
    </row>
    <row r="304" spans="4:44" x14ac:dyDescent="0.3">
      <c r="D304" s="324"/>
      <c r="AO304" s="401"/>
      <c r="AP304" s="401"/>
      <c r="AQ304" s="594"/>
      <c r="AR304" s="594"/>
    </row>
    <row r="305" spans="4:44" x14ac:dyDescent="0.3">
      <c r="D305" s="324"/>
      <c r="AO305" s="401"/>
      <c r="AP305" s="401"/>
      <c r="AQ305" s="594"/>
      <c r="AR305" s="594"/>
    </row>
    <row r="306" spans="4:44" x14ac:dyDescent="0.3">
      <c r="D306" s="324"/>
      <c r="AO306" s="401"/>
      <c r="AP306" s="401"/>
      <c r="AQ306" s="594"/>
      <c r="AR306" s="594"/>
    </row>
    <row r="307" spans="4:44" x14ac:dyDescent="0.3">
      <c r="D307" s="324"/>
      <c r="AO307" s="401"/>
      <c r="AP307" s="401"/>
      <c r="AQ307" s="594"/>
      <c r="AR307" s="594"/>
    </row>
    <row r="308" spans="4:44" x14ac:dyDescent="0.3">
      <c r="D308" s="324"/>
      <c r="AO308" s="401"/>
      <c r="AP308" s="401"/>
      <c r="AQ308" s="594"/>
      <c r="AR308" s="594"/>
    </row>
    <row r="309" spans="4:44" x14ac:dyDescent="0.3">
      <c r="D309" s="324"/>
      <c r="AO309" s="401"/>
      <c r="AP309" s="401"/>
      <c r="AQ309" s="594"/>
      <c r="AR309" s="594"/>
    </row>
    <row r="310" spans="4:44" x14ac:dyDescent="0.3">
      <c r="D310" s="324"/>
      <c r="AO310" s="401"/>
      <c r="AP310" s="401"/>
      <c r="AQ310" s="594"/>
      <c r="AR310" s="594"/>
    </row>
    <row r="311" spans="4:44" x14ac:dyDescent="0.3">
      <c r="D311" s="324"/>
      <c r="AO311" s="401"/>
      <c r="AP311" s="401"/>
      <c r="AQ311" s="594"/>
      <c r="AR311" s="594"/>
    </row>
    <row r="312" spans="4:44" x14ac:dyDescent="0.3">
      <c r="D312" s="324"/>
      <c r="AO312" s="401"/>
      <c r="AP312" s="401"/>
      <c r="AQ312" s="594"/>
      <c r="AR312" s="594"/>
    </row>
    <row r="313" spans="4:44" x14ac:dyDescent="0.3">
      <c r="D313" s="324"/>
      <c r="AO313" s="401"/>
      <c r="AP313" s="401"/>
      <c r="AQ313" s="594"/>
      <c r="AR313" s="594"/>
    </row>
    <row r="314" spans="4:44" x14ac:dyDescent="0.3">
      <c r="D314" s="324"/>
      <c r="AO314" s="401"/>
      <c r="AP314" s="401"/>
      <c r="AQ314" s="594"/>
      <c r="AR314" s="594"/>
    </row>
    <row r="315" spans="4:44" x14ac:dyDescent="0.3">
      <c r="D315" s="324"/>
      <c r="AO315" s="401"/>
      <c r="AP315" s="401"/>
      <c r="AQ315" s="594"/>
      <c r="AR315" s="594"/>
    </row>
    <row r="316" spans="4:44" x14ac:dyDescent="0.3">
      <c r="D316" s="324"/>
      <c r="AO316" s="401"/>
      <c r="AP316" s="401"/>
      <c r="AQ316" s="594"/>
      <c r="AR316" s="594"/>
    </row>
    <row r="317" spans="4:44" x14ac:dyDescent="0.3">
      <c r="D317" s="324"/>
      <c r="AO317" s="401"/>
      <c r="AP317" s="401"/>
      <c r="AQ317" s="594"/>
      <c r="AR317" s="594"/>
    </row>
    <row r="318" spans="4:44" x14ac:dyDescent="0.3">
      <c r="D318" s="324"/>
      <c r="AO318" s="401"/>
      <c r="AP318" s="401"/>
      <c r="AQ318" s="594"/>
      <c r="AR318" s="594"/>
    </row>
    <row r="319" spans="4:44" x14ac:dyDescent="0.3">
      <c r="D319" s="324"/>
      <c r="AO319" s="401"/>
      <c r="AP319" s="401"/>
      <c r="AQ319" s="594"/>
      <c r="AR319" s="594"/>
    </row>
    <row r="320" spans="4:44" x14ac:dyDescent="0.3">
      <c r="D320" s="324"/>
      <c r="AO320" s="401"/>
      <c r="AP320" s="401"/>
      <c r="AQ320" s="594"/>
      <c r="AR320" s="594"/>
    </row>
    <row r="321" spans="4:44" x14ac:dyDescent="0.3">
      <c r="D321" s="324"/>
      <c r="AO321" s="401"/>
      <c r="AP321" s="401"/>
      <c r="AQ321" s="594"/>
      <c r="AR321" s="594"/>
    </row>
    <row r="322" spans="4:44" x14ac:dyDescent="0.3">
      <c r="D322" s="324"/>
    </row>
    <row r="323" spans="4:44" x14ac:dyDescent="0.3">
      <c r="D323" s="324"/>
    </row>
    <row r="324" spans="4:44" x14ac:dyDescent="0.3">
      <c r="D324" s="324"/>
    </row>
    <row r="325" spans="4:44" x14ac:dyDescent="0.3">
      <c r="D325" s="324"/>
    </row>
    <row r="326" spans="4:44" x14ac:dyDescent="0.3">
      <c r="D326" s="324"/>
    </row>
    <row r="327" spans="4:44" x14ac:dyDescent="0.3">
      <c r="D327" s="324"/>
    </row>
    <row r="328" spans="4:44" x14ac:dyDescent="0.3">
      <c r="D328" s="324"/>
    </row>
    <row r="329" spans="4:44" x14ac:dyDescent="0.3">
      <c r="D329" s="324"/>
    </row>
    <row r="330" spans="4:44" x14ac:dyDescent="0.3">
      <c r="D330" s="324"/>
    </row>
    <row r="331" spans="4:44" x14ac:dyDescent="0.3">
      <c r="D331" s="324"/>
    </row>
    <row r="332" spans="4:44" x14ac:dyDescent="0.3">
      <c r="D332" s="324"/>
    </row>
    <row r="333" spans="4:44" x14ac:dyDescent="0.3">
      <c r="D333" s="324"/>
    </row>
    <row r="334" spans="4:44" x14ac:dyDescent="0.3">
      <c r="D334" s="324"/>
    </row>
    <row r="335" spans="4:44" x14ac:dyDescent="0.3">
      <c r="D335" s="324"/>
    </row>
    <row r="336" spans="4:44" x14ac:dyDescent="0.3">
      <c r="D336" s="324"/>
    </row>
    <row r="337" spans="4:4" x14ac:dyDescent="0.3">
      <c r="D337" s="324"/>
    </row>
    <row r="338" spans="4:4" x14ac:dyDescent="0.3">
      <c r="D338" s="324"/>
    </row>
    <row r="339" spans="4:4" x14ac:dyDescent="0.3">
      <c r="D339" s="324"/>
    </row>
    <row r="340" spans="4:4" x14ac:dyDescent="0.3">
      <c r="D340" s="324"/>
    </row>
    <row r="341" spans="4:4" x14ac:dyDescent="0.3">
      <c r="D341" s="324"/>
    </row>
    <row r="342" spans="4:4" x14ac:dyDescent="0.3">
      <c r="D342" s="324"/>
    </row>
    <row r="343" spans="4:4" x14ac:dyDescent="0.3">
      <c r="D343" s="324"/>
    </row>
    <row r="344" spans="4:4" x14ac:dyDescent="0.3">
      <c r="D344" s="324"/>
    </row>
    <row r="345" spans="4:4" x14ac:dyDescent="0.3">
      <c r="D345" s="324"/>
    </row>
    <row r="346" spans="4:4" x14ac:dyDescent="0.3">
      <c r="D346" s="324"/>
    </row>
    <row r="347" spans="4:4" x14ac:dyDescent="0.3">
      <c r="D347" s="324"/>
    </row>
    <row r="348" spans="4:4" x14ac:dyDescent="0.3">
      <c r="D348" s="324"/>
    </row>
    <row r="349" spans="4:4" x14ac:dyDescent="0.3">
      <c r="D349" s="324"/>
    </row>
    <row r="350" spans="4:4" x14ac:dyDescent="0.3">
      <c r="D350" s="324"/>
    </row>
    <row r="351" spans="4:4" x14ac:dyDescent="0.3">
      <c r="D351" s="324"/>
    </row>
    <row r="352" spans="4:4" x14ac:dyDescent="0.3">
      <c r="D352" s="324"/>
    </row>
    <row r="353" spans="4:4" x14ac:dyDescent="0.3">
      <c r="D353" s="324"/>
    </row>
    <row r="354" spans="4:4" x14ac:dyDescent="0.3">
      <c r="D354" s="324"/>
    </row>
    <row r="355" spans="4:4" x14ac:dyDescent="0.3">
      <c r="D355" s="324"/>
    </row>
    <row r="356" spans="4:4" x14ac:dyDescent="0.3">
      <c r="D356" s="324"/>
    </row>
    <row r="357" spans="4:4" x14ac:dyDescent="0.3">
      <c r="D357" s="324"/>
    </row>
    <row r="358" spans="4:4" x14ac:dyDescent="0.3">
      <c r="D358" s="324"/>
    </row>
    <row r="359" spans="4:4" x14ac:dyDescent="0.3">
      <c r="D359" s="324"/>
    </row>
    <row r="360" spans="4:4" x14ac:dyDescent="0.3">
      <c r="D360" s="324"/>
    </row>
    <row r="361" spans="4:4" x14ac:dyDescent="0.3">
      <c r="D361" s="324"/>
    </row>
    <row r="362" spans="4:4" x14ac:dyDescent="0.3">
      <c r="D362" s="324"/>
    </row>
    <row r="363" spans="4:4" x14ac:dyDescent="0.3">
      <c r="D363" s="324"/>
    </row>
    <row r="364" spans="4:4" x14ac:dyDescent="0.3">
      <c r="D364" s="324"/>
    </row>
    <row r="365" spans="4:4" x14ac:dyDescent="0.3">
      <c r="D365" s="324"/>
    </row>
    <row r="366" spans="4:4" x14ac:dyDescent="0.3">
      <c r="D366" s="324"/>
    </row>
    <row r="367" spans="4:4" x14ac:dyDescent="0.3">
      <c r="D367" s="324"/>
    </row>
    <row r="368" spans="4:4" x14ac:dyDescent="0.3">
      <c r="D368" s="324"/>
    </row>
    <row r="369" spans="4:4" x14ac:dyDescent="0.3">
      <c r="D369" s="324"/>
    </row>
    <row r="370" spans="4:4" x14ac:dyDescent="0.3">
      <c r="D370" s="324"/>
    </row>
    <row r="371" spans="4:4" x14ac:dyDescent="0.3">
      <c r="D371" s="324"/>
    </row>
    <row r="372" spans="4:4" x14ac:dyDescent="0.3">
      <c r="D372" s="324"/>
    </row>
    <row r="373" spans="4:4" x14ac:dyDescent="0.3">
      <c r="D373" s="324"/>
    </row>
    <row r="374" spans="4:4" x14ac:dyDescent="0.3">
      <c r="D374" s="324"/>
    </row>
    <row r="375" spans="4:4" x14ac:dyDescent="0.3">
      <c r="D375" s="324"/>
    </row>
    <row r="376" spans="4:4" x14ac:dyDescent="0.3">
      <c r="D376" s="324"/>
    </row>
    <row r="377" spans="4:4" x14ac:dyDescent="0.3">
      <c r="D377" s="324"/>
    </row>
    <row r="378" spans="4:4" x14ac:dyDescent="0.3">
      <c r="D378" s="324"/>
    </row>
    <row r="379" spans="4:4" x14ac:dyDescent="0.3">
      <c r="D379" s="324"/>
    </row>
    <row r="380" spans="4:4" x14ac:dyDescent="0.3">
      <c r="D380" s="324"/>
    </row>
    <row r="381" spans="4:4" x14ac:dyDescent="0.3">
      <c r="D381" s="324"/>
    </row>
    <row r="382" spans="4:4" x14ac:dyDescent="0.3">
      <c r="D382" s="324"/>
    </row>
    <row r="383" spans="4:4" x14ac:dyDescent="0.3">
      <c r="D383" s="324"/>
    </row>
    <row r="384" spans="4:4" x14ac:dyDescent="0.3">
      <c r="D384" s="324"/>
    </row>
    <row r="385" spans="4:4" x14ac:dyDescent="0.3">
      <c r="D385" s="324"/>
    </row>
    <row r="386" spans="4:4" x14ac:dyDescent="0.3">
      <c r="D386" s="324"/>
    </row>
    <row r="387" spans="4:4" x14ac:dyDescent="0.3">
      <c r="D387" s="324"/>
    </row>
    <row r="388" spans="4:4" x14ac:dyDescent="0.3">
      <c r="D388" s="324"/>
    </row>
    <row r="389" spans="4:4" x14ac:dyDescent="0.3">
      <c r="D389" s="324"/>
    </row>
    <row r="390" spans="4:4" x14ac:dyDescent="0.3">
      <c r="D390" s="324"/>
    </row>
    <row r="391" spans="4:4" x14ac:dyDescent="0.3">
      <c r="D391" s="324"/>
    </row>
    <row r="392" spans="4:4" x14ac:dyDescent="0.3">
      <c r="D392" s="324"/>
    </row>
    <row r="393" spans="4:4" x14ac:dyDescent="0.3">
      <c r="D393" s="324"/>
    </row>
    <row r="394" spans="4:4" x14ac:dyDescent="0.3">
      <c r="D394" s="324"/>
    </row>
    <row r="395" spans="4:4" x14ac:dyDescent="0.3">
      <c r="D395" s="324"/>
    </row>
    <row r="396" spans="4:4" x14ac:dyDescent="0.3">
      <c r="D396" s="324"/>
    </row>
    <row r="397" spans="4:4" x14ac:dyDescent="0.3">
      <c r="D397" s="324"/>
    </row>
    <row r="398" spans="4:4" x14ac:dyDescent="0.3">
      <c r="D398" s="324"/>
    </row>
    <row r="399" spans="4:4" x14ac:dyDescent="0.3">
      <c r="D399" s="324"/>
    </row>
    <row r="400" spans="4:4" x14ac:dyDescent="0.3">
      <c r="D400" s="324"/>
    </row>
    <row r="401" spans="4:4" x14ac:dyDescent="0.3">
      <c r="D401" s="324"/>
    </row>
    <row r="402" spans="4:4" x14ac:dyDescent="0.3">
      <c r="D402" s="324"/>
    </row>
    <row r="403" spans="4:4" x14ac:dyDescent="0.3">
      <c r="D403" s="324"/>
    </row>
    <row r="404" spans="4:4" x14ac:dyDescent="0.3">
      <c r="D404" s="324"/>
    </row>
    <row r="405" spans="4:4" x14ac:dyDescent="0.3">
      <c r="D405" s="324"/>
    </row>
    <row r="406" spans="4:4" x14ac:dyDescent="0.3">
      <c r="D406" s="324"/>
    </row>
    <row r="407" spans="4:4" x14ac:dyDescent="0.3">
      <c r="D407" s="324"/>
    </row>
    <row r="408" spans="4:4" x14ac:dyDescent="0.3">
      <c r="D408" s="324"/>
    </row>
    <row r="409" spans="4:4" x14ac:dyDescent="0.3">
      <c r="D409" s="324"/>
    </row>
    <row r="410" spans="4:4" x14ac:dyDescent="0.3">
      <c r="D410" s="324"/>
    </row>
  </sheetData>
  <mergeCells count="1">
    <mergeCell ref="A5:B5"/>
  </mergeCells>
  <printOptions gridLines="1"/>
  <pageMargins left="0.25" right="0.2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39"/>
  <sheetViews>
    <sheetView workbookViewId="0">
      <selection activeCell="D36" sqref="D36"/>
    </sheetView>
  </sheetViews>
  <sheetFormatPr defaultRowHeight="12.5" x14ac:dyDescent="0.25"/>
  <cols>
    <col min="1" max="1" width="11.54296875" style="270" customWidth="1"/>
    <col min="2" max="3" width="10.7265625" style="270" bestFit="1" customWidth="1"/>
    <col min="4" max="4" width="11.453125" style="270" bestFit="1" customWidth="1"/>
    <col min="5" max="5" width="38.81640625" style="270" customWidth="1"/>
    <col min="6" max="6" width="10.26953125" style="270" customWidth="1"/>
    <col min="7" max="7" width="19" style="270" bestFit="1" customWidth="1"/>
    <col min="8" max="8" width="9.7265625" style="270" bestFit="1" customWidth="1"/>
    <col min="9" max="9" width="10.453125" style="270" bestFit="1" customWidth="1"/>
    <col min="10" max="256" width="9.1796875" style="270"/>
    <col min="257" max="257" width="13.453125" style="270" bestFit="1" customWidth="1"/>
    <col min="258" max="258" width="14.54296875" style="270" customWidth="1"/>
    <col min="259" max="259" width="2.54296875" style="270" customWidth="1"/>
    <col min="260" max="260" width="13" style="270" customWidth="1"/>
    <col min="261" max="261" width="42.54296875" style="270" bestFit="1" customWidth="1"/>
    <col min="262" max="512" width="9.1796875" style="270"/>
    <col min="513" max="513" width="13.453125" style="270" bestFit="1" customWidth="1"/>
    <col min="514" max="514" width="14.54296875" style="270" customWidth="1"/>
    <col min="515" max="515" width="2.54296875" style="270" customWidth="1"/>
    <col min="516" max="516" width="13" style="270" customWidth="1"/>
    <col min="517" max="517" width="42.54296875" style="270" bestFit="1" customWidth="1"/>
    <col min="518" max="768" width="9.1796875" style="270"/>
    <col min="769" max="769" width="13.453125" style="270" bestFit="1" customWidth="1"/>
    <col min="770" max="770" width="14.54296875" style="270" customWidth="1"/>
    <col min="771" max="771" width="2.54296875" style="270" customWidth="1"/>
    <col min="772" max="772" width="13" style="270" customWidth="1"/>
    <col min="773" max="773" width="42.54296875" style="270" bestFit="1" customWidth="1"/>
    <col min="774" max="1024" width="9.1796875" style="270"/>
    <col min="1025" max="1025" width="13.453125" style="270" bestFit="1" customWidth="1"/>
    <col min="1026" max="1026" width="14.54296875" style="270" customWidth="1"/>
    <col min="1027" max="1027" width="2.54296875" style="270" customWidth="1"/>
    <col min="1028" max="1028" width="13" style="270" customWidth="1"/>
    <col min="1029" max="1029" width="42.54296875" style="270" bestFit="1" customWidth="1"/>
    <col min="1030" max="1280" width="9.1796875" style="270"/>
    <col min="1281" max="1281" width="13.453125" style="270" bestFit="1" customWidth="1"/>
    <col min="1282" max="1282" width="14.54296875" style="270" customWidth="1"/>
    <col min="1283" max="1283" width="2.54296875" style="270" customWidth="1"/>
    <col min="1284" max="1284" width="13" style="270" customWidth="1"/>
    <col min="1285" max="1285" width="42.54296875" style="270" bestFit="1" customWidth="1"/>
    <col min="1286" max="1536" width="9.1796875" style="270"/>
    <col min="1537" max="1537" width="13.453125" style="270" bestFit="1" customWidth="1"/>
    <col min="1538" max="1538" width="14.54296875" style="270" customWidth="1"/>
    <col min="1539" max="1539" width="2.54296875" style="270" customWidth="1"/>
    <col min="1540" max="1540" width="13" style="270" customWidth="1"/>
    <col min="1541" max="1541" width="42.54296875" style="270" bestFit="1" customWidth="1"/>
    <col min="1542" max="1792" width="9.1796875" style="270"/>
    <col min="1793" max="1793" width="13.453125" style="270" bestFit="1" customWidth="1"/>
    <col min="1794" max="1794" width="14.54296875" style="270" customWidth="1"/>
    <col min="1795" max="1795" width="2.54296875" style="270" customWidth="1"/>
    <col min="1796" max="1796" width="13" style="270" customWidth="1"/>
    <col min="1797" max="1797" width="42.54296875" style="270" bestFit="1" customWidth="1"/>
    <col min="1798" max="2048" width="9.1796875" style="270"/>
    <col min="2049" max="2049" width="13.453125" style="270" bestFit="1" customWidth="1"/>
    <col min="2050" max="2050" width="14.54296875" style="270" customWidth="1"/>
    <col min="2051" max="2051" width="2.54296875" style="270" customWidth="1"/>
    <col min="2052" max="2052" width="13" style="270" customWidth="1"/>
    <col min="2053" max="2053" width="42.54296875" style="270" bestFit="1" customWidth="1"/>
    <col min="2054" max="2304" width="9.1796875" style="270"/>
    <col min="2305" max="2305" width="13.453125" style="270" bestFit="1" customWidth="1"/>
    <col min="2306" max="2306" width="14.54296875" style="270" customWidth="1"/>
    <col min="2307" max="2307" width="2.54296875" style="270" customWidth="1"/>
    <col min="2308" max="2308" width="13" style="270" customWidth="1"/>
    <col min="2309" max="2309" width="42.54296875" style="270" bestFit="1" customWidth="1"/>
    <col min="2310" max="2560" width="9.1796875" style="270"/>
    <col min="2561" max="2561" width="13.453125" style="270" bestFit="1" customWidth="1"/>
    <col min="2562" max="2562" width="14.54296875" style="270" customWidth="1"/>
    <col min="2563" max="2563" width="2.54296875" style="270" customWidth="1"/>
    <col min="2564" max="2564" width="13" style="270" customWidth="1"/>
    <col min="2565" max="2565" width="42.54296875" style="270" bestFit="1" customWidth="1"/>
    <col min="2566" max="2816" width="9.1796875" style="270"/>
    <col min="2817" max="2817" width="13.453125" style="270" bestFit="1" customWidth="1"/>
    <col min="2818" max="2818" width="14.54296875" style="270" customWidth="1"/>
    <col min="2819" max="2819" width="2.54296875" style="270" customWidth="1"/>
    <col min="2820" max="2820" width="13" style="270" customWidth="1"/>
    <col min="2821" max="2821" width="42.54296875" style="270" bestFit="1" customWidth="1"/>
    <col min="2822" max="3072" width="9.1796875" style="270"/>
    <col min="3073" max="3073" width="13.453125" style="270" bestFit="1" customWidth="1"/>
    <col min="3074" max="3074" width="14.54296875" style="270" customWidth="1"/>
    <col min="3075" max="3075" width="2.54296875" style="270" customWidth="1"/>
    <col min="3076" max="3076" width="13" style="270" customWidth="1"/>
    <col min="3077" max="3077" width="42.54296875" style="270" bestFit="1" customWidth="1"/>
    <col min="3078" max="3328" width="9.1796875" style="270"/>
    <col min="3329" max="3329" width="13.453125" style="270" bestFit="1" customWidth="1"/>
    <col min="3330" max="3330" width="14.54296875" style="270" customWidth="1"/>
    <col min="3331" max="3331" width="2.54296875" style="270" customWidth="1"/>
    <col min="3332" max="3332" width="13" style="270" customWidth="1"/>
    <col min="3333" max="3333" width="42.54296875" style="270" bestFit="1" customWidth="1"/>
    <col min="3334" max="3584" width="9.1796875" style="270"/>
    <col min="3585" max="3585" width="13.453125" style="270" bestFit="1" customWidth="1"/>
    <col min="3586" max="3586" width="14.54296875" style="270" customWidth="1"/>
    <col min="3587" max="3587" width="2.54296875" style="270" customWidth="1"/>
    <col min="3588" max="3588" width="13" style="270" customWidth="1"/>
    <col min="3589" max="3589" width="42.54296875" style="270" bestFit="1" customWidth="1"/>
    <col min="3590" max="3840" width="9.1796875" style="270"/>
    <col min="3841" max="3841" width="13.453125" style="270" bestFit="1" customWidth="1"/>
    <col min="3842" max="3842" width="14.54296875" style="270" customWidth="1"/>
    <col min="3843" max="3843" width="2.54296875" style="270" customWidth="1"/>
    <col min="3844" max="3844" width="13" style="270" customWidth="1"/>
    <col min="3845" max="3845" width="42.54296875" style="270" bestFit="1" customWidth="1"/>
    <col min="3846" max="4096" width="9.1796875" style="270"/>
    <col min="4097" max="4097" width="13.453125" style="270" bestFit="1" customWidth="1"/>
    <col min="4098" max="4098" width="14.54296875" style="270" customWidth="1"/>
    <col min="4099" max="4099" width="2.54296875" style="270" customWidth="1"/>
    <col min="4100" max="4100" width="13" style="270" customWidth="1"/>
    <col min="4101" max="4101" width="42.54296875" style="270" bestFit="1" customWidth="1"/>
    <col min="4102" max="4352" width="9.1796875" style="270"/>
    <col min="4353" max="4353" width="13.453125" style="270" bestFit="1" customWidth="1"/>
    <col min="4354" max="4354" width="14.54296875" style="270" customWidth="1"/>
    <col min="4355" max="4355" width="2.54296875" style="270" customWidth="1"/>
    <col min="4356" max="4356" width="13" style="270" customWidth="1"/>
    <col min="4357" max="4357" width="42.54296875" style="270" bestFit="1" customWidth="1"/>
    <col min="4358" max="4608" width="9.1796875" style="270"/>
    <col min="4609" max="4609" width="13.453125" style="270" bestFit="1" customWidth="1"/>
    <col min="4610" max="4610" width="14.54296875" style="270" customWidth="1"/>
    <col min="4611" max="4611" width="2.54296875" style="270" customWidth="1"/>
    <col min="4612" max="4612" width="13" style="270" customWidth="1"/>
    <col min="4613" max="4613" width="42.54296875" style="270" bestFit="1" customWidth="1"/>
    <col min="4614" max="4864" width="9.1796875" style="270"/>
    <col min="4865" max="4865" width="13.453125" style="270" bestFit="1" customWidth="1"/>
    <col min="4866" max="4866" width="14.54296875" style="270" customWidth="1"/>
    <col min="4867" max="4867" width="2.54296875" style="270" customWidth="1"/>
    <col min="4868" max="4868" width="13" style="270" customWidth="1"/>
    <col min="4869" max="4869" width="42.54296875" style="270" bestFit="1" customWidth="1"/>
    <col min="4870" max="5120" width="9.1796875" style="270"/>
    <col min="5121" max="5121" width="13.453125" style="270" bestFit="1" customWidth="1"/>
    <col min="5122" max="5122" width="14.54296875" style="270" customWidth="1"/>
    <col min="5123" max="5123" width="2.54296875" style="270" customWidth="1"/>
    <col min="5124" max="5124" width="13" style="270" customWidth="1"/>
    <col min="5125" max="5125" width="42.54296875" style="270" bestFit="1" customWidth="1"/>
    <col min="5126" max="5376" width="9.1796875" style="270"/>
    <col min="5377" max="5377" width="13.453125" style="270" bestFit="1" customWidth="1"/>
    <col min="5378" max="5378" width="14.54296875" style="270" customWidth="1"/>
    <col min="5379" max="5379" width="2.54296875" style="270" customWidth="1"/>
    <col min="5380" max="5380" width="13" style="270" customWidth="1"/>
    <col min="5381" max="5381" width="42.54296875" style="270" bestFit="1" customWidth="1"/>
    <col min="5382" max="5632" width="9.1796875" style="270"/>
    <col min="5633" max="5633" width="13.453125" style="270" bestFit="1" customWidth="1"/>
    <col min="5634" max="5634" width="14.54296875" style="270" customWidth="1"/>
    <col min="5635" max="5635" width="2.54296875" style="270" customWidth="1"/>
    <col min="5636" max="5636" width="13" style="270" customWidth="1"/>
    <col min="5637" max="5637" width="42.54296875" style="270" bestFit="1" customWidth="1"/>
    <col min="5638" max="5888" width="9.1796875" style="270"/>
    <col min="5889" max="5889" width="13.453125" style="270" bestFit="1" customWidth="1"/>
    <col min="5890" max="5890" width="14.54296875" style="270" customWidth="1"/>
    <col min="5891" max="5891" width="2.54296875" style="270" customWidth="1"/>
    <col min="5892" max="5892" width="13" style="270" customWidth="1"/>
    <col min="5893" max="5893" width="42.54296875" style="270" bestFit="1" customWidth="1"/>
    <col min="5894" max="6144" width="9.1796875" style="270"/>
    <col min="6145" max="6145" width="13.453125" style="270" bestFit="1" customWidth="1"/>
    <col min="6146" max="6146" width="14.54296875" style="270" customWidth="1"/>
    <col min="6147" max="6147" width="2.54296875" style="270" customWidth="1"/>
    <col min="6148" max="6148" width="13" style="270" customWidth="1"/>
    <col min="6149" max="6149" width="42.54296875" style="270" bestFit="1" customWidth="1"/>
    <col min="6150" max="6400" width="9.1796875" style="270"/>
    <col min="6401" max="6401" width="13.453125" style="270" bestFit="1" customWidth="1"/>
    <col min="6402" max="6402" width="14.54296875" style="270" customWidth="1"/>
    <col min="6403" max="6403" width="2.54296875" style="270" customWidth="1"/>
    <col min="6404" max="6404" width="13" style="270" customWidth="1"/>
    <col min="6405" max="6405" width="42.54296875" style="270" bestFit="1" customWidth="1"/>
    <col min="6406" max="6656" width="9.1796875" style="270"/>
    <col min="6657" max="6657" width="13.453125" style="270" bestFit="1" customWidth="1"/>
    <col min="6658" max="6658" width="14.54296875" style="270" customWidth="1"/>
    <col min="6659" max="6659" width="2.54296875" style="270" customWidth="1"/>
    <col min="6660" max="6660" width="13" style="270" customWidth="1"/>
    <col min="6661" max="6661" width="42.54296875" style="270" bestFit="1" customWidth="1"/>
    <col min="6662" max="6912" width="9.1796875" style="270"/>
    <col min="6913" max="6913" width="13.453125" style="270" bestFit="1" customWidth="1"/>
    <col min="6914" max="6914" width="14.54296875" style="270" customWidth="1"/>
    <col min="6915" max="6915" width="2.54296875" style="270" customWidth="1"/>
    <col min="6916" max="6916" width="13" style="270" customWidth="1"/>
    <col min="6917" max="6917" width="42.54296875" style="270" bestFit="1" customWidth="1"/>
    <col min="6918" max="7168" width="9.1796875" style="270"/>
    <col min="7169" max="7169" width="13.453125" style="270" bestFit="1" customWidth="1"/>
    <col min="7170" max="7170" width="14.54296875" style="270" customWidth="1"/>
    <col min="7171" max="7171" width="2.54296875" style="270" customWidth="1"/>
    <col min="7172" max="7172" width="13" style="270" customWidth="1"/>
    <col min="7173" max="7173" width="42.54296875" style="270" bestFit="1" customWidth="1"/>
    <col min="7174" max="7424" width="9.1796875" style="270"/>
    <col min="7425" max="7425" width="13.453125" style="270" bestFit="1" customWidth="1"/>
    <col min="7426" max="7426" width="14.54296875" style="270" customWidth="1"/>
    <col min="7427" max="7427" width="2.54296875" style="270" customWidth="1"/>
    <col min="7428" max="7428" width="13" style="270" customWidth="1"/>
    <col min="7429" max="7429" width="42.54296875" style="270" bestFit="1" customWidth="1"/>
    <col min="7430" max="7680" width="9.1796875" style="270"/>
    <col min="7681" max="7681" width="13.453125" style="270" bestFit="1" customWidth="1"/>
    <col min="7682" max="7682" width="14.54296875" style="270" customWidth="1"/>
    <col min="7683" max="7683" width="2.54296875" style="270" customWidth="1"/>
    <col min="7684" max="7684" width="13" style="270" customWidth="1"/>
    <col min="7685" max="7685" width="42.54296875" style="270" bestFit="1" customWidth="1"/>
    <col min="7686" max="7936" width="9.1796875" style="270"/>
    <col min="7937" max="7937" width="13.453125" style="270" bestFit="1" customWidth="1"/>
    <col min="7938" max="7938" width="14.54296875" style="270" customWidth="1"/>
    <col min="7939" max="7939" width="2.54296875" style="270" customWidth="1"/>
    <col min="7940" max="7940" width="13" style="270" customWidth="1"/>
    <col min="7941" max="7941" width="42.54296875" style="270" bestFit="1" customWidth="1"/>
    <col min="7942" max="8192" width="9.1796875" style="270"/>
    <col min="8193" max="8193" width="13.453125" style="270" bestFit="1" customWidth="1"/>
    <col min="8194" max="8194" width="14.54296875" style="270" customWidth="1"/>
    <col min="8195" max="8195" width="2.54296875" style="270" customWidth="1"/>
    <col min="8196" max="8196" width="13" style="270" customWidth="1"/>
    <col min="8197" max="8197" width="42.54296875" style="270" bestFit="1" customWidth="1"/>
    <col min="8198" max="8448" width="9.1796875" style="270"/>
    <col min="8449" max="8449" width="13.453125" style="270" bestFit="1" customWidth="1"/>
    <col min="8450" max="8450" width="14.54296875" style="270" customWidth="1"/>
    <col min="8451" max="8451" width="2.54296875" style="270" customWidth="1"/>
    <col min="8452" max="8452" width="13" style="270" customWidth="1"/>
    <col min="8453" max="8453" width="42.54296875" style="270" bestFit="1" customWidth="1"/>
    <col min="8454" max="8704" width="9.1796875" style="270"/>
    <col min="8705" max="8705" width="13.453125" style="270" bestFit="1" customWidth="1"/>
    <col min="8706" max="8706" width="14.54296875" style="270" customWidth="1"/>
    <col min="8707" max="8707" width="2.54296875" style="270" customWidth="1"/>
    <col min="8708" max="8708" width="13" style="270" customWidth="1"/>
    <col min="8709" max="8709" width="42.54296875" style="270" bestFit="1" customWidth="1"/>
    <col min="8710" max="8960" width="9.1796875" style="270"/>
    <col min="8961" max="8961" width="13.453125" style="270" bestFit="1" customWidth="1"/>
    <col min="8962" max="8962" width="14.54296875" style="270" customWidth="1"/>
    <col min="8963" max="8963" width="2.54296875" style="270" customWidth="1"/>
    <col min="8964" max="8964" width="13" style="270" customWidth="1"/>
    <col min="8965" max="8965" width="42.54296875" style="270" bestFit="1" customWidth="1"/>
    <col min="8966" max="9216" width="9.1796875" style="270"/>
    <col min="9217" max="9217" width="13.453125" style="270" bestFit="1" customWidth="1"/>
    <col min="9218" max="9218" width="14.54296875" style="270" customWidth="1"/>
    <col min="9219" max="9219" width="2.54296875" style="270" customWidth="1"/>
    <col min="9220" max="9220" width="13" style="270" customWidth="1"/>
    <col min="9221" max="9221" width="42.54296875" style="270" bestFit="1" customWidth="1"/>
    <col min="9222" max="9472" width="9.1796875" style="270"/>
    <col min="9473" max="9473" width="13.453125" style="270" bestFit="1" customWidth="1"/>
    <col min="9474" max="9474" width="14.54296875" style="270" customWidth="1"/>
    <col min="9475" max="9475" width="2.54296875" style="270" customWidth="1"/>
    <col min="9476" max="9476" width="13" style="270" customWidth="1"/>
    <col min="9477" max="9477" width="42.54296875" style="270" bestFit="1" customWidth="1"/>
    <col min="9478" max="9728" width="9.1796875" style="270"/>
    <col min="9729" max="9729" width="13.453125" style="270" bestFit="1" customWidth="1"/>
    <col min="9730" max="9730" width="14.54296875" style="270" customWidth="1"/>
    <col min="9731" max="9731" width="2.54296875" style="270" customWidth="1"/>
    <col min="9732" max="9732" width="13" style="270" customWidth="1"/>
    <col min="9733" max="9733" width="42.54296875" style="270" bestFit="1" customWidth="1"/>
    <col min="9734" max="9984" width="9.1796875" style="270"/>
    <col min="9985" max="9985" width="13.453125" style="270" bestFit="1" customWidth="1"/>
    <col min="9986" max="9986" width="14.54296875" style="270" customWidth="1"/>
    <col min="9987" max="9987" width="2.54296875" style="270" customWidth="1"/>
    <col min="9988" max="9988" width="13" style="270" customWidth="1"/>
    <col min="9989" max="9989" width="42.54296875" style="270" bestFit="1" customWidth="1"/>
    <col min="9990" max="10240" width="9.1796875" style="270"/>
    <col min="10241" max="10241" width="13.453125" style="270" bestFit="1" customWidth="1"/>
    <col min="10242" max="10242" width="14.54296875" style="270" customWidth="1"/>
    <col min="10243" max="10243" width="2.54296875" style="270" customWidth="1"/>
    <col min="10244" max="10244" width="13" style="270" customWidth="1"/>
    <col min="10245" max="10245" width="42.54296875" style="270" bestFit="1" customWidth="1"/>
    <col min="10246" max="10496" width="9.1796875" style="270"/>
    <col min="10497" max="10497" width="13.453125" style="270" bestFit="1" customWidth="1"/>
    <col min="10498" max="10498" width="14.54296875" style="270" customWidth="1"/>
    <col min="10499" max="10499" width="2.54296875" style="270" customWidth="1"/>
    <col min="10500" max="10500" width="13" style="270" customWidth="1"/>
    <col min="10501" max="10501" width="42.54296875" style="270" bestFit="1" customWidth="1"/>
    <col min="10502" max="10752" width="9.1796875" style="270"/>
    <col min="10753" max="10753" width="13.453125" style="270" bestFit="1" customWidth="1"/>
    <col min="10754" max="10754" width="14.54296875" style="270" customWidth="1"/>
    <col min="10755" max="10755" width="2.54296875" style="270" customWidth="1"/>
    <col min="10756" max="10756" width="13" style="270" customWidth="1"/>
    <col min="10757" max="10757" width="42.54296875" style="270" bestFit="1" customWidth="1"/>
    <col min="10758" max="11008" width="9.1796875" style="270"/>
    <col min="11009" max="11009" width="13.453125" style="270" bestFit="1" customWidth="1"/>
    <col min="11010" max="11010" width="14.54296875" style="270" customWidth="1"/>
    <col min="11011" max="11011" width="2.54296875" style="270" customWidth="1"/>
    <col min="11012" max="11012" width="13" style="270" customWidth="1"/>
    <col min="11013" max="11013" width="42.54296875" style="270" bestFit="1" customWidth="1"/>
    <col min="11014" max="11264" width="9.1796875" style="270"/>
    <col min="11265" max="11265" width="13.453125" style="270" bestFit="1" customWidth="1"/>
    <col min="11266" max="11266" width="14.54296875" style="270" customWidth="1"/>
    <col min="11267" max="11267" width="2.54296875" style="270" customWidth="1"/>
    <col min="11268" max="11268" width="13" style="270" customWidth="1"/>
    <col min="11269" max="11269" width="42.54296875" style="270" bestFit="1" customWidth="1"/>
    <col min="11270" max="11520" width="9.1796875" style="270"/>
    <col min="11521" max="11521" width="13.453125" style="270" bestFit="1" customWidth="1"/>
    <col min="11522" max="11522" width="14.54296875" style="270" customWidth="1"/>
    <col min="11523" max="11523" width="2.54296875" style="270" customWidth="1"/>
    <col min="11524" max="11524" width="13" style="270" customWidth="1"/>
    <col min="11525" max="11525" width="42.54296875" style="270" bestFit="1" customWidth="1"/>
    <col min="11526" max="11776" width="9.1796875" style="270"/>
    <col min="11777" max="11777" width="13.453125" style="270" bestFit="1" customWidth="1"/>
    <col min="11778" max="11778" width="14.54296875" style="270" customWidth="1"/>
    <col min="11779" max="11779" width="2.54296875" style="270" customWidth="1"/>
    <col min="11780" max="11780" width="13" style="270" customWidth="1"/>
    <col min="11781" max="11781" width="42.54296875" style="270" bestFit="1" customWidth="1"/>
    <col min="11782" max="12032" width="9.1796875" style="270"/>
    <col min="12033" max="12033" width="13.453125" style="270" bestFit="1" customWidth="1"/>
    <col min="12034" max="12034" width="14.54296875" style="270" customWidth="1"/>
    <col min="12035" max="12035" width="2.54296875" style="270" customWidth="1"/>
    <col min="12036" max="12036" width="13" style="270" customWidth="1"/>
    <col min="12037" max="12037" width="42.54296875" style="270" bestFit="1" customWidth="1"/>
    <col min="12038" max="12288" width="9.1796875" style="270"/>
    <col min="12289" max="12289" width="13.453125" style="270" bestFit="1" customWidth="1"/>
    <col min="12290" max="12290" width="14.54296875" style="270" customWidth="1"/>
    <col min="12291" max="12291" width="2.54296875" style="270" customWidth="1"/>
    <col min="12292" max="12292" width="13" style="270" customWidth="1"/>
    <col min="12293" max="12293" width="42.54296875" style="270" bestFit="1" customWidth="1"/>
    <col min="12294" max="12544" width="9.1796875" style="270"/>
    <col min="12545" max="12545" width="13.453125" style="270" bestFit="1" customWidth="1"/>
    <col min="12546" max="12546" width="14.54296875" style="270" customWidth="1"/>
    <col min="12547" max="12547" width="2.54296875" style="270" customWidth="1"/>
    <col min="12548" max="12548" width="13" style="270" customWidth="1"/>
    <col min="12549" max="12549" width="42.54296875" style="270" bestFit="1" customWidth="1"/>
    <col min="12550" max="12800" width="9.1796875" style="270"/>
    <col min="12801" max="12801" width="13.453125" style="270" bestFit="1" customWidth="1"/>
    <col min="12802" max="12802" width="14.54296875" style="270" customWidth="1"/>
    <col min="12803" max="12803" width="2.54296875" style="270" customWidth="1"/>
    <col min="12804" max="12804" width="13" style="270" customWidth="1"/>
    <col min="12805" max="12805" width="42.54296875" style="270" bestFit="1" customWidth="1"/>
    <col min="12806" max="13056" width="9.1796875" style="270"/>
    <col min="13057" max="13057" width="13.453125" style="270" bestFit="1" customWidth="1"/>
    <col min="13058" max="13058" width="14.54296875" style="270" customWidth="1"/>
    <col min="13059" max="13059" width="2.54296875" style="270" customWidth="1"/>
    <col min="13060" max="13060" width="13" style="270" customWidth="1"/>
    <col min="13061" max="13061" width="42.54296875" style="270" bestFit="1" customWidth="1"/>
    <col min="13062" max="13312" width="9.1796875" style="270"/>
    <col min="13313" max="13313" width="13.453125" style="270" bestFit="1" customWidth="1"/>
    <col min="13314" max="13314" width="14.54296875" style="270" customWidth="1"/>
    <col min="13315" max="13315" width="2.54296875" style="270" customWidth="1"/>
    <col min="13316" max="13316" width="13" style="270" customWidth="1"/>
    <col min="13317" max="13317" width="42.54296875" style="270" bestFit="1" customWidth="1"/>
    <col min="13318" max="13568" width="9.1796875" style="270"/>
    <col min="13569" max="13569" width="13.453125" style="270" bestFit="1" customWidth="1"/>
    <col min="13570" max="13570" width="14.54296875" style="270" customWidth="1"/>
    <col min="13571" max="13571" width="2.54296875" style="270" customWidth="1"/>
    <col min="13572" max="13572" width="13" style="270" customWidth="1"/>
    <col min="13573" max="13573" width="42.54296875" style="270" bestFit="1" customWidth="1"/>
    <col min="13574" max="13824" width="9.1796875" style="270"/>
    <col min="13825" max="13825" width="13.453125" style="270" bestFit="1" customWidth="1"/>
    <col min="13826" max="13826" width="14.54296875" style="270" customWidth="1"/>
    <col min="13827" max="13827" width="2.54296875" style="270" customWidth="1"/>
    <col min="13828" max="13828" width="13" style="270" customWidth="1"/>
    <col min="13829" max="13829" width="42.54296875" style="270" bestFit="1" customWidth="1"/>
    <col min="13830" max="14080" width="9.1796875" style="270"/>
    <col min="14081" max="14081" width="13.453125" style="270" bestFit="1" customWidth="1"/>
    <col min="14082" max="14082" width="14.54296875" style="270" customWidth="1"/>
    <col min="14083" max="14083" width="2.54296875" style="270" customWidth="1"/>
    <col min="14084" max="14084" width="13" style="270" customWidth="1"/>
    <col min="14085" max="14085" width="42.54296875" style="270" bestFit="1" customWidth="1"/>
    <col min="14086" max="14336" width="9.1796875" style="270"/>
    <col min="14337" max="14337" width="13.453125" style="270" bestFit="1" customWidth="1"/>
    <col min="14338" max="14338" width="14.54296875" style="270" customWidth="1"/>
    <col min="14339" max="14339" width="2.54296875" style="270" customWidth="1"/>
    <col min="14340" max="14340" width="13" style="270" customWidth="1"/>
    <col min="14341" max="14341" width="42.54296875" style="270" bestFit="1" customWidth="1"/>
    <col min="14342" max="14592" width="9.1796875" style="270"/>
    <col min="14593" max="14593" width="13.453125" style="270" bestFit="1" customWidth="1"/>
    <col min="14594" max="14594" width="14.54296875" style="270" customWidth="1"/>
    <col min="14595" max="14595" width="2.54296875" style="270" customWidth="1"/>
    <col min="14596" max="14596" width="13" style="270" customWidth="1"/>
    <col min="14597" max="14597" width="42.54296875" style="270" bestFit="1" customWidth="1"/>
    <col min="14598" max="14848" width="9.1796875" style="270"/>
    <col min="14849" max="14849" width="13.453125" style="270" bestFit="1" customWidth="1"/>
    <col min="14850" max="14850" width="14.54296875" style="270" customWidth="1"/>
    <col min="14851" max="14851" width="2.54296875" style="270" customWidth="1"/>
    <col min="14852" max="14852" width="13" style="270" customWidth="1"/>
    <col min="14853" max="14853" width="42.54296875" style="270" bestFit="1" customWidth="1"/>
    <col min="14854" max="15104" width="9.1796875" style="270"/>
    <col min="15105" max="15105" width="13.453125" style="270" bestFit="1" customWidth="1"/>
    <col min="15106" max="15106" width="14.54296875" style="270" customWidth="1"/>
    <col min="15107" max="15107" width="2.54296875" style="270" customWidth="1"/>
    <col min="15108" max="15108" width="13" style="270" customWidth="1"/>
    <col min="15109" max="15109" width="42.54296875" style="270" bestFit="1" customWidth="1"/>
    <col min="15110" max="15360" width="9.1796875" style="270"/>
    <col min="15361" max="15361" width="13.453125" style="270" bestFit="1" customWidth="1"/>
    <col min="15362" max="15362" width="14.54296875" style="270" customWidth="1"/>
    <col min="15363" max="15363" width="2.54296875" style="270" customWidth="1"/>
    <col min="15364" max="15364" width="13" style="270" customWidth="1"/>
    <col min="15365" max="15365" width="42.54296875" style="270" bestFit="1" customWidth="1"/>
    <col min="15366" max="15616" width="9.1796875" style="270"/>
    <col min="15617" max="15617" width="13.453125" style="270" bestFit="1" customWidth="1"/>
    <col min="15618" max="15618" width="14.54296875" style="270" customWidth="1"/>
    <col min="15619" max="15619" width="2.54296875" style="270" customWidth="1"/>
    <col min="15620" max="15620" width="13" style="270" customWidth="1"/>
    <col min="15621" max="15621" width="42.54296875" style="270" bestFit="1" customWidth="1"/>
    <col min="15622" max="15872" width="9.1796875" style="270"/>
    <col min="15873" max="15873" width="13.453125" style="270" bestFit="1" customWidth="1"/>
    <col min="15874" max="15874" width="14.54296875" style="270" customWidth="1"/>
    <col min="15875" max="15875" width="2.54296875" style="270" customWidth="1"/>
    <col min="15876" max="15876" width="13" style="270" customWidth="1"/>
    <col min="15877" max="15877" width="42.54296875" style="270" bestFit="1" customWidth="1"/>
    <col min="15878" max="16128" width="9.1796875" style="270"/>
    <col min="16129" max="16129" width="13.453125" style="270" bestFit="1" customWidth="1"/>
    <col min="16130" max="16130" width="14.54296875" style="270" customWidth="1"/>
    <col min="16131" max="16131" width="2.54296875" style="270" customWidth="1"/>
    <col min="16132" max="16132" width="13" style="270" customWidth="1"/>
    <col min="16133" max="16133" width="42.54296875" style="270" bestFit="1" customWidth="1"/>
    <col min="16134" max="16384" width="9.1796875" style="270"/>
  </cols>
  <sheetData>
    <row r="1" spans="1:13" x14ac:dyDescent="0.25">
      <c r="A1" s="269" t="s">
        <v>697</v>
      </c>
    </row>
    <row r="3" spans="1:13" ht="13" x14ac:dyDescent="0.3">
      <c r="A3" s="271"/>
      <c r="B3" s="272"/>
      <c r="C3" s="272" t="s">
        <v>262</v>
      </c>
      <c r="D3" s="272" t="s">
        <v>263</v>
      </c>
      <c r="E3" s="273"/>
      <c r="F3" s="274"/>
    </row>
    <row r="4" spans="1:13" ht="13" x14ac:dyDescent="0.3">
      <c r="A4" s="661">
        <v>2017</v>
      </c>
      <c r="B4" s="275" t="s">
        <v>239</v>
      </c>
      <c r="C4" s="275" t="s">
        <v>264</v>
      </c>
      <c r="D4" s="275" t="s">
        <v>265</v>
      </c>
      <c r="E4" s="273"/>
      <c r="F4" s="274"/>
      <c r="M4" s="274"/>
    </row>
    <row r="5" spans="1:13" ht="13" x14ac:dyDescent="0.3">
      <c r="A5" s="798">
        <v>43495</v>
      </c>
      <c r="B5" s="262">
        <v>5125</v>
      </c>
      <c r="C5" s="262">
        <v>11922.29</v>
      </c>
      <c r="D5" s="262">
        <f t="shared" ref="D5:D25" si="0">C5/B5</f>
        <v>2.3263004878048781</v>
      </c>
      <c r="E5" s="274"/>
      <c r="F5" s="274"/>
      <c r="M5" s="274"/>
    </row>
    <row r="6" spans="1:13" ht="13" x14ac:dyDescent="0.3">
      <c r="A6" s="798">
        <v>43538</v>
      </c>
      <c r="B6" s="262">
        <v>5125</v>
      </c>
      <c r="C6" s="262">
        <v>12837.26</v>
      </c>
      <c r="D6" s="262">
        <f t="shared" si="0"/>
        <v>2.5048312195121953</v>
      </c>
      <c r="E6" s="274"/>
      <c r="F6" s="274"/>
      <c r="M6" s="274"/>
    </row>
    <row r="7" spans="1:13" ht="13" x14ac:dyDescent="0.3">
      <c r="A7" s="798">
        <v>43572</v>
      </c>
      <c r="B7" s="262">
        <v>3751.5</v>
      </c>
      <c r="C7" s="262">
        <v>9969.94</v>
      </c>
      <c r="D7" s="262">
        <f t="shared" si="0"/>
        <v>2.657587631614021</v>
      </c>
      <c r="E7" s="274"/>
      <c r="F7" s="274"/>
      <c r="M7" s="274"/>
    </row>
    <row r="8" spans="1:13" ht="13" x14ac:dyDescent="0.3">
      <c r="A8" s="798">
        <v>43588</v>
      </c>
      <c r="B8" s="262">
        <v>4252.75</v>
      </c>
      <c r="C8" s="262">
        <v>11630.47</v>
      </c>
      <c r="D8" s="262">
        <f t="shared" si="0"/>
        <v>2.7348115924989709</v>
      </c>
      <c r="E8" s="274"/>
      <c r="F8" s="274"/>
      <c r="M8" s="274"/>
    </row>
    <row r="9" spans="1:13" ht="13" x14ac:dyDescent="0.3">
      <c r="A9" s="798">
        <v>43618</v>
      </c>
      <c r="B9" s="262">
        <v>5128.5</v>
      </c>
      <c r="C9" s="262">
        <v>13017.02</v>
      </c>
      <c r="D9" s="262">
        <f t="shared" si="0"/>
        <v>2.5381729550550842</v>
      </c>
      <c r="E9" s="274"/>
      <c r="F9" s="274"/>
      <c r="M9" s="274"/>
    </row>
    <row r="10" spans="1:13" ht="13" x14ac:dyDescent="0.3">
      <c r="A10" s="798">
        <v>43632</v>
      </c>
      <c r="B10" s="262">
        <v>5128.5</v>
      </c>
      <c r="C10" s="262">
        <v>11724.98</v>
      </c>
      <c r="D10" s="262">
        <f t="shared" si="0"/>
        <v>2.2862396412206296</v>
      </c>
      <c r="E10" s="274"/>
      <c r="F10" s="234"/>
      <c r="M10" s="274"/>
    </row>
    <row r="11" spans="1:13" ht="13" x14ac:dyDescent="0.3">
      <c r="A11" s="798">
        <v>43640</v>
      </c>
      <c r="B11" s="262">
        <v>5128.5</v>
      </c>
      <c r="C11" s="262">
        <v>12329.41</v>
      </c>
      <c r="D11" s="262">
        <f t="shared" si="0"/>
        <v>2.4040967144389196</v>
      </c>
      <c r="E11" s="274"/>
      <c r="F11" s="234"/>
      <c r="M11" s="274"/>
    </row>
    <row r="12" spans="1:13" ht="13" x14ac:dyDescent="0.3">
      <c r="A12" s="798">
        <v>43650</v>
      </c>
      <c r="B12" s="262">
        <v>5128.5</v>
      </c>
      <c r="C12" s="262">
        <v>12867.31</v>
      </c>
      <c r="D12" s="262">
        <f t="shared" si="0"/>
        <v>2.5089811835819438</v>
      </c>
      <c r="E12" s="274"/>
      <c r="F12" s="278"/>
      <c r="M12" s="274"/>
    </row>
    <row r="13" spans="1:13" ht="13" x14ac:dyDescent="0.3">
      <c r="A13" s="798">
        <v>43659</v>
      </c>
      <c r="B13" s="262">
        <v>5128.5</v>
      </c>
      <c r="C13" s="262">
        <v>12639.95</v>
      </c>
      <c r="D13" s="262">
        <f t="shared" si="0"/>
        <v>2.4646485327093695</v>
      </c>
      <c r="E13" s="274"/>
      <c r="F13" s="278"/>
      <c r="M13" s="274"/>
    </row>
    <row r="14" spans="1:13" ht="13" x14ac:dyDescent="0.3">
      <c r="A14" s="798">
        <v>43668</v>
      </c>
      <c r="B14" s="262">
        <v>5128.5</v>
      </c>
      <c r="C14" s="262">
        <v>12639.95</v>
      </c>
      <c r="D14" s="262">
        <f t="shared" si="0"/>
        <v>2.4646485327093695</v>
      </c>
      <c r="E14" s="274"/>
      <c r="F14" s="278"/>
      <c r="M14" s="274"/>
    </row>
    <row r="15" spans="1:13" ht="13" x14ac:dyDescent="0.3">
      <c r="A15" s="276">
        <v>43677</v>
      </c>
      <c r="B15" s="262">
        <v>5128.5</v>
      </c>
      <c r="C15" s="262">
        <v>12745.31</v>
      </c>
      <c r="D15" s="262">
        <f t="shared" si="0"/>
        <v>2.4851925514282929</v>
      </c>
      <c r="E15" s="274"/>
      <c r="F15" s="278"/>
      <c r="M15" s="274"/>
    </row>
    <row r="16" spans="1:13" ht="13" x14ac:dyDescent="0.3">
      <c r="A16" s="276">
        <v>43685</v>
      </c>
      <c r="B16" s="262">
        <v>4478</v>
      </c>
      <c r="C16" s="262">
        <v>11126.75</v>
      </c>
      <c r="D16" s="262">
        <f t="shared" si="0"/>
        <v>2.4847588209021887</v>
      </c>
      <c r="E16" s="274"/>
      <c r="F16" s="278"/>
      <c r="M16" s="274"/>
    </row>
    <row r="17" spans="1:13" ht="13" x14ac:dyDescent="0.3">
      <c r="A17" s="276">
        <v>43692</v>
      </c>
      <c r="B17" s="262">
        <v>5128.5</v>
      </c>
      <c r="C17" s="262">
        <v>12717.58</v>
      </c>
      <c r="D17" s="262">
        <f t="shared" si="0"/>
        <v>2.479785512333041</v>
      </c>
      <c r="E17" s="274"/>
      <c r="F17" s="278"/>
      <c r="M17" s="274"/>
    </row>
    <row r="18" spans="1:13" ht="13" x14ac:dyDescent="0.3">
      <c r="A18" s="276">
        <v>43700</v>
      </c>
      <c r="B18" s="262">
        <v>5128.5</v>
      </c>
      <c r="C18" s="262">
        <v>12745.31</v>
      </c>
      <c r="D18" s="262">
        <f t="shared" si="0"/>
        <v>2.4851925514282929</v>
      </c>
      <c r="E18" s="274"/>
      <c r="F18" s="278"/>
      <c r="M18" s="274"/>
    </row>
    <row r="19" spans="1:13" ht="13" x14ac:dyDescent="0.3">
      <c r="A19" s="802">
        <v>43710</v>
      </c>
      <c r="B19" s="715">
        <v>5128.5</v>
      </c>
      <c r="C19" s="715">
        <v>12739.76</v>
      </c>
      <c r="D19" s="262">
        <f t="shared" si="0"/>
        <v>2.4841103636540898</v>
      </c>
      <c r="E19" s="274"/>
      <c r="F19" s="278"/>
      <c r="M19" s="274"/>
    </row>
    <row r="20" spans="1:13" ht="13" x14ac:dyDescent="0.3">
      <c r="A20" s="802">
        <v>43718</v>
      </c>
      <c r="B20" s="715">
        <v>5128.5</v>
      </c>
      <c r="C20" s="715">
        <v>12972.66</v>
      </c>
      <c r="D20" s="262">
        <f t="shared" si="0"/>
        <v>2.5295232524129863</v>
      </c>
      <c r="E20" s="274"/>
      <c r="F20" s="278"/>
      <c r="M20" s="274"/>
    </row>
    <row r="21" spans="1:13" ht="13" x14ac:dyDescent="0.3">
      <c r="A21" s="802">
        <v>43727</v>
      </c>
      <c r="B21" s="715">
        <v>5128.5</v>
      </c>
      <c r="C21" s="715">
        <v>13327.56</v>
      </c>
      <c r="D21" s="262">
        <f t="shared" si="0"/>
        <v>2.5987247733255336</v>
      </c>
      <c r="E21" s="274"/>
      <c r="F21" s="278"/>
      <c r="M21" s="274"/>
    </row>
    <row r="22" spans="1:13" ht="13" x14ac:dyDescent="0.3">
      <c r="A22" s="803">
        <v>43735</v>
      </c>
      <c r="B22" s="715">
        <v>5128.5</v>
      </c>
      <c r="C22" s="804">
        <v>13543.83</v>
      </c>
      <c r="D22" s="262">
        <f t="shared" si="0"/>
        <v>2.640894998537584</v>
      </c>
      <c r="E22" s="274"/>
      <c r="F22" s="278"/>
      <c r="M22" s="274"/>
    </row>
    <row r="23" spans="1:13" ht="13" x14ac:dyDescent="0.3">
      <c r="A23" s="802">
        <v>43752</v>
      </c>
      <c r="B23" s="715">
        <v>4478</v>
      </c>
      <c r="C23" s="715">
        <v>12288.82</v>
      </c>
      <c r="D23" s="262">
        <f t="shared" si="0"/>
        <v>2.7442652970075927</v>
      </c>
      <c r="E23" s="274"/>
      <c r="F23" s="278"/>
      <c r="M23" s="274"/>
    </row>
    <row r="24" spans="1:13" ht="13" x14ac:dyDescent="0.3">
      <c r="A24" s="802">
        <v>43767</v>
      </c>
      <c r="B24" s="715">
        <v>5128.5</v>
      </c>
      <c r="C24" s="715">
        <v>16072.46</v>
      </c>
      <c r="D24" s="799">
        <f t="shared" si="0"/>
        <v>3.1339494979038705</v>
      </c>
      <c r="E24" s="274"/>
      <c r="F24" s="278"/>
      <c r="M24" s="274"/>
    </row>
    <row r="25" spans="1:13" ht="13" x14ac:dyDescent="0.3">
      <c r="A25" s="802">
        <v>43801</v>
      </c>
      <c r="B25" s="715">
        <v>5125</v>
      </c>
      <c r="C25" s="715">
        <v>13585.86</v>
      </c>
      <c r="D25" s="799">
        <f t="shared" si="0"/>
        <v>2.6508995121951222</v>
      </c>
      <c r="E25" s="274"/>
      <c r="F25" s="278"/>
      <c r="M25" s="274"/>
    </row>
    <row r="26" spans="1:13" ht="13" x14ac:dyDescent="0.3">
      <c r="A26" s="800"/>
      <c r="B26" s="801"/>
      <c r="C26" s="801"/>
      <c r="D26" s="801"/>
      <c r="E26" s="274"/>
      <c r="F26" s="278"/>
      <c r="M26" s="274"/>
    </row>
    <row r="27" spans="1:13" ht="13" x14ac:dyDescent="0.3">
      <c r="A27" s="262"/>
      <c r="B27" s="262">
        <f>SUM(B5:B26)</f>
        <v>104134.25</v>
      </c>
      <c r="C27" s="262">
        <f>SUM(C5:C26)</f>
        <v>265444.47999999998</v>
      </c>
      <c r="D27" s="262">
        <f t="shared" ref="D27" si="1">SUM(C27/B27)</f>
        <v>2.5490602755577534</v>
      </c>
      <c r="F27" s="278"/>
    </row>
    <row r="28" spans="1:13" ht="13" x14ac:dyDescent="0.3">
      <c r="A28" s="262"/>
      <c r="B28" s="262"/>
      <c r="C28" s="262"/>
      <c r="D28" s="662" t="s">
        <v>266</v>
      </c>
      <c r="E28" s="274"/>
      <c r="F28" s="278"/>
      <c r="G28" s="1"/>
    </row>
    <row r="29" spans="1:13" ht="13" x14ac:dyDescent="0.3">
      <c r="A29" s="1219" t="s">
        <v>909</v>
      </c>
      <c r="B29" s="1218">
        <f t="shared" ref="B29:C29" si="2">AVERAGE(B5:B25)</f>
        <v>4958.7738095238092</v>
      </c>
      <c r="C29" s="1218">
        <f t="shared" si="2"/>
        <v>12640.213333333333</v>
      </c>
      <c r="D29" s="1218">
        <f>AVERAGE(D5:D25)</f>
        <v>2.5527436010606657</v>
      </c>
      <c r="E29" s="274"/>
      <c r="F29" s="278"/>
      <c r="G29" s="1"/>
    </row>
    <row r="30" spans="1:13" ht="13" x14ac:dyDescent="0.3">
      <c r="A30" s="542"/>
      <c r="B30" s="543"/>
      <c r="C30" s="543"/>
      <c r="D30" s="543"/>
      <c r="E30" s="274"/>
      <c r="F30" s="1"/>
      <c r="G30" s="1"/>
    </row>
    <row r="31" spans="1:13" ht="13" x14ac:dyDescent="0.3">
      <c r="A31" s="542"/>
      <c r="B31" s="543"/>
      <c r="C31" s="543"/>
      <c r="D31" s="543"/>
      <c r="E31" s="274"/>
      <c r="F31" s="1"/>
      <c r="G31" s="1"/>
    </row>
    <row r="32" spans="1:13" ht="13.5" thickBot="1" x14ac:dyDescent="0.35">
      <c r="A32" s="276"/>
      <c r="B32" s="263">
        <f>SUM(B5:B26)</f>
        <v>104134.25</v>
      </c>
      <c r="C32" s="263">
        <f>SUM(C5:C26)</f>
        <v>265444.47999999998</v>
      </c>
      <c r="D32" s="279">
        <f>SUM(C32/B32)</f>
        <v>2.5490602755577534</v>
      </c>
      <c r="E32" s="280" t="s">
        <v>841</v>
      </c>
      <c r="F32" s="278"/>
      <c r="G32" s="1"/>
    </row>
    <row r="33" spans="1:7" ht="13" thickTop="1" x14ac:dyDescent="0.25">
      <c r="G33" s="1"/>
    </row>
    <row r="34" spans="1:7" x14ac:dyDescent="0.25">
      <c r="A34" s="545"/>
      <c r="B34" s="545"/>
      <c r="C34" s="545"/>
      <c r="D34" s="552"/>
      <c r="E34" s="545"/>
      <c r="G34" s="1"/>
    </row>
    <row r="35" spans="1:7" x14ac:dyDescent="0.25">
      <c r="A35" s="545" t="s">
        <v>631</v>
      </c>
      <c r="B35" s="545"/>
      <c r="C35" s="545"/>
      <c r="D35" s="546">
        <f>B32</f>
        <v>104134.25</v>
      </c>
      <c r="E35" s="545"/>
    </row>
    <row r="36" spans="1:7" x14ac:dyDescent="0.25">
      <c r="A36" s="545" t="s">
        <v>712</v>
      </c>
      <c r="B36" s="545"/>
      <c r="C36" s="545"/>
      <c r="D36" s="675">
        <f>SUM('Inc Stmnt 12 mo 8.1.18  7.31.19'!N78:N81)</f>
        <v>276843.69</v>
      </c>
      <c r="E36" s="545"/>
    </row>
    <row r="37" spans="1:7" x14ac:dyDescent="0.25">
      <c r="A37" s="545" t="s">
        <v>632</v>
      </c>
      <c r="B37" s="545"/>
      <c r="C37" s="545"/>
      <c r="D37" s="552">
        <f>C32</f>
        <v>265444.47999999998</v>
      </c>
      <c r="E37" s="545"/>
    </row>
    <row r="38" spans="1:7" ht="13" thickBot="1" x14ac:dyDescent="0.3">
      <c r="A38" s="270" t="s">
        <v>633</v>
      </c>
      <c r="D38" s="544">
        <f>D36-D37</f>
        <v>11399.210000000021</v>
      </c>
    </row>
    <row r="39" spans="1:7" ht="13" thickTop="1" x14ac:dyDescent="0.25"/>
  </sheetData>
  <printOptions gridLines="1"/>
  <pageMargins left="0.5" right="0.25" top="0.5" bottom="0.5" header="0.3" footer="0.3"/>
  <pageSetup orientation="portrait"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2.5" x14ac:dyDescent="0.25"/>
  <cols>
    <col min="1" max="1" width="4" style="33" customWidth="1"/>
    <col min="2" max="2" width="16.453125" style="33" bestFit="1" customWidth="1"/>
    <col min="3" max="3" width="10.81640625" style="33" customWidth="1"/>
    <col min="4" max="4" width="8.81640625" style="33"/>
    <col min="5" max="5" width="4.7265625" style="33" customWidth="1"/>
    <col min="6" max="242" width="8.81640625" style="33"/>
    <col min="243" max="243" width="16.453125" style="33" bestFit="1" customWidth="1"/>
    <col min="244" max="244" width="10.81640625" style="33" customWidth="1"/>
    <col min="245" max="250" width="8.81640625" style="33"/>
    <col min="251" max="251" width="16.453125" style="33" bestFit="1" customWidth="1"/>
    <col min="252" max="252" width="10.81640625" style="33" customWidth="1"/>
    <col min="253" max="254" width="8.81640625" style="33"/>
    <col min="255" max="255" width="13" style="33" customWidth="1"/>
    <col min="256" max="256" width="11.26953125" style="33" customWidth="1"/>
    <col min="257" max="257" width="9.1796875" style="33" customWidth="1"/>
    <col min="258" max="259" width="10.26953125" style="33" customWidth="1"/>
    <col min="260" max="260" width="9.1796875" style="33" customWidth="1"/>
    <col min="261" max="498" width="8.81640625" style="33"/>
    <col min="499" max="499" width="16.453125" style="33" bestFit="1" customWidth="1"/>
    <col min="500" max="500" width="10.81640625" style="33" customWidth="1"/>
    <col min="501" max="506" width="8.81640625" style="33"/>
    <col min="507" max="507" width="16.453125" style="33" bestFit="1" customWidth="1"/>
    <col min="508" max="508" width="10.81640625" style="33" customWidth="1"/>
    <col min="509" max="510" width="8.81640625" style="33"/>
    <col min="511" max="511" width="13" style="33" customWidth="1"/>
    <col min="512" max="512" width="11.26953125" style="33" customWidth="1"/>
    <col min="513" max="513" width="9.1796875" style="33" customWidth="1"/>
    <col min="514" max="515" width="10.26953125" style="33" customWidth="1"/>
    <col min="516" max="516" width="9.1796875" style="33" customWidth="1"/>
    <col min="517" max="754" width="8.81640625" style="33"/>
    <col min="755" max="755" width="16.453125" style="33" bestFit="1" customWidth="1"/>
    <col min="756" max="756" width="10.81640625" style="33" customWidth="1"/>
    <col min="757" max="762" width="8.81640625" style="33"/>
    <col min="763" max="763" width="16.453125" style="33" bestFit="1" customWidth="1"/>
    <col min="764" max="764" width="10.81640625" style="33" customWidth="1"/>
    <col min="765" max="766" width="8.81640625" style="33"/>
    <col min="767" max="767" width="13" style="33" customWidth="1"/>
    <col min="768" max="768" width="11.26953125" style="33" customWidth="1"/>
    <col min="769" max="769" width="9.1796875" style="33" customWidth="1"/>
    <col min="770" max="771" width="10.26953125" style="33" customWidth="1"/>
    <col min="772" max="772" width="9.1796875" style="33" customWidth="1"/>
    <col min="773" max="1010" width="8.81640625" style="33"/>
    <col min="1011" max="1011" width="16.453125" style="33" bestFit="1" customWidth="1"/>
    <col min="1012" max="1012" width="10.81640625" style="33" customWidth="1"/>
    <col min="1013" max="1018" width="8.81640625" style="33"/>
    <col min="1019" max="1019" width="16.453125" style="33" bestFit="1" customWidth="1"/>
    <col min="1020" max="1020" width="10.81640625" style="33" customWidth="1"/>
    <col min="1021" max="1022" width="8.81640625" style="33"/>
    <col min="1023" max="1023" width="13" style="33" customWidth="1"/>
    <col min="1024" max="1024" width="11.26953125" style="33" customWidth="1"/>
    <col min="1025" max="1025" width="9.1796875" style="33" customWidth="1"/>
    <col min="1026" max="1027" width="10.26953125" style="33" customWidth="1"/>
    <col min="1028" max="1028" width="9.1796875" style="33" customWidth="1"/>
    <col min="1029" max="1266" width="8.81640625" style="33"/>
    <col min="1267" max="1267" width="16.453125" style="33" bestFit="1" customWidth="1"/>
    <col min="1268" max="1268" width="10.81640625" style="33" customWidth="1"/>
    <col min="1269" max="1274" width="8.81640625" style="33"/>
    <col min="1275" max="1275" width="16.453125" style="33" bestFit="1" customWidth="1"/>
    <col min="1276" max="1276" width="10.81640625" style="33" customWidth="1"/>
    <col min="1277" max="1278" width="8.81640625" style="33"/>
    <col min="1279" max="1279" width="13" style="33" customWidth="1"/>
    <col min="1280" max="1280" width="11.26953125" style="33" customWidth="1"/>
    <col min="1281" max="1281" width="9.1796875" style="33" customWidth="1"/>
    <col min="1282" max="1283" width="10.26953125" style="33" customWidth="1"/>
    <col min="1284" max="1284" width="9.1796875" style="33" customWidth="1"/>
    <col min="1285" max="1522" width="8.81640625" style="33"/>
    <col min="1523" max="1523" width="16.453125" style="33" bestFit="1" customWidth="1"/>
    <col min="1524" max="1524" width="10.81640625" style="33" customWidth="1"/>
    <col min="1525" max="1530" width="8.81640625" style="33"/>
    <col min="1531" max="1531" width="16.453125" style="33" bestFit="1" customWidth="1"/>
    <col min="1532" max="1532" width="10.81640625" style="33" customWidth="1"/>
    <col min="1533" max="1534" width="8.81640625" style="33"/>
    <col min="1535" max="1535" width="13" style="33" customWidth="1"/>
    <col min="1536" max="1536" width="11.26953125" style="33" customWidth="1"/>
    <col min="1537" max="1537" width="9.1796875" style="33" customWidth="1"/>
    <col min="1538" max="1539" width="10.26953125" style="33" customWidth="1"/>
    <col min="1540" max="1540" width="9.1796875" style="33" customWidth="1"/>
    <col min="1541" max="1778" width="8.81640625" style="33"/>
    <col min="1779" max="1779" width="16.453125" style="33" bestFit="1" customWidth="1"/>
    <col min="1780" max="1780" width="10.81640625" style="33" customWidth="1"/>
    <col min="1781" max="1786" width="8.81640625" style="33"/>
    <col min="1787" max="1787" width="16.453125" style="33" bestFit="1" customWidth="1"/>
    <col min="1788" max="1788" width="10.81640625" style="33" customWidth="1"/>
    <col min="1789" max="1790" width="8.81640625" style="33"/>
    <col min="1791" max="1791" width="13" style="33" customWidth="1"/>
    <col min="1792" max="1792" width="11.26953125" style="33" customWidth="1"/>
    <col min="1793" max="1793" width="9.1796875" style="33" customWidth="1"/>
    <col min="1794" max="1795" width="10.26953125" style="33" customWidth="1"/>
    <col min="1796" max="1796" width="9.1796875" style="33" customWidth="1"/>
    <col min="1797" max="2034" width="8.81640625" style="33"/>
    <col min="2035" max="2035" width="16.453125" style="33" bestFit="1" customWidth="1"/>
    <col min="2036" max="2036" width="10.81640625" style="33" customWidth="1"/>
    <col min="2037" max="2042" width="8.81640625" style="33"/>
    <col min="2043" max="2043" width="16.453125" style="33" bestFit="1" customWidth="1"/>
    <col min="2044" max="2044" width="10.81640625" style="33" customWidth="1"/>
    <col min="2045" max="2046" width="8.81640625" style="33"/>
    <col min="2047" max="2047" width="13" style="33" customWidth="1"/>
    <col min="2048" max="2048" width="11.26953125" style="33" customWidth="1"/>
    <col min="2049" max="2049" width="9.1796875" style="33" customWidth="1"/>
    <col min="2050" max="2051" width="10.26953125" style="33" customWidth="1"/>
    <col min="2052" max="2052" width="9.1796875" style="33" customWidth="1"/>
    <col min="2053" max="2290" width="8.81640625" style="33"/>
    <col min="2291" max="2291" width="16.453125" style="33" bestFit="1" customWidth="1"/>
    <col min="2292" max="2292" width="10.81640625" style="33" customWidth="1"/>
    <col min="2293" max="2298" width="8.81640625" style="33"/>
    <col min="2299" max="2299" width="16.453125" style="33" bestFit="1" customWidth="1"/>
    <col min="2300" max="2300" width="10.81640625" style="33" customWidth="1"/>
    <col min="2301" max="2302" width="8.81640625" style="33"/>
    <col min="2303" max="2303" width="13" style="33" customWidth="1"/>
    <col min="2304" max="2304" width="11.26953125" style="33" customWidth="1"/>
    <col min="2305" max="2305" width="9.1796875" style="33" customWidth="1"/>
    <col min="2306" max="2307" width="10.26953125" style="33" customWidth="1"/>
    <col min="2308" max="2308" width="9.1796875" style="33" customWidth="1"/>
    <col min="2309" max="2546" width="8.81640625" style="33"/>
    <col min="2547" max="2547" width="16.453125" style="33" bestFit="1" customWidth="1"/>
    <col min="2548" max="2548" width="10.81640625" style="33" customWidth="1"/>
    <col min="2549" max="2554" width="8.81640625" style="33"/>
    <col min="2555" max="2555" width="16.453125" style="33" bestFit="1" customWidth="1"/>
    <col min="2556" max="2556" width="10.81640625" style="33" customWidth="1"/>
    <col min="2557" max="2558" width="8.81640625" style="33"/>
    <col min="2559" max="2559" width="13" style="33" customWidth="1"/>
    <col min="2560" max="2560" width="11.26953125" style="33" customWidth="1"/>
    <col min="2561" max="2561" width="9.1796875" style="33" customWidth="1"/>
    <col min="2562" max="2563" width="10.26953125" style="33" customWidth="1"/>
    <col min="2564" max="2564" width="9.1796875" style="33" customWidth="1"/>
    <col min="2565" max="2802" width="8.81640625" style="33"/>
    <col min="2803" max="2803" width="16.453125" style="33" bestFit="1" customWidth="1"/>
    <col min="2804" max="2804" width="10.81640625" style="33" customWidth="1"/>
    <col min="2805" max="2810" width="8.81640625" style="33"/>
    <col min="2811" max="2811" width="16.453125" style="33" bestFit="1" customWidth="1"/>
    <col min="2812" max="2812" width="10.81640625" style="33" customWidth="1"/>
    <col min="2813" max="2814" width="8.81640625" style="33"/>
    <col min="2815" max="2815" width="13" style="33" customWidth="1"/>
    <col min="2816" max="2816" width="11.26953125" style="33" customWidth="1"/>
    <col min="2817" max="2817" width="9.1796875" style="33" customWidth="1"/>
    <col min="2818" max="2819" width="10.26953125" style="33" customWidth="1"/>
    <col min="2820" max="2820" width="9.1796875" style="33" customWidth="1"/>
    <col min="2821" max="3058" width="8.81640625" style="33"/>
    <col min="3059" max="3059" width="16.453125" style="33" bestFit="1" customWidth="1"/>
    <col min="3060" max="3060" width="10.81640625" style="33" customWidth="1"/>
    <col min="3061" max="3066" width="8.81640625" style="33"/>
    <col min="3067" max="3067" width="16.453125" style="33" bestFit="1" customWidth="1"/>
    <col min="3068" max="3068" width="10.81640625" style="33" customWidth="1"/>
    <col min="3069" max="3070" width="8.81640625" style="33"/>
    <col min="3071" max="3071" width="13" style="33" customWidth="1"/>
    <col min="3072" max="3072" width="11.26953125" style="33" customWidth="1"/>
    <col min="3073" max="3073" width="9.1796875" style="33" customWidth="1"/>
    <col min="3074" max="3075" width="10.26953125" style="33" customWidth="1"/>
    <col min="3076" max="3076" width="9.1796875" style="33" customWidth="1"/>
    <col min="3077" max="3314" width="8.81640625" style="33"/>
    <col min="3315" max="3315" width="16.453125" style="33" bestFit="1" customWidth="1"/>
    <col min="3316" max="3316" width="10.81640625" style="33" customWidth="1"/>
    <col min="3317" max="3322" width="8.81640625" style="33"/>
    <col min="3323" max="3323" width="16.453125" style="33" bestFit="1" customWidth="1"/>
    <col min="3324" max="3324" width="10.81640625" style="33" customWidth="1"/>
    <col min="3325" max="3326" width="8.81640625" style="33"/>
    <col min="3327" max="3327" width="13" style="33" customWidth="1"/>
    <col min="3328" max="3328" width="11.26953125" style="33" customWidth="1"/>
    <col min="3329" max="3329" width="9.1796875" style="33" customWidth="1"/>
    <col min="3330" max="3331" width="10.26953125" style="33" customWidth="1"/>
    <col min="3332" max="3332" width="9.1796875" style="33" customWidth="1"/>
    <col min="3333" max="3570" width="8.81640625" style="33"/>
    <col min="3571" max="3571" width="16.453125" style="33" bestFit="1" customWidth="1"/>
    <col min="3572" max="3572" width="10.81640625" style="33" customWidth="1"/>
    <col min="3573" max="3578" width="8.81640625" style="33"/>
    <col min="3579" max="3579" width="16.453125" style="33" bestFit="1" customWidth="1"/>
    <col min="3580" max="3580" width="10.81640625" style="33" customWidth="1"/>
    <col min="3581" max="3582" width="8.81640625" style="33"/>
    <col min="3583" max="3583" width="13" style="33" customWidth="1"/>
    <col min="3584" max="3584" width="11.26953125" style="33" customWidth="1"/>
    <col min="3585" max="3585" width="9.1796875" style="33" customWidth="1"/>
    <col min="3586" max="3587" width="10.26953125" style="33" customWidth="1"/>
    <col min="3588" max="3588" width="9.1796875" style="33" customWidth="1"/>
    <col min="3589" max="3826" width="8.81640625" style="33"/>
    <col min="3827" max="3827" width="16.453125" style="33" bestFit="1" customWidth="1"/>
    <col min="3828" max="3828" width="10.81640625" style="33" customWidth="1"/>
    <col min="3829" max="3834" width="8.81640625" style="33"/>
    <col min="3835" max="3835" width="16.453125" style="33" bestFit="1" customWidth="1"/>
    <col min="3836" max="3836" width="10.81640625" style="33" customWidth="1"/>
    <col min="3837" max="3838" width="8.81640625" style="33"/>
    <col min="3839" max="3839" width="13" style="33" customWidth="1"/>
    <col min="3840" max="3840" width="11.26953125" style="33" customWidth="1"/>
    <col min="3841" max="3841" width="9.1796875" style="33" customWidth="1"/>
    <col min="3842" max="3843" width="10.26953125" style="33" customWidth="1"/>
    <col min="3844" max="3844" width="9.1796875" style="33" customWidth="1"/>
    <col min="3845" max="4082" width="8.81640625" style="33"/>
    <col min="4083" max="4083" width="16.453125" style="33" bestFit="1" customWidth="1"/>
    <col min="4084" max="4084" width="10.81640625" style="33" customWidth="1"/>
    <col min="4085" max="4090" width="8.81640625" style="33"/>
    <col min="4091" max="4091" width="16.453125" style="33" bestFit="1" customWidth="1"/>
    <col min="4092" max="4092" width="10.81640625" style="33" customWidth="1"/>
    <col min="4093" max="4094" width="8.81640625" style="33"/>
    <col min="4095" max="4095" width="13" style="33" customWidth="1"/>
    <col min="4096" max="4096" width="11.26953125" style="33" customWidth="1"/>
    <col min="4097" max="4097" width="9.1796875" style="33" customWidth="1"/>
    <col min="4098" max="4099" width="10.26953125" style="33" customWidth="1"/>
    <col min="4100" max="4100" width="9.1796875" style="33" customWidth="1"/>
    <col min="4101" max="4338" width="8.81640625" style="33"/>
    <col min="4339" max="4339" width="16.453125" style="33" bestFit="1" customWidth="1"/>
    <col min="4340" max="4340" width="10.81640625" style="33" customWidth="1"/>
    <col min="4341" max="4346" width="8.81640625" style="33"/>
    <col min="4347" max="4347" width="16.453125" style="33" bestFit="1" customWidth="1"/>
    <col min="4348" max="4348" width="10.81640625" style="33" customWidth="1"/>
    <col min="4349" max="4350" width="8.81640625" style="33"/>
    <col min="4351" max="4351" width="13" style="33" customWidth="1"/>
    <col min="4352" max="4352" width="11.26953125" style="33" customWidth="1"/>
    <col min="4353" max="4353" width="9.1796875" style="33" customWidth="1"/>
    <col min="4354" max="4355" width="10.26953125" style="33" customWidth="1"/>
    <col min="4356" max="4356" width="9.1796875" style="33" customWidth="1"/>
    <col min="4357" max="4594" width="8.81640625" style="33"/>
    <col min="4595" max="4595" width="16.453125" style="33" bestFit="1" customWidth="1"/>
    <col min="4596" max="4596" width="10.81640625" style="33" customWidth="1"/>
    <col min="4597" max="4602" width="8.81640625" style="33"/>
    <col min="4603" max="4603" width="16.453125" style="33" bestFit="1" customWidth="1"/>
    <col min="4604" max="4604" width="10.81640625" style="33" customWidth="1"/>
    <col min="4605" max="4606" width="8.81640625" style="33"/>
    <col min="4607" max="4607" width="13" style="33" customWidth="1"/>
    <col min="4608" max="4608" width="11.26953125" style="33" customWidth="1"/>
    <col min="4609" max="4609" width="9.1796875" style="33" customWidth="1"/>
    <col min="4610" max="4611" width="10.26953125" style="33" customWidth="1"/>
    <col min="4612" max="4612" width="9.1796875" style="33" customWidth="1"/>
    <col min="4613" max="4850" width="8.81640625" style="33"/>
    <col min="4851" max="4851" width="16.453125" style="33" bestFit="1" customWidth="1"/>
    <col min="4852" max="4852" width="10.81640625" style="33" customWidth="1"/>
    <col min="4853" max="4858" width="8.81640625" style="33"/>
    <col min="4859" max="4859" width="16.453125" style="33" bestFit="1" customWidth="1"/>
    <col min="4860" max="4860" width="10.81640625" style="33" customWidth="1"/>
    <col min="4861" max="4862" width="8.81640625" style="33"/>
    <col min="4863" max="4863" width="13" style="33" customWidth="1"/>
    <col min="4864" max="4864" width="11.26953125" style="33" customWidth="1"/>
    <col min="4865" max="4865" width="9.1796875" style="33" customWidth="1"/>
    <col min="4866" max="4867" width="10.26953125" style="33" customWidth="1"/>
    <col min="4868" max="4868" width="9.1796875" style="33" customWidth="1"/>
    <col min="4869" max="5106" width="8.81640625" style="33"/>
    <col min="5107" max="5107" width="16.453125" style="33" bestFit="1" customWidth="1"/>
    <col min="5108" max="5108" width="10.81640625" style="33" customWidth="1"/>
    <col min="5109" max="5114" width="8.81640625" style="33"/>
    <col min="5115" max="5115" width="16.453125" style="33" bestFit="1" customWidth="1"/>
    <col min="5116" max="5116" width="10.81640625" style="33" customWidth="1"/>
    <col min="5117" max="5118" width="8.81640625" style="33"/>
    <col min="5119" max="5119" width="13" style="33" customWidth="1"/>
    <col min="5120" max="5120" width="11.26953125" style="33" customWidth="1"/>
    <col min="5121" max="5121" width="9.1796875" style="33" customWidth="1"/>
    <col min="5122" max="5123" width="10.26953125" style="33" customWidth="1"/>
    <col min="5124" max="5124" width="9.1796875" style="33" customWidth="1"/>
    <col min="5125" max="5362" width="8.81640625" style="33"/>
    <col min="5363" max="5363" width="16.453125" style="33" bestFit="1" customWidth="1"/>
    <col min="5364" max="5364" width="10.81640625" style="33" customWidth="1"/>
    <col min="5365" max="5370" width="8.81640625" style="33"/>
    <col min="5371" max="5371" width="16.453125" style="33" bestFit="1" customWidth="1"/>
    <col min="5372" max="5372" width="10.81640625" style="33" customWidth="1"/>
    <col min="5373" max="5374" width="8.81640625" style="33"/>
    <col min="5375" max="5375" width="13" style="33" customWidth="1"/>
    <col min="5376" max="5376" width="11.26953125" style="33" customWidth="1"/>
    <col min="5377" max="5377" width="9.1796875" style="33" customWidth="1"/>
    <col min="5378" max="5379" width="10.26953125" style="33" customWidth="1"/>
    <col min="5380" max="5380" width="9.1796875" style="33" customWidth="1"/>
    <col min="5381" max="5618" width="8.81640625" style="33"/>
    <col min="5619" max="5619" width="16.453125" style="33" bestFit="1" customWidth="1"/>
    <col min="5620" max="5620" width="10.81640625" style="33" customWidth="1"/>
    <col min="5621" max="5626" width="8.81640625" style="33"/>
    <col min="5627" max="5627" width="16.453125" style="33" bestFit="1" customWidth="1"/>
    <col min="5628" max="5628" width="10.81640625" style="33" customWidth="1"/>
    <col min="5629" max="5630" width="8.81640625" style="33"/>
    <col min="5631" max="5631" width="13" style="33" customWidth="1"/>
    <col min="5632" max="5632" width="11.26953125" style="33" customWidth="1"/>
    <col min="5633" max="5633" width="9.1796875" style="33" customWidth="1"/>
    <col min="5634" max="5635" width="10.26953125" style="33" customWidth="1"/>
    <col min="5636" max="5636" width="9.1796875" style="33" customWidth="1"/>
    <col min="5637" max="5874" width="8.81640625" style="33"/>
    <col min="5875" max="5875" width="16.453125" style="33" bestFit="1" customWidth="1"/>
    <col min="5876" max="5876" width="10.81640625" style="33" customWidth="1"/>
    <col min="5877" max="5882" width="8.81640625" style="33"/>
    <col min="5883" max="5883" width="16.453125" style="33" bestFit="1" customWidth="1"/>
    <col min="5884" max="5884" width="10.81640625" style="33" customWidth="1"/>
    <col min="5885" max="5886" width="8.81640625" style="33"/>
    <col min="5887" max="5887" width="13" style="33" customWidth="1"/>
    <col min="5888" max="5888" width="11.26953125" style="33" customWidth="1"/>
    <col min="5889" max="5889" width="9.1796875" style="33" customWidth="1"/>
    <col min="5890" max="5891" width="10.26953125" style="33" customWidth="1"/>
    <col min="5892" max="5892" width="9.1796875" style="33" customWidth="1"/>
    <col min="5893" max="6130" width="8.81640625" style="33"/>
    <col min="6131" max="6131" width="16.453125" style="33" bestFit="1" customWidth="1"/>
    <col min="6132" max="6132" width="10.81640625" style="33" customWidth="1"/>
    <col min="6133" max="6138" width="8.81640625" style="33"/>
    <col min="6139" max="6139" width="16.453125" style="33" bestFit="1" customWidth="1"/>
    <col min="6140" max="6140" width="10.81640625" style="33" customWidth="1"/>
    <col min="6141" max="6142" width="8.81640625" style="33"/>
    <col min="6143" max="6143" width="13" style="33" customWidth="1"/>
    <col min="6144" max="6144" width="11.26953125" style="33" customWidth="1"/>
    <col min="6145" max="6145" width="9.1796875" style="33" customWidth="1"/>
    <col min="6146" max="6147" width="10.26953125" style="33" customWidth="1"/>
    <col min="6148" max="6148" width="9.1796875" style="33" customWidth="1"/>
    <col min="6149" max="6386" width="8.81640625" style="33"/>
    <col min="6387" max="6387" width="16.453125" style="33" bestFit="1" customWidth="1"/>
    <col min="6388" max="6388" width="10.81640625" style="33" customWidth="1"/>
    <col min="6389" max="6394" width="8.81640625" style="33"/>
    <col min="6395" max="6395" width="16.453125" style="33" bestFit="1" customWidth="1"/>
    <col min="6396" max="6396" width="10.81640625" style="33" customWidth="1"/>
    <col min="6397" max="6398" width="8.81640625" style="33"/>
    <col min="6399" max="6399" width="13" style="33" customWidth="1"/>
    <col min="6400" max="6400" width="11.26953125" style="33" customWidth="1"/>
    <col min="6401" max="6401" width="9.1796875" style="33" customWidth="1"/>
    <col min="6402" max="6403" width="10.26953125" style="33" customWidth="1"/>
    <col min="6404" max="6404" width="9.1796875" style="33" customWidth="1"/>
    <col min="6405" max="6642" width="8.81640625" style="33"/>
    <col min="6643" max="6643" width="16.453125" style="33" bestFit="1" customWidth="1"/>
    <col min="6644" max="6644" width="10.81640625" style="33" customWidth="1"/>
    <col min="6645" max="6650" width="8.81640625" style="33"/>
    <col min="6651" max="6651" width="16.453125" style="33" bestFit="1" customWidth="1"/>
    <col min="6652" max="6652" width="10.81640625" style="33" customWidth="1"/>
    <col min="6653" max="6654" width="8.81640625" style="33"/>
    <col min="6655" max="6655" width="13" style="33" customWidth="1"/>
    <col min="6656" max="6656" width="11.26953125" style="33" customWidth="1"/>
    <col min="6657" max="6657" width="9.1796875" style="33" customWidth="1"/>
    <col min="6658" max="6659" width="10.26953125" style="33" customWidth="1"/>
    <col min="6660" max="6660" width="9.1796875" style="33" customWidth="1"/>
    <col min="6661" max="6898" width="8.81640625" style="33"/>
    <col min="6899" max="6899" width="16.453125" style="33" bestFit="1" customWidth="1"/>
    <col min="6900" max="6900" width="10.81640625" style="33" customWidth="1"/>
    <col min="6901" max="6906" width="8.81640625" style="33"/>
    <col min="6907" max="6907" width="16.453125" style="33" bestFit="1" customWidth="1"/>
    <col min="6908" max="6908" width="10.81640625" style="33" customWidth="1"/>
    <col min="6909" max="6910" width="8.81640625" style="33"/>
    <col min="6911" max="6911" width="13" style="33" customWidth="1"/>
    <col min="6912" max="6912" width="11.26953125" style="33" customWidth="1"/>
    <col min="6913" max="6913" width="9.1796875" style="33" customWidth="1"/>
    <col min="6914" max="6915" width="10.26953125" style="33" customWidth="1"/>
    <col min="6916" max="6916" width="9.1796875" style="33" customWidth="1"/>
    <col min="6917" max="7154" width="8.81640625" style="33"/>
    <col min="7155" max="7155" width="16.453125" style="33" bestFit="1" customWidth="1"/>
    <col min="7156" max="7156" width="10.81640625" style="33" customWidth="1"/>
    <col min="7157" max="7162" width="8.81640625" style="33"/>
    <col min="7163" max="7163" width="16.453125" style="33" bestFit="1" customWidth="1"/>
    <col min="7164" max="7164" width="10.81640625" style="33" customWidth="1"/>
    <col min="7165" max="7166" width="8.81640625" style="33"/>
    <col min="7167" max="7167" width="13" style="33" customWidth="1"/>
    <col min="7168" max="7168" width="11.26953125" style="33" customWidth="1"/>
    <col min="7169" max="7169" width="9.1796875" style="33" customWidth="1"/>
    <col min="7170" max="7171" width="10.26953125" style="33" customWidth="1"/>
    <col min="7172" max="7172" width="9.1796875" style="33" customWidth="1"/>
    <col min="7173" max="7410" width="8.81640625" style="33"/>
    <col min="7411" max="7411" width="16.453125" style="33" bestFit="1" customWidth="1"/>
    <col min="7412" max="7412" width="10.81640625" style="33" customWidth="1"/>
    <col min="7413" max="7418" width="8.81640625" style="33"/>
    <col min="7419" max="7419" width="16.453125" style="33" bestFit="1" customWidth="1"/>
    <col min="7420" max="7420" width="10.81640625" style="33" customWidth="1"/>
    <col min="7421" max="7422" width="8.81640625" style="33"/>
    <col min="7423" max="7423" width="13" style="33" customWidth="1"/>
    <col min="7424" max="7424" width="11.26953125" style="33" customWidth="1"/>
    <col min="7425" max="7425" width="9.1796875" style="33" customWidth="1"/>
    <col min="7426" max="7427" width="10.26953125" style="33" customWidth="1"/>
    <col min="7428" max="7428" width="9.1796875" style="33" customWidth="1"/>
    <col min="7429" max="7666" width="8.81640625" style="33"/>
    <col min="7667" max="7667" width="16.453125" style="33" bestFit="1" customWidth="1"/>
    <col min="7668" max="7668" width="10.81640625" style="33" customWidth="1"/>
    <col min="7669" max="7674" width="8.81640625" style="33"/>
    <col min="7675" max="7675" width="16.453125" style="33" bestFit="1" customWidth="1"/>
    <col min="7676" max="7676" width="10.81640625" style="33" customWidth="1"/>
    <col min="7677" max="7678" width="8.81640625" style="33"/>
    <col min="7679" max="7679" width="13" style="33" customWidth="1"/>
    <col min="7680" max="7680" width="11.26953125" style="33" customWidth="1"/>
    <col min="7681" max="7681" width="9.1796875" style="33" customWidth="1"/>
    <col min="7682" max="7683" width="10.26953125" style="33" customWidth="1"/>
    <col min="7684" max="7684" width="9.1796875" style="33" customWidth="1"/>
    <col min="7685" max="7922" width="8.81640625" style="33"/>
    <col min="7923" max="7923" width="16.453125" style="33" bestFit="1" customWidth="1"/>
    <col min="7924" max="7924" width="10.81640625" style="33" customWidth="1"/>
    <col min="7925" max="7930" width="8.81640625" style="33"/>
    <col min="7931" max="7931" width="16.453125" style="33" bestFit="1" customWidth="1"/>
    <col min="7932" max="7932" width="10.81640625" style="33" customWidth="1"/>
    <col min="7933" max="7934" width="8.81640625" style="33"/>
    <col min="7935" max="7935" width="13" style="33" customWidth="1"/>
    <col min="7936" max="7936" width="11.26953125" style="33" customWidth="1"/>
    <col min="7937" max="7937" width="9.1796875" style="33" customWidth="1"/>
    <col min="7938" max="7939" width="10.26953125" style="33" customWidth="1"/>
    <col min="7940" max="7940" width="9.1796875" style="33" customWidth="1"/>
    <col min="7941" max="8178" width="8.81640625" style="33"/>
    <col min="8179" max="8179" width="16.453125" style="33" bestFit="1" customWidth="1"/>
    <col min="8180" max="8180" width="10.81640625" style="33" customWidth="1"/>
    <col min="8181" max="8186" width="8.81640625" style="33"/>
    <col min="8187" max="8187" width="16.453125" style="33" bestFit="1" customWidth="1"/>
    <col min="8188" max="8188" width="10.81640625" style="33" customWidth="1"/>
    <col min="8189" max="8190" width="8.81640625" style="33"/>
    <col min="8191" max="8191" width="13" style="33" customWidth="1"/>
    <col min="8192" max="8192" width="11.26953125" style="33" customWidth="1"/>
    <col min="8193" max="8193" width="9.1796875" style="33" customWidth="1"/>
    <col min="8194" max="8195" width="10.26953125" style="33" customWidth="1"/>
    <col min="8196" max="8196" width="9.1796875" style="33" customWidth="1"/>
    <col min="8197" max="8434" width="8.81640625" style="33"/>
    <col min="8435" max="8435" width="16.453125" style="33" bestFit="1" customWidth="1"/>
    <col min="8436" max="8436" width="10.81640625" style="33" customWidth="1"/>
    <col min="8437" max="8442" width="8.81640625" style="33"/>
    <col min="8443" max="8443" width="16.453125" style="33" bestFit="1" customWidth="1"/>
    <col min="8444" max="8444" width="10.81640625" style="33" customWidth="1"/>
    <col min="8445" max="8446" width="8.81640625" style="33"/>
    <col min="8447" max="8447" width="13" style="33" customWidth="1"/>
    <col min="8448" max="8448" width="11.26953125" style="33" customWidth="1"/>
    <col min="8449" max="8449" width="9.1796875" style="33" customWidth="1"/>
    <col min="8450" max="8451" width="10.26953125" style="33" customWidth="1"/>
    <col min="8452" max="8452" width="9.1796875" style="33" customWidth="1"/>
    <col min="8453" max="8690" width="8.81640625" style="33"/>
    <col min="8691" max="8691" width="16.453125" style="33" bestFit="1" customWidth="1"/>
    <col min="8692" max="8692" width="10.81640625" style="33" customWidth="1"/>
    <col min="8693" max="8698" width="8.81640625" style="33"/>
    <col min="8699" max="8699" width="16.453125" style="33" bestFit="1" customWidth="1"/>
    <col min="8700" max="8700" width="10.81640625" style="33" customWidth="1"/>
    <col min="8701" max="8702" width="8.81640625" style="33"/>
    <col min="8703" max="8703" width="13" style="33" customWidth="1"/>
    <col min="8704" max="8704" width="11.26953125" style="33" customWidth="1"/>
    <col min="8705" max="8705" width="9.1796875" style="33" customWidth="1"/>
    <col min="8706" max="8707" width="10.26953125" style="33" customWidth="1"/>
    <col min="8708" max="8708" width="9.1796875" style="33" customWidth="1"/>
    <col min="8709" max="8946" width="8.81640625" style="33"/>
    <col min="8947" max="8947" width="16.453125" style="33" bestFit="1" customWidth="1"/>
    <col min="8948" max="8948" width="10.81640625" style="33" customWidth="1"/>
    <col min="8949" max="8954" width="8.81640625" style="33"/>
    <col min="8955" max="8955" width="16.453125" style="33" bestFit="1" customWidth="1"/>
    <col min="8956" max="8956" width="10.81640625" style="33" customWidth="1"/>
    <col min="8957" max="8958" width="8.81640625" style="33"/>
    <col min="8959" max="8959" width="13" style="33" customWidth="1"/>
    <col min="8960" max="8960" width="11.26953125" style="33" customWidth="1"/>
    <col min="8961" max="8961" width="9.1796875" style="33" customWidth="1"/>
    <col min="8962" max="8963" width="10.26953125" style="33" customWidth="1"/>
    <col min="8964" max="8964" width="9.1796875" style="33" customWidth="1"/>
    <col min="8965" max="9202" width="8.81640625" style="33"/>
    <col min="9203" max="9203" width="16.453125" style="33" bestFit="1" customWidth="1"/>
    <col min="9204" max="9204" width="10.81640625" style="33" customWidth="1"/>
    <col min="9205" max="9210" width="8.81640625" style="33"/>
    <col min="9211" max="9211" width="16.453125" style="33" bestFit="1" customWidth="1"/>
    <col min="9212" max="9212" width="10.81640625" style="33" customWidth="1"/>
    <col min="9213" max="9214" width="8.81640625" style="33"/>
    <col min="9215" max="9215" width="13" style="33" customWidth="1"/>
    <col min="9216" max="9216" width="11.26953125" style="33" customWidth="1"/>
    <col min="9217" max="9217" width="9.1796875" style="33" customWidth="1"/>
    <col min="9218" max="9219" width="10.26953125" style="33" customWidth="1"/>
    <col min="9220" max="9220" width="9.1796875" style="33" customWidth="1"/>
    <col min="9221" max="9458" width="8.81640625" style="33"/>
    <col min="9459" max="9459" width="16.453125" style="33" bestFit="1" customWidth="1"/>
    <col min="9460" max="9460" width="10.81640625" style="33" customWidth="1"/>
    <col min="9461" max="9466" width="8.81640625" style="33"/>
    <col min="9467" max="9467" width="16.453125" style="33" bestFit="1" customWidth="1"/>
    <col min="9468" max="9468" width="10.81640625" style="33" customWidth="1"/>
    <col min="9469" max="9470" width="8.81640625" style="33"/>
    <col min="9471" max="9471" width="13" style="33" customWidth="1"/>
    <col min="9472" max="9472" width="11.26953125" style="33" customWidth="1"/>
    <col min="9473" max="9473" width="9.1796875" style="33" customWidth="1"/>
    <col min="9474" max="9475" width="10.26953125" style="33" customWidth="1"/>
    <col min="9476" max="9476" width="9.1796875" style="33" customWidth="1"/>
    <col min="9477" max="9714" width="8.81640625" style="33"/>
    <col min="9715" max="9715" width="16.453125" style="33" bestFit="1" customWidth="1"/>
    <col min="9716" max="9716" width="10.81640625" style="33" customWidth="1"/>
    <col min="9717" max="9722" width="8.81640625" style="33"/>
    <col min="9723" max="9723" width="16.453125" style="33" bestFit="1" customWidth="1"/>
    <col min="9724" max="9724" width="10.81640625" style="33" customWidth="1"/>
    <col min="9725" max="9726" width="8.81640625" style="33"/>
    <col min="9727" max="9727" width="13" style="33" customWidth="1"/>
    <col min="9728" max="9728" width="11.26953125" style="33" customWidth="1"/>
    <col min="9729" max="9729" width="9.1796875" style="33" customWidth="1"/>
    <col min="9730" max="9731" width="10.26953125" style="33" customWidth="1"/>
    <col min="9732" max="9732" width="9.1796875" style="33" customWidth="1"/>
    <col min="9733" max="9970" width="8.81640625" style="33"/>
    <col min="9971" max="9971" width="16.453125" style="33" bestFit="1" customWidth="1"/>
    <col min="9972" max="9972" width="10.81640625" style="33" customWidth="1"/>
    <col min="9973" max="9978" width="8.81640625" style="33"/>
    <col min="9979" max="9979" width="16.453125" style="33" bestFit="1" customWidth="1"/>
    <col min="9980" max="9980" width="10.81640625" style="33" customWidth="1"/>
    <col min="9981" max="9982" width="8.81640625" style="33"/>
    <col min="9983" max="9983" width="13" style="33" customWidth="1"/>
    <col min="9984" max="9984" width="11.26953125" style="33" customWidth="1"/>
    <col min="9985" max="9985" width="9.1796875" style="33" customWidth="1"/>
    <col min="9986" max="9987" width="10.26953125" style="33" customWidth="1"/>
    <col min="9988" max="9988" width="9.1796875" style="33" customWidth="1"/>
    <col min="9989" max="10226" width="8.81640625" style="33"/>
    <col min="10227" max="10227" width="16.453125" style="33" bestFit="1" customWidth="1"/>
    <col min="10228" max="10228" width="10.81640625" style="33" customWidth="1"/>
    <col min="10229" max="10234" width="8.81640625" style="33"/>
    <col min="10235" max="10235" width="16.453125" style="33" bestFit="1" customWidth="1"/>
    <col min="10236" max="10236" width="10.81640625" style="33" customWidth="1"/>
    <col min="10237" max="10238" width="8.81640625" style="33"/>
    <col min="10239" max="10239" width="13" style="33" customWidth="1"/>
    <col min="10240" max="10240" width="11.26953125" style="33" customWidth="1"/>
    <col min="10241" max="10241" width="9.1796875" style="33" customWidth="1"/>
    <col min="10242" max="10243" width="10.26953125" style="33" customWidth="1"/>
    <col min="10244" max="10244" width="9.1796875" style="33" customWidth="1"/>
    <col min="10245" max="10482" width="8.81640625" style="33"/>
    <col min="10483" max="10483" width="16.453125" style="33" bestFit="1" customWidth="1"/>
    <col min="10484" max="10484" width="10.81640625" style="33" customWidth="1"/>
    <col min="10485" max="10490" width="8.81640625" style="33"/>
    <col min="10491" max="10491" width="16.453125" style="33" bestFit="1" customWidth="1"/>
    <col min="10492" max="10492" width="10.81640625" style="33" customWidth="1"/>
    <col min="10493" max="10494" width="8.81640625" style="33"/>
    <col min="10495" max="10495" width="13" style="33" customWidth="1"/>
    <col min="10496" max="10496" width="11.26953125" style="33" customWidth="1"/>
    <col min="10497" max="10497" width="9.1796875" style="33" customWidth="1"/>
    <col min="10498" max="10499" width="10.26953125" style="33" customWidth="1"/>
    <col min="10500" max="10500" width="9.1796875" style="33" customWidth="1"/>
    <col min="10501" max="10738" width="8.81640625" style="33"/>
    <col min="10739" max="10739" width="16.453125" style="33" bestFit="1" customWidth="1"/>
    <col min="10740" max="10740" width="10.81640625" style="33" customWidth="1"/>
    <col min="10741" max="10746" width="8.81640625" style="33"/>
    <col min="10747" max="10747" width="16.453125" style="33" bestFit="1" customWidth="1"/>
    <col min="10748" max="10748" width="10.81640625" style="33" customWidth="1"/>
    <col min="10749" max="10750" width="8.81640625" style="33"/>
    <col min="10751" max="10751" width="13" style="33" customWidth="1"/>
    <col min="10752" max="10752" width="11.26953125" style="33" customWidth="1"/>
    <col min="10753" max="10753" width="9.1796875" style="33" customWidth="1"/>
    <col min="10754" max="10755" width="10.26953125" style="33" customWidth="1"/>
    <col min="10756" max="10756" width="9.1796875" style="33" customWidth="1"/>
    <col min="10757" max="10994" width="8.81640625" style="33"/>
    <col min="10995" max="10995" width="16.453125" style="33" bestFit="1" customWidth="1"/>
    <col min="10996" max="10996" width="10.81640625" style="33" customWidth="1"/>
    <col min="10997" max="11002" width="8.81640625" style="33"/>
    <col min="11003" max="11003" width="16.453125" style="33" bestFit="1" customWidth="1"/>
    <col min="11004" max="11004" width="10.81640625" style="33" customWidth="1"/>
    <col min="11005" max="11006" width="8.81640625" style="33"/>
    <col min="11007" max="11007" width="13" style="33" customWidth="1"/>
    <col min="11008" max="11008" width="11.26953125" style="33" customWidth="1"/>
    <col min="11009" max="11009" width="9.1796875" style="33" customWidth="1"/>
    <col min="11010" max="11011" width="10.26953125" style="33" customWidth="1"/>
    <col min="11012" max="11012" width="9.1796875" style="33" customWidth="1"/>
    <col min="11013" max="11250" width="8.81640625" style="33"/>
    <col min="11251" max="11251" width="16.453125" style="33" bestFit="1" customWidth="1"/>
    <col min="11252" max="11252" width="10.81640625" style="33" customWidth="1"/>
    <col min="11253" max="11258" width="8.81640625" style="33"/>
    <col min="11259" max="11259" width="16.453125" style="33" bestFit="1" customWidth="1"/>
    <col min="11260" max="11260" width="10.81640625" style="33" customWidth="1"/>
    <col min="11261" max="11262" width="8.81640625" style="33"/>
    <col min="11263" max="11263" width="13" style="33" customWidth="1"/>
    <col min="11264" max="11264" width="11.26953125" style="33" customWidth="1"/>
    <col min="11265" max="11265" width="9.1796875" style="33" customWidth="1"/>
    <col min="11266" max="11267" width="10.26953125" style="33" customWidth="1"/>
    <col min="11268" max="11268" width="9.1796875" style="33" customWidth="1"/>
    <col min="11269" max="11506" width="8.81640625" style="33"/>
    <col min="11507" max="11507" width="16.453125" style="33" bestFit="1" customWidth="1"/>
    <col min="11508" max="11508" width="10.81640625" style="33" customWidth="1"/>
    <col min="11509" max="11514" width="8.81640625" style="33"/>
    <col min="11515" max="11515" width="16.453125" style="33" bestFit="1" customWidth="1"/>
    <col min="11516" max="11516" width="10.81640625" style="33" customWidth="1"/>
    <col min="11517" max="11518" width="8.81640625" style="33"/>
    <col min="11519" max="11519" width="13" style="33" customWidth="1"/>
    <col min="11520" max="11520" width="11.26953125" style="33" customWidth="1"/>
    <col min="11521" max="11521" width="9.1796875" style="33" customWidth="1"/>
    <col min="11522" max="11523" width="10.26953125" style="33" customWidth="1"/>
    <col min="11524" max="11524" width="9.1796875" style="33" customWidth="1"/>
    <col min="11525" max="11762" width="8.81640625" style="33"/>
    <col min="11763" max="11763" width="16.453125" style="33" bestFit="1" customWidth="1"/>
    <col min="11764" max="11764" width="10.81640625" style="33" customWidth="1"/>
    <col min="11765" max="11770" width="8.81640625" style="33"/>
    <col min="11771" max="11771" width="16.453125" style="33" bestFit="1" customWidth="1"/>
    <col min="11772" max="11772" width="10.81640625" style="33" customWidth="1"/>
    <col min="11773" max="11774" width="8.81640625" style="33"/>
    <col min="11775" max="11775" width="13" style="33" customWidth="1"/>
    <col min="11776" max="11776" width="11.26953125" style="33" customWidth="1"/>
    <col min="11777" max="11777" width="9.1796875" style="33" customWidth="1"/>
    <col min="11778" max="11779" width="10.26953125" style="33" customWidth="1"/>
    <col min="11780" max="11780" width="9.1796875" style="33" customWidth="1"/>
    <col min="11781" max="12018" width="8.81640625" style="33"/>
    <col min="12019" max="12019" width="16.453125" style="33" bestFit="1" customWidth="1"/>
    <col min="12020" max="12020" width="10.81640625" style="33" customWidth="1"/>
    <col min="12021" max="12026" width="8.81640625" style="33"/>
    <col min="12027" max="12027" width="16.453125" style="33" bestFit="1" customWidth="1"/>
    <col min="12028" max="12028" width="10.81640625" style="33" customWidth="1"/>
    <col min="12029" max="12030" width="8.81640625" style="33"/>
    <col min="12031" max="12031" width="13" style="33" customWidth="1"/>
    <col min="12032" max="12032" width="11.26953125" style="33" customWidth="1"/>
    <col min="12033" max="12033" width="9.1796875" style="33" customWidth="1"/>
    <col min="12034" max="12035" width="10.26953125" style="33" customWidth="1"/>
    <col min="12036" max="12036" width="9.1796875" style="33" customWidth="1"/>
    <col min="12037" max="12274" width="8.81640625" style="33"/>
    <col min="12275" max="12275" width="16.453125" style="33" bestFit="1" customWidth="1"/>
    <col min="12276" max="12276" width="10.81640625" style="33" customWidth="1"/>
    <col min="12277" max="12282" width="8.81640625" style="33"/>
    <col min="12283" max="12283" width="16.453125" style="33" bestFit="1" customWidth="1"/>
    <col min="12284" max="12284" width="10.81640625" style="33" customWidth="1"/>
    <col min="12285" max="12286" width="8.81640625" style="33"/>
    <col min="12287" max="12287" width="13" style="33" customWidth="1"/>
    <col min="12288" max="12288" width="11.26953125" style="33" customWidth="1"/>
    <col min="12289" max="12289" width="9.1796875" style="33" customWidth="1"/>
    <col min="12290" max="12291" width="10.26953125" style="33" customWidth="1"/>
    <col min="12292" max="12292" width="9.1796875" style="33" customWidth="1"/>
    <col min="12293" max="12530" width="8.81640625" style="33"/>
    <col min="12531" max="12531" width="16.453125" style="33" bestFit="1" customWidth="1"/>
    <col min="12532" max="12532" width="10.81640625" style="33" customWidth="1"/>
    <col min="12533" max="12538" width="8.81640625" style="33"/>
    <col min="12539" max="12539" width="16.453125" style="33" bestFit="1" customWidth="1"/>
    <col min="12540" max="12540" width="10.81640625" style="33" customWidth="1"/>
    <col min="12541" max="12542" width="8.81640625" style="33"/>
    <col min="12543" max="12543" width="13" style="33" customWidth="1"/>
    <col min="12544" max="12544" width="11.26953125" style="33" customWidth="1"/>
    <col min="12545" max="12545" width="9.1796875" style="33" customWidth="1"/>
    <col min="12546" max="12547" width="10.26953125" style="33" customWidth="1"/>
    <col min="12548" max="12548" width="9.1796875" style="33" customWidth="1"/>
    <col min="12549" max="12786" width="8.81640625" style="33"/>
    <col min="12787" max="12787" width="16.453125" style="33" bestFit="1" customWidth="1"/>
    <col min="12788" max="12788" width="10.81640625" style="33" customWidth="1"/>
    <col min="12789" max="12794" width="8.81640625" style="33"/>
    <col min="12795" max="12795" width="16.453125" style="33" bestFit="1" customWidth="1"/>
    <col min="12796" max="12796" width="10.81640625" style="33" customWidth="1"/>
    <col min="12797" max="12798" width="8.81640625" style="33"/>
    <col min="12799" max="12799" width="13" style="33" customWidth="1"/>
    <col min="12800" max="12800" width="11.26953125" style="33" customWidth="1"/>
    <col min="12801" max="12801" width="9.1796875" style="33" customWidth="1"/>
    <col min="12802" max="12803" width="10.26953125" style="33" customWidth="1"/>
    <col min="12804" max="12804" width="9.1796875" style="33" customWidth="1"/>
    <col min="12805" max="13042" width="8.81640625" style="33"/>
    <col min="13043" max="13043" width="16.453125" style="33" bestFit="1" customWidth="1"/>
    <col min="13044" max="13044" width="10.81640625" style="33" customWidth="1"/>
    <col min="13045" max="13050" width="8.81640625" style="33"/>
    <col min="13051" max="13051" width="16.453125" style="33" bestFit="1" customWidth="1"/>
    <col min="13052" max="13052" width="10.81640625" style="33" customWidth="1"/>
    <col min="13053" max="13054" width="8.81640625" style="33"/>
    <col min="13055" max="13055" width="13" style="33" customWidth="1"/>
    <col min="13056" max="13056" width="11.26953125" style="33" customWidth="1"/>
    <col min="13057" max="13057" width="9.1796875" style="33" customWidth="1"/>
    <col min="13058" max="13059" width="10.26953125" style="33" customWidth="1"/>
    <col min="13060" max="13060" width="9.1796875" style="33" customWidth="1"/>
    <col min="13061" max="13298" width="8.81640625" style="33"/>
    <col min="13299" max="13299" width="16.453125" style="33" bestFit="1" customWidth="1"/>
    <col min="13300" max="13300" width="10.81640625" style="33" customWidth="1"/>
    <col min="13301" max="13306" width="8.81640625" style="33"/>
    <col min="13307" max="13307" width="16.453125" style="33" bestFit="1" customWidth="1"/>
    <col min="13308" max="13308" width="10.81640625" style="33" customWidth="1"/>
    <col min="13309" max="13310" width="8.81640625" style="33"/>
    <col min="13311" max="13311" width="13" style="33" customWidth="1"/>
    <col min="13312" max="13312" width="11.26953125" style="33" customWidth="1"/>
    <col min="13313" max="13313" width="9.1796875" style="33" customWidth="1"/>
    <col min="13314" max="13315" width="10.26953125" style="33" customWidth="1"/>
    <col min="13316" max="13316" width="9.1796875" style="33" customWidth="1"/>
    <col min="13317" max="13554" width="8.81640625" style="33"/>
    <col min="13555" max="13555" width="16.453125" style="33" bestFit="1" customWidth="1"/>
    <col min="13556" max="13556" width="10.81640625" style="33" customWidth="1"/>
    <col min="13557" max="13562" width="8.81640625" style="33"/>
    <col min="13563" max="13563" width="16.453125" style="33" bestFit="1" customWidth="1"/>
    <col min="13564" max="13564" width="10.81640625" style="33" customWidth="1"/>
    <col min="13565" max="13566" width="8.81640625" style="33"/>
    <col min="13567" max="13567" width="13" style="33" customWidth="1"/>
    <col min="13568" max="13568" width="11.26953125" style="33" customWidth="1"/>
    <col min="13569" max="13569" width="9.1796875" style="33" customWidth="1"/>
    <col min="13570" max="13571" width="10.26953125" style="33" customWidth="1"/>
    <col min="13572" max="13572" width="9.1796875" style="33" customWidth="1"/>
    <col min="13573" max="13810" width="8.81640625" style="33"/>
    <col min="13811" max="13811" width="16.453125" style="33" bestFit="1" customWidth="1"/>
    <col min="13812" max="13812" width="10.81640625" style="33" customWidth="1"/>
    <col min="13813" max="13818" width="8.81640625" style="33"/>
    <col min="13819" max="13819" width="16.453125" style="33" bestFit="1" customWidth="1"/>
    <col min="13820" max="13820" width="10.81640625" style="33" customWidth="1"/>
    <col min="13821" max="13822" width="8.81640625" style="33"/>
    <col min="13823" max="13823" width="13" style="33" customWidth="1"/>
    <col min="13824" max="13824" width="11.26953125" style="33" customWidth="1"/>
    <col min="13825" max="13825" width="9.1796875" style="33" customWidth="1"/>
    <col min="13826" max="13827" width="10.26953125" style="33" customWidth="1"/>
    <col min="13828" max="13828" width="9.1796875" style="33" customWidth="1"/>
    <col min="13829" max="14066" width="8.81640625" style="33"/>
    <col min="14067" max="14067" width="16.453125" style="33" bestFit="1" customWidth="1"/>
    <col min="14068" max="14068" width="10.81640625" style="33" customWidth="1"/>
    <col min="14069" max="14074" width="8.81640625" style="33"/>
    <col min="14075" max="14075" width="16.453125" style="33" bestFit="1" customWidth="1"/>
    <col min="14076" max="14076" width="10.81640625" style="33" customWidth="1"/>
    <col min="14077" max="14078" width="8.81640625" style="33"/>
    <col min="14079" max="14079" width="13" style="33" customWidth="1"/>
    <col min="14080" max="14080" width="11.26953125" style="33" customWidth="1"/>
    <col min="14081" max="14081" width="9.1796875" style="33" customWidth="1"/>
    <col min="14082" max="14083" width="10.26953125" style="33" customWidth="1"/>
    <col min="14084" max="14084" width="9.1796875" style="33" customWidth="1"/>
    <col min="14085" max="14322" width="8.81640625" style="33"/>
    <col min="14323" max="14323" width="16.453125" style="33" bestFit="1" customWidth="1"/>
    <col min="14324" max="14324" width="10.81640625" style="33" customWidth="1"/>
    <col min="14325" max="14330" width="8.81640625" style="33"/>
    <col min="14331" max="14331" width="16.453125" style="33" bestFit="1" customWidth="1"/>
    <col min="14332" max="14332" width="10.81640625" style="33" customWidth="1"/>
    <col min="14333" max="14334" width="8.81640625" style="33"/>
    <col min="14335" max="14335" width="13" style="33" customWidth="1"/>
    <col min="14336" max="14336" width="11.26953125" style="33" customWidth="1"/>
    <col min="14337" max="14337" width="9.1796875" style="33" customWidth="1"/>
    <col min="14338" max="14339" width="10.26953125" style="33" customWidth="1"/>
    <col min="14340" max="14340" width="9.1796875" style="33" customWidth="1"/>
    <col min="14341" max="14578" width="8.81640625" style="33"/>
    <col min="14579" max="14579" width="16.453125" style="33" bestFit="1" customWidth="1"/>
    <col min="14580" max="14580" width="10.81640625" style="33" customWidth="1"/>
    <col min="14581" max="14586" width="8.81640625" style="33"/>
    <col min="14587" max="14587" width="16.453125" style="33" bestFit="1" customWidth="1"/>
    <col min="14588" max="14588" width="10.81640625" style="33" customWidth="1"/>
    <col min="14589" max="14590" width="8.81640625" style="33"/>
    <col min="14591" max="14591" width="13" style="33" customWidth="1"/>
    <col min="14592" max="14592" width="11.26953125" style="33" customWidth="1"/>
    <col min="14593" max="14593" width="9.1796875" style="33" customWidth="1"/>
    <col min="14594" max="14595" width="10.26953125" style="33" customWidth="1"/>
    <col min="14596" max="14596" width="9.1796875" style="33" customWidth="1"/>
    <col min="14597" max="14834" width="8.81640625" style="33"/>
    <col min="14835" max="14835" width="16.453125" style="33" bestFit="1" customWidth="1"/>
    <col min="14836" max="14836" width="10.81640625" style="33" customWidth="1"/>
    <col min="14837" max="14842" width="8.81640625" style="33"/>
    <col min="14843" max="14843" width="16.453125" style="33" bestFit="1" customWidth="1"/>
    <col min="14844" max="14844" width="10.81640625" style="33" customWidth="1"/>
    <col min="14845" max="14846" width="8.81640625" style="33"/>
    <col min="14847" max="14847" width="13" style="33" customWidth="1"/>
    <col min="14848" max="14848" width="11.26953125" style="33" customWidth="1"/>
    <col min="14849" max="14849" width="9.1796875" style="33" customWidth="1"/>
    <col min="14850" max="14851" width="10.26953125" style="33" customWidth="1"/>
    <col min="14852" max="14852" width="9.1796875" style="33" customWidth="1"/>
    <col min="14853" max="15090" width="8.81640625" style="33"/>
    <col min="15091" max="15091" width="16.453125" style="33" bestFit="1" customWidth="1"/>
    <col min="15092" max="15092" width="10.81640625" style="33" customWidth="1"/>
    <col min="15093" max="15098" width="8.81640625" style="33"/>
    <col min="15099" max="15099" width="16.453125" style="33" bestFit="1" customWidth="1"/>
    <col min="15100" max="15100" width="10.81640625" style="33" customWidth="1"/>
    <col min="15101" max="15102" width="8.81640625" style="33"/>
    <col min="15103" max="15103" width="13" style="33" customWidth="1"/>
    <col min="15104" max="15104" width="11.26953125" style="33" customWidth="1"/>
    <col min="15105" max="15105" width="9.1796875" style="33" customWidth="1"/>
    <col min="15106" max="15107" width="10.26953125" style="33" customWidth="1"/>
    <col min="15108" max="15108" width="9.1796875" style="33" customWidth="1"/>
    <col min="15109" max="15346" width="8.81640625" style="33"/>
    <col min="15347" max="15347" width="16.453125" style="33" bestFit="1" customWidth="1"/>
    <col min="15348" max="15348" width="10.81640625" style="33" customWidth="1"/>
    <col min="15349" max="15354" width="8.81640625" style="33"/>
    <col min="15355" max="15355" width="16.453125" style="33" bestFit="1" customWidth="1"/>
    <col min="15356" max="15356" width="10.81640625" style="33" customWidth="1"/>
    <col min="15357" max="15358" width="8.81640625" style="33"/>
    <col min="15359" max="15359" width="13" style="33" customWidth="1"/>
    <col min="15360" max="15360" width="11.26953125" style="33" customWidth="1"/>
    <col min="15361" max="15361" width="9.1796875" style="33" customWidth="1"/>
    <col min="15362" max="15363" width="10.26953125" style="33" customWidth="1"/>
    <col min="15364" max="15364" width="9.1796875" style="33" customWidth="1"/>
    <col min="15365" max="15602" width="8.81640625" style="33"/>
    <col min="15603" max="15603" width="16.453125" style="33" bestFit="1" customWidth="1"/>
    <col min="15604" max="15604" width="10.81640625" style="33" customWidth="1"/>
    <col min="15605" max="15610" width="8.81640625" style="33"/>
    <col min="15611" max="15611" width="16.453125" style="33" bestFit="1" customWidth="1"/>
    <col min="15612" max="15612" width="10.81640625" style="33" customWidth="1"/>
    <col min="15613" max="15614" width="8.81640625" style="33"/>
    <col min="15615" max="15615" width="13" style="33" customWidth="1"/>
    <col min="15616" max="15616" width="11.26953125" style="33" customWidth="1"/>
    <col min="15617" max="15617" width="9.1796875" style="33" customWidth="1"/>
    <col min="15618" max="15619" width="10.26953125" style="33" customWidth="1"/>
    <col min="15620" max="15620" width="9.1796875" style="33" customWidth="1"/>
    <col min="15621" max="15858" width="8.81640625" style="33"/>
    <col min="15859" max="15859" width="16.453125" style="33" bestFit="1" customWidth="1"/>
    <col min="15860" max="15860" width="10.81640625" style="33" customWidth="1"/>
    <col min="15861" max="15866" width="8.81640625" style="33"/>
    <col min="15867" max="15867" width="16.453125" style="33" bestFit="1" customWidth="1"/>
    <col min="15868" max="15868" width="10.81640625" style="33" customWidth="1"/>
    <col min="15869" max="15870" width="8.81640625" style="33"/>
    <col min="15871" max="15871" width="13" style="33" customWidth="1"/>
    <col min="15872" max="15872" width="11.26953125" style="33" customWidth="1"/>
    <col min="15873" max="15873" width="9.1796875" style="33" customWidth="1"/>
    <col min="15874" max="15875" width="10.26953125" style="33" customWidth="1"/>
    <col min="15876" max="15876" width="9.1796875" style="33" customWidth="1"/>
    <col min="15877" max="16114" width="8.81640625" style="33"/>
    <col min="16115" max="16115" width="16.453125" style="33" bestFit="1" customWidth="1"/>
    <col min="16116" max="16116" width="10.81640625" style="33" customWidth="1"/>
    <col min="16117" max="16122" width="8.81640625" style="33"/>
    <col min="16123" max="16123" width="16.453125" style="33" bestFit="1" customWidth="1"/>
    <col min="16124" max="16124" width="10.81640625" style="33" customWidth="1"/>
    <col min="16125" max="16126" width="8.81640625" style="33"/>
    <col min="16127" max="16127" width="13" style="33" customWidth="1"/>
    <col min="16128" max="16128" width="11.26953125" style="33" customWidth="1"/>
    <col min="16129" max="16129" width="9.1796875" style="33" customWidth="1"/>
    <col min="16130" max="16131" width="10.26953125" style="33" customWidth="1"/>
    <col min="16132" max="16132" width="9.1796875" style="33" customWidth="1"/>
    <col min="16133" max="16370" width="8.81640625" style="33"/>
    <col min="16371" max="16371" width="16.453125" style="33" bestFit="1" customWidth="1"/>
    <col min="16372" max="16372" width="10.81640625" style="33" customWidth="1"/>
    <col min="16373" max="16384" width="8.81640625" style="33"/>
  </cols>
  <sheetData>
    <row r="1" spans="1:4" s="1203" customFormat="1" ht="13" x14ac:dyDescent="0.3">
      <c r="A1" s="121" t="s">
        <v>899</v>
      </c>
    </row>
    <row r="2" spans="1:4" ht="13" thickBot="1" x14ac:dyDescent="0.3"/>
    <row r="3" spans="1:4" ht="18" x14ac:dyDescent="0.4">
      <c r="B3" s="86" t="s">
        <v>240</v>
      </c>
      <c r="C3" s="87"/>
      <c r="D3" s="88"/>
    </row>
    <row r="4" spans="1:4" ht="16.5" x14ac:dyDescent="0.35">
      <c r="B4" s="89" t="s">
        <v>241</v>
      </c>
      <c r="C4" s="34"/>
      <c r="D4" s="90"/>
    </row>
    <row r="5" spans="1:4" x14ac:dyDescent="0.25">
      <c r="B5" s="91"/>
      <c r="C5" s="34"/>
      <c r="D5" s="90"/>
    </row>
    <row r="6" spans="1:4" ht="49.5" customHeight="1" x14ac:dyDescent="0.25">
      <c r="B6" s="92"/>
      <c r="C6" s="93" t="s">
        <v>242</v>
      </c>
      <c r="D6" s="94" t="s">
        <v>202</v>
      </c>
    </row>
    <row r="7" spans="1:4" x14ac:dyDescent="0.25">
      <c r="B7" s="95" t="s">
        <v>190</v>
      </c>
      <c r="C7" s="410">
        <v>958</v>
      </c>
      <c r="D7" s="866">
        <v>2019</v>
      </c>
    </row>
    <row r="8" spans="1:4" x14ac:dyDescent="0.25">
      <c r="B8" s="95" t="s">
        <v>191</v>
      </c>
      <c r="C8" s="410">
        <v>1263</v>
      </c>
      <c r="D8" s="866">
        <v>2019</v>
      </c>
    </row>
    <row r="9" spans="1:4" x14ac:dyDescent="0.25">
      <c r="B9" s="95" t="s">
        <v>192</v>
      </c>
      <c r="C9" s="410">
        <v>1401</v>
      </c>
      <c r="D9" s="866">
        <v>2019</v>
      </c>
    </row>
    <row r="10" spans="1:4" x14ac:dyDescent="0.25">
      <c r="B10" s="95" t="s">
        <v>193</v>
      </c>
      <c r="C10" s="410">
        <v>2829</v>
      </c>
      <c r="D10" s="866">
        <v>2019</v>
      </c>
    </row>
    <row r="11" spans="1:4" x14ac:dyDescent="0.25">
      <c r="B11" s="95" t="s">
        <v>194</v>
      </c>
      <c r="C11" s="410">
        <v>6161</v>
      </c>
      <c r="D11" s="866">
        <v>2019</v>
      </c>
    </row>
    <row r="12" spans="1:4" x14ac:dyDescent="0.25">
      <c r="B12" s="95" t="s">
        <v>195</v>
      </c>
      <c r="C12" s="410">
        <v>9395</v>
      </c>
      <c r="D12" s="866">
        <v>2019</v>
      </c>
    </row>
    <row r="13" spans="1:4" x14ac:dyDescent="0.25">
      <c r="B13" s="95" t="s">
        <v>196</v>
      </c>
      <c r="C13" s="410">
        <v>13722</v>
      </c>
      <c r="D13" s="866">
        <v>2019</v>
      </c>
    </row>
    <row r="14" spans="1:4" x14ac:dyDescent="0.25">
      <c r="B14" s="95" t="s">
        <v>197</v>
      </c>
      <c r="C14" s="410">
        <v>10294</v>
      </c>
      <c r="D14" s="865">
        <v>2018</v>
      </c>
    </row>
    <row r="15" spans="1:4" x14ac:dyDescent="0.25">
      <c r="B15" s="95" t="s">
        <v>198</v>
      </c>
      <c r="C15" s="410">
        <v>9204</v>
      </c>
      <c r="D15" s="865">
        <v>2018</v>
      </c>
    </row>
    <row r="16" spans="1:4" x14ac:dyDescent="0.25">
      <c r="B16" s="95" t="s">
        <v>199</v>
      </c>
      <c r="C16" s="410">
        <v>4316</v>
      </c>
      <c r="D16" s="865">
        <v>2018</v>
      </c>
    </row>
    <row r="17" spans="2:4" x14ac:dyDescent="0.25">
      <c r="B17" s="95" t="s">
        <v>200</v>
      </c>
      <c r="C17" s="410">
        <v>1254</v>
      </c>
      <c r="D17" s="865">
        <v>2018</v>
      </c>
    </row>
    <row r="18" spans="2:4" x14ac:dyDescent="0.25">
      <c r="B18" s="95" t="s">
        <v>201</v>
      </c>
      <c r="C18" s="410">
        <v>1167</v>
      </c>
      <c r="D18" s="865">
        <v>2018</v>
      </c>
    </row>
    <row r="19" spans="2:4" x14ac:dyDescent="0.25">
      <c r="B19" s="92"/>
      <c r="C19" s="96"/>
      <c r="D19" s="90"/>
    </row>
    <row r="20" spans="2:4" x14ac:dyDescent="0.25">
      <c r="B20" s="97" t="s">
        <v>44</v>
      </c>
      <c r="C20" s="96">
        <f>SUM(C7:C18)</f>
        <v>61964</v>
      </c>
      <c r="D20" s="90"/>
    </row>
    <row r="21" spans="2:4" ht="13" thickBot="1" x14ac:dyDescent="0.3">
      <c r="B21" s="98" t="s">
        <v>243</v>
      </c>
      <c r="C21" s="99">
        <f>AVERAGE(C7:C18)</f>
        <v>5163.666666666667</v>
      </c>
      <c r="D21" s="100"/>
    </row>
  </sheetData>
  <pageMargins left="0.25" right="0.25" top="0.75" bottom="0.75" header="0.3" footer="0.3"/>
  <pageSetup orientation="landscape" r:id="rId1"/>
  <headerFooter alignWithMargins="0">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2.5" x14ac:dyDescent="0.25"/>
  <cols>
    <col min="2" max="2" width="9.26953125" bestFit="1" customWidth="1"/>
    <col min="4" max="4" width="12.7265625" customWidth="1"/>
  </cols>
  <sheetData>
    <row r="1" spans="1:4" s="1203" customFormat="1" ht="13" x14ac:dyDescent="0.3">
      <c r="A1" s="121" t="s">
        <v>899</v>
      </c>
    </row>
    <row r="2" spans="1:4" s="704" customFormat="1" x14ac:dyDescent="0.25"/>
    <row r="3" spans="1:4" ht="15.5" x14ac:dyDescent="0.35">
      <c r="A3" s="1200"/>
      <c r="B3" s="861" t="s">
        <v>746</v>
      </c>
      <c r="C3" s="1201"/>
      <c r="D3" s="1202"/>
    </row>
    <row r="4" spans="1:4" ht="15.5" hidden="1" x14ac:dyDescent="0.35">
      <c r="A4" s="861"/>
      <c r="B4" s="854" t="s">
        <v>747</v>
      </c>
      <c r="C4" s="859">
        <v>5</v>
      </c>
      <c r="D4" s="855"/>
    </row>
    <row r="5" spans="1:4" ht="15.5" hidden="1" x14ac:dyDescent="0.35">
      <c r="A5" s="862"/>
      <c r="B5" s="852" t="s">
        <v>748</v>
      </c>
      <c r="C5" s="857">
        <v>5.15</v>
      </c>
      <c r="D5" s="856"/>
    </row>
    <row r="6" spans="1:4" ht="15.5" hidden="1" x14ac:dyDescent="0.35">
      <c r="A6" s="862"/>
      <c r="B6" s="852" t="s">
        <v>749</v>
      </c>
      <c r="C6" s="857">
        <v>5.15</v>
      </c>
      <c r="D6" s="856"/>
    </row>
    <row r="7" spans="1:4" ht="15.5" hidden="1" x14ac:dyDescent="0.35">
      <c r="A7" s="862"/>
      <c r="B7" s="852" t="s">
        <v>750</v>
      </c>
      <c r="C7" s="857">
        <v>5.7</v>
      </c>
      <c r="D7" s="856"/>
    </row>
    <row r="8" spans="1:4" ht="15.5" hidden="1" x14ac:dyDescent="0.35">
      <c r="A8" s="862"/>
      <c r="B8" s="852" t="s">
        <v>751</v>
      </c>
      <c r="C8" s="857">
        <v>6.5</v>
      </c>
      <c r="D8" s="856"/>
    </row>
    <row r="9" spans="1:4" ht="15.5" hidden="1" x14ac:dyDescent="0.35">
      <c r="A9" s="862"/>
      <c r="B9" s="852" t="s">
        <v>752</v>
      </c>
      <c r="C9" s="857">
        <v>6.72</v>
      </c>
      <c r="D9" s="856"/>
    </row>
    <row r="10" spans="1:4" ht="15.5" hidden="1" x14ac:dyDescent="0.35">
      <c r="A10" s="862"/>
      <c r="B10" s="852" t="s">
        <v>753</v>
      </c>
      <c r="C10" s="857">
        <v>6.9</v>
      </c>
      <c r="D10" s="856"/>
    </row>
    <row r="11" spans="1:4" ht="15.5" hidden="1" x14ac:dyDescent="0.35">
      <c r="A11" s="862"/>
      <c r="B11" s="852" t="s">
        <v>754</v>
      </c>
      <c r="C11" s="857">
        <v>7.01</v>
      </c>
      <c r="D11" s="856"/>
    </row>
    <row r="12" spans="1:4" ht="15.5" hidden="1" x14ac:dyDescent="0.35">
      <c r="A12" s="862"/>
      <c r="B12" s="852" t="s">
        <v>755</v>
      </c>
      <c r="C12" s="857">
        <v>7.16</v>
      </c>
      <c r="D12" s="856"/>
    </row>
    <row r="13" spans="1:4" ht="15.5" hidden="1" x14ac:dyDescent="0.35">
      <c r="A13" s="862"/>
      <c r="B13" s="852" t="s">
        <v>756</v>
      </c>
      <c r="C13" s="857">
        <v>7.35</v>
      </c>
      <c r="D13" s="856"/>
    </row>
    <row r="14" spans="1:4" ht="15.5" hidden="1" x14ac:dyDescent="0.35">
      <c r="A14" s="862"/>
      <c r="B14" s="853">
        <v>2006</v>
      </c>
      <c r="C14" s="857">
        <v>7.63</v>
      </c>
      <c r="D14" s="856"/>
    </row>
    <row r="15" spans="1:4" ht="15.5" hidden="1" x14ac:dyDescent="0.35">
      <c r="A15" s="862"/>
      <c r="B15" s="853">
        <v>2006</v>
      </c>
      <c r="C15" s="860" t="s">
        <v>757</v>
      </c>
      <c r="D15" s="856"/>
    </row>
    <row r="16" spans="1:4" ht="15.5" hidden="1" x14ac:dyDescent="0.35">
      <c r="A16" s="862"/>
      <c r="B16" s="853">
        <v>2007</v>
      </c>
      <c r="C16" s="857">
        <v>7.93</v>
      </c>
      <c r="D16" s="856"/>
    </row>
    <row r="17" spans="1:4" ht="15.5" hidden="1" x14ac:dyDescent="0.35">
      <c r="A17" s="862"/>
      <c r="B17" s="853">
        <v>2008</v>
      </c>
      <c r="C17" s="857">
        <v>8.07</v>
      </c>
      <c r="D17" s="856"/>
    </row>
    <row r="18" spans="1:4" ht="15.5" hidden="1" x14ac:dyDescent="0.35">
      <c r="A18" s="862"/>
      <c r="B18" s="853">
        <v>2009</v>
      </c>
      <c r="C18" s="857">
        <v>8.75</v>
      </c>
      <c r="D18" s="856"/>
    </row>
    <row r="19" spans="1:4" ht="15.5" hidden="1" x14ac:dyDescent="0.35">
      <c r="A19" s="862"/>
      <c r="B19" s="853">
        <v>2010</v>
      </c>
      <c r="C19" s="857">
        <v>8.75</v>
      </c>
      <c r="D19" s="856" t="s">
        <v>758</v>
      </c>
    </row>
    <row r="20" spans="1:4" ht="15.5" hidden="1" x14ac:dyDescent="0.35">
      <c r="A20" s="862"/>
      <c r="B20" s="853">
        <v>2011</v>
      </c>
      <c r="C20" s="857">
        <v>8.67</v>
      </c>
      <c r="D20" s="856"/>
    </row>
    <row r="21" spans="1:4" ht="15.5" x14ac:dyDescent="0.35">
      <c r="A21" s="862"/>
      <c r="B21" s="853">
        <v>2012</v>
      </c>
      <c r="C21" s="857">
        <v>9.0399999999999991</v>
      </c>
      <c r="D21" s="856"/>
    </row>
    <row r="22" spans="1:4" ht="15.5" x14ac:dyDescent="0.35">
      <c r="A22" s="862"/>
      <c r="B22" s="853">
        <v>2013</v>
      </c>
      <c r="C22" s="857">
        <v>9.19</v>
      </c>
      <c r="D22" s="856"/>
    </row>
    <row r="23" spans="1:4" ht="15.5" x14ac:dyDescent="0.35">
      <c r="A23" s="862"/>
      <c r="B23" s="853">
        <v>2014</v>
      </c>
      <c r="C23" s="857">
        <v>9.32</v>
      </c>
      <c r="D23" s="856"/>
    </row>
    <row r="24" spans="1:4" ht="15.5" x14ac:dyDescent="0.35">
      <c r="A24" s="862"/>
      <c r="B24" s="853">
        <v>2015</v>
      </c>
      <c r="C24" s="857">
        <v>9.4700000000000006</v>
      </c>
      <c r="D24" s="856"/>
    </row>
    <row r="25" spans="1:4" ht="15.5" x14ac:dyDescent="0.35">
      <c r="A25" s="862"/>
      <c r="B25" s="853">
        <v>2016</v>
      </c>
      <c r="C25" s="857">
        <v>9.4700000000000006</v>
      </c>
      <c r="D25" s="856"/>
    </row>
    <row r="26" spans="1:4" ht="15.5" x14ac:dyDescent="0.35">
      <c r="A26" s="862"/>
      <c r="B26" s="853">
        <v>2017</v>
      </c>
      <c r="C26" s="857">
        <v>11</v>
      </c>
      <c r="D26" s="856"/>
    </row>
    <row r="27" spans="1:4" ht="15.5" x14ac:dyDescent="0.35">
      <c r="A27" s="862"/>
      <c r="B27" s="853">
        <v>2018</v>
      </c>
      <c r="C27" s="857">
        <v>11.5</v>
      </c>
      <c r="D27" s="856"/>
    </row>
    <row r="28" spans="1:4" ht="15.5" x14ac:dyDescent="0.35">
      <c r="A28" s="862"/>
      <c r="B28" s="853">
        <v>2019</v>
      </c>
      <c r="C28" s="857">
        <v>12</v>
      </c>
      <c r="D28" s="856"/>
    </row>
    <row r="29" spans="1:4" ht="15.5" x14ac:dyDescent="0.35">
      <c r="A29" s="863"/>
      <c r="B29" s="851">
        <v>2020</v>
      </c>
      <c r="C29" s="858">
        <v>13.5</v>
      </c>
      <c r="D29" s="864"/>
    </row>
    <row r="31" spans="1:4" x14ac:dyDescent="0.25">
      <c r="B31" s="425">
        <v>0.49</v>
      </c>
      <c r="C31" s="1" t="s">
        <v>759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W162"/>
  <sheetViews>
    <sheetView workbookViewId="0"/>
  </sheetViews>
  <sheetFormatPr defaultColWidth="9.1796875" defaultRowHeight="13" x14ac:dyDescent="0.3"/>
  <cols>
    <col min="1" max="1" width="32" style="555" customWidth="1"/>
    <col min="2" max="3" width="11.453125" style="555" customWidth="1"/>
    <col min="4" max="5" width="11.7265625" style="555" customWidth="1"/>
    <col min="6" max="12" width="11" style="555" customWidth="1"/>
    <col min="13" max="13" width="11" style="419" customWidth="1"/>
    <col min="14" max="14" width="12.54296875" style="419" bestFit="1" customWidth="1"/>
    <col min="15" max="15" width="14.54296875" style="708" customWidth="1"/>
    <col min="16" max="16" width="9.1796875" style="309" customWidth="1"/>
    <col min="17" max="17" width="15.26953125" style="309" customWidth="1"/>
    <col min="18" max="18" width="9.1796875" style="309"/>
    <col min="19" max="19" width="14.7265625" style="309" customWidth="1"/>
    <col min="20" max="21" width="9.1796875" style="309"/>
    <col min="22" max="22" width="12.54296875" style="309" bestFit="1" customWidth="1"/>
    <col min="23" max="23" width="11.453125" style="309" bestFit="1" customWidth="1"/>
    <col min="24" max="25" width="9.1796875" style="309"/>
    <col min="26" max="26" width="9.1796875" style="309" customWidth="1"/>
    <col min="27" max="16384" width="9.1796875" style="309"/>
  </cols>
  <sheetData>
    <row r="1" spans="1:23" x14ac:dyDescent="0.3">
      <c r="A1" s="555" t="s">
        <v>512</v>
      </c>
      <c r="P1" s="424"/>
      <c r="Q1" s="424"/>
      <c r="R1" s="424"/>
      <c r="S1" s="424"/>
    </row>
    <row r="2" spans="1:23" s="708" customFormat="1" x14ac:dyDescent="0.3">
      <c r="A2" s="794"/>
      <c r="B2" s="795">
        <v>43466</v>
      </c>
      <c r="C2" s="795">
        <v>43497</v>
      </c>
      <c r="D2" s="795">
        <v>43525</v>
      </c>
      <c r="E2" s="795">
        <v>43556</v>
      </c>
      <c r="F2" s="795">
        <v>43586</v>
      </c>
      <c r="G2" s="795">
        <v>43617</v>
      </c>
      <c r="H2" s="795">
        <v>43647</v>
      </c>
      <c r="I2" s="795">
        <v>43313</v>
      </c>
      <c r="J2" s="795">
        <v>43344</v>
      </c>
      <c r="K2" s="795">
        <v>43374</v>
      </c>
      <c r="L2" s="795">
        <v>43405</v>
      </c>
      <c r="M2" s="796">
        <v>43435</v>
      </c>
      <c r="N2" s="796"/>
    </row>
    <row r="3" spans="1:23" ht="16" thickBot="1" x14ac:dyDescent="0.4">
      <c r="A3" s="556" t="s">
        <v>736</v>
      </c>
      <c r="B3" s="556" t="s">
        <v>484</v>
      </c>
      <c r="C3" s="556" t="s">
        <v>485</v>
      </c>
      <c r="D3" s="556" t="s">
        <v>486</v>
      </c>
      <c r="E3" s="556" t="s">
        <v>487</v>
      </c>
      <c r="F3" s="556" t="s">
        <v>488</v>
      </c>
      <c r="G3" s="556" t="s">
        <v>489</v>
      </c>
      <c r="H3" s="556" t="s">
        <v>490</v>
      </c>
      <c r="I3" s="556" t="s">
        <v>491</v>
      </c>
      <c r="J3" s="556" t="s">
        <v>492</v>
      </c>
      <c r="K3" s="556" t="s">
        <v>493</v>
      </c>
      <c r="L3" s="556" t="s">
        <v>494</v>
      </c>
      <c r="M3" s="420" t="s">
        <v>495</v>
      </c>
      <c r="N3" s="420" t="s">
        <v>496</v>
      </c>
      <c r="P3" s="424"/>
      <c r="Q3" s="560"/>
      <c r="R3" s="561"/>
      <c r="S3" s="562"/>
      <c r="T3" s="563"/>
      <c r="U3" s="563"/>
      <c r="V3" s="563"/>
      <c r="W3" s="563"/>
    </row>
    <row r="4" spans="1:23" x14ac:dyDescent="0.3">
      <c r="A4" s="705" t="s">
        <v>497</v>
      </c>
      <c r="B4" s="101"/>
      <c r="C4" s="101"/>
      <c r="D4" s="101"/>
      <c r="E4" s="101"/>
      <c r="F4" s="101"/>
      <c r="G4" s="101"/>
      <c r="H4" s="101"/>
      <c r="I4" s="101"/>
      <c r="J4" s="101"/>
      <c r="K4" s="101"/>
      <c r="L4" s="101"/>
      <c r="M4" s="101"/>
      <c r="P4" s="424"/>
      <c r="Q4" s="560"/>
      <c r="R4" s="564"/>
      <c r="S4" s="562"/>
      <c r="T4" s="563"/>
      <c r="U4" s="563"/>
      <c r="V4" s="563"/>
      <c r="W4" s="563"/>
    </row>
    <row r="5" spans="1:23" x14ac:dyDescent="0.3">
      <c r="A5" s="705" t="s">
        <v>498</v>
      </c>
      <c r="B5" s="797">
        <v>0</v>
      </c>
      <c r="C5" s="797">
        <v>0</v>
      </c>
      <c r="D5" s="797">
        <v>0</v>
      </c>
      <c r="E5" s="797">
        <v>0</v>
      </c>
      <c r="F5" s="797">
        <v>0</v>
      </c>
      <c r="G5" s="797">
        <v>0</v>
      </c>
      <c r="H5" s="797">
        <v>0</v>
      </c>
      <c r="I5" s="797">
        <v>0</v>
      </c>
      <c r="J5" s="797">
        <v>0</v>
      </c>
      <c r="K5" s="797">
        <v>0</v>
      </c>
      <c r="L5" s="797">
        <v>0</v>
      </c>
      <c r="M5" s="797">
        <v>0</v>
      </c>
      <c r="N5" s="419">
        <f>SUM(B5:M5)</f>
        <v>0</v>
      </c>
      <c r="P5" s="424"/>
      <c r="Q5" s="565"/>
      <c r="R5" s="566"/>
      <c r="S5" s="562"/>
      <c r="T5" s="563"/>
      <c r="U5" s="563"/>
      <c r="V5" s="567"/>
      <c r="W5" s="563"/>
    </row>
    <row r="6" spans="1:23" x14ac:dyDescent="0.3">
      <c r="A6" s="745" t="s">
        <v>375</v>
      </c>
      <c r="B6" s="797">
        <v>0</v>
      </c>
      <c r="C6" s="797">
        <v>0</v>
      </c>
      <c r="D6" s="797">
        <v>0</v>
      </c>
      <c r="E6" s="797">
        <v>0</v>
      </c>
      <c r="F6" s="797">
        <v>105344.3</v>
      </c>
      <c r="G6" s="797">
        <v>116523.3</v>
      </c>
      <c r="H6" s="797">
        <v>140445.15</v>
      </c>
      <c r="I6" s="797">
        <v>96322.25</v>
      </c>
      <c r="J6" s="797">
        <v>101991.55</v>
      </c>
      <c r="K6" s="797">
        <v>50738.6</v>
      </c>
      <c r="L6" s="797">
        <v>0</v>
      </c>
      <c r="M6" s="797">
        <v>0</v>
      </c>
      <c r="N6" s="453">
        <f t="shared" ref="N6:N63" si="0">SUM(B6:M6)</f>
        <v>611365.15</v>
      </c>
      <c r="P6" s="424"/>
      <c r="Q6" s="568"/>
      <c r="R6" s="564"/>
      <c r="S6" s="562"/>
      <c r="T6" s="563"/>
      <c r="U6" s="563"/>
      <c r="V6" s="563"/>
      <c r="W6" s="563"/>
    </row>
    <row r="7" spans="1:23" x14ac:dyDescent="0.3">
      <c r="A7" s="745" t="s">
        <v>376</v>
      </c>
      <c r="B7" s="797">
        <v>14947.95</v>
      </c>
      <c r="C7" s="797">
        <v>22188.15</v>
      </c>
      <c r="D7" s="797">
        <v>22892.75</v>
      </c>
      <c r="E7" s="797">
        <v>51283.8</v>
      </c>
      <c r="F7" s="797">
        <v>0</v>
      </c>
      <c r="G7" s="797">
        <v>0</v>
      </c>
      <c r="H7" s="797">
        <v>0</v>
      </c>
      <c r="I7" s="797">
        <v>0</v>
      </c>
      <c r="J7" s="797">
        <v>0</v>
      </c>
      <c r="K7" s="797">
        <v>29320.6</v>
      </c>
      <c r="L7" s="797">
        <v>21842.25</v>
      </c>
      <c r="M7" s="797">
        <v>20029.45</v>
      </c>
      <c r="N7" s="453">
        <f t="shared" si="0"/>
        <v>182504.95</v>
      </c>
      <c r="P7" s="424"/>
      <c r="Q7" s="568"/>
      <c r="R7" s="564"/>
      <c r="S7" s="562"/>
      <c r="T7" s="563"/>
      <c r="U7" s="563"/>
      <c r="V7" s="563"/>
      <c r="W7" s="563"/>
    </row>
    <row r="8" spans="1:23" x14ac:dyDescent="0.3">
      <c r="A8" s="745" t="s">
        <v>377</v>
      </c>
      <c r="B8" s="797">
        <v>0</v>
      </c>
      <c r="C8" s="797">
        <v>0</v>
      </c>
      <c r="D8" s="797">
        <v>0</v>
      </c>
      <c r="E8" s="797">
        <v>0</v>
      </c>
      <c r="F8" s="797">
        <v>21233.8</v>
      </c>
      <c r="G8" s="797">
        <v>111336.3</v>
      </c>
      <c r="H8" s="797">
        <v>210446.25</v>
      </c>
      <c r="I8" s="797">
        <v>161245.65</v>
      </c>
      <c r="J8" s="797">
        <v>119604.8</v>
      </c>
      <c r="K8" s="797">
        <v>0</v>
      </c>
      <c r="L8" s="797">
        <v>0</v>
      </c>
      <c r="M8" s="797">
        <v>0</v>
      </c>
      <c r="N8" s="453">
        <f t="shared" si="0"/>
        <v>623866.80000000005</v>
      </c>
      <c r="P8" s="424"/>
      <c r="Q8" s="568"/>
      <c r="R8" s="564"/>
      <c r="S8" s="562"/>
      <c r="T8" s="563"/>
      <c r="U8" s="563"/>
      <c r="V8" s="563"/>
      <c r="W8" s="563"/>
    </row>
    <row r="9" spans="1:23" x14ac:dyDescent="0.3">
      <c r="A9" s="677" t="s">
        <v>378</v>
      </c>
      <c r="B9" s="797">
        <v>0</v>
      </c>
      <c r="C9" s="797">
        <v>0</v>
      </c>
      <c r="D9" s="797">
        <v>0</v>
      </c>
      <c r="E9" s="797">
        <v>0</v>
      </c>
      <c r="F9" s="797">
        <v>0</v>
      </c>
      <c r="G9" s="797">
        <v>0</v>
      </c>
      <c r="H9" s="797">
        <v>0</v>
      </c>
      <c r="I9" s="797">
        <v>0</v>
      </c>
      <c r="J9" s="797">
        <v>0</v>
      </c>
      <c r="K9" s="797">
        <v>0</v>
      </c>
      <c r="L9" s="797">
        <v>0</v>
      </c>
      <c r="M9" s="797">
        <v>0</v>
      </c>
      <c r="N9" s="427">
        <f t="shared" si="0"/>
        <v>0</v>
      </c>
      <c r="P9" s="424"/>
      <c r="Q9" s="568"/>
      <c r="R9" s="569"/>
      <c r="S9" s="562"/>
      <c r="T9" s="563"/>
      <c r="U9" s="563"/>
      <c r="V9" s="563"/>
      <c r="W9" s="563"/>
    </row>
    <row r="10" spans="1:23" x14ac:dyDescent="0.3">
      <c r="A10" s="677" t="s">
        <v>379</v>
      </c>
      <c r="B10" s="797">
        <v>0</v>
      </c>
      <c r="C10" s="797">
        <v>0</v>
      </c>
      <c r="D10" s="797">
        <v>0</v>
      </c>
      <c r="E10" s="797">
        <v>0</v>
      </c>
      <c r="F10" s="797">
        <v>0</v>
      </c>
      <c r="G10" s="797">
        <v>0</v>
      </c>
      <c r="H10" s="797">
        <v>0</v>
      </c>
      <c r="I10" s="797">
        <v>0</v>
      </c>
      <c r="J10" s="797">
        <v>0</v>
      </c>
      <c r="K10" s="797">
        <v>0</v>
      </c>
      <c r="L10" s="797">
        <v>0</v>
      </c>
      <c r="M10" s="797">
        <v>0</v>
      </c>
      <c r="N10" s="427">
        <f t="shared" si="0"/>
        <v>0</v>
      </c>
      <c r="P10" s="424"/>
      <c r="Q10" s="570"/>
      <c r="R10" s="566"/>
      <c r="S10" s="562"/>
      <c r="T10" s="563"/>
      <c r="U10" s="563"/>
      <c r="V10" s="563"/>
      <c r="W10" s="563"/>
    </row>
    <row r="11" spans="1:23" x14ac:dyDescent="0.3">
      <c r="A11" s="745" t="s">
        <v>634</v>
      </c>
      <c r="B11" s="797">
        <v>0</v>
      </c>
      <c r="C11" s="797">
        <v>0</v>
      </c>
      <c r="D11" s="797">
        <v>0</v>
      </c>
      <c r="E11" s="797">
        <v>0</v>
      </c>
      <c r="F11" s="797">
        <v>0</v>
      </c>
      <c r="G11" s="797">
        <v>0</v>
      </c>
      <c r="H11" s="797">
        <v>0</v>
      </c>
      <c r="I11" s="797">
        <v>0</v>
      </c>
      <c r="J11" s="797">
        <v>0</v>
      </c>
      <c r="K11" s="797">
        <v>0</v>
      </c>
      <c r="L11" s="797">
        <v>0</v>
      </c>
      <c r="M11" s="797">
        <v>20634.419999999998</v>
      </c>
      <c r="N11" s="453">
        <f t="shared" si="0"/>
        <v>20634.419999999998</v>
      </c>
      <c r="O11" s="714" t="s">
        <v>737</v>
      </c>
      <c r="P11" s="424"/>
      <c r="Q11" s="568"/>
      <c r="R11" s="564"/>
      <c r="S11" s="562"/>
      <c r="T11" s="563"/>
      <c r="U11" s="563"/>
      <c r="V11" s="563"/>
      <c r="W11" s="563"/>
    </row>
    <row r="12" spans="1:23" x14ac:dyDescent="0.3">
      <c r="A12" s="745" t="s">
        <v>380</v>
      </c>
      <c r="B12" s="797">
        <v>0</v>
      </c>
      <c r="C12" s="797">
        <v>0</v>
      </c>
      <c r="D12" s="797">
        <v>0</v>
      </c>
      <c r="E12" s="797">
        <v>0</v>
      </c>
      <c r="F12" s="797">
        <v>11990.92</v>
      </c>
      <c r="G12" s="797">
        <v>10878.84</v>
      </c>
      <c r="H12" s="797">
        <v>14735.96</v>
      </c>
      <c r="I12" s="797">
        <v>13796.2</v>
      </c>
      <c r="J12" s="797">
        <v>11207.59</v>
      </c>
      <c r="K12" s="797">
        <v>4654.3900000000003</v>
      </c>
      <c r="L12" s="797">
        <v>0</v>
      </c>
      <c r="M12" s="797">
        <v>0</v>
      </c>
      <c r="N12" s="428">
        <f t="shared" si="0"/>
        <v>67263.899999999994</v>
      </c>
      <c r="P12" s="424"/>
      <c r="Q12" s="568"/>
      <c r="R12" s="566"/>
      <c r="S12" s="562"/>
      <c r="T12" s="563"/>
      <c r="U12" s="563"/>
      <c r="V12" s="563"/>
      <c r="W12" s="563"/>
    </row>
    <row r="13" spans="1:23" x14ac:dyDescent="0.3">
      <c r="A13" s="745" t="s">
        <v>381</v>
      </c>
      <c r="B13" s="797">
        <v>5542.56</v>
      </c>
      <c r="C13" s="797">
        <v>4434.99</v>
      </c>
      <c r="D13" s="797">
        <v>5219.7299999999996</v>
      </c>
      <c r="E13" s="797">
        <v>8715.1200000000008</v>
      </c>
      <c r="F13" s="797">
        <v>519.54999999999995</v>
      </c>
      <c r="G13" s="797">
        <v>745.25</v>
      </c>
      <c r="H13" s="797">
        <v>1349.82</v>
      </c>
      <c r="I13" s="797">
        <v>1449.45</v>
      </c>
      <c r="J13" s="797">
        <v>999</v>
      </c>
      <c r="K13" s="797">
        <v>3316.17</v>
      </c>
      <c r="L13" s="797">
        <v>5003.34</v>
      </c>
      <c r="M13" s="797">
        <v>6125.33</v>
      </c>
      <c r="N13" s="428">
        <f t="shared" si="0"/>
        <v>43420.31</v>
      </c>
      <c r="P13" s="424"/>
      <c r="Q13" s="568"/>
      <c r="R13" s="571"/>
      <c r="S13" s="562"/>
      <c r="T13" s="563"/>
      <c r="U13" s="563"/>
      <c r="V13" s="563"/>
      <c r="W13" s="563"/>
    </row>
    <row r="14" spans="1:23" x14ac:dyDescent="0.3">
      <c r="A14" s="745" t="s">
        <v>382</v>
      </c>
      <c r="B14" s="797">
        <v>0</v>
      </c>
      <c r="C14" s="797">
        <v>0</v>
      </c>
      <c r="D14" s="797">
        <v>0</v>
      </c>
      <c r="E14" s="797">
        <v>0</v>
      </c>
      <c r="F14" s="797">
        <v>6702.07</v>
      </c>
      <c r="G14" s="797">
        <v>6587.84</v>
      </c>
      <c r="H14" s="797">
        <v>6721.76</v>
      </c>
      <c r="I14" s="797">
        <v>6798.51</v>
      </c>
      <c r="J14" s="797">
        <v>6579.21</v>
      </c>
      <c r="K14" s="797">
        <v>3399.26</v>
      </c>
      <c r="L14" s="797">
        <v>0</v>
      </c>
      <c r="M14" s="797">
        <v>0</v>
      </c>
      <c r="N14" s="428">
        <f t="shared" si="0"/>
        <v>36788.65</v>
      </c>
      <c r="P14" s="424"/>
      <c r="Q14" s="568"/>
      <c r="R14" s="569"/>
      <c r="S14" s="562"/>
      <c r="T14" s="563"/>
      <c r="U14" s="563"/>
      <c r="V14" s="563"/>
      <c r="W14" s="563"/>
    </row>
    <row r="15" spans="1:23" x14ac:dyDescent="0.3">
      <c r="A15" s="745" t="s">
        <v>383</v>
      </c>
      <c r="B15" s="797">
        <v>6710.13</v>
      </c>
      <c r="C15" s="797">
        <v>5963.05</v>
      </c>
      <c r="D15" s="797">
        <v>6601.94</v>
      </c>
      <c r="E15" s="797">
        <v>6388.98</v>
      </c>
      <c r="F15" s="797">
        <v>0</v>
      </c>
      <c r="G15" s="797">
        <v>0</v>
      </c>
      <c r="H15" s="797">
        <v>0</v>
      </c>
      <c r="I15" s="797">
        <v>0</v>
      </c>
      <c r="J15" s="797">
        <v>0</v>
      </c>
      <c r="K15" s="797">
        <v>3399.25</v>
      </c>
      <c r="L15" s="797">
        <v>6665.47</v>
      </c>
      <c r="M15" s="797">
        <v>6837.37</v>
      </c>
      <c r="N15" s="428">
        <f t="shared" si="0"/>
        <v>42566.19</v>
      </c>
      <c r="P15" s="424"/>
      <c r="Q15" s="568"/>
      <c r="R15" s="569"/>
      <c r="S15" s="562"/>
      <c r="T15" s="563"/>
      <c r="U15" s="563"/>
      <c r="V15" s="563"/>
      <c r="W15" s="563"/>
    </row>
    <row r="16" spans="1:23" x14ac:dyDescent="0.3">
      <c r="A16" s="745" t="s">
        <v>384</v>
      </c>
      <c r="B16" s="797">
        <v>0</v>
      </c>
      <c r="C16" s="797">
        <v>0</v>
      </c>
      <c r="D16" s="797">
        <v>0</v>
      </c>
      <c r="E16" s="797">
        <v>0</v>
      </c>
      <c r="F16" s="797">
        <v>5633.57</v>
      </c>
      <c r="G16" s="797">
        <v>7116.36</v>
      </c>
      <c r="H16" s="797">
        <v>9698.17</v>
      </c>
      <c r="I16" s="797">
        <v>5992.97</v>
      </c>
      <c r="J16" s="797">
        <v>6618.07</v>
      </c>
      <c r="K16" s="797">
        <v>2775.11</v>
      </c>
      <c r="L16" s="797">
        <v>0</v>
      </c>
      <c r="M16" s="797">
        <v>0</v>
      </c>
      <c r="N16" s="429">
        <f t="shared" si="0"/>
        <v>37834.25</v>
      </c>
      <c r="Q16" s="572"/>
      <c r="R16" s="264"/>
      <c r="S16" s="563"/>
      <c r="T16" s="563"/>
      <c r="U16" s="563"/>
      <c r="V16" s="563"/>
      <c r="W16" s="563"/>
    </row>
    <row r="17" spans="1:23" x14ac:dyDescent="0.3">
      <c r="A17" s="745" t="s">
        <v>385</v>
      </c>
      <c r="B17" s="797">
        <v>430.91</v>
      </c>
      <c r="C17" s="797">
        <v>486.46</v>
      </c>
      <c r="D17" s="797">
        <v>717.19</v>
      </c>
      <c r="E17" s="797">
        <v>1309.3</v>
      </c>
      <c r="F17" s="797">
        <v>477.82</v>
      </c>
      <c r="G17" s="797">
        <v>2492.92</v>
      </c>
      <c r="H17" s="797">
        <v>5583.55</v>
      </c>
      <c r="I17" s="797">
        <v>4318.0200000000004</v>
      </c>
      <c r="J17" s="797">
        <v>2723.24</v>
      </c>
      <c r="K17" s="797">
        <v>1285.8599999999999</v>
      </c>
      <c r="L17" s="797">
        <v>992.88</v>
      </c>
      <c r="M17" s="797">
        <v>659</v>
      </c>
      <c r="N17" s="429">
        <f t="shared" si="0"/>
        <v>21477.150000000005</v>
      </c>
      <c r="Q17" s="572"/>
      <c r="R17" s="573"/>
      <c r="S17" s="563"/>
      <c r="T17" s="563"/>
      <c r="U17" s="563"/>
      <c r="V17" s="563"/>
      <c r="W17" s="563"/>
    </row>
    <row r="18" spans="1:23" x14ac:dyDescent="0.3">
      <c r="A18" s="745" t="s">
        <v>386</v>
      </c>
      <c r="B18" s="797">
        <v>0</v>
      </c>
      <c r="C18" s="797">
        <v>0</v>
      </c>
      <c r="D18" s="797">
        <v>0</v>
      </c>
      <c r="E18" s="797">
        <v>0</v>
      </c>
      <c r="F18" s="797">
        <v>0</v>
      </c>
      <c r="G18" s="797">
        <v>0</v>
      </c>
      <c r="H18" s="797">
        <v>0</v>
      </c>
      <c r="I18" s="797">
        <v>1344.74</v>
      </c>
      <c r="J18" s="797">
        <v>1899.04</v>
      </c>
      <c r="K18" s="797">
        <v>1241.44</v>
      </c>
      <c r="L18" s="797">
        <v>0</v>
      </c>
      <c r="M18" s="797">
        <v>0</v>
      </c>
      <c r="N18" s="429">
        <f t="shared" si="0"/>
        <v>4485.2199999999993</v>
      </c>
      <c r="P18" s="574"/>
      <c r="Q18" s="572"/>
      <c r="R18" s="110"/>
      <c r="S18" s="563"/>
      <c r="T18" s="563"/>
      <c r="U18" s="563"/>
      <c r="V18" s="567"/>
      <c r="W18" s="575"/>
    </row>
    <row r="19" spans="1:23" x14ac:dyDescent="0.3">
      <c r="A19" s="745" t="s">
        <v>387</v>
      </c>
      <c r="B19" s="797">
        <v>49.78</v>
      </c>
      <c r="C19" s="797">
        <v>10.23</v>
      </c>
      <c r="D19" s="797">
        <v>104.52</v>
      </c>
      <c r="E19" s="797">
        <v>411.88</v>
      </c>
      <c r="F19" s="797">
        <v>347.3</v>
      </c>
      <c r="G19" s="797">
        <v>610.44000000000005</v>
      </c>
      <c r="H19" s="797">
        <v>1010.15</v>
      </c>
      <c r="I19" s="797">
        <v>808.35</v>
      </c>
      <c r="J19" s="797">
        <v>627.9</v>
      </c>
      <c r="K19" s="797">
        <v>396.55</v>
      </c>
      <c r="L19" s="797">
        <v>345.78</v>
      </c>
      <c r="M19" s="797">
        <v>141.38999999999999</v>
      </c>
      <c r="N19" s="429">
        <f t="shared" si="0"/>
        <v>4864.2700000000004</v>
      </c>
      <c r="Q19" s="572"/>
      <c r="R19" s="573"/>
      <c r="S19" s="563"/>
      <c r="T19" s="563"/>
      <c r="U19" s="563"/>
      <c r="V19" s="563"/>
      <c r="W19" s="563"/>
    </row>
    <row r="20" spans="1:23" x14ac:dyDescent="0.3">
      <c r="A20" s="745" t="s">
        <v>388</v>
      </c>
      <c r="B20" s="797">
        <v>4.62</v>
      </c>
      <c r="C20" s="797">
        <v>0</v>
      </c>
      <c r="D20" s="797">
        <v>4.62</v>
      </c>
      <c r="E20" s="797">
        <v>14.13</v>
      </c>
      <c r="F20" s="797">
        <v>65.06</v>
      </c>
      <c r="G20" s="797">
        <v>72.69</v>
      </c>
      <c r="H20" s="797">
        <v>150.97</v>
      </c>
      <c r="I20" s="797">
        <v>39.97</v>
      </c>
      <c r="J20" s="797">
        <v>114.6</v>
      </c>
      <c r="K20" s="797">
        <v>85.3</v>
      </c>
      <c r="L20" s="797">
        <v>0</v>
      </c>
      <c r="M20" s="797">
        <v>0</v>
      </c>
      <c r="N20" s="429">
        <f t="shared" si="0"/>
        <v>551.96</v>
      </c>
      <c r="Q20" s="572"/>
      <c r="R20" s="264"/>
      <c r="S20" s="563"/>
      <c r="T20" s="563"/>
      <c r="U20" s="563"/>
      <c r="V20" s="563"/>
      <c r="W20" s="563"/>
    </row>
    <row r="21" spans="1:23" x14ac:dyDescent="0.3">
      <c r="A21" s="745" t="s">
        <v>499</v>
      </c>
      <c r="B21" s="797">
        <v>0</v>
      </c>
      <c r="C21" s="797">
        <v>0</v>
      </c>
      <c r="D21" s="797">
        <v>0</v>
      </c>
      <c r="E21" s="797">
        <v>0</v>
      </c>
      <c r="F21" s="797">
        <v>0</v>
      </c>
      <c r="G21" s="797">
        <v>0</v>
      </c>
      <c r="H21" s="797">
        <v>0</v>
      </c>
      <c r="I21" s="797">
        <v>0</v>
      </c>
      <c r="J21" s="797">
        <v>0</v>
      </c>
      <c r="K21" s="797">
        <v>0</v>
      </c>
      <c r="L21" s="797">
        <v>3000</v>
      </c>
      <c r="M21" s="797">
        <v>0</v>
      </c>
      <c r="N21" s="429">
        <f t="shared" si="0"/>
        <v>3000</v>
      </c>
      <c r="Q21" s="572"/>
      <c r="R21" s="264"/>
      <c r="S21" s="563"/>
      <c r="T21" s="563"/>
      <c r="U21" s="563"/>
      <c r="V21" s="563"/>
      <c r="W21" s="563"/>
    </row>
    <row r="22" spans="1:23" x14ac:dyDescent="0.3">
      <c r="A22" s="745" t="s">
        <v>389</v>
      </c>
      <c r="B22" s="797">
        <v>0</v>
      </c>
      <c r="C22" s="797">
        <v>0</v>
      </c>
      <c r="D22" s="797">
        <v>0</v>
      </c>
      <c r="E22" s="797">
        <v>0</v>
      </c>
      <c r="F22" s="797">
        <v>1100</v>
      </c>
      <c r="G22" s="797">
        <v>5225</v>
      </c>
      <c r="H22" s="797">
        <v>4399</v>
      </c>
      <c r="I22" s="797">
        <v>2050</v>
      </c>
      <c r="J22" s="797">
        <v>950</v>
      </c>
      <c r="K22" s="797">
        <v>0</v>
      </c>
      <c r="L22" s="797">
        <v>0</v>
      </c>
      <c r="M22" s="797">
        <v>0</v>
      </c>
      <c r="N22" s="429">
        <f t="shared" si="0"/>
        <v>13724</v>
      </c>
      <c r="Q22" s="572"/>
      <c r="R22" s="110"/>
      <c r="S22" s="563"/>
      <c r="T22" s="563"/>
      <c r="U22" s="563"/>
      <c r="V22" s="563"/>
      <c r="W22" s="563"/>
    </row>
    <row r="23" spans="1:23" x14ac:dyDescent="0.3">
      <c r="A23" s="745" t="s">
        <v>390</v>
      </c>
      <c r="B23" s="797">
        <v>0</v>
      </c>
      <c r="C23" s="797">
        <v>0</v>
      </c>
      <c r="D23" s="797">
        <v>0</v>
      </c>
      <c r="E23" s="797">
        <v>0</v>
      </c>
      <c r="F23" s="797">
        <v>787.5</v>
      </c>
      <c r="G23" s="797">
        <v>5862.5</v>
      </c>
      <c r="H23" s="797">
        <v>1150</v>
      </c>
      <c r="I23" s="797">
        <v>0</v>
      </c>
      <c r="J23" s="797">
        <v>800</v>
      </c>
      <c r="K23" s="797">
        <v>2200</v>
      </c>
      <c r="L23" s="797">
        <v>0</v>
      </c>
      <c r="M23" s="797">
        <v>0</v>
      </c>
      <c r="N23" s="429">
        <f t="shared" si="0"/>
        <v>10800</v>
      </c>
      <c r="Q23" s="572"/>
      <c r="R23" s="573"/>
      <c r="S23" s="563"/>
      <c r="T23" s="563"/>
      <c r="U23" s="563"/>
      <c r="V23" s="563"/>
      <c r="W23" s="563"/>
    </row>
    <row r="24" spans="1:23" x14ac:dyDescent="0.3">
      <c r="A24" s="745" t="s">
        <v>391</v>
      </c>
      <c r="B24" s="797">
        <v>50</v>
      </c>
      <c r="C24" s="797">
        <v>50</v>
      </c>
      <c r="D24" s="797">
        <v>50</v>
      </c>
      <c r="E24" s="797">
        <v>50</v>
      </c>
      <c r="F24" s="797">
        <v>50</v>
      </c>
      <c r="G24" s="797">
        <v>50</v>
      </c>
      <c r="H24" s="797">
        <v>50</v>
      </c>
      <c r="I24" s="797">
        <v>50</v>
      </c>
      <c r="J24" s="797">
        <v>50</v>
      </c>
      <c r="K24" s="797">
        <v>50</v>
      </c>
      <c r="L24" s="797">
        <v>50</v>
      </c>
      <c r="M24" s="797">
        <v>50</v>
      </c>
      <c r="N24" s="451">
        <f t="shared" si="0"/>
        <v>600</v>
      </c>
      <c r="Q24" s="572"/>
      <c r="R24" s="110"/>
      <c r="S24" s="563"/>
      <c r="T24" s="563"/>
      <c r="U24" s="563"/>
      <c r="V24" s="563"/>
      <c r="W24" s="563"/>
    </row>
    <row r="25" spans="1:23" x14ac:dyDescent="0.3">
      <c r="A25" s="677" t="s">
        <v>392</v>
      </c>
      <c r="B25" s="707">
        <v>0</v>
      </c>
      <c r="C25" s="707">
        <v>0</v>
      </c>
      <c r="D25" s="707">
        <v>0</v>
      </c>
      <c r="E25" s="707">
        <v>0</v>
      </c>
      <c r="F25" s="707">
        <v>0</v>
      </c>
      <c r="G25" s="707">
        <v>0</v>
      </c>
      <c r="H25" s="707">
        <v>0</v>
      </c>
      <c r="I25" s="707">
        <v>0</v>
      </c>
      <c r="J25" s="707">
        <v>0</v>
      </c>
      <c r="K25" s="707">
        <v>0</v>
      </c>
      <c r="L25" s="707">
        <v>0</v>
      </c>
      <c r="M25" s="707">
        <v>0</v>
      </c>
      <c r="N25" s="451">
        <f t="shared" si="0"/>
        <v>0</v>
      </c>
      <c r="Q25" s="572"/>
      <c r="R25" s="573"/>
      <c r="S25" s="563"/>
      <c r="T25" s="563"/>
      <c r="U25" s="563"/>
      <c r="V25" s="563"/>
      <c r="W25" s="563"/>
    </row>
    <row r="26" spans="1:23" x14ac:dyDescent="0.3">
      <c r="A26" s="745" t="s">
        <v>393</v>
      </c>
      <c r="B26" s="797">
        <v>121.5</v>
      </c>
      <c r="C26" s="797">
        <v>122.58</v>
      </c>
      <c r="D26" s="797">
        <v>25</v>
      </c>
      <c r="E26" s="797">
        <v>20</v>
      </c>
      <c r="F26" s="797">
        <v>43.1</v>
      </c>
      <c r="G26" s="797">
        <v>52.69</v>
      </c>
      <c r="H26" s="797">
        <v>33.76</v>
      </c>
      <c r="I26" s="797">
        <v>30</v>
      </c>
      <c r="J26" s="797">
        <v>35</v>
      </c>
      <c r="K26" s="797">
        <v>20</v>
      </c>
      <c r="L26" s="797">
        <v>5</v>
      </c>
      <c r="M26" s="797">
        <v>15</v>
      </c>
      <c r="N26" s="451">
        <f t="shared" si="0"/>
        <v>523.63</v>
      </c>
      <c r="Q26" s="572"/>
      <c r="R26" s="110"/>
      <c r="S26" s="563"/>
      <c r="T26" s="563"/>
      <c r="U26" s="563"/>
      <c r="V26" s="563"/>
      <c r="W26" s="563"/>
    </row>
    <row r="27" spans="1:23" x14ac:dyDescent="0.3">
      <c r="A27" s="745" t="s">
        <v>394</v>
      </c>
      <c r="B27" s="797">
        <v>135</v>
      </c>
      <c r="C27" s="797">
        <v>135</v>
      </c>
      <c r="D27" s="797">
        <v>135</v>
      </c>
      <c r="E27" s="797">
        <v>135</v>
      </c>
      <c r="F27" s="797">
        <v>135</v>
      </c>
      <c r="G27" s="797">
        <v>285</v>
      </c>
      <c r="H27" s="797">
        <v>135</v>
      </c>
      <c r="I27" s="797">
        <v>135</v>
      </c>
      <c r="J27" s="797">
        <v>135</v>
      </c>
      <c r="K27" s="797">
        <v>135</v>
      </c>
      <c r="L27" s="797">
        <v>135</v>
      </c>
      <c r="M27" s="797">
        <v>135</v>
      </c>
      <c r="N27" s="451">
        <f t="shared" si="0"/>
        <v>1770</v>
      </c>
      <c r="Q27" s="572"/>
      <c r="R27" s="110"/>
      <c r="S27" s="563"/>
      <c r="T27" s="563"/>
      <c r="U27" s="563"/>
      <c r="V27" s="563"/>
      <c r="W27" s="563"/>
    </row>
    <row r="28" spans="1:23" x14ac:dyDescent="0.3">
      <c r="A28" s="745" t="s">
        <v>395</v>
      </c>
      <c r="B28" s="797">
        <v>0</v>
      </c>
      <c r="C28" s="797">
        <v>0</v>
      </c>
      <c r="D28" s="797">
        <v>0</v>
      </c>
      <c r="E28" s="797">
        <v>0</v>
      </c>
      <c r="F28" s="797">
        <v>0</v>
      </c>
      <c r="G28" s="797">
        <v>0</v>
      </c>
      <c r="H28" s="797">
        <v>0</v>
      </c>
      <c r="I28" s="797">
        <v>2.5</v>
      </c>
      <c r="J28" s="797">
        <v>0</v>
      </c>
      <c r="K28" s="797">
        <v>0</v>
      </c>
      <c r="L28" s="797">
        <v>0</v>
      </c>
      <c r="M28" s="797">
        <v>0</v>
      </c>
      <c r="N28" s="451">
        <f t="shared" si="0"/>
        <v>2.5</v>
      </c>
      <c r="Q28" s="572"/>
      <c r="R28" s="110"/>
      <c r="S28" s="563"/>
      <c r="T28" s="563"/>
      <c r="U28" s="563"/>
      <c r="V28" s="563"/>
      <c r="W28" s="563"/>
    </row>
    <row r="29" spans="1:23" x14ac:dyDescent="0.3">
      <c r="A29" s="677" t="s">
        <v>500</v>
      </c>
      <c r="B29" s="706">
        <v>0</v>
      </c>
      <c r="C29" s="706">
        <v>0</v>
      </c>
      <c r="D29" s="706">
        <v>0</v>
      </c>
      <c r="E29" s="706">
        <v>0</v>
      </c>
      <c r="F29" s="706">
        <v>0</v>
      </c>
      <c r="G29" s="706">
        <v>0</v>
      </c>
      <c r="H29" s="706">
        <v>0</v>
      </c>
      <c r="I29" s="706">
        <v>0</v>
      </c>
      <c r="J29" s="706">
        <v>0</v>
      </c>
      <c r="K29" s="706">
        <v>0</v>
      </c>
      <c r="L29" s="706">
        <v>0</v>
      </c>
      <c r="M29" s="706">
        <v>0</v>
      </c>
      <c r="N29" s="452">
        <f t="shared" si="0"/>
        <v>0</v>
      </c>
      <c r="Q29" s="572"/>
      <c r="R29" s="110"/>
      <c r="S29" s="563"/>
      <c r="T29" s="563"/>
      <c r="U29" s="563"/>
      <c r="V29" s="563"/>
      <c r="W29" s="563"/>
    </row>
    <row r="30" spans="1:23" customFormat="1" x14ac:dyDescent="0.3">
      <c r="A30" s="678"/>
      <c r="B30" s="557"/>
      <c r="C30" s="557"/>
      <c r="D30" s="557"/>
      <c r="E30" s="557"/>
      <c r="F30" s="557"/>
      <c r="G30" s="557"/>
      <c r="H30" s="557"/>
      <c r="I30" s="557"/>
      <c r="J30" s="557"/>
      <c r="K30" s="557"/>
      <c r="L30" s="557"/>
      <c r="M30" s="557"/>
      <c r="N30" s="419"/>
      <c r="O30" s="113"/>
      <c r="Q30" s="572"/>
      <c r="R30" s="264"/>
      <c r="S30" s="110"/>
      <c r="T30" s="110"/>
      <c r="U30" s="110"/>
      <c r="V30" s="110"/>
      <c r="W30" s="110"/>
    </row>
    <row r="31" spans="1:23" x14ac:dyDescent="0.3">
      <c r="A31" s="677" t="s">
        <v>501</v>
      </c>
      <c r="B31" s="706">
        <f t="shared" ref="B31:M31" si="1">ROUND(SUBTOTAL(9, B4:B30), 5)</f>
        <v>27992.45</v>
      </c>
      <c r="C31" s="706">
        <f t="shared" si="1"/>
        <v>33390.46</v>
      </c>
      <c r="D31" s="706">
        <f t="shared" si="1"/>
        <v>35750.75</v>
      </c>
      <c r="E31" s="706">
        <f t="shared" si="1"/>
        <v>68328.210000000006</v>
      </c>
      <c r="F31" s="706">
        <f t="shared" si="1"/>
        <v>154429.99</v>
      </c>
      <c r="G31" s="706">
        <f t="shared" si="1"/>
        <v>267839.13</v>
      </c>
      <c r="H31" s="706">
        <f t="shared" si="1"/>
        <v>395909.54</v>
      </c>
      <c r="I31" s="706">
        <f t="shared" si="1"/>
        <v>294383.61</v>
      </c>
      <c r="J31" s="706">
        <f t="shared" si="1"/>
        <v>254335</v>
      </c>
      <c r="K31" s="706">
        <f t="shared" si="1"/>
        <v>103017.53</v>
      </c>
      <c r="L31" s="706">
        <f t="shared" si="1"/>
        <v>38039.72</v>
      </c>
      <c r="M31" s="706">
        <f t="shared" si="1"/>
        <v>54626.96</v>
      </c>
      <c r="N31" s="421">
        <f t="shared" si="0"/>
        <v>1728043.35</v>
      </c>
      <c r="Q31" s="572"/>
      <c r="R31" s="264"/>
      <c r="S31" s="563"/>
      <c r="T31" s="563"/>
      <c r="U31" s="563"/>
      <c r="V31" s="563"/>
      <c r="W31" s="563"/>
    </row>
    <row r="32" spans="1:23" customFormat="1" x14ac:dyDescent="0.3">
      <c r="A32" s="678"/>
      <c r="B32" s="557"/>
      <c r="C32" s="557"/>
      <c r="D32" s="557"/>
      <c r="E32" s="557"/>
      <c r="F32" s="557"/>
      <c r="G32" s="557"/>
      <c r="H32" s="557"/>
      <c r="I32" s="557"/>
      <c r="J32" s="557"/>
      <c r="K32" s="557"/>
      <c r="L32" s="557"/>
      <c r="M32" s="557"/>
      <c r="N32" s="419"/>
      <c r="O32" s="672"/>
      <c r="Q32" s="572"/>
      <c r="R32" s="264"/>
      <c r="S32" s="110"/>
      <c r="T32" s="110"/>
      <c r="U32" s="110"/>
      <c r="V32" s="110"/>
      <c r="W32" s="110"/>
    </row>
    <row r="33" spans="1:23" x14ac:dyDescent="0.3">
      <c r="A33" s="677" t="s">
        <v>502</v>
      </c>
      <c r="B33" s="419"/>
      <c r="C33" s="419"/>
      <c r="D33" s="419"/>
      <c r="E33" s="419"/>
      <c r="F33" s="419"/>
      <c r="G33" s="419"/>
      <c r="H33" s="419"/>
      <c r="I33" s="419"/>
      <c r="J33" s="419"/>
      <c r="K33" s="419"/>
      <c r="L33" s="419"/>
      <c r="Q33" s="572"/>
      <c r="R33" s="264"/>
      <c r="S33" s="563"/>
      <c r="T33" s="563"/>
      <c r="U33" s="563"/>
      <c r="V33" s="563"/>
      <c r="W33" s="563"/>
    </row>
    <row r="34" spans="1:23" x14ac:dyDescent="0.3">
      <c r="A34" s="745" t="s">
        <v>421</v>
      </c>
      <c r="B34" s="797">
        <v>193.58</v>
      </c>
      <c r="C34" s="797">
        <v>80.86</v>
      </c>
      <c r="D34" s="797">
        <v>67.47</v>
      </c>
      <c r="E34" s="797">
        <v>669.64</v>
      </c>
      <c r="F34" s="797">
        <v>3029.26</v>
      </c>
      <c r="G34" s="797">
        <v>4422.09</v>
      </c>
      <c r="H34" s="797">
        <v>7105.13</v>
      </c>
      <c r="I34" s="797">
        <v>4903.3</v>
      </c>
      <c r="J34" s="797">
        <v>2340.5100000000002</v>
      </c>
      <c r="K34" s="797">
        <v>1861.47</v>
      </c>
      <c r="L34" s="797">
        <v>219.46</v>
      </c>
      <c r="M34" s="797">
        <v>240.34</v>
      </c>
      <c r="N34" s="436">
        <f t="shared" si="0"/>
        <v>25133.110000000004</v>
      </c>
      <c r="Q34" s="572"/>
      <c r="R34" s="573"/>
      <c r="S34" s="563"/>
      <c r="T34" s="563"/>
      <c r="U34" s="563"/>
      <c r="V34" s="563"/>
      <c r="W34" s="563"/>
    </row>
    <row r="35" spans="1:23" x14ac:dyDescent="0.3">
      <c r="A35" s="745" t="s">
        <v>422</v>
      </c>
      <c r="B35" s="797">
        <v>0</v>
      </c>
      <c r="C35" s="797">
        <v>0</v>
      </c>
      <c r="D35" s="797">
        <v>0</v>
      </c>
      <c r="E35" s="797">
        <v>0</v>
      </c>
      <c r="F35" s="797">
        <v>0</v>
      </c>
      <c r="G35" s="797">
        <v>0</v>
      </c>
      <c r="H35" s="797">
        <v>0</v>
      </c>
      <c r="I35" s="797">
        <v>629.55999999999995</v>
      </c>
      <c r="J35" s="797">
        <v>663.03</v>
      </c>
      <c r="K35" s="797">
        <v>270.17</v>
      </c>
      <c r="L35" s="797">
        <v>0</v>
      </c>
      <c r="M35" s="797">
        <v>-114.47</v>
      </c>
      <c r="N35" s="436">
        <f t="shared" si="0"/>
        <v>1448.29</v>
      </c>
      <c r="Q35" s="572"/>
      <c r="R35" s="110"/>
      <c r="S35" s="563"/>
      <c r="T35" s="563"/>
      <c r="U35" s="563"/>
      <c r="V35" s="563"/>
      <c r="W35" s="563"/>
    </row>
    <row r="36" spans="1:23" x14ac:dyDescent="0.3">
      <c r="A36" s="745" t="s">
        <v>423</v>
      </c>
      <c r="B36" s="797">
        <v>0</v>
      </c>
      <c r="C36" s="797">
        <v>0</v>
      </c>
      <c r="D36" s="797">
        <v>0</v>
      </c>
      <c r="E36" s="797">
        <v>0</v>
      </c>
      <c r="F36" s="797">
        <v>0</v>
      </c>
      <c r="G36" s="797">
        <v>0</v>
      </c>
      <c r="H36" s="797">
        <v>0</v>
      </c>
      <c r="I36" s="797">
        <v>0</v>
      </c>
      <c r="J36" s="797">
        <v>0</v>
      </c>
      <c r="K36" s="797">
        <v>0</v>
      </c>
      <c r="L36" s="797">
        <v>0</v>
      </c>
      <c r="M36" s="797">
        <v>0</v>
      </c>
      <c r="N36" s="436">
        <f t="shared" si="0"/>
        <v>0</v>
      </c>
      <c r="Q36" s="572"/>
      <c r="R36" s="573"/>
      <c r="S36" s="563"/>
      <c r="T36" s="563"/>
      <c r="U36" s="563"/>
      <c r="V36" s="563"/>
      <c r="W36" s="563"/>
    </row>
    <row r="37" spans="1:23" x14ac:dyDescent="0.3">
      <c r="A37" s="745" t="s">
        <v>424</v>
      </c>
      <c r="B37" s="797">
        <v>0</v>
      </c>
      <c r="C37" s="797">
        <v>0</v>
      </c>
      <c r="D37" s="797">
        <v>0</v>
      </c>
      <c r="E37" s="797">
        <v>0</v>
      </c>
      <c r="F37" s="797">
        <v>244.5</v>
      </c>
      <c r="G37" s="797">
        <v>0</v>
      </c>
      <c r="H37" s="797">
        <v>0</v>
      </c>
      <c r="I37" s="797">
        <v>0</v>
      </c>
      <c r="J37" s="797">
        <v>0</v>
      </c>
      <c r="K37" s="797">
        <v>0</v>
      </c>
      <c r="L37" s="797">
        <v>0</v>
      </c>
      <c r="M37" s="797">
        <v>0</v>
      </c>
      <c r="N37" s="436">
        <f t="shared" si="0"/>
        <v>244.5</v>
      </c>
      <c r="Q37" s="572"/>
      <c r="R37" s="264"/>
      <c r="S37" s="563"/>
      <c r="T37" s="563"/>
      <c r="U37" s="563"/>
      <c r="V37" s="563"/>
      <c r="W37" s="563"/>
    </row>
    <row r="38" spans="1:23" x14ac:dyDescent="0.3">
      <c r="A38" s="745" t="s">
        <v>503</v>
      </c>
      <c r="B38" s="797">
        <v>0</v>
      </c>
      <c r="C38" s="797">
        <v>0</v>
      </c>
      <c r="D38" s="797">
        <v>0</v>
      </c>
      <c r="E38" s="797">
        <v>0</v>
      </c>
      <c r="F38" s="797">
        <v>0</v>
      </c>
      <c r="G38" s="797">
        <v>0</v>
      </c>
      <c r="H38" s="797">
        <v>216.57</v>
      </c>
      <c r="I38" s="797">
        <v>0</v>
      </c>
      <c r="J38" s="797">
        <v>0</v>
      </c>
      <c r="K38" s="797">
        <v>0</v>
      </c>
      <c r="L38" s="797">
        <v>0</v>
      </c>
      <c r="M38" s="797">
        <v>0</v>
      </c>
      <c r="N38" s="437">
        <f t="shared" si="0"/>
        <v>216.57</v>
      </c>
      <c r="Q38" s="572">
        <f>N56+N57+N58+N64</f>
        <v>6875.75</v>
      </c>
      <c r="R38" s="264"/>
      <c r="S38" s="563"/>
      <c r="T38" s="563"/>
      <c r="U38" s="563"/>
      <c r="V38" s="563"/>
      <c r="W38" s="563"/>
    </row>
    <row r="39" spans="1:23" customFormat="1" x14ac:dyDescent="0.3">
      <c r="A39" s="678"/>
      <c r="B39" s="557"/>
      <c r="C39" s="557"/>
      <c r="D39" s="557"/>
      <c r="E39" s="557"/>
      <c r="F39" s="557"/>
      <c r="G39" s="557"/>
      <c r="H39" s="557"/>
      <c r="I39" s="557"/>
      <c r="J39" s="557"/>
      <c r="K39" s="557"/>
      <c r="L39" s="557"/>
      <c r="M39" s="557"/>
      <c r="N39" s="419"/>
      <c r="O39" s="672"/>
      <c r="Q39" s="572"/>
      <c r="R39" s="264"/>
      <c r="S39" s="110"/>
      <c r="T39" s="110"/>
      <c r="U39" s="110"/>
      <c r="V39" s="110"/>
      <c r="W39" s="110"/>
    </row>
    <row r="40" spans="1:23" x14ac:dyDescent="0.3">
      <c r="A40" s="677" t="s">
        <v>504</v>
      </c>
      <c r="B40" s="706">
        <f t="shared" ref="B40:M40" si="2">ROUND(SUBTOTAL(9, B33:B39), 5)</f>
        <v>193.58</v>
      </c>
      <c r="C40" s="706">
        <f t="shared" si="2"/>
        <v>80.86</v>
      </c>
      <c r="D40" s="706">
        <f t="shared" si="2"/>
        <v>67.47</v>
      </c>
      <c r="E40" s="706">
        <f t="shared" si="2"/>
        <v>669.64</v>
      </c>
      <c r="F40" s="706">
        <f t="shared" si="2"/>
        <v>3273.76</v>
      </c>
      <c r="G40" s="706">
        <f t="shared" si="2"/>
        <v>4422.09</v>
      </c>
      <c r="H40" s="706">
        <f t="shared" si="2"/>
        <v>7321.7</v>
      </c>
      <c r="I40" s="706">
        <f t="shared" si="2"/>
        <v>5532.86</v>
      </c>
      <c r="J40" s="706">
        <f t="shared" si="2"/>
        <v>3003.54</v>
      </c>
      <c r="K40" s="706">
        <f t="shared" si="2"/>
        <v>2131.64</v>
      </c>
      <c r="L40" s="706">
        <f t="shared" si="2"/>
        <v>219.46</v>
      </c>
      <c r="M40" s="706">
        <f t="shared" si="2"/>
        <v>125.87</v>
      </c>
      <c r="N40" s="421">
        <f t="shared" si="0"/>
        <v>27042.47</v>
      </c>
      <c r="O40" s="709">
        <f>SUM(N34:N38)</f>
        <v>27042.470000000005</v>
      </c>
      <c r="Q40" s="572"/>
      <c r="R40" s="264"/>
      <c r="S40" s="563"/>
      <c r="T40" s="563"/>
      <c r="U40" s="563"/>
      <c r="V40" s="563"/>
      <c r="W40" s="563"/>
    </row>
    <row r="41" spans="1:23" customFormat="1" x14ac:dyDescent="0.3">
      <c r="A41" s="678"/>
      <c r="B41" s="557"/>
      <c r="C41" s="557"/>
      <c r="D41" s="557"/>
      <c r="E41" s="557"/>
      <c r="F41" s="557"/>
      <c r="G41" s="557"/>
      <c r="H41" s="557"/>
      <c r="I41" s="557"/>
      <c r="J41" s="557"/>
      <c r="K41" s="557"/>
      <c r="L41" s="557"/>
      <c r="M41" s="557"/>
      <c r="N41" s="419"/>
      <c r="O41" s="672"/>
      <c r="Q41" s="572"/>
      <c r="R41" s="264"/>
      <c r="S41" s="110"/>
      <c r="T41" s="110"/>
      <c r="U41" s="110"/>
      <c r="V41" s="110"/>
      <c r="W41" s="110"/>
    </row>
    <row r="42" spans="1:23" x14ac:dyDescent="0.3">
      <c r="A42" s="677" t="s">
        <v>505</v>
      </c>
      <c r="B42" s="706">
        <f t="shared" ref="B42:M42" si="3">-(ROUND(-B31+B40, 5))</f>
        <v>27798.87</v>
      </c>
      <c r="C42" s="706">
        <f t="shared" si="3"/>
        <v>33309.599999999999</v>
      </c>
      <c r="D42" s="706">
        <f t="shared" si="3"/>
        <v>35683.279999999999</v>
      </c>
      <c r="E42" s="706">
        <f t="shared" si="3"/>
        <v>67658.570000000007</v>
      </c>
      <c r="F42" s="706">
        <f t="shared" si="3"/>
        <v>151156.23000000001</v>
      </c>
      <c r="G42" s="706">
        <f t="shared" si="3"/>
        <v>263417.03999999998</v>
      </c>
      <c r="H42" s="706">
        <f t="shared" si="3"/>
        <v>388587.84</v>
      </c>
      <c r="I42" s="706">
        <f t="shared" si="3"/>
        <v>288850.75</v>
      </c>
      <c r="J42" s="706">
        <f t="shared" si="3"/>
        <v>251331.46</v>
      </c>
      <c r="K42" s="706">
        <f t="shared" si="3"/>
        <v>100885.89</v>
      </c>
      <c r="L42" s="706">
        <f t="shared" si="3"/>
        <v>37820.26</v>
      </c>
      <c r="M42" s="706">
        <f t="shared" si="3"/>
        <v>54501.09</v>
      </c>
      <c r="N42" s="421">
        <f t="shared" si="0"/>
        <v>1701000.8800000001</v>
      </c>
      <c r="Q42" s="572"/>
      <c r="R42" s="264"/>
      <c r="S42" s="563"/>
      <c r="T42" s="563"/>
      <c r="U42" s="563"/>
      <c r="V42" s="563"/>
      <c r="W42" s="563"/>
    </row>
    <row r="43" spans="1:23" customFormat="1" x14ac:dyDescent="0.3">
      <c r="A43" s="678"/>
      <c r="B43" s="557"/>
      <c r="C43" s="557"/>
      <c r="D43" s="557"/>
      <c r="E43" s="557"/>
      <c r="F43" s="557"/>
      <c r="G43" s="557"/>
      <c r="H43" s="557"/>
      <c r="I43" s="557"/>
      <c r="J43" s="557"/>
      <c r="K43" s="557"/>
      <c r="L43" s="557"/>
      <c r="M43" s="557"/>
      <c r="N43" s="419"/>
      <c r="O43" s="672"/>
      <c r="Q43" s="572"/>
      <c r="R43" s="264"/>
      <c r="S43" s="110"/>
      <c r="T43" s="110"/>
      <c r="U43" s="110"/>
      <c r="V43" s="110"/>
      <c r="W43" s="110"/>
    </row>
    <row r="44" spans="1:23" x14ac:dyDescent="0.3">
      <c r="A44" s="677" t="s">
        <v>506</v>
      </c>
      <c r="B44" s="419"/>
      <c r="C44" s="419"/>
      <c r="D44" s="419"/>
      <c r="E44" s="419"/>
      <c r="F44" s="419"/>
      <c r="G44" s="419"/>
      <c r="H44" s="419"/>
      <c r="I44" s="419"/>
      <c r="J44" s="419"/>
      <c r="K44" s="419"/>
      <c r="L44" s="419"/>
      <c r="Q44" s="572"/>
      <c r="R44" s="264"/>
      <c r="S44" s="563"/>
      <c r="T44" s="563"/>
      <c r="U44" s="563"/>
      <c r="V44" s="563"/>
      <c r="W44" s="563"/>
    </row>
    <row r="45" spans="1:23" x14ac:dyDescent="0.3">
      <c r="A45" s="745" t="s">
        <v>507</v>
      </c>
      <c r="B45" s="797">
        <v>0</v>
      </c>
      <c r="C45" s="797">
        <v>0</v>
      </c>
      <c r="D45" s="797">
        <v>0</v>
      </c>
      <c r="E45" s="797">
        <v>0</v>
      </c>
      <c r="F45" s="797">
        <v>0</v>
      </c>
      <c r="G45" s="797">
        <v>0</v>
      </c>
      <c r="H45" s="797">
        <v>0</v>
      </c>
      <c r="I45" s="797">
        <v>0</v>
      </c>
      <c r="J45" s="797">
        <v>0</v>
      </c>
      <c r="K45" s="797">
        <v>0</v>
      </c>
      <c r="L45" s="797">
        <v>0</v>
      </c>
      <c r="M45" s="797">
        <v>0</v>
      </c>
      <c r="N45" s="430">
        <f t="shared" si="0"/>
        <v>0</v>
      </c>
      <c r="Q45" s="572"/>
      <c r="R45" s="264"/>
      <c r="S45" s="563"/>
      <c r="T45" s="563"/>
      <c r="U45" s="563"/>
      <c r="V45" s="563"/>
      <c r="W45" s="563"/>
    </row>
    <row r="46" spans="1:23" x14ac:dyDescent="0.3">
      <c r="A46" s="745" t="s">
        <v>396</v>
      </c>
      <c r="B46" s="797">
        <v>0</v>
      </c>
      <c r="C46" s="797">
        <v>0</v>
      </c>
      <c r="D46" s="797">
        <v>0</v>
      </c>
      <c r="E46" s="797">
        <v>0</v>
      </c>
      <c r="F46" s="797">
        <v>11544.26</v>
      </c>
      <c r="G46" s="797">
        <v>15605.01</v>
      </c>
      <c r="H46" s="797">
        <v>23371.52</v>
      </c>
      <c r="I46" s="797">
        <v>14833.88</v>
      </c>
      <c r="J46" s="797">
        <v>14276.13</v>
      </c>
      <c r="K46" s="797">
        <v>12285.75</v>
      </c>
      <c r="L46" s="797">
        <v>0</v>
      </c>
      <c r="M46" s="797">
        <v>0</v>
      </c>
      <c r="N46" s="430">
        <f t="shared" si="0"/>
        <v>91916.55</v>
      </c>
      <c r="Q46" s="572"/>
      <c r="R46" s="264"/>
      <c r="S46" s="563"/>
      <c r="T46" s="563"/>
      <c r="U46" s="563"/>
      <c r="V46" s="563"/>
      <c r="W46" s="563"/>
    </row>
    <row r="47" spans="1:23" x14ac:dyDescent="0.3">
      <c r="A47" s="745" t="s">
        <v>397</v>
      </c>
      <c r="B47" s="867">
        <v>8996.25</v>
      </c>
      <c r="C47" s="867">
        <v>5489.25</v>
      </c>
      <c r="D47" s="867">
        <v>5281.25</v>
      </c>
      <c r="E47" s="867">
        <v>7433</v>
      </c>
      <c r="F47" s="867">
        <v>2523.25</v>
      </c>
      <c r="G47" s="867">
        <v>5949.01</v>
      </c>
      <c r="H47" s="867">
        <v>13580.74</v>
      </c>
      <c r="I47" s="797">
        <v>8929.1299999999992</v>
      </c>
      <c r="J47" s="797">
        <v>9145.8799999999992</v>
      </c>
      <c r="K47" s="797">
        <v>1821.75</v>
      </c>
      <c r="L47" s="797">
        <v>7761</v>
      </c>
      <c r="M47" s="797">
        <v>8187.5</v>
      </c>
      <c r="N47" s="430">
        <f t="shared" si="0"/>
        <v>85098.01</v>
      </c>
      <c r="Q47" s="572"/>
      <c r="R47" s="264"/>
      <c r="S47" s="563"/>
      <c r="T47" s="563"/>
      <c r="U47" s="563"/>
      <c r="V47" s="563"/>
      <c r="W47" s="563"/>
    </row>
    <row r="48" spans="1:23" x14ac:dyDescent="0.3">
      <c r="A48" s="745" t="s">
        <v>324</v>
      </c>
      <c r="B48" s="797">
        <v>0</v>
      </c>
      <c r="C48" s="797">
        <v>0</v>
      </c>
      <c r="D48" s="797">
        <v>0</v>
      </c>
      <c r="E48" s="797">
        <v>0</v>
      </c>
      <c r="F48" s="797">
        <v>0</v>
      </c>
      <c r="G48" s="797">
        <v>0</v>
      </c>
      <c r="H48" s="797">
        <v>0</v>
      </c>
      <c r="I48" s="797">
        <v>0</v>
      </c>
      <c r="J48" s="797">
        <v>178.75</v>
      </c>
      <c r="K48" s="797">
        <v>117</v>
      </c>
      <c r="L48" s="797">
        <v>0</v>
      </c>
      <c r="M48" s="797">
        <v>0</v>
      </c>
      <c r="N48" s="430">
        <f t="shared" si="0"/>
        <v>295.75</v>
      </c>
      <c r="Q48" s="572"/>
      <c r="R48" s="573"/>
      <c r="S48" s="563"/>
      <c r="T48" s="563"/>
      <c r="U48" s="563"/>
      <c r="V48" s="563"/>
      <c r="W48" s="563"/>
    </row>
    <row r="49" spans="1:23" x14ac:dyDescent="0.3">
      <c r="A49" s="745" t="s">
        <v>398</v>
      </c>
      <c r="B49" s="797">
        <v>0</v>
      </c>
      <c r="C49" s="797">
        <v>0</v>
      </c>
      <c r="D49" s="797">
        <v>0</v>
      </c>
      <c r="E49" s="797">
        <v>0</v>
      </c>
      <c r="F49" s="797">
        <v>0</v>
      </c>
      <c r="G49" s="797">
        <v>0</v>
      </c>
      <c r="H49" s="797">
        <v>0</v>
      </c>
      <c r="I49" s="797">
        <v>112.5</v>
      </c>
      <c r="J49" s="797">
        <v>0</v>
      </c>
      <c r="K49" s="797">
        <v>0</v>
      </c>
      <c r="L49" s="797">
        <v>0</v>
      </c>
      <c r="M49" s="797">
        <v>0</v>
      </c>
      <c r="N49" s="430">
        <f t="shared" si="0"/>
        <v>112.5</v>
      </c>
      <c r="Q49" s="572"/>
      <c r="R49" s="110"/>
      <c r="S49" s="563"/>
      <c r="T49" s="563"/>
      <c r="U49" s="563"/>
      <c r="V49" s="563"/>
      <c r="W49" s="563"/>
    </row>
    <row r="50" spans="1:23" x14ac:dyDescent="0.3">
      <c r="A50" s="745" t="s">
        <v>399</v>
      </c>
      <c r="B50" s="797">
        <v>87.5</v>
      </c>
      <c r="C50" s="797">
        <v>239.5</v>
      </c>
      <c r="D50" s="797">
        <v>0</v>
      </c>
      <c r="E50" s="797">
        <v>0</v>
      </c>
      <c r="F50" s="797">
        <v>0</v>
      </c>
      <c r="G50" s="797">
        <v>19.5</v>
      </c>
      <c r="H50" s="797">
        <v>0</v>
      </c>
      <c r="I50" s="797">
        <v>0</v>
      </c>
      <c r="J50" s="797">
        <v>89.5</v>
      </c>
      <c r="K50" s="797">
        <v>201.5</v>
      </c>
      <c r="L50" s="797">
        <v>149.5</v>
      </c>
      <c r="M50" s="797">
        <v>-69.75</v>
      </c>
      <c r="N50" s="430">
        <f t="shared" si="0"/>
        <v>717.25</v>
      </c>
      <c r="Q50" s="576"/>
      <c r="R50" s="577"/>
      <c r="S50" s="563"/>
      <c r="T50" s="563"/>
      <c r="U50" s="563"/>
      <c r="V50" s="563"/>
      <c r="W50" s="563"/>
    </row>
    <row r="51" spans="1:23" x14ac:dyDescent="0.3">
      <c r="A51" s="745" t="s">
        <v>400</v>
      </c>
      <c r="B51" s="797">
        <v>0</v>
      </c>
      <c r="C51" s="797">
        <v>0</v>
      </c>
      <c r="D51" s="797">
        <v>0</v>
      </c>
      <c r="E51" s="797">
        <v>0</v>
      </c>
      <c r="F51" s="797">
        <v>0</v>
      </c>
      <c r="G51" s="797">
        <v>0</v>
      </c>
      <c r="H51" s="797">
        <v>0</v>
      </c>
      <c r="I51" s="797">
        <v>0</v>
      </c>
      <c r="J51" s="797">
        <v>0</v>
      </c>
      <c r="K51" s="797">
        <v>0</v>
      </c>
      <c r="L51" s="797">
        <v>0</v>
      </c>
      <c r="M51" s="797">
        <v>0</v>
      </c>
      <c r="N51" s="430">
        <f t="shared" si="0"/>
        <v>0</v>
      </c>
      <c r="Q51" s="572"/>
      <c r="R51" s="110"/>
      <c r="S51" s="563"/>
      <c r="T51" s="563"/>
      <c r="U51" s="563"/>
      <c r="V51" s="563"/>
      <c r="W51" s="563"/>
    </row>
    <row r="52" spans="1:23" x14ac:dyDescent="0.3">
      <c r="A52" s="745" t="s">
        <v>738</v>
      </c>
      <c r="B52" s="867">
        <v>0</v>
      </c>
      <c r="C52" s="867">
        <v>0</v>
      </c>
      <c r="D52" s="867">
        <v>0</v>
      </c>
      <c r="E52" s="867">
        <v>0</v>
      </c>
      <c r="F52" s="867">
        <v>0</v>
      </c>
      <c r="G52" s="867">
        <v>0</v>
      </c>
      <c r="H52" s="867">
        <v>0</v>
      </c>
      <c r="I52" s="797">
        <v>0</v>
      </c>
      <c r="J52" s="797">
        <v>0</v>
      </c>
      <c r="K52" s="797">
        <v>0</v>
      </c>
      <c r="L52" s="797">
        <v>0</v>
      </c>
      <c r="M52" s="797">
        <v>0</v>
      </c>
      <c r="N52" s="430">
        <f t="shared" ref="N52" si="4">SUM(B52:M52)</f>
        <v>0</v>
      </c>
      <c r="Q52" s="572"/>
      <c r="R52" s="110"/>
      <c r="S52" s="563"/>
      <c r="T52" s="563"/>
      <c r="U52" s="563"/>
      <c r="V52" s="563"/>
      <c r="W52" s="563"/>
    </row>
    <row r="53" spans="1:23" x14ac:dyDescent="0.3">
      <c r="A53" s="745" t="s">
        <v>401</v>
      </c>
      <c r="B53" s="797">
        <v>263.25</v>
      </c>
      <c r="C53" s="797">
        <v>226.5</v>
      </c>
      <c r="D53" s="797">
        <v>0</v>
      </c>
      <c r="E53" s="797">
        <v>0</v>
      </c>
      <c r="F53" s="797">
        <v>743.5</v>
      </c>
      <c r="G53" s="797">
        <v>1583</v>
      </c>
      <c r="H53" s="797">
        <v>2683</v>
      </c>
      <c r="I53" s="797">
        <v>2224.25</v>
      </c>
      <c r="J53" s="797">
        <v>2189.75</v>
      </c>
      <c r="K53" s="797">
        <v>1606.88</v>
      </c>
      <c r="L53" s="797">
        <v>129.5</v>
      </c>
      <c r="M53" s="797">
        <v>106.5</v>
      </c>
      <c r="N53" s="430">
        <f t="shared" si="0"/>
        <v>11756.130000000001</v>
      </c>
      <c r="Q53" s="578"/>
      <c r="R53" s="579"/>
      <c r="S53" s="563"/>
      <c r="T53" s="563"/>
      <c r="U53" s="563"/>
      <c r="V53" s="563"/>
      <c r="W53" s="563"/>
    </row>
    <row r="54" spans="1:23" x14ac:dyDescent="0.3">
      <c r="A54" s="745" t="s">
        <v>635</v>
      </c>
      <c r="B54" s="797">
        <v>0</v>
      </c>
      <c r="C54" s="797">
        <v>0</v>
      </c>
      <c r="D54" s="797">
        <v>0</v>
      </c>
      <c r="E54" s="797">
        <v>0</v>
      </c>
      <c r="F54" s="797">
        <v>4031.08</v>
      </c>
      <c r="G54" s="797">
        <v>5281.52</v>
      </c>
      <c r="H54" s="797">
        <v>7089.97</v>
      </c>
      <c r="I54" s="797">
        <v>6307.76</v>
      </c>
      <c r="J54" s="797">
        <v>6283.07</v>
      </c>
      <c r="K54" s="797">
        <v>3695.81</v>
      </c>
      <c r="L54" s="797">
        <v>0</v>
      </c>
      <c r="M54" s="797">
        <v>0</v>
      </c>
      <c r="N54" s="430">
        <f t="shared" si="0"/>
        <v>32689.210000000003</v>
      </c>
      <c r="Q54" s="572"/>
      <c r="R54" s="110"/>
      <c r="S54" s="563"/>
      <c r="T54" s="563"/>
      <c r="U54" s="563"/>
      <c r="V54" s="563"/>
      <c r="W54" s="563"/>
    </row>
    <row r="55" spans="1:23" x14ac:dyDescent="0.3">
      <c r="A55" s="745" t="s">
        <v>636</v>
      </c>
      <c r="B55" s="797">
        <v>2040.63</v>
      </c>
      <c r="C55" s="797">
        <v>1165.6300000000001</v>
      </c>
      <c r="D55" s="797">
        <v>1205</v>
      </c>
      <c r="E55" s="797">
        <v>1556.26</v>
      </c>
      <c r="F55" s="797">
        <v>546.88</v>
      </c>
      <c r="G55" s="797">
        <v>948.76</v>
      </c>
      <c r="H55" s="797">
        <v>3273.55</v>
      </c>
      <c r="I55" s="797">
        <v>2568</v>
      </c>
      <c r="J55" s="797">
        <v>2511.63</v>
      </c>
      <c r="K55" s="797">
        <v>358.75</v>
      </c>
      <c r="L55" s="797">
        <v>1632.88</v>
      </c>
      <c r="M55" s="797">
        <v>1730.02</v>
      </c>
      <c r="N55" s="430">
        <f t="shared" si="0"/>
        <v>19537.990000000002</v>
      </c>
      <c r="Q55" s="572"/>
      <c r="R55" s="110"/>
      <c r="S55" s="563"/>
      <c r="T55" s="563"/>
      <c r="U55" s="563"/>
      <c r="V55" s="563"/>
      <c r="W55" s="563"/>
    </row>
    <row r="56" spans="1:23" x14ac:dyDescent="0.3">
      <c r="A56" s="745" t="s">
        <v>696</v>
      </c>
      <c r="B56" s="797">
        <v>0</v>
      </c>
      <c r="C56" s="797">
        <v>0</v>
      </c>
      <c r="D56" s="797">
        <v>0</v>
      </c>
      <c r="E56" s="797">
        <v>0</v>
      </c>
      <c r="F56" s="797">
        <v>0</v>
      </c>
      <c r="G56" s="797">
        <v>0</v>
      </c>
      <c r="H56" s="797">
        <v>0</v>
      </c>
      <c r="I56" s="797">
        <v>0</v>
      </c>
      <c r="J56" s="797">
        <v>568.5</v>
      </c>
      <c r="K56" s="797">
        <v>0</v>
      </c>
      <c r="L56" s="797">
        <v>0</v>
      </c>
      <c r="M56" s="797">
        <v>0</v>
      </c>
      <c r="N56" s="430">
        <f t="shared" si="0"/>
        <v>568.5</v>
      </c>
      <c r="Q56" s="572"/>
      <c r="R56" s="264"/>
      <c r="S56" s="563"/>
      <c r="T56" s="563"/>
      <c r="U56" s="563"/>
      <c r="V56" s="563"/>
      <c r="W56" s="563"/>
    </row>
    <row r="57" spans="1:23" x14ac:dyDescent="0.3">
      <c r="A57" s="745" t="s">
        <v>402</v>
      </c>
      <c r="B57" s="797">
        <v>0</v>
      </c>
      <c r="C57" s="797">
        <v>0</v>
      </c>
      <c r="D57" s="797">
        <v>0</v>
      </c>
      <c r="E57" s="797">
        <v>0</v>
      </c>
      <c r="F57" s="797">
        <v>0</v>
      </c>
      <c r="G57" s="797">
        <v>465</v>
      </c>
      <c r="H57" s="797">
        <v>158</v>
      </c>
      <c r="I57" s="797">
        <v>409.5</v>
      </c>
      <c r="J57" s="797">
        <v>275.25</v>
      </c>
      <c r="K57" s="797">
        <v>0</v>
      </c>
      <c r="L57" s="797">
        <v>0</v>
      </c>
      <c r="M57" s="797">
        <v>0</v>
      </c>
      <c r="N57" s="430">
        <f t="shared" si="0"/>
        <v>1307.75</v>
      </c>
      <c r="Q57" s="572"/>
      <c r="R57" s="110"/>
      <c r="S57" s="563"/>
      <c r="T57" s="563"/>
      <c r="U57" s="563"/>
      <c r="V57" s="563"/>
      <c r="W57" s="563"/>
    </row>
    <row r="58" spans="1:23" x14ac:dyDescent="0.3">
      <c r="A58" s="745" t="s">
        <v>403</v>
      </c>
      <c r="B58" s="797">
        <v>0</v>
      </c>
      <c r="C58" s="797">
        <v>0</v>
      </c>
      <c r="D58" s="797">
        <v>0</v>
      </c>
      <c r="E58" s="797">
        <v>0</v>
      </c>
      <c r="F58" s="797">
        <v>0</v>
      </c>
      <c r="G58" s="797">
        <v>847.5</v>
      </c>
      <c r="H58" s="797">
        <v>368</v>
      </c>
      <c r="I58" s="797">
        <v>194.25</v>
      </c>
      <c r="J58" s="797">
        <v>7</v>
      </c>
      <c r="K58" s="797">
        <v>407</v>
      </c>
      <c r="L58" s="797">
        <v>90</v>
      </c>
      <c r="M58" s="797">
        <v>0</v>
      </c>
      <c r="N58" s="430">
        <f t="shared" si="0"/>
        <v>1913.75</v>
      </c>
      <c r="Q58" s="580"/>
      <c r="R58" s="110"/>
      <c r="S58" s="563"/>
      <c r="T58" s="563"/>
      <c r="U58" s="563"/>
      <c r="V58" s="563"/>
      <c r="W58" s="563"/>
    </row>
    <row r="59" spans="1:23" x14ac:dyDescent="0.3">
      <c r="A59" s="745" t="s">
        <v>404</v>
      </c>
      <c r="B59" s="797">
        <v>0</v>
      </c>
      <c r="C59" s="797">
        <v>0</v>
      </c>
      <c r="D59" s="797">
        <v>0</v>
      </c>
      <c r="E59" s="797">
        <v>0</v>
      </c>
      <c r="F59" s="797">
        <v>765</v>
      </c>
      <c r="G59" s="797">
        <v>1487.5</v>
      </c>
      <c r="H59" s="797">
        <v>2082.5</v>
      </c>
      <c r="I59" s="797">
        <v>1260</v>
      </c>
      <c r="J59" s="797">
        <v>1218</v>
      </c>
      <c r="K59" s="797">
        <v>966</v>
      </c>
      <c r="L59" s="797">
        <v>0</v>
      </c>
      <c r="M59" s="797">
        <v>0</v>
      </c>
      <c r="N59" s="430">
        <f t="shared" si="0"/>
        <v>7779</v>
      </c>
      <c r="Q59" s="572"/>
      <c r="R59" s="110"/>
      <c r="S59" s="563"/>
      <c r="T59" s="563"/>
      <c r="U59" s="563"/>
      <c r="V59" s="563"/>
      <c r="W59" s="563"/>
    </row>
    <row r="60" spans="1:23" x14ac:dyDescent="0.3">
      <c r="A60" s="745" t="s">
        <v>405</v>
      </c>
      <c r="B60" s="797">
        <v>0</v>
      </c>
      <c r="C60" s="797">
        <v>0</v>
      </c>
      <c r="D60" s="797">
        <v>0</v>
      </c>
      <c r="E60" s="797">
        <v>225</v>
      </c>
      <c r="F60" s="797">
        <v>62.5</v>
      </c>
      <c r="G60" s="797">
        <v>484.5</v>
      </c>
      <c r="H60" s="797">
        <v>1071</v>
      </c>
      <c r="I60" s="797">
        <v>750.16</v>
      </c>
      <c r="J60" s="797">
        <v>725.15</v>
      </c>
      <c r="K60" s="797">
        <v>275.06</v>
      </c>
      <c r="L60" s="797">
        <v>225.05</v>
      </c>
      <c r="M60" s="797">
        <v>0</v>
      </c>
      <c r="N60" s="414">
        <f t="shared" si="0"/>
        <v>3818.42</v>
      </c>
      <c r="Q60" s="578"/>
      <c r="R60" s="579"/>
      <c r="S60" s="563"/>
      <c r="T60" s="563"/>
      <c r="U60" s="563"/>
      <c r="V60" s="563"/>
      <c r="W60" s="563"/>
    </row>
    <row r="61" spans="1:23" x14ac:dyDescent="0.3">
      <c r="A61" s="745" t="s">
        <v>406</v>
      </c>
      <c r="B61" s="797">
        <v>1795.5</v>
      </c>
      <c r="C61" s="797">
        <v>1023.75</v>
      </c>
      <c r="D61" s="797">
        <v>1495.25</v>
      </c>
      <c r="E61" s="797">
        <v>3092.25</v>
      </c>
      <c r="F61" s="797">
        <v>5300.88</v>
      </c>
      <c r="G61" s="797">
        <v>4473.6899999999996</v>
      </c>
      <c r="H61" s="797">
        <v>8225.94</v>
      </c>
      <c r="I61" s="797">
        <v>1630</v>
      </c>
      <c r="J61" s="797">
        <v>977.88</v>
      </c>
      <c r="K61" s="797">
        <v>2751.75</v>
      </c>
      <c r="L61" s="797">
        <v>1891</v>
      </c>
      <c r="M61" s="797">
        <v>2989.25</v>
      </c>
      <c r="N61" s="431">
        <f t="shared" si="0"/>
        <v>35647.14</v>
      </c>
      <c r="Q61" s="18"/>
    </row>
    <row r="62" spans="1:23" x14ac:dyDescent="0.3">
      <c r="A62" s="745" t="s">
        <v>760</v>
      </c>
      <c r="B62" s="867">
        <v>3291.75</v>
      </c>
      <c r="C62" s="867">
        <v>2855.75</v>
      </c>
      <c r="D62" s="867">
        <v>3040</v>
      </c>
      <c r="E62" s="867">
        <v>3134.25</v>
      </c>
      <c r="F62" s="867">
        <v>8199.81</v>
      </c>
      <c r="G62" s="867">
        <v>10525.29</v>
      </c>
      <c r="H62" s="867">
        <v>12570.5</v>
      </c>
      <c r="I62" s="797">
        <v>5768.08</v>
      </c>
      <c r="J62" s="797">
        <v>4927.25</v>
      </c>
      <c r="K62" s="797">
        <v>4681.75</v>
      </c>
      <c r="L62" s="797">
        <v>3291.75</v>
      </c>
      <c r="M62" s="797">
        <v>3204.5</v>
      </c>
      <c r="N62" s="431">
        <f t="shared" si="0"/>
        <v>65490.68</v>
      </c>
      <c r="O62" s="710" t="s">
        <v>616</v>
      </c>
      <c r="P62" s="416"/>
      <c r="Q62" s="416"/>
      <c r="R62" s="581"/>
    </row>
    <row r="63" spans="1:23" x14ac:dyDescent="0.3">
      <c r="A63" s="745" t="s">
        <v>407</v>
      </c>
      <c r="B63" s="797">
        <v>0</v>
      </c>
      <c r="C63" s="797">
        <v>0</v>
      </c>
      <c r="D63" s="797">
        <v>0</v>
      </c>
      <c r="E63" s="797">
        <v>0</v>
      </c>
      <c r="F63" s="797">
        <v>209</v>
      </c>
      <c r="G63" s="797">
        <v>0</v>
      </c>
      <c r="H63" s="797">
        <v>0</v>
      </c>
      <c r="I63" s="797">
        <v>0</v>
      </c>
      <c r="J63" s="797">
        <v>0</v>
      </c>
      <c r="K63" s="797">
        <v>0</v>
      </c>
      <c r="L63" s="797">
        <v>0</v>
      </c>
      <c r="M63" s="797">
        <v>0</v>
      </c>
      <c r="N63" s="431">
        <f t="shared" si="0"/>
        <v>209</v>
      </c>
      <c r="O63" s="711"/>
      <c r="P63" s="417" t="s">
        <v>614</v>
      </c>
      <c r="Q63" s="582">
        <f>SUM(N45:N60)</f>
        <v>257510.81</v>
      </c>
      <c r="R63" s="583">
        <f>SUM(Q63/Q65)</f>
        <v>0.5695621385671692</v>
      </c>
    </row>
    <row r="64" spans="1:23" x14ac:dyDescent="0.3">
      <c r="A64" s="745" t="s">
        <v>408</v>
      </c>
      <c r="B64" s="797">
        <v>190</v>
      </c>
      <c r="C64" s="797">
        <v>171</v>
      </c>
      <c r="D64" s="797">
        <v>133</v>
      </c>
      <c r="E64" s="797">
        <v>266</v>
      </c>
      <c r="F64" s="797">
        <v>323</v>
      </c>
      <c r="G64" s="797">
        <v>772.5</v>
      </c>
      <c r="H64" s="797">
        <v>473</v>
      </c>
      <c r="I64" s="797">
        <v>123.5</v>
      </c>
      <c r="J64" s="797">
        <v>171</v>
      </c>
      <c r="K64" s="797">
        <v>128.25</v>
      </c>
      <c r="L64" s="797">
        <v>142.5</v>
      </c>
      <c r="M64" s="797">
        <v>192</v>
      </c>
      <c r="N64" s="431">
        <f t="shared" ref="N64:N116" si="5">SUM(B64:M64)</f>
        <v>3085.75</v>
      </c>
      <c r="O64" s="711"/>
      <c r="P64" s="417" t="s">
        <v>615</v>
      </c>
      <c r="Q64" s="584">
        <f>SUM(N61:N66)</f>
        <v>194609.85</v>
      </c>
      <c r="R64" s="583">
        <f>SUM(Q64/Q65)</f>
        <v>0.43043786143283075</v>
      </c>
    </row>
    <row r="65" spans="1:18" x14ac:dyDescent="0.3">
      <c r="A65" s="745" t="s">
        <v>409</v>
      </c>
      <c r="B65" s="797">
        <v>2607.75</v>
      </c>
      <c r="C65" s="797">
        <v>1990.25</v>
      </c>
      <c r="D65" s="797">
        <v>1976</v>
      </c>
      <c r="E65" s="797">
        <v>1876.25</v>
      </c>
      <c r="F65" s="797">
        <v>1686.25</v>
      </c>
      <c r="G65" s="797">
        <v>1778.88</v>
      </c>
      <c r="H65" s="797">
        <v>3330</v>
      </c>
      <c r="I65" s="797">
        <v>1919</v>
      </c>
      <c r="J65" s="797">
        <v>2151.7600000000002</v>
      </c>
      <c r="K65" s="797">
        <v>2097.13</v>
      </c>
      <c r="L65" s="797">
        <v>2161.25</v>
      </c>
      <c r="M65" s="797">
        <v>1352</v>
      </c>
      <c r="N65" s="431">
        <f t="shared" si="5"/>
        <v>24926.52</v>
      </c>
      <c r="O65" s="711"/>
      <c r="P65" s="418"/>
      <c r="Q65" s="582">
        <f>SUM(Q63:Q64)</f>
        <v>452120.66000000003</v>
      </c>
      <c r="R65" s="585"/>
    </row>
    <row r="66" spans="1:18" x14ac:dyDescent="0.3">
      <c r="A66" s="745" t="s">
        <v>410</v>
      </c>
      <c r="B66" s="797">
        <v>6678.75</v>
      </c>
      <c r="C66" s="797">
        <v>5200</v>
      </c>
      <c r="D66" s="797">
        <v>5200</v>
      </c>
      <c r="E66" s="797">
        <v>5200</v>
      </c>
      <c r="F66" s="797">
        <v>5200</v>
      </c>
      <c r="G66" s="797">
        <v>5265</v>
      </c>
      <c r="H66" s="797">
        <v>7800</v>
      </c>
      <c r="I66" s="797">
        <v>5200</v>
      </c>
      <c r="J66" s="797">
        <v>5200</v>
      </c>
      <c r="K66" s="797">
        <v>4493.13</v>
      </c>
      <c r="L66" s="797">
        <v>4801.88</v>
      </c>
      <c r="M66" s="797">
        <v>5012</v>
      </c>
      <c r="N66" s="741">
        <f t="shared" si="5"/>
        <v>65250.759999999995</v>
      </c>
      <c r="O66" s="711"/>
      <c r="P66" s="418"/>
      <c r="Q66" s="418"/>
      <c r="R66" s="585"/>
    </row>
    <row r="67" spans="1:18" x14ac:dyDescent="0.3">
      <c r="A67" s="745" t="s">
        <v>411</v>
      </c>
      <c r="B67" s="797">
        <v>0</v>
      </c>
      <c r="C67" s="797">
        <v>0</v>
      </c>
      <c r="D67" s="797">
        <v>0</v>
      </c>
      <c r="E67" s="797">
        <v>0</v>
      </c>
      <c r="F67" s="797">
        <v>0</v>
      </c>
      <c r="G67" s="797">
        <v>50000</v>
      </c>
      <c r="H67" s="797">
        <v>0</v>
      </c>
      <c r="I67" s="797">
        <v>50000</v>
      </c>
      <c r="J67" s="797">
        <v>0</v>
      </c>
      <c r="K67" s="797">
        <v>0</v>
      </c>
      <c r="L67" s="797">
        <v>0</v>
      </c>
      <c r="M67" s="797">
        <v>0</v>
      </c>
      <c r="N67" s="742">
        <f t="shared" si="5"/>
        <v>100000</v>
      </c>
      <c r="O67" s="711"/>
      <c r="P67" s="418" t="s">
        <v>613</v>
      </c>
      <c r="Q67" s="586">
        <f>SUM(N68*R63)</f>
        <v>20676.102363730733</v>
      </c>
      <c r="R67" s="585"/>
    </row>
    <row r="68" spans="1:18" x14ac:dyDescent="0.3">
      <c r="A68" s="745" t="s">
        <v>713</v>
      </c>
      <c r="B68" s="797">
        <v>4245.38</v>
      </c>
      <c r="C68" s="797">
        <v>4842.25</v>
      </c>
      <c r="D68" s="797">
        <v>4089.88</v>
      </c>
      <c r="E68" s="797">
        <v>2925</v>
      </c>
      <c r="F68" s="797">
        <v>1156</v>
      </c>
      <c r="G68" s="797">
        <v>33.25</v>
      </c>
      <c r="H68" s="797">
        <v>868.75</v>
      </c>
      <c r="I68" s="797">
        <v>285</v>
      </c>
      <c r="J68" s="797">
        <v>365</v>
      </c>
      <c r="K68" s="797">
        <v>9069.35</v>
      </c>
      <c r="L68" s="797">
        <v>972.17</v>
      </c>
      <c r="M68" s="797">
        <v>7449.72</v>
      </c>
      <c r="N68" s="430">
        <f t="shared" si="5"/>
        <v>36301.75</v>
      </c>
      <c r="O68" s="711"/>
      <c r="P68" s="418" t="s">
        <v>8</v>
      </c>
      <c r="Q68" s="587">
        <f>SUM(N68*R64)</f>
        <v>15625.647636269263</v>
      </c>
      <c r="R68" s="585"/>
    </row>
    <row r="69" spans="1:18" x14ac:dyDescent="0.3">
      <c r="A69" s="745" t="s">
        <v>412</v>
      </c>
      <c r="B69" s="797">
        <v>31.2</v>
      </c>
      <c r="C69" s="797">
        <v>22.8</v>
      </c>
      <c r="D69" s="797">
        <v>22.8</v>
      </c>
      <c r="E69" s="797">
        <v>24</v>
      </c>
      <c r="F69" s="797">
        <v>32</v>
      </c>
      <c r="G69" s="797">
        <v>22.8</v>
      </c>
      <c r="H69" s="797">
        <v>40.799999999999997</v>
      </c>
      <c r="I69" s="797">
        <v>21.6</v>
      </c>
      <c r="J69" s="797">
        <v>22.8</v>
      </c>
      <c r="K69" s="797">
        <v>20.399999999999999</v>
      </c>
      <c r="L69" s="797">
        <v>22.8</v>
      </c>
      <c r="M69" s="797">
        <v>18</v>
      </c>
      <c r="N69" s="743">
        <f t="shared" si="5"/>
        <v>302.00000000000006</v>
      </c>
      <c r="O69" s="711"/>
      <c r="P69" s="418"/>
      <c r="Q69" s="588">
        <f>SUM(Q67:Q68)</f>
        <v>36301.75</v>
      </c>
      <c r="R69" s="585"/>
    </row>
    <row r="70" spans="1:18" x14ac:dyDescent="0.3">
      <c r="A70" s="745" t="s">
        <v>413</v>
      </c>
      <c r="B70" s="797">
        <v>2576.94</v>
      </c>
      <c r="C70" s="797">
        <v>2576.94</v>
      </c>
      <c r="D70" s="797">
        <v>2576.94</v>
      </c>
      <c r="E70" s="797">
        <v>2576.94</v>
      </c>
      <c r="F70" s="797">
        <v>2576.94</v>
      </c>
      <c r="G70" s="797">
        <v>2576.94</v>
      </c>
      <c r="H70" s="797">
        <v>2680.64</v>
      </c>
      <c r="I70" s="797">
        <v>2232.64</v>
      </c>
      <c r="J70" s="797">
        <v>2451.04</v>
      </c>
      <c r="K70" s="797">
        <v>2232.64</v>
      </c>
      <c r="L70" s="797">
        <v>2588.14</v>
      </c>
      <c r="M70" s="797">
        <v>2332.02</v>
      </c>
      <c r="N70" s="432">
        <f t="shared" si="5"/>
        <v>29978.760000000002</v>
      </c>
      <c r="O70" s="712"/>
      <c r="P70" s="415"/>
      <c r="Q70" s="415"/>
      <c r="R70" s="589"/>
    </row>
    <row r="71" spans="1:18" x14ac:dyDescent="0.3">
      <c r="A71" s="745" t="s">
        <v>414</v>
      </c>
      <c r="B71" s="797">
        <v>1126.22</v>
      </c>
      <c r="C71" s="797">
        <v>1126.22</v>
      </c>
      <c r="D71" s="797">
        <v>1126.22</v>
      </c>
      <c r="E71" s="797">
        <v>1126.22</v>
      </c>
      <c r="F71" s="797">
        <v>1126.22</v>
      </c>
      <c r="G71" s="797">
        <v>1126.22</v>
      </c>
      <c r="H71" s="797">
        <v>1022.52</v>
      </c>
      <c r="I71" s="797">
        <v>1507.14</v>
      </c>
      <c r="J71" s="797">
        <v>1288.74</v>
      </c>
      <c r="K71" s="797">
        <v>1077.56</v>
      </c>
      <c r="L71" s="797">
        <v>1240.92</v>
      </c>
      <c r="M71" s="797">
        <v>748.1</v>
      </c>
      <c r="N71" s="432">
        <f t="shared" si="5"/>
        <v>13642.3</v>
      </c>
    </row>
    <row r="72" spans="1:18" x14ac:dyDescent="0.3">
      <c r="A72" s="745" t="s">
        <v>415</v>
      </c>
      <c r="B72" s="797">
        <v>103.7</v>
      </c>
      <c r="C72" s="797">
        <v>103.7</v>
      </c>
      <c r="D72" s="797">
        <v>103.7</v>
      </c>
      <c r="E72" s="797">
        <v>103.7</v>
      </c>
      <c r="F72" s="797">
        <v>103.7</v>
      </c>
      <c r="G72" s="797">
        <v>103.7</v>
      </c>
      <c r="H72" s="797">
        <v>103.7</v>
      </c>
      <c r="I72" s="797">
        <v>54.6</v>
      </c>
      <c r="J72" s="797">
        <v>54.6</v>
      </c>
      <c r="K72" s="797">
        <v>54.6</v>
      </c>
      <c r="L72" s="797">
        <v>54.6</v>
      </c>
      <c r="M72" s="797">
        <v>123.7</v>
      </c>
      <c r="N72" s="432">
        <f t="shared" si="5"/>
        <v>1068.0000000000002</v>
      </c>
    </row>
    <row r="73" spans="1:18" x14ac:dyDescent="0.3">
      <c r="A73" s="745" t="s">
        <v>416</v>
      </c>
      <c r="B73" s="797">
        <v>2310.0300000000002</v>
      </c>
      <c r="C73" s="797">
        <v>1775.08</v>
      </c>
      <c r="D73" s="797">
        <v>1715.14</v>
      </c>
      <c r="E73" s="797">
        <v>1984.25</v>
      </c>
      <c r="F73" s="797">
        <v>2975.08</v>
      </c>
      <c r="G73" s="797">
        <v>7590.57</v>
      </c>
      <c r="H73" s="797">
        <v>6168.97</v>
      </c>
      <c r="I73" s="797">
        <v>7842.39</v>
      </c>
      <c r="J73" s="797">
        <v>3921.5</v>
      </c>
      <c r="K73" s="797">
        <v>3439.2</v>
      </c>
      <c r="L73" s="797">
        <v>1778.47</v>
      </c>
      <c r="M73" s="797">
        <v>2166.8200000000002</v>
      </c>
      <c r="N73" s="432">
        <f t="shared" si="5"/>
        <v>43667.5</v>
      </c>
    </row>
    <row r="74" spans="1:18" x14ac:dyDescent="0.3">
      <c r="A74" s="745" t="s">
        <v>417</v>
      </c>
      <c r="B74" s="797">
        <v>726.79</v>
      </c>
      <c r="C74" s="797">
        <v>541.91</v>
      </c>
      <c r="D74" s="797">
        <v>526.6</v>
      </c>
      <c r="E74" s="797">
        <v>595.20000000000005</v>
      </c>
      <c r="F74" s="797">
        <v>869.06</v>
      </c>
      <c r="G74" s="797">
        <v>986.36</v>
      </c>
      <c r="H74" s="797">
        <v>1585.73</v>
      </c>
      <c r="I74" s="797">
        <v>1212.8900000000001</v>
      </c>
      <c r="J74" s="797">
        <v>1167.22</v>
      </c>
      <c r="K74" s="797">
        <v>910.67</v>
      </c>
      <c r="L74" s="797">
        <v>395.82</v>
      </c>
      <c r="M74" s="797">
        <v>225.33</v>
      </c>
      <c r="N74" s="432">
        <f t="shared" si="5"/>
        <v>9743.58</v>
      </c>
    </row>
    <row r="75" spans="1:18" x14ac:dyDescent="0.3">
      <c r="A75" s="745" t="s">
        <v>418</v>
      </c>
      <c r="B75" s="797">
        <v>183.39</v>
      </c>
      <c r="C75" s="797">
        <v>70.489999999999995</v>
      </c>
      <c r="D75" s="797">
        <v>28.8</v>
      </c>
      <c r="E75" s="797">
        <v>50.27</v>
      </c>
      <c r="F75" s="797">
        <v>74.81</v>
      </c>
      <c r="G75" s="797">
        <v>134.27000000000001</v>
      </c>
      <c r="H75" s="797">
        <v>207.48</v>
      </c>
      <c r="I75" s="797">
        <v>84.43</v>
      </c>
      <c r="J75" s="797">
        <v>55.87</v>
      </c>
      <c r="K75" s="797">
        <v>23.54</v>
      </c>
      <c r="L75" s="797">
        <v>10.11</v>
      </c>
      <c r="M75" s="797">
        <v>48.49</v>
      </c>
      <c r="N75" s="432">
        <f t="shared" si="5"/>
        <v>971.95</v>
      </c>
    </row>
    <row r="76" spans="1:18" x14ac:dyDescent="0.3">
      <c r="A76" s="745" t="s">
        <v>419</v>
      </c>
      <c r="B76" s="797">
        <v>0</v>
      </c>
      <c r="C76" s="797">
        <v>0</v>
      </c>
      <c r="D76" s="797">
        <v>0</v>
      </c>
      <c r="E76" s="797">
        <v>1683.53</v>
      </c>
      <c r="F76" s="797">
        <v>0</v>
      </c>
      <c r="G76" s="797">
        <v>0</v>
      </c>
      <c r="H76" s="797">
        <v>3657.59</v>
      </c>
      <c r="I76" s="797">
        <v>0</v>
      </c>
      <c r="J76" s="797">
        <v>0</v>
      </c>
      <c r="K76" s="797">
        <v>11569.51</v>
      </c>
      <c r="L76" s="797">
        <v>0</v>
      </c>
      <c r="M76" s="797">
        <v>3741.8</v>
      </c>
      <c r="N76" s="432">
        <f t="shared" si="5"/>
        <v>20652.43</v>
      </c>
    </row>
    <row r="77" spans="1:18" x14ac:dyDescent="0.3">
      <c r="A77" s="745" t="s">
        <v>420</v>
      </c>
      <c r="B77" s="797">
        <v>0</v>
      </c>
      <c r="C77" s="797">
        <v>0</v>
      </c>
      <c r="D77" s="797">
        <v>0</v>
      </c>
      <c r="E77" s="797">
        <v>-232.66</v>
      </c>
      <c r="F77" s="797">
        <v>0</v>
      </c>
      <c r="G77" s="797">
        <v>20</v>
      </c>
      <c r="H77" s="797">
        <v>0</v>
      </c>
      <c r="I77" s="797">
        <v>10</v>
      </c>
      <c r="J77" s="797">
        <v>0</v>
      </c>
      <c r="K77" s="797">
        <v>0</v>
      </c>
      <c r="L77" s="797">
        <v>0</v>
      </c>
      <c r="M77" s="797">
        <v>0</v>
      </c>
      <c r="N77" s="747">
        <f t="shared" si="5"/>
        <v>-202.66</v>
      </c>
    </row>
    <row r="78" spans="1:18" x14ac:dyDescent="0.3">
      <c r="A78" s="745" t="s">
        <v>325</v>
      </c>
      <c r="B78" s="797">
        <v>0</v>
      </c>
      <c r="C78" s="797">
        <v>0</v>
      </c>
      <c r="D78" s="797">
        <v>0</v>
      </c>
      <c r="E78" s="797">
        <v>0</v>
      </c>
      <c r="F78" s="797">
        <v>0</v>
      </c>
      <c r="G78" s="797">
        <v>0</v>
      </c>
      <c r="H78" s="797">
        <v>0</v>
      </c>
      <c r="I78" s="797">
        <v>0</v>
      </c>
      <c r="J78" s="797">
        <v>960.77</v>
      </c>
      <c r="K78" s="797">
        <v>173.46</v>
      </c>
      <c r="L78" s="797">
        <v>0</v>
      </c>
      <c r="M78" s="797">
        <v>0</v>
      </c>
      <c r="N78" s="744">
        <f t="shared" si="5"/>
        <v>1134.23</v>
      </c>
    </row>
    <row r="79" spans="1:18" x14ac:dyDescent="0.3">
      <c r="A79" s="745" t="s">
        <v>425</v>
      </c>
      <c r="B79" s="797">
        <v>0</v>
      </c>
      <c r="C79" s="797">
        <v>0</v>
      </c>
      <c r="D79" s="797">
        <v>0</v>
      </c>
      <c r="E79" s="797">
        <v>0</v>
      </c>
      <c r="F79" s="797">
        <v>21883.37</v>
      </c>
      <c r="G79" s="797">
        <v>19051.53</v>
      </c>
      <c r="H79" s="797">
        <v>20491.990000000002</v>
      </c>
      <c r="I79" s="797">
        <v>20907.3</v>
      </c>
      <c r="J79" s="797">
        <v>20816.03</v>
      </c>
      <c r="K79" s="797">
        <v>10561.66</v>
      </c>
      <c r="L79" s="797">
        <v>0</v>
      </c>
      <c r="M79" s="797">
        <v>0</v>
      </c>
      <c r="N79" s="744">
        <f t="shared" si="5"/>
        <v>113711.88</v>
      </c>
    </row>
    <row r="80" spans="1:18" x14ac:dyDescent="0.3">
      <c r="A80" s="745" t="s">
        <v>426</v>
      </c>
      <c r="B80" s="797">
        <v>8441.59</v>
      </c>
      <c r="C80" s="797">
        <v>7861.42</v>
      </c>
      <c r="D80" s="797">
        <v>8997.5</v>
      </c>
      <c r="E80" s="797">
        <v>16369.64</v>
      </c>
      <c r="F80" s="797">
        <v>3302.91</v>
      </c>
      <c r="G80" s="797">
        <v>14371.55</v>
      </c>
      <c r="H80" s="797">
        <v>24896.97</v>
      </c>
      <c r="I80" s="797">
        <v>24661.37</v>
      </c>
      <c r="J80" s="797">
        <v>18724.97</v>
      </c>
      <c r="K80" s="797">
        <v>9503.84</v>
      </c>
      <c r="L80" s="797">
        <v>12566.46</v>
      </c>
      <c r="M80" s="797">
        <v>12299.36</v>
      </c>
      <c r="N80" s="744">
        <f t="shared" si="5"/>
        <v>161997.58000000002</v>
      </c>
    </row>
    <row r="81" spans="1:17" x14ac:dyDescent="0.3">
      <c r="A81" s="677" t="s">
        <v>427</v>
      </c>
      <c r="B81" s="797">
        <v>0</v>
      </c>
      <c r="C81" s="797">
        <v>0</v>
      </c>
      <c r="D81" s="797">
        <v>0</v>
      </c>
      <c r="E81" s="797">
        <v>0</v>
      </c>
      <c r="F81" s="797">
        <v>0</v>
      </c>
      <c r="G81" s="797">
        <v>0</v>
      </c>
      <c r="H81" s="797">
        <v>0</v>
      </c>
      <c r="I81" s="797">
        <v>0</v>
      </c>
      <c r="J81" s="797">
        <v>0</v>
      </c>
      <c r="K81" s="797">
        <v>0</v>
      </c>
      <c r="L81" s="797">
        <v>0</v>
      </c>
      <c r="M81" s="797">
        <v>0</v>
      </c>
      <c r="N81" s="744">
        <f t="shared" si="5"/>
        <v>0</v>
      </c>
      <c r="O81" s="1220">
        <f>+N81+N80+N79+N78</f>
        <v>276843.69</v>
      </c>
    </row>
    <row r="82" spans="1:17" x14ac:dyDescent="0.3">
      <c r="A82" s="745" t="s">
        <v>428</v>
      </c>
      <c r="B82" s="797">
        <v>0</v>
      </c>
      <c r="C82" s="797">
        <v>0</v>
      </c>
      <c r="D82" s="797">
        <v>0</v>
      </c>
      <c r="E82" s="797">
        <v>1392.57</v>
      </c>
      <c r="F82" s="797">
        <v>958.62</v>
      </c>
      <c r="G82" s="797">
        <v>0</v>
      </c>
      <c r="H82" s="797">
        <v>0</v>
      </c>
      <c r="I82" s="797">
        <v>1375.58</v>
      </c>
      <c r="J82" s="797">
        <v>2813.59</v>
      </c>
      <c r="K82" s="797">
        <v>1852.78</v>
      </c>
      <c r="L82" s="797">
        <v>10</v>
      </c>
      <c r="M82" s="797">
        <v>0</v>
      </c>
      <c r="N82" s="744">
        <f t="shared" si="5"/>
        <v>8403.1400000000012</v>
      </c>
    </row>
    <row r="83" spans="1:17" x14ac:dyDescent="0.3">
      <c r="A83" s="745" t="s">
        <v>429</v>
      </c>
      <c r="B83" s="797">
        <v>206.76</v>
      </c>
      <c r="C83" s="797">
        <v>291.61</v>
      </c>
      <c r="D83" s="797">
        <v>376.4</v>
      </c>
      <c r="E83" s="797">
        <v>277.16000000000003</v>
      </c>
      <c r="F83" s="797">
        <v>429.8</v>
      </c>
      <c r="G83" s="797">
        <v>316.42</v>
      </c>
      <c r="H83" s="797">
        <v>186.94</v>
      </c>
      <c r="I83" s="797">
        <v>458.39</v>
      </c>
      <c r="J83" s="797">
        <v>837.55</v>
      </c>
      <c r="K83" s="797">
        <v>546.1</v>
      </c>
      <c r="L83" s="797">
        <v>304.35000000000002</v>
      </c>
      <c r="M83" s="797">
        <v>346.42</v>
      </c>
      <c r="N83" s="743">
        <f t="shared" si="5"/>
        <v>4577.8999999999996</v>
      </c>
    </row>
    <row r="84" spans="1:17" x14ac:dyDescent="0.3">
      <c r="A84" s="745" t="s">
        <v>326</v>
      </c>
      <c r="B84" s="797">
        <v>258.58999999999997</v>
      </c>
      <c r="C84" s="797">
        <v>0</v>
      </c>
      <c r="D84" s="797">
        <v>0</v>
      </c>
      <c r="E84" s="797">
        <v>0</v>
      </c>
      <c r="F84" s="797">
        <v>0</v>
      </c>
      <c r="G84" s="797">
        <v>0</v>
      </c>
      <c r="H84" s="797">
        <v>0</v>
      </c>
      <c r="I84" s="797">
        <v>0</v>
      </c>
      <c r="J84" s="797">
        <v>28.12</v>
      </c>
      <c r="K84" s="797">
        <v>0</v>
      </c>
      <c r="L84" s="797">
        <v>16.190000000000001</v>
      </c>
      <c r="M84" s="797">
        <v>0</v>
      </c>
      <c r="N84" s="433">
        <f t="shared" si="5"/>
        <v>302.89999999999998</v>
      </c>
    </row>
    <row r="85" spans="1:17" x14ac:dyDescent="0.3">
      <c r="A85" s="745" t="s">
        <v>430</v>
      </c>
      <c r="B85" s="797">
        <v>0</v>
      </c>
      <c r="C85" s="797">
        <v>0</v>
      </c>
      <c r="D85" s="797">
        <v>132.4</v>
      </c>
      <c r="E85" s="797">
        <v>523.49</v>
      </c>
      <c r="F85" s="797">
        <v>222.08</v>
      </c>
      <c r="G85" s="797">
        <v>0</v>
      </c>
      <c r="H85" s="797">
        <v>145.41</v>
      </c>
      <c r="I85" s="797">
        <v>1246.6400000000001</v>
      </c>
      <c r="J85" s="797">
        <v>80.98</v>
      </c>
      <c r="K85" s="797">
        <v>889.47</v>
      </c>
      <c r="L85" s="797">
        <v>15.69</v>
      </c>
      <c r="M85" s="797">
        <v>0</v>
      </c>
      <c r="N85" s="433">
        <f t="shared" si="5"/>
        <v>3256.1600000000003</v>
      </c>
    </row>
    <row r="86" spans="1:17" x14ac:dyDescent="0.3">
      <c r="A86" s="745" t="s">
        <v>431</v>
      </c>
      <c r="B86" s="797">
        <v>369.51</v>
      </c>
      <c r="C86" s="797">
        <v>119.57</v>
      </c>
      <c r="D86" s="797">
        <v>459.57</v>
      </c>
      <c r="E86" s="797">
        <v>132.16999999999999</v>
      </c>
      <c r="F86" s="797">
        <v>16.2</v>
      </c>
      <c r="G86" s="797">
        <v>830.04</v>
      </c>
      <c r="H86" s="797">
        <v>7008.25</v>
      </c>
      <c r="I86" s="797">
        <v>1057.26</v>
      </c>
      <c r="J86" s="797">
        <v>320</v>
      </c>
      <c r="K86" s="797">
        <v>2474.8000000000002</v>
      </c>
      <c r="L86" s="797">
        <v>1712.28</v>
      </c>
      <c r="M86" s="797">
        <v>789.3</v>
      </c>
      <c r="N86" s="433">
        <f t="shared" si="5"/>
        <v>15288.949999999999</v>
      </c>
    </row>
    <row r="87" spans="1:17" x14ac:dyDescent="0.3">
      <c r="A87" s="745" t="s">
        <v>432</v>
      </c>
      <c r="B87" s="797">
        <v>0</v>
      </c>
      <c r="C87" s="797">
        <v>0</v>
      </c>
      <c r="D87" s="797">
        <v>0</v>
      </c>
      <c r="E87" s="797">
        <v>0</v>
      </c>
      <c r="F87" s="797">
        <v>0</v>
      </c>
      <c r="G87" s="797">
        <v>0</v>
      </c>
      <c r="H87" s="797">
        <v>0</v>
      </c>
      <c r="I87" s="797">
        <v>0</v>
      </c>
      <c r="J87" s="797">
        <v>0</v>
      </c>
      <c r="K87" s="797">
        <v>742.69</v>
      </c>
      <c r="L87" s="797">
        <v>0</v>
      </c>
      <c r="M87" s="797">
        <v>0</v>
      </c>
      <c r="N87" s="433">
        <f t="shared" si="5"/>
        <v>742.69</v>
      </c>
    </row>
    <row r="88" spans="1:17" x14ac:dyDescent="0.3">
      <c r="A88" s="745" t="s">
        <v>433</v>
      </c>
      <c r="B88" s="797">
        <v>425.53</v>
      </c>
      <c r="C88" s="797">
        <v>0</v>
      </c>
      <c r="D88" s="797">
        <v>12.96</v>
      </c>
      <c r="E88" s="797">
        <v>602.5</v>
      </c>
      <c r="F88" s="797">
        <v>96.45</v>
      </c>
      <c r="G88" s="797">
        <v>0</v>
      </c>
      <c r="H88" s="797">
        <v>0</v>
      </c>
      <c r="I88" s="797">
        <v>1396.18</v>
      </c>
      <c r="J88" s="797">
        <v>768.37</v>
      </c>
      <c r="K88" s="797">
        <v>17.3</v>
      </c>
      <c r="L88" s="797">
        <v>8201.27</v>
      </c>
      <c r="M88" s="797">
        <v>1946.83</v>
      </c>
      <c r="N88" s="448">
        <f t="shared" si="5"/>
        <v>13467.390000000001</v>
      </c>
      <c r="Q88" s="310"/>
    </row>
    <row r="89" spans="1:17" x14ac:dyDescent="0.3">
      <c r="A89" s="745" t="s">
        <v>434</v>
      </c>
      <c r="B89" s="797">
        <v>261.07</v>
      </c>
      <c r="C89" s="797">
        <v>0</v>
      </c>
      <c r="D89" s="797">
        <v>169.16</v>
      </c>
      <c r="E89" s="797">
        <v>113.61</v>
      </c>
      <c r="F89" s="797">
        <v>0</v>
      </c>
      <c r="G89" s="797">
        <v>0</v>
      </c>
      <c r="H89" s="797">
        <v>0</v>
      </c>
      <c r="I89" s="797">
        <v>160.15</v>
      </c>
      <c r="J89" s="797">
        <v>12856.1</v>
      </c>
      <c r="K89" s="797">
        <v>95.46</v>
      </c>
      <c r="L89" s="797">
        <v>0</v>
      </c>
      <c r="M89" s="797">
        <v>214.24</v>
      </c>
      <c r="N89" s="448">
        <f t="shared" si="5"/>
        <v>13869.789999999999</v>
      </c>
    </row>
    <row r="90" spans="1:17" x14ac:dyDescent="0.3">
      <c r="A90" s="745" t="s">
        <v>435</v>
      </c>
      <c r="B90" s="797">
        <v>67.78</v>
      </c>
      <c r="C90" s="797">
        <v>561.61</v>
      </c>
      <c r="D90" s="797">
        <v>4732.79</v>
      </c>
      <c r="E90" s="797">
        <v>0</v>
      </c>
      <c r="F90" s="797">
        <v>21.42</v>
      </c>
      <c r="G90" s="797">
        <v>8.5</v>
      </c>
      <c r="H90" s="797">
        <v>1316.27</v>
      </c>
      <c r="I90" s="797">
        <v>181.77</v>
      </c>
      <c r="J90" s="797">
        <v>0</v>
      </c>
      <c r="K90" s="797">
        <v>0</v>
      </c>
      <c r="L90" s="797">
        <v>20</v>
      </c>
      <c r="M90" s="797">
        <v>0</v>
      </c>
      <c r="N90" s="448">
        <f t="shared" si="5"/>
        <v>6910.1400000000012</v>
      </c>
    </row>
    <row r="91" spans="1:17" x14ac:dyDescent="0.3">
      <c r="A91" s="745" t="s">
        <v>436</v>
      </c>
      <c r="B91" s="797">
        <v>0</v>
      </c>
      <c r="C91" s="797">
        <v>0</v>
      </c>
      <c r="D91" s="797">
        <v>783.83</v>
      </c>
      <c r="E91" s="797">
        <v>0</v>
      </c>
      <c r="F91" s="797">
        <v>0</v>
      </c>
      <c r="G91" s="797">
        <v>33.159999999999997</v>
      </c>
      <c r="H91" s="797">
        <v>829.77</v>
      </c>
      <c r="I91" s="797">
        <v>11.65</v>
      </c>
      <c r="J91" s="797">
        <v>115.57</v>
      </c>
      <c r="K91" s="797">
        <v>0</v>
      </c>
      <c r="L91" s="797">
        <v>0</v>
      </c>
      <c r="M91" s="797">
        <v>0</v>
      </c>
      <c r="N91" s="448">
        <f t="shared" si="5"/>
        <v>1773.98</v>
      </c>
    </row>
    <row r="92" spans="1:17" x14ac:dyDescent="0.3">
      <c r="A92" s="745" t="s">
        <v>437</v>
      </c>
      <c r="B92" s="797">
        <v>0</v>
      </c>
      <c r="C92" s="797">
        <v>0</v>
      </c>
      <c r="D92" s="797">
        <v>0</v>
      </c>
      <c r="E92" s="797">
        <v>2492.33</v>
      </c>
      <c r="F92" s="797">
        <v>0</v>
      </c>
      <c r="G92" s="797">
        <v>0</v>
      </c>
      <c r="H92" s="797">
        <v>0</v>
      </c>
      <c r="I92" s="797">
        <v>0</v>
      </c>
      <c r="J92" s="797">
        <v>0</v>
      </c>
      <c r="K92" s="797">
        <v>0</v>
      </c>
      <c r="L92" s="797">
        <v>262.77</v>
      </c>
      <c r="M92" s="797">
        <v>194.75</v>
      </c>
      <c r="N92" s="451">
        <f t="shared" si="5"/>
        <v>2949.85</v>
      </c>
    </row>
    <row r="93" spans="1:17" x14ac:dyDescent="0.3">
      <c r="A93" s="745" t="s">
        <v>438</v>
      </c>
      <c r="B93" s="797">
        <v>202.81</v>
      </c>
      <c r="C93" s="797">
        <v>0</v>
      </c>
      <c r="D93" s="797">
        <v>0</v>
      </c>
      <c r="E93" s="797">
        <v>72.489999999999995</v>
      </c>
      <c r="F93" s="797">
        <v>353.56</v>
      </c>
      <c r="G93" s="797">
        <v>145.44999999999999</v>
      </c>
      <c r="H93" s="797">
        <v>154.47999999999999</v>
      </c>
      <c r="I93" s="797">
        <v>86.21</v>
      </c>
      <c r="J93" s="797">
        <v>116.02</v>
      </c>
      <c r="K93" s="797">
        <v>20.56</v>
      </c>
      <c r="L93" s="797">
        <v>0</v>
      </c>
      <c r="M93" s="797">
        <v>0</v>
      </c>
      <c r="N93" s="434">
        <f t="shared" si="5"/>
        <v>1151.58</v>
      </c>
    </row>
    <row r="94" spans="1:17" x14ac:dyDescent="0.3">
      <c r="A94" s="745" t="s">
        <v>439</v>
      </c>
      <c r="B94" s="797">
        <v>202.81</v>
      </c>
      <c r="C94" s="797">
        <v>31.95</v>
      </c>
      <c r="D94" s="797">
        <v>32.25</v>
      </c>
      <c r="E94" s="797">
        <v>169.97</v>
      </c>
      <c r="F94" s="797">
        <v>312.3</v>
      </c>
      <c r="G94" s="797">
        <v>1865.39</v>
      </c>
      <c r="H94" s="797">
        <v>59.64</v>
      </c>
      <c r="I94" s="797">
        <v>0</v>
      </c>
      <c r="J94" s="797">
        <v>42.99</v>
      </c>
      <c r="K94" s="797">
        <v>442.28</v>
      </c>
      <c r="L94" s="797">
        <v>15.75</v>
      </c>
      <c r="M94" s="797">
        <v>17.25</v>
      </c>
      <c r="N94" s="434">
        <f t="shared" si="5"/>
        <v>3192.58</v>
      </c>
    </row>
    <row r="95" spans="1:17" x14ac:dyDescent="0.3">
      <c r="A95" s="745" t="s">
        <v>440</v>
      </c>
      <c r="B95" s="797">
        <v>0</v>
      </c>
      <c r="C95" s="797">
        <v>0</v>
      </c>
      <c r="D95" s="797">
        <v>0</v>
      </c>
      <c r="E95" s="797">
        <v>0</v>
      </c>
      <c r="F95" s="797">
        <v>0</v>
      </c>
      <c r="G95" s="797">
        <v>0</v>
      </c>
      <c r="H95" s="797">
        <v>0</v>
      </c>
      <c r="I95" s="797">
        <v>0</v>
      </c>
      <c r="J95" s="797">
        <v>0</v>
      </c>
      <c r="K95" s="797">
        <v>0</v>
      </c>
      <c r="L95" s="797">
        <v>0</v>
      </c>
      <c r="M95" s="797">
        <v>0</v>
      </c>
      <c r="N95" s="434">
        <f t="shared" si="5"/>
        <v>0</v>
      </c>
    </row>
    <row r="96" spans="1:17" x14ac:dyDescent="0.3">
      <c r="A96" s="745" t="s">
        <v>441</v>
      </c>
      <c r="B96" s="797">
        <v>0</v>
      </c>
      <c r="C96" s="797">
        <v>196.96</v>
      </c>
      <c r="D96" s="797">
        <v>39.700000000000003</v>
      </c>
      <c r="E96" s="797">
        <v>39.700000000000003</v>
      </c>
      <c r="F96" s="797">
        <v>275.69</v>
      </c>
      <c r="G96" s="797">
        <v>0</v>
      </c>
      <c r="H96" s="797">
        <v>111.78</v>
      </c>
      <c r="I96" s="797">
        <v>39.700000000000003</v>
      </c>
      <c r="J96" s="797">
        <v>337.27</v>
      </c>
      <c r="K96" s="797">
        <v>51.39</v>
      </c>
      <c r="L96" s="797">
        <v>20.56</v>
      </c>
      <c r="M96" s="797">
        <v>125.43</v>
      </c>
      <c r="N96" s="434">
        <f t="shared" si="5"/>
        <v>1238.18</v>
      </c>
    </row>
    <row r="97" spans="1:14" x14ac:dyDescent="0.3">
      <c r="A97" s="745" t="s">
        <v>442</v>
      </c>
      <c r="B97" s="797">
        <v>11.4</v>
      </c>
      <c r="C97" s="797">
        <v>10.3</v>
      </c>
      <c r="D97" s="797">
        <v>11.4</v>
      </c>
      <c r="E97" s="797">
        <v>11.04</v>
      </c>
      <c r="F97" s="797">
        <v>5.15</v>
      </c>
      <c r="G97" s="797">
        <v>43.24</v>
      </c>
      <c r="H97" s="797">
        <v>178.37</v>
      </c>
      <c r="I97" s="797">
        <v>11.4</v>
      </c>
      <c r="J97" s="797">
        <v>11.04</v>
      </c>
      <c r="K97" s="797">
        <v>11.4</v>
      </c>
      <c r="L97" s="797">
        <v>11.04</v>
      </c>
      <c r="M97" s="797">
        <v>11.4</v>
      </c>
      <c r="N97" s="434">
        <f t="shared" si="5"/>
        <v>327.17999999999995</v>
      </c>
    </row>
    <row r="98" spans="1:14" x14ac:dyDescent="0.3">
      <c r="A98" s="745" t="s">
        <v>508</v>
      </c>
      <c r="B98" s="797">
        <v>0</v>
      </c>
      <c r="C98" s="797">
        <v>0</v>
      </c>
      <c r="D98" s="797">
        <v>0</v>
      </c>
      <c r="E98" s="797">
        <v>791.31</v>
      </c>
      <c r="F98" s="797">
        <v>64.89</v>
      </c>
      <c r="G98" s="797">
        <v>0</v>
      </c>
      <c r="H98" s="797">
        <v>0</v>
      </c>
      <c r="I98" s="797">
        <v>0</v>
      </c>
      <c r="J98" s="797">
        <v>0</v>
      </c>
      <c r="K98" s="797">
        <v>0</v>
      </c>
      <c r="L98" s="797">
        <v>0</v>
      </c>
      <c r="M98" s="797">
        <v>0</v>
      </c>
      <c r="N98" s="434">
        <f t="shared" si="5"/>
        <v>856.19999999999993</v>
      </c>
    </row>
    <row r="99" spans="1:14" x14ac:dyDescent="0.3">
      <c r="A99" s="745" t="s">
        <v>443</v>
      </c>
      <c r="B99" s="797">
        <v>5.81</v>
      </c>
      <c r="C99" s="797">
        <v>0</v>
      </c>
      <c r="D99" s="797">
        <v>20.13</v>
      </c>
      <c r="E99" s="797">
        <v>195.93</v>
      </c>
      <c r="F99" s="797">
        <v>561.26</v>
      </c>
      <c r="G99" s="797">
        <v>260.52999999999997</v>
      </c>
      <c r="H99" s="797">
        <v>1019.05</v>
      </c>
      <c r="I99" s="797">
        <v>463.18</v>
      </c>
      <c r="J99" s="797">
        <v>811.65</v>
      </c>
      <c r="K99" s="797">
        <v>185.14</v>
      </c>
      <c r="L99" s="797">
        <v>163.58000000000001</v>
      </c>
      <c r="M99" s="797">
        <v>526.51</v>
      </c>
      <c r="N99" s="434">
        <f t="shared" si="5"/>
        <v>4212.7699999999995</v>
      </c>
    </row>
    <row r="100" spans="1:14" x14ac:dyDescent="0.3">
      <c r="A100" s="745" t="s">
        <v>444</v>
      </c>
      <c r="B100" s="797">
        <v>257.95</v>
      </c>
      <c r="C100" s="797">
        <v>159.52000000000001</v>
      </c>
      <c r="D100" s="797">
        <v>235.35</v>
      </c>
      <c r="E100" s="797">
        <v>469.1</v>
      </c>
      <c r="F100" s="797">
        <v>606.16</v>
      </c>
      <c r="G100" s="797">
        <v>767.3</v>
      </c>
      <c r="H100" s="797">
        <v>351.67</v>
      </c>
      <c r="I100" s="797">
        <v>313.49</v>
      </c>
      <c r="J100" s="797">
        <v>653.86</v>
      </c>
      <c r="K100" s="797">
        <v>1003.25</v>
      </c>
      <c r="L100" s="797">
        <v>185.4</v>
      </c>
      <c r="M100" s="797">
        <v>282.82</v>
      </c>
      <c r="N100" s="451">
        <f t="shared" si="5"/>
        <v>5285.869999999999</v>
      </c>
    </row>
    <row r="101" spans="1:14" x14ac:dyDescent="0.3">
      <c r="A101" s="745" t="s">
        <v>445</v>
      </c>
      <c r="B101" s="797">
        <v>92.75</v>
      </c>
      <c r="C101" s="797">
        <v>117.2</v>
      </c>
      <c r="D101" s="797">
        <v>129.16999999999999</v>
      </c>
      <c r="E101" s="797">
        <v>0</v>
      </c>
      <c r="F101" s="797">
        <v>24.34</v>
      </c>
      <c r="G101" s="797">
        <v>0</v>
      </c>
      <c r="H101" s="797">
        <v>106.49</v>
      </c>
      <c r="I101" s="797">
        <v>22.15</v>
      </c>
      <c r="J101" s="797">
        <v>181.71</v>
      </c>
      <c r="K101" s="797">
        <v>0</v>
      </c>
      <c r="L101" s="797">
        <v>109.46</v>
      </c>
      <c r="M101" s="797">
        <v>50</v>
      </c>
      <c r="N101" s="451">
        <f t="shared" si="5"/>
        <v>833.27</v>
      </c>
    </row>
    <row r="102" spans="1:14" x14ac:dyDescent="0.3">
      <c r="A102" s="745" t="s">
        <v>446</v>
      </c>
      <c r="B102" s="797">
        <v>295</v>
      </c>
      <c r="C102" s="797">
        <v>0</v>
      </c>
      <c r="D102" s="797">
        <v>0</v>
      </c>
      <c r="E102" s="797">
        <v>0</v>
      </c>
      <c r="F102" s="797">
        <v>0</v>
      </c>
      <c r="G102" s="797">
        <v>0</v>
      </c>
      <c r="H102" s="797">
        <v>0</v>
      </c>
      <c r="I102" s="797">
        <v>0</v>
      </c>
      <c r="J102" s="797">
        <v>0</v>
      </c>
      <c r="K102" s="797">
        <v>0</v>
      </c>
      <c r="L102" s="797">
        <v>0</v>
      </c>
      <c r="M102" s="797">
        <v>300</v>
      </c>
      <c r="N102" s="451">
        <f t="shared" si="5"/>
        <v>595</v>
      </c>
    </row>
    <row r="103" spans="1:14" x14ac:dyDescent="0.3">
      <c r="A103" s="745" t="s">
        <v>447</v>
      </c>
      <c r="B103" s="797">
        <v>0</v>
      </c>
      <c r="C103" s="797">
        <v>0</v>
      </c>
      <c r="D103" s="797">
        <v>0</v>
      </c>
      <c r="E103" s="797">
        <v>0</v>
      </c>
      <c r="F103" s="797">
        <v>1358.91</v>
      </c>
      <c r="G103" s="797">
        <v>0</v>
      </c>
      <c r="H103" s="797">
        <v>0</v>
      </c>
      <c r="I103" s="797">
        <v>18.23</v>
      </c>
      <c r="J103" s="797">
        <v>0</v>
      </c>
      <c r="K103" s="797">
        <v>0</v>
      </c>
      <c r="L103" s="797">
        <v>43.35</v>
      </c>
      <c r="M103" s="797">
        <v>0</v>
      </c>
      <c r="N103" s="434">
        <f t="shared" si="5"/>
        <v>1420.49</v>
      </c>
    </row>
    <row r="104" spans="1:14" x14ac:dyDescent="0.3">
      <c r="A104" s="745" t="s">
        <v>327</v>
      </c>
      <c r="B104" s="797">
        <v>158.94999999999999</v>
      </c>
      <c r="C104" s="797">
        <v>158.94999999999999</v>
      </c>
      <c r="D104" s="797">
        <v>158.94999999999999</v>
      </c>
      <c r="E104" s="797">
        <v>158.94999999999999</v>
      </c>
      <c r="F104" s="797">
        <v>158.94999999999999</v>
      </c>
      <c r="G104" s="797">
        <v>158.94999999999999</v>
      </c>
      <c r="H104" s="797">
        <v>158.94999999999999</v>
      </c>
      <c r="I104" s="797">
        <v>166.67</v>
      </c>
      <c r="J104" s="797">
        <v>166.67</v>
      </c>
      <c r="K104" s="797">
        <v>166.67</v>
      </c>
      <c r="L104" s="797">
        <v>166.67</v>
      </c>
      <c r="M104" s="797">
        <v>166.67</v>
      </c>
      <c r="N104" s="438">
        <f t="shared" si="5"/>
        <v>1946.0000000000005</v>
      </c>
    </row>
    <row r="105" spans="1:14" x14ac:dyDescent="0.3">
      <c r="A105" s="745" t="s">
        <v>448</v>
      </c>
      <c r="B105" s="797">
        <v>2111.7199999999998</v>
      </c>
      <c r="C105" s="797">
        <v>2111.7199999999998</v>
      </c>
      <c r="D105" s="797">
        <v>2111.7199999999998</v>
      </c>
      <c r="E105" s="797">
        <v>2111.7199999999998</v>
      </c>
      <c r="F105" s="797">
        <v>2111.7199999999998</v>
      </c>
      <c r="G105" s="797">
        <v>2111.7199999999998</v>
      </c>
      <c r="H105" s="797">
        <v>2111.7199999999998</v>
      </c>
      <c r="I105" s="797">
        <v>2045.25</v>
      </c>
      <c r="J105" s="797">
        <v>2045.25</v>
      </c>
      <c r="K105" s="797">
        <v>2045.25</v>
      </c>
      <c r="L105" s="797">
        <v>2045.25</v>
      </c>
      <c r="M105" s="797">
        <v>2045.25</v>
      </c>
      <c r="N105" s="438">
        <f t="shared" si="5"/>
        <v>25008.289999999997</v>
      </c>
    </row>
    <row r="106" spans="1:14" x14ac:dyDescent="0.3">
      <c r="A106" s="745" t="s">
        <v>449</v>
      </c>
      <c r="B106" s="797">
        <v>2111.7199999999998</v>
      </c>
      <c r="C106" s="797">
        <v>2111.7199999999998</v>
      </c>
      <c r="D106" s="797">
        <v>2111.7199999999998</v>
      </c>
      <c r="E106" s="797">
        <v>2111.7199999999998</v>
      </c>
      <c r="F106" s="797">
        <v>2111.7199999999998</v>
      </c>
      <c r="G106" s="797">
        <v>2111.7199999999998</v>
      </c>
      <c r="H106" s="797">
        <v>2111.7199999999998</v>
      </c>
      <c r="I106" s="797">
        <v>2045.25</v>
      </c>
      <c r="J106" s="797">
        <v>2045.25</v>
      </c>
      <c r="K106" s="797">
        <v>2045.25</v>
      </c>
      <c r="L106" s="797">
        <v>2045.25</v>
      </c>
      <c r="M106" s="797">
        <v>2045.25</v>
      </c>
      <c r="N106" s="438">
        <f t="shared" si="5"/>
        <v>25008.289999999997</v>
      </c>
    </row>
    <row r="107" spans="1:14" x14ac:dyDescent="0.3">
      <c r="A107" s="745" t="s">
        <v>450</v>
      </c>
      <c r="B107" s="797">
        <v>158.94999999999999</v>
      </c>
      <c r="C107" s="797">
        <v>158.94999999999999</v>
      </c>
      <c r="D107" s="797">
        <v>158.94999999999999</v>
      </c>
      <c r="E107" s="797">
        <v>158.94999999999999</v>
      </c>
      <c r="F107" s="797">
        <v>158.94999999999999</v>
      </c>
      <c r="G107" s="797">
        <v>158.94999999999999</v>
      </c>
      <c r="H107" s="797">
        <v>158.94999999999999</v>
      </c>
      <c r="I107" s="797">
        <v>166.67</v>
      </c>
      <c r="J107" s="797">
        <v>166.67</v>
      </c>
      <c r="K107" s="797">
        <v>166.67</v>
      </c>
      <c r="L107" s="797">
        <v>166.67</v>
      </c>
      <c r="M107" s="797">
        <v>166.67</v>
      </c>
      <c r="N107" s="438">
        <f t="shared" si="5"/>
        <v>1946.0000000000005</v>
      </c>
    </row>
    <row r="108" spans="1:14" x14ac:dyDescent="0.3">
      <c r="A108" s="745" t="s">
        <v>509</v>
      </c>
      <c r="B108" s="797">
        <v>0</v>
      </c>
      <c r="C108" s="797">
        <v>0</v>
      </c>
      <c r="D108" s="797">
        <v>0</v>
      </c>
      <c r="E108" s="797">
        <v>0</v>
      </c>
      <c r="F108" s="797">
        <v>0</v>
      </c>
      <c r="G108" s="797">
        <v>0</v>
      </c>
      <c r="H108" s="797">
        <v>0</v>
      </c>
      <c r="I108" s="797">
        <v>0</v>
      </c>
      <c r="J108" s="797">
        <v>0</v>
      </c>
      <c r="K108" s="797">
        <v>0</v>
      </c>
      <c r="L108" s="797">
        <v>0</v>
      </c>
      <c r="M108" s="797">
        <v>0</v>
      </c>
      <c r="N108" s="438">
        <f t="shared" si="5"/>
        <v>0</v>
      </c>
    </row>
    <row r="109" spans="1:14" x14ac:dyDescent="0.3">
      <c r="A109" s="745" t="s">
        <v>451</v>
      </c>
      <c r="B109" s="797">
        <v>1985.75</v>
      </c>
      <c r="C109" s="797">
        <v>1985.75</v>
      </c>
      <c r="D109" s="797">
        <v>1985.75</v>
      </c>
      <c r="E109" s="797">
        <v>1985.75</v>
      </c>
      <c r="F109" s="797">
        <v>1985.75</v>
      </c>
      <c r="G109" s="797">
        <v>1985.75</v>
      </c>
      <c r="H109" s="797">
        <v>1985.75</v>
      </c>
      <c r="I109" s="797">
        <v>1945.83</v>
      </c>
      <c r="J109" s="797">
        <v>1945.83</v>
      </c>
      <c r="K109" s="797">
        <v>1945.83</v>
      </c>
      <c r="L109" s="797">
        <v>1945.83</v>
      </c>
      <c r="M109" s="797">
        <v>2113.81</v>
      </c>
      <c r="N109" s="444">
        <f t="shared" si="5"/>
        <v>23797.38</v>
      </c>
    </row>
    <row r="110" spans="1:14" x14ac:dyDescent="0.3">
      <c r="A110" s="745" t="s">
        <v>714</v>
      </c>
      <c r="B110" s="797">
        <v>0</v>
      </c>
      <c r="C110" s="797">
        <v>0</v>
      </c>
      <c r="D110" s="797">
        <v>0</v>
      </c>
      <c r="E110" s="797">
        <v>0</v>
      </c>
      <c r="F110" s="797">
        <v>0</v>
      </c>
      <c r="G110" s="797">
        <v>0</v>
      </c>
      <c r="H110" s="797">
        <v>0</v>
      </c>
      <c r="I110" s="797">
        <v>0</v>
      </c>
      <c r="J110" s="797">
        <v>0</v>
      </c>
      <c r="K110" s="797">
        <v>0</v>
      </c>
      <c r="L110" s="797">
        <v>0</v>
      </c>
      <c r="M110" s="797">
        <v>0</v>
      </c>
      <c r="N110" s="444">
        <f t="shared" si="5"/>
        <v>0</v>
      </c>
    </row>
    <row r="111" spans="1:14" x14ac:dyDescent="0.3">
      <c r="A111" s="745" t="s">
        <v>715</v>
      </c>
      <c r="B111" s="797">
        <v>52.33</v>
      </c>
      <c r="C111" s="797">
        <v>52.33</v>
      </c>
      <c r="D111" s="797">
        <v>52.33</v>
      </c>
      <c r="E111" s="797">
        <v>52.33</v>
      </c>
      <c r="F111" s="797">
        <v>52.33</v>
      </c>
      <c r="G111" s="797">
        <v>52.33</v>
      </c>
      <c r="H111" s="797">
        <v>52.33</v>
      </c>
      <c r="I111" s="797">
        <v>63.81</v>
      </c>
      <c r="J111" s="797">
        <v>63.81</v>
      </c>
      <c r="K111" s="797">
        <v>63.81</v>
      </c>
      <c r="L111" s="797">
        <v>63.81</v>
      </c>
      <c r="M111" s="797">
        <v>63.81</v>
      </c>
      <c r="N111" s="444">
        <f t="shared" si="5"/>
        <v>685.3599999999999</v>
      </c>
    </row>
    <row r="112" spans="1:14" x14ac:dyDescent="0.3">
      <c r="A112" s="745" t="s">
        <v>452</v>
      </c>
      <c r="B112" s="797">
        <v>180</v>
      </c>
      <c r="C112" s="797">
        <v>180</v>
      </c>
      <c r="D112" s="797">
        <v>180</v>
      </c>
      <c r="E112" s="797">
        <v>180</v>
      </c>
      <c r="F112" s="797">
        <v>180</v>
      </c>
      <c r="G112" s="797">
        <v>180</v>
      </c>
      <c r="H112" s="797">
        <v>180</v>
      </c>
      <c r="I112" s="797">
        <v>241.92</v>
      </c>
      <c r="J112" s="797">
        <v>241.92</v>
      </c>
      <c r="K112" s="797">
        <v>241.92</v>
      </c>
      <c r="L112" s="797">
        <v>241.92</v>
      </c>
      <c r="M112" s="797">
        <v>241.92</v>
      </c>
      <c r="N112" s="444">
        <f t="shared" si="5"/>
        <v>2469.6000000000004</v>
      </c>
    </row>
    <row r="113" spans="1:15" x14ac:dyDescent="0.3">
      <c r="A113" s="745" t="s">
        <v>453</v>
      </c>
      <c r="B113" s="797">
        <v>300</v>
      </c>
      <c r="C113" s="797">
        <v>300</v>
      </c>
      <c r="D113" s="797">
        <v>300</v>
      </c>
      <c r="E113" s="797">
        <v>300</v>
      </c>
      <c r="F113" s="797">
        <v>300</v>
      </c>
      <c r="G113" s="797">
        <v>300</v>
      </c>
      <c r="H113" s="797">
        <v>300</v>
      </c>
      <c r="I113" s="797">
        <v>300</v>
      </c>
      <c r="J113" s="797">
        <v>300</v>
      </c>
      <c r="K113" s="797">
        <v>300</v>
      </c>
      <c r="L113" s="797">
        <v>300</v>
      </c>
      <c r="M113" s="797">
        <v>300</v>
      </c>
      <c r="N113" s="450">
        <f t="shared" si="5"/>
        <v>3600</v>
      </c>
    </row>
    <row r="114" spans="1:15" x14ac:dyDescent="0.3">
      <c r="A114" s="745" t="s">
        <v>454</v>
      </c>
      <c r="B114" s="797">
        <v>0</v>
      </c>
      <c r="C114" s="797">
        <v>4666.71</v>
      </c>
      <c r="D114" s="797">
        <v>0</v>
      </c>
      <c r="E114" s="797">
        <v>0</v>
      </c>
      <c r="F114" s="797">
        <v>0</v>
      </c>
      <c r="G114" s="797">
        <v>0</v>
      </c>
      <c r="H114" s="797">
        <v>0</v>
      </c>
      <c r="I114" s="797">
        <v>0</v>
      </c>
      <c r="J114" s="797">
        <v>0</v>
      </c>
      <c r="K114" s="797">
        <v>0</v>
      </c>
      <c r="L114" s="797">
        <v>0</v>
      </c>
      <c r="M114" s="797">
        <v>0</v>
      </c>
      <c r="N114" s="435">
        <f t="shared" si="5"/>
        <v>4666.71</v>
      </c>
    </row>
    <row r="115" spans="1:15" x14ac:dyDescent="0.3">
      <c r="A115" s="745" t="s">
        <v>455</v>
      </c>
      <c r="B115" s="797">
        <v>0</v>
      </c>
      <c r="C115" s="797">
        <v>0</v>
      </c>
      <c r="D115" s="797">
        <v>0</v>
      </c>
      <c r="E115" s="797">
        <v>0</v>
      </c>
      <c r="F115" s="797">
        <v>0</v>
      </c>
      <c r="G115" s="797">
        <v>0</v>
      </c>
      <c r="H115" s="797">
        <v>0</v>
      </c>
      <c r="I115" s="797">
        <v>0</v>
      </c>
      <c r="J115" s="797">
        <v>0</v>
      </c>
      <c r="K115" s="797">
        <v>0</v>
      </c>
      <c r="L115" s="797">
        <v>0</v>
      </c>
      <c r="M115" s="797">
        <v>975</v>
      </c>
      <c r="N115" s="435">
        <f t="shared" si="5"/>
        <v>975</v>
      </c>
    </row>
    <row r="116" spans="1:15" x14ac:dyDescent="0.3">
      <c r="A116" s="745" t="s">
        <v>456</v>
      </c>
      <c r="B116" s="797">
        <v>4535</v>
      </c>
      <c r="C116" s="797">
        <v>0</v>
      </c>
      <c r="D116" s="797">
        <v>0</v>
      </c>
      <c r="E116" s="797">
        <v>0</v>
      </c>
      <c r="F116" s="797">
        <v>0</v>
      </c>
      <c r="G116" s="797">
        <v>0</v>
      </c>
      <c r="H116" s="797">
        <v>0</v>
      </c>
      <c r="I116" s="797">
        <v>0</v>
      </c>
      <c r="J116" s="797">
        <v>0</v>
      </c>
      <c r="K116" s="797">
        <v>0</v>
      </c>
      <c r="L116" s="797">
        <v>0</v>
      </c>
      <c r="M116" s="797">
        <v>0</v>
      </c>
      <c r="N116" s="435">
        <f t="shared" si="5"/>
        <v>4535</v>
      </c>
    </row>
    <row r="117" spans="1:15" x14ac:dyDescent="0.3">
      <c r="A117" s="745" t="s">
        <v>328</v>
      </c>
      <c r="B117" s="797">
        <v>0</v>
      </c>
      <c r="C117" s="797">
        <v>0</v>
      </c>
      <c r="D117" s="797">
        <v>0</v>
      </c>
      <c r="E117" s="797">
        <v>286</v>
      </c>
      <c r="F117" s="797">
        <v>0</v>
      </c>
      <c r="G117" s="797">
        <v>0</v>
      </c>
      <c r="H117" s="797">
        <v>0</v>
      </c>
      <c r="I117" s="797">
        <v>0</v>
      </c>
      <c r="J117" s="797">
        <v>0</v>
      </c>
      <c r="K117" s="797">
        <v>26</v>
      </c>
      <c r="L117" s="797">
        <v>0</v>
      </c>
      <c r="M117" s="797">
        <v>0</v>
      </c>
      <c r="N117" s="434">
        <f>SUM(B117:M117)</f>
        <v>312</v>
      </c>
    </row>
    <row r="118" spans="1:15" x14ac:dyDescent="0.3">
      <c r="A118" s="745" t="s">
        <v>457</v>
      </c>
      <c r="B118" s="797">
        <v>0</v>
      </c>
      <c r="C118" s="797">
        <v>0</v>
      </c>
      <c r="D118" s="797">
        <v>0</v>
      </c>
      <c r="E118" s="797">
        <v>450</v>
      </c>
      <c r="F118" s="797">
        <v>0</v>
      </c>
      <c r="G118" s="797">
        <v>0</v>
      </c>
      <c r="H118" s="797">
        <v>0</v>
      </c>
      <c r="I118" s="797">
        <v>0</v>
      </c>
      <c r="J118" s="797">
        <v>0</v>
      </c>
      <c r="K118" s="797">
        <v>0</v>
      </c>
      <c r="L118" s="797">
        <v>0</v>
      </c>
      <c r="M118" s="797">
        <v>0</v>
      </c>
      <c r="N118" s="434">
        <f t="shared" ref="N118:N132" si="6">SUM(B118:M118)</f>
        <v>450</v>
      </c>
    </row>
    <row r="119" spans="1:15" x14ac:dyDescent="0.3">
      <c r="A119" s="745" t="s">
        <v>458</v>
      </c>
      <c r="B119" s="797">
        <v>0</v>
      </c>
      <c r="C119" s="797">
        <v>0</v>
      </c>
      <c r="D119" s="797">
        <v>0</v>
      </c>
      <c r="E119" s="797">
        <v>322</v>
      </c>
      <c r="F119" s="797">
        <v>0</v>
      </c>
      <c r="G119" s="797">
        <v>0</v>
      </c>
      <c r="H119" s="797">
        <v>0</v>
      </c>
      <c r="I119" s="797">
        <v>0</v>
      </c>
      <c r="J119" s="797">
        <v>0</v>
      </c>
      <c r="K119" s="797">
        <v>0</v>
      </c>
      <c r="L119" s="797">
        <v>0</v>
      </c>
      <c r="M119" s="797">
        <v>0</v>
      </c>
      <c r="N119" s="434">
        <f t="shared" si="6"/>
        <v>322</v>
      </c>
    </row>
    <row r="120" spans="1:15" x14ac:dyDescent="0.3">
      <c r="A120" s="745" t="s">
        <v>459</v>
      </c>
      <c r="B120" s="797">
        <v>0</v>
      </c>
      <c r="C120" s="797">
        <v>0</v>
      </c>
      <c r="D120" s="797">
        <v>0</v>
      </c>
      <c r="E120" s="797">
        <v>0</v>
      </c>
      <c r="F120" s="797">
        <v>0</v>
      </c>
      <c r="G120" s="797">
        <v>0</v>
      </c>
      <c r="H120" s="797">
        <v>0</v>
      </c>
      <c r="I120" s="797">
        <v>0</v>
      </c>
      <c r="J120" s="797">
        <v>0</v>
      </c>
      <c r="K120" s="797">
        <v>0</v>
      </c>
      <c r="L120" s="797">
        <v>0</v>
      </c>
      <c r="M120" s="797">
        <v>0</v>
      </c>
      <c r="N120" s="434">
        <f t="shared" si="6"/>
        <v>0</v>
      </c>
    </row>
    <row r="121" spans="1:15" x14ac:dyDescent="0.3">
      <c r="A121" s="745" t="s">
        <v>460</v>
      </c>
      <c r="B121" s="797">
        <v>365</v>
      </c>
      <c r="C121" s="797">
        <v>101</v>
      </c>
      <c r="D121" s="797">
        <v>243.75</v>
      </c>
      <c r="E121" s="797">
        <v>2096.9899999999998</v>
      </c>
      <c r="F121" s="797">
        <v>26</v>
      </c>
      <c r="G121" s="797">
        <v>192</v>
      </c>
      <c r="H121" s="797">
        <v>0</v>
      </c>
      <c r="I121" s="797">
        <v>0</v>
      </c>
      <c r="J121" s="797">
        <v>0</v>
      </c>
      <c r="K121" s="797">
        <v>0</v>
      </c>
      <c r="L121" s="797">
        <v>0</v>
      </c>
      <c r="M121" s="797">
        <v>520.75</v>
      </c>
      <c r="N121" s="450">
        <f t="shared" si="6"/>
        <v>3545.49</v>
      </c>
    </row>
    <row r="122" spans="1:15" x14ac:dyDescent="0.3">
      <c r="A122" s="745" t="s">
        <v>461</v>
      </c>
      <c r="B122" s="797">
        <v>0</v>
      </c>
      <c r="C122" s="797">
        <v>0</v>
      </c>
      <c r="D122" s="797">
        <v>0</v>
      </c>
      <c r="E122" s="797">
        <v>0</v>
      </c>
      <c r="F122" s="797">
        <v>0</v>
      </c>
      <c r="G122" s="797">
        <v>0</v>
      </c>
      <c r="H122" s="797">
        <v>0</v>
      </c>
      <c r="I122" s="797">
        <v>0</v>
      </c>
      <c r="J122" s="797">
        <v>0</v>
      </c>
      <c r="K122" s="797">
        <v>0</v>
      </c>
      <c r="L122" s="797">
        <v>0</v>
      </c>
      <c r="M122" s="797">
        <v>6323.09</v>
      </c>
      <c r="N122" s="450">
        <f t="shared" si="6"/>
        <v>6323.09</v>
      </c>
    </row>
    <row r="123" spans="1:15" x14ac:dyDescent="0.3">
      <c r="A123" s="745" t="s">
        <v>462</v>
      </c>
      <c r="B123" s="797">
        <v>748.58</v>
      </c>
      <c r="C123" s="797">
        <v>748.58</v>
      </c>
      <c r="D123" s="797">
        <v>748.58</v>
      </c>
      <c r="E123" s="797">
        <v>748.58</v>
      </c>
      <c r="F123" s="797">
        <v>748.58</v>
      </c>
      <c r="G123" s="797">
        <v>748.58</v>
      </c>
      <c r="H123" s="797">
        <v>748.58</v>
      </c>
      <c r="I123" s="797">
        <v>971.08</v>
      </c>
      <c r="J123" s="797">
        <v>971.08</v>
      </c>
      <c r="K123" s="797">
        <v>971.08</v>
      </c>
      <c r="L123" s="797">
        <v>971.08</v>
      </c>
      <c r="M123" s="797">
        <v>971.08</v>
      </c>
      <c r="N123" s="445">
        <f t="shared" si="6"/>
        <v>10095.460000000001</v>
      </c>
    </row>
    <row r="124" spans="1:15" x14ac:dyDescent="0.3">
      <c r="A124" s="745" t="s">
        <v>463</v>
      </c>
      <c r="B124" s="797">
        <v>788.75</v>
      </c>
      <c r="C124" s="797">
        <v>788.75</v>
      </c>
      <c r="D124" s="797">
        <v>788.75</v>
      </c>
      <c r="E124" s="797">
        <v>788.75</v>
      </c>
      <c r="F124" s="797">
        <v>788.75</v>
      </c>
      <c r="G124" s="797">
        <v>788.75</v>
      </c>
      <c r="H124" s="797">
        <v>788.75</v>
      </c>
      <c r="I124" s="797">
        <v>51.42</v>
      </c>
      <c r="J124" s="797">
        <v>51.42</v>
      </c>
      <c r="K124" s="797">
        <v>51.42</v>
      </c>
      <c r="L124" s="797">
        <v>51.42</v>
      </c>
      <c r="M124" s="797">
        <v>1619.55</v>
      </c>
      <c r="N124" s="445">
        <f t="shared" si="6"/>
        <v>7346.4800000000005</v>
      </c>
      <c r="O124" s="709">
        <f>SUM(N123:N124)</f>
        <v>17441.940000000002</v>
      </c>
    </row>
    <row r="125" spans="1:15" x14ac:dyDescent="0.3">
      <c r="A125" s="745" t="s">
        <v>464</v>
      </c>
      <c r="B125" s="797">
        <v>0</v>
      </c>
      <c r="C125" s="797">
        <v>0</v>
      </c>
      <c r="D125" s="797">
        <v>0</v>
      </c>
      <c r="E125" s="797">
        <v>0</v>
      </c>
      <c r="F125" s="797">
        <v>0</v>
      </c>
      <c r="G125" s="797">
        <v>0</v>
      </c>
      <c r="H125" s="797">
        <v>0</v>
      </c>
      <c r="I125" s="797">
        <v>1670.92</v>
      </c>
      <c r="J125" s="797">
        <v>1670.92</v>
      </c>
      <c r="K125" s="797">
        <v>1670.92</v>
      </c>
      <c r="L125" s="797">
        <v>1670.92</v>
      </c>
      <c r="M125" s="797">
        <v>1670.92</v>
      </c>
      <c r="N125" s="740">
        <f t="shared" si="6"/>
        <v>8354.6</v>
      </c>
    </row>
    <row r="126" spans="1:15" x14ac:dyDescent="0.3">
      <c r="A126" s="745" t="s">
        <v>465</v>
      </c>
      <c r="B126" s="797">
        <v>3247.58</v>
      </c>
      <c r="C126" s="797">
        <v>3247.58</v>
      </c>
      <c r="D126" s="797">
        <v>3247.58</v>
      </c>
      <c r="E126" s="797">
        <v>3247.58</v>
      </c>
      <c r="F126" s="797">
        <v>3247.58</v>
      </c>
      <c r="G126" s="797">
        <v>3247.58</v>
      </c>
      <c r="H126" s="797">
        <v>3247.58</v>
      </c>
      <c r="I126" s="797">
        <v>3535.58</v>
      </c>
      <c r="J126" s="797">
        <v>3535.58</v>
      </c>
      <c r="K126" s="797">
        <v>3535.58</v>
      </c>
      <c r="L126" s="797">
        <v>3535.58</v>
      </c>
      <c r="M126" s="797">
        <v>3553.62</v>
      </c>
      <c r="N126" s="740">
        <f t="shared" si="6"/>
        <v>40429.000000000007</v>
      </c>
      <c r="O126" s="709"/>
    </row>
    <row r="127" spans="1:15" x14ac:dyDescent="0.3">
      <c r="A127" s="745" t="s">
        <v>466</v>
      </c>
      <c r="B127" s="797">
        <v>2875.5</v>
      </c>
      <c r="C127" s="797">
        <v>2875.5</v>
      </c>
      <c r="D127" s="797">
        <v>2875.5</v>
      </c>
      <c r="E127" s="797">
        <v>2875.5</v>
      </c>
      <c r="F127" s="797">
        <v>2875.5</v>
      </c>
      <c r="G127" s="797">
        <v>2875.5</v>
      </c>
      <c r="H127" s="797">
        <v>2875.5</v>
      </c>
      <c r="I127" s="797">
        <v>3197.67</v>
      </c>
      <c r="J127" s="797">
        <v>3197.67</v>
      </c>
      <c r="K127" s="797">
        <v>3197.67</v>
      </c>
      <c r="L127" s="797">
        <v>3197.67</v>
      </c>
      <c r="M127" s="797">
        <v>3197.67</v>
      </c>
      <c r="N127" s="740">
        <f t="shared" si="6"/>
        <v>36116.849999999991</v>
      </c>
    </row>
    <row r="128" spans="1:15" x14ac:dyDescent="0.3">
      <c r="A128" s="745" t="s">
        <v>467</v>
      </c>
      <c r="B128" s="746">
        <v>0</v>
      </c>
      <c r="C128" s="746">
        <v>0</v>
      </c>
      <c r="D128" s="746">
        <v>0</v>
      </c>
      <c r="E128" s="746">
        <v>0</v>
      </c>
      <c r="F128" s="746">
        <v>0</v>
      </c>
      <c r="G128" s="746">
        <v>0</v>
      </c>
      <c r="H128" s="746">
        <v>0</v>
      </c>
      <c r="I128" s="746">
        <v>0</v>
      </c>
      <c r="J128" s="746">
        <v>0</v>
      </c>
      <c r="K128" s="746">
        <v>0</v>
      </c>
      <c r="L128" s="746">
        <v>0</v>
      </c>
      <c r="M128" s="746">
        <v>0</v>
      </c>
      <c r="N128" s="740">
        <f t="shared" si="6"/>
        <v>0</v>
      </c>
    </row>
    <row r="129" spans="1:15" x14ac:dyDescent="0.3">
      <c r="A129" s="745" t="s">
        <v>468</v>
      </c>
      <c r="B129" s="797">
        <v>705.42</v>
      </c>
      <c r="C129" s="797">
        <v>705.42</v>
      </c>
      <c r="D129" s="797">
        <v>705.42</v>
      </c>
      <c r="E129" s="797">
        <v>705.42</v>
      </c>
      <c r="F129" s="797">
        <v>705.42</v>
      </c>
      <c r="G129" s="797">
        <v>705.42</v>
      </c>
      <c r="H129" s="797">
        <v>705.42</v>
      </c>
      <c r="I129" s="797">
        <v>676.33</v>
      </c>
      <c r="J129" s="797">
        <v>676.33</v>
      </c>
      <c r="K129" s="797">
        <v>676.33</v>
      </c>
      <c r="L129" s="797">
        <v>676.33</v>
      </c>
      <c r="M129" s="797">
        <v>990.79</v>
      </c>
      <c r="N129" s="445">
        <f t="shared" si="6"/>
        <v>8634.0499999999993</v>
      </c>
    </row>
    <row r="130" spans="1:15" x14ac:dyDescent="0.3">
      <c r="A130" s="745" t="s">
        <v>469</v>
      </c>
      <c r="B130" s="797">
        <v>89.75</v>
      </c>
      <c r="C130" s="797">
        <v>89.75</v>
      </c>
      <c r="D130" s="797">
        <v>89.75</v>
      </c>
      <c r="E130" s="797">
        <v>89.75</v>
      </c>
      <c r="F130" s="797">
        <v>89.75</v>
      </c>
      <c r="G130" s="797">
        <v>89.75</v>
      </c>
      <c r="H130" s="797">
        <v>89.75</v>
      </c>
      <c r="I130" s="797">
        <v>106.58</v>
      </c>
      <c r="J130" s="797">
        <v>106.58</v>
      </c>
      <c r="K130" s="797">
        <v>106.58</v>
      </c>
      <c r="L130" s="797">
        <v>106.58</v>
      </c>
      <c r="M130" s="797">
        <v>106.58</v>
      </c>
      <c r="N130" s="445">
        <f t="shared" si="6"/>
        <v>1161.1500000000001</v>
      </c>
    </row>
    <row r="131" spans="1:15" x14ac:dyDescent="0.3">
      <c r="A131" s="745" t="s">
        <v>470</v>
      </c>
      <c r="B131" s="797">
        <v>166.67</v>
      </c>
      <c r="C131" s="797">
        <v>166.67</v>
      </c>
      <c r="D131" s="797">
        <v>166.67</v>
      </c>
      <c r="E131" s="797">
        <v>166.67</v>
      </c>
      <c r="F131" s="797">
        <v>166.67</v>
      </c>
      <c r="G131" s="797">
        <v>166.67</v>
      </c>
      <c r="H131" s="797">
        <v>166.67</v>
      </c>
      <c r="I131" s="797">
        <v>0</v>
      </c>
      <c r="J131" s="797">
        <v>0</v>
      </c>
      <c r="K131" s="797">
        <v>0</v>
      </c>
      <c r="L131" s="797">
        <v>0</v>
      </c>
      <c r="M131" s="797">
        <v>1833.33</v>
      </c>
      <c r="N131" s="445">
        <f t="shared" si="6"/>
        <v>3000.0199999999995</v>
      </c>
      <c r="O131" s="709">
        <f>SUM(N125:N131)</f>
        <v>97695.67</v>
      </c>
    </row>
    <row r="132" spans="1:15" x14ac:dyDescent="0.3">
      <c r="A132" s="745" t="s">
        <v>329</v>
      </c>
      <c r="B132" s="746">
        <v>0</v>
      </c>
      <c r="C132" s="746">
        <v>0</v>
      </c>
      <c r="D132" s="746">
        <v>0</v>
      </c>
      <c r="E132" s="746">
        <v>0</v>
      </c>
      <c r="F132" s="746">
        <v>0</v>
      </c>
      <c r="G132" s="746">
        <v>0</v>
      </c>
      <c r="H132" s="746">
        <v>0</v>
      </c>
      <c r="I132" s="746">
        <v>0</v>
      </c>
      <c r="J132" s="746">
        <v>0</v>
      </c>
      <c r="K132" s="746">
        <v>0</v>
      </c>
      <c r="L132" s="746">
        <v>0</v>
      </c>
      <c r="M132" s="746">
        <v>0</v>
      </c>
      <c r="N132" s="446">
        <f t="shared" si="6"/>
        <v>0</v>
      </c>
    </row>
    <row r="133" spans="1:15" x14ac:dyDescent="0.3">
      <c r="A133" s="745" t="s">
        <v>471</v>
      </c>
      <c r="B133" s="746">
        <v>0</v>
      </c>
      <c r="C133" s="746">
        <v>0</v>
      </c>
      <c r="D133" s="746">
        <v>0</v>
      </c>
      <c r="E133" s="746">
        <v>0</v>
      </c>
      <c r="F133" s="746">
        <v>0</v>
      </c>
      <c r="G133" s="746">
        <v>0</v>
      </c>
      <c r="H133" s="746">
        <v>0</v>
      </c>
      <c r="I133" s="746">
        <v>0</v>
      </c>
      <c r="J133" s="746">
        <v>0</v>
      </c>
      <c r="K133" s="746">
        <v>0</v>
      </c>
      <c r="L133" s="746">
        <v>0</v>
      </c>
      <c r="M133" s="746">
        <v>0</v>
      </c>
      <c r="N133" s="446">
        <f t="shared" ref="N133:N157" si="7">SUM(B133:M133)</f>
        <v>0</v>
      </c>
    </row>
    <row r="134" spans="1:15" x14ac:dyDescent="0.3">
      <c r="A134" s="745" t="s">
        <v>472</v>
      </c>
      <c r="B134" s="746">
        <v>0</v>
      </c>
      <c r="C134" s="746">
        <v>0</v>
      </c>
      <c r="D134" s="746">
        <v>0</v>
      </c>
      <c r="E134" s="746">
        <v>0</v>
      </c>
      <c r="F134" s="746">
        <v>0</v>
      </c>
      <c r="G134" s="746">
        <v>0</v>
      </c>
      <c r="H134" s="746">
        <v>0</v>
      </c>
      <c r="I134" s="746">
        <v>0</v>
      </c>
      <c r="J134" s="746">
        <v>0</v>
      </c>
      <c r="K134" s="746">
        <v>0</v>
      </c>
      <c r="L134" s="746">
        <v>0</v>
      </c>
      <c r="M134" s="746">
        <v>0</v>
      </c>
      <c r="N134" s="446">
        <f t="shared" si="7"/>
        <v>0</v>
      </c>
    </row>
    <row r="135" spans="1:15" x14ac:dyDescent="0.3">
      <c r="A135" s="745" t="s">
        <v>473</v>
      </c>
      <c r="B135" s="746">
        <v>0</v>
      </c>
      <c r="C135" s="746">
        <v>0</v>
      </c>
      <c r="D135" s="746">
        <v>0</v>
      </c>
      <c r="E135" s="746">
        <v>0</v>
      </c>
      <c r="F135" s="746">
        <v>0</v>
      </c>
      <c r="G135" s="746">
        <v>0</v>
      </c>
      <c r="H135" s="746">
        <v>0</v>
      </c>
      <c r="I135" s="746">
        <v>0</v>
      </c>
      <c r="J135" s="746">
        <v>0</v>
      </c>
      <c r="K135" s="746">
        <v>0</v>
      </c>
      <c r="L135" s="746">
        <v>0</v>
      </c>
      <c r="M135" s="746">
        <v>0</v>
      </c>
      <c r="N135" s="446">
        <f t="shared" si="7"/>
        <v>0</v>
      </c>
    </row>
    <row r="136" spans="1:15" x14ac:dyDescent="0.3">
      <c r="A136" s="745" t="s">
        <v>474</v>
      </c>
      <c r="B136" s="746">
        <v>0</v>
      </c>
      <c r="C136" s="746">
        <v>0</v>
      </c>
      <c r="D136" s="746">
        <v>0</v>
      </c>
      <c r="E136" s="746">
        <v>0</v>
      </c>
      <c r="F136" s="746">
        <v>0</v>
      </c>
      <c r="G136" s="746">
        <v>0</v>
      </c>
      <c r="H136" s="746">
        <v>0</v>
      </c>
      <c r="I136" s="746">
        <v>0</v>
      </c>
      <c r="J136" s="746">
        <v>0</v>
      </c>
      <c r="K136" s="746">
        <v>0</v>
      </c>
      <c r="L136" s="746">
        <v>0</v>
      </c>
      <c r="M136" s="746">
        <v>0</v>
      </c>
      <c r="N136" s="446">
        <f t="shared" si="7"/>
        <v>0</v>
      </c>
    </row>
    <row r="137" spans="1:15" x14ac:dyDescent="0.3">
      <c r="A137" s="745" t="s">
        <v>475</v>
      </c>
      <c r="B137" s="797">
        <v>0</v>
      </c>
      <c r="C137" s="797">
        <v>0</v>
      </c>
      <c r="D137" s="797">
        <v>0</v>
      </c>
      <c r="E137" s="797">
        <v>5945.75</v>
      </c>
      <c r="F137" s="797">
        <v>0</v>
      </c>
      <c r="G137" s="797">
        <v>0</v>
      </c>
      <c r="H137" s="797">
        <v>0</v>
      </c>
      <c r="I137" s="797">
        <v>0</v>
      </c>
      <c r="J137" s="797">
        <v>0</v>
      </c>
      <c r="K137" s="797">
        <v>6893.77</v>
      </c>
      <c r="L137" s="797">
        <v>0</v>
      </c>
      <c r="M137" s="797">
        <v>0</v>
      </c>
      <c r="N137" s="446">
        <f t="shared" si="7"/>
        <v>12839.52</v>
      </c>
    </row>
    <row r="138" spans="1:15" x14ac:dyDescent="0.3">
      <c r="A138" s="745" t="s">
        <v>716</v>
      </c>
      <c r="B138" s="797">
        <v>0</v>
      </c>
      <c r="C138" s="797">
        <v>0</v>
      </c>
      <c r="D138" s="797">
        <v>0</v>
      </c>
      <c r="E138" s="797">
        <v>258.39</v>
      </c>
      <c r="F138" s="797">
        <v>0</v>
      </c>
      <c r="G138" s="797">
        <v>0</v>
      </c>
      <c r="H138" s="797">
        <v>0</v>
      </c>
      <c r="I138" s="797">
        <v>0</v>
      </c>
      <c r="J138" s="797">
        <v>0</v>
      </c>
      <c r="K138" s="797">
        <v>0</v>
      </c>
      <c r="L138" s="797">
        <v>0</v>
      </c>
      <c r="M138" s="797">
        <v>0</v>
      </c>
      <c r="N138" s="446">
        <f t="shared" si="7"/>
        <v>258.39</v>
      </c>
    </row>
    <row r="139" spans="1:15" x14ac:dyDescent="0.3">
      <c r="A139" s="745" t="s">
        <v>476</v>
      </c>
      <c r="B139" s="797">
        <v>344.38</v>
      </c>
      <c r="C139" s="797">
        <v>174.69</v>
      </c>
      <c r="D139" s="797">
        <v>209.27</v>
      </c>
      <c r="E139" s="797">
        <v>222.98</v>
      </c>
      <c r="F139" s="797">
        <v>415.32</v>
      </c>
      <c r="G139" s="797">
        <v>2590.61</v>
      </c>
      <c r="H139" s="797">
        <v>3519.32</v>
      </c>
      <c r="I139" s="797">
        <v>4381.7299999999996</v>
      </c>
      <c r="J139" s="797">
        <v>3389.55</v>
      </c>
      <c r="K139" s="797">
        <v>3167.5</v>
      </c>
      <c r="L139" s="797">
        <v>1426.43</v>
      </c>
      <c r="M139" s="797">
        <v>245.06</v>
      </c>
      <c r="N139" s="433">
        <f t="shared" si="7"/>
        <v>20086.84</v>
      </c>
    </row>
    <row r="140" spans="1:15" x14ac:dyDescent="0.3">
      <c r="A140" s="745" t="s">
        <v>477</v>
      </c>
      <c r="B140" s="797">
        <v>0</v>
      </c>
      <c r="C140" s="797">
        <v>0</v>
      </c>
      <c r="D140" s="797">
        <v>0</v>
      </c>
      <c r="E140" s="797">
        <v>0</v>
      </c>
      <c r="F140" s="797">
        <v>0</v>
      </c>
      <c r="G140" s="797">
        <v>0</v>
      </c>
      <c r="H140" s="797">
        <v>0</v>
      </c>
      <c r="I140" s="797">
        <v>0</v>
      </c>
      <c r="J140" s="797">
        <v>0</v>
      </c>
      <c r="K140" s="797">
        <v>0</v>
      </c>
      <c r="L140" s="797">
        <v>0</v>
      </c>
      <c r="M140" s="797">
        <v>0</v>
      </c>
      <c r="N140" s="433">
        <f t="shared" si="7"/>
        <v>0</v>
      </c>
    </row>
    <row r="141" spans="1:15" x14ac:dyDescent="0.3">
      <c r="A141" s="745" t="s">
        <v>637</v>
      </c>
      <c r="B141" s="797">
        <v>0</v>
      </c>
      <c r="C141" s="797">
        <v>0</v>
      </c>
      <c r="D141" s="797">
        <v>0</v>
      </c>
      <c r="E141" s="797">
        <v>0</v>
      </c>
      <c r="F141" s="797">
        <v>0</v>
      </c>
      <c r="G141" s="797">
        <v>0</v>
      </c>
      <c r="H141" s="797">
        <v>50</v>
      </c>
      <c r="I141" s="797">
        <v>0</v>
      </c>
      <c r="J141" s="797">
        <v>0</v>
      </c>
      <c r="K141" s="797">
        <v>0</v>
      </c>
      <c r="L141" s="797">
        <v>0</v>
      </c>
      <c r="M141" s="797">
        <v>0</v>
      </c>
      <c r="N141" s="446">
        <f t="shared" si="7"/>
        <v>50</v>
      </c>
    </row>
    <row r="142" spans="1:15" x14ac:dyDescent="0.3">
      <c r="A142" s="745" t="s">
        <v>478</v>
      </c>
      <c r="B142" s="797">
        <v>0</v>
      </c>
      <c r="C142" s="797">
        <v>0</v>
      </c>
      <c r="D142" s="797">
        <v>0</v>
      </c>
      <c r="E142" s="797">
        <v>0</v>
      </c>
      <c r="F142" s="797">
        <v>0</v>
      </c>
      <c r="G142" s="797">
        <v>0</v>
      </c>
      <c r="H142" s="797">
        <v>2116.67</v>
      </c>
      <c r="I142" s="797">
        <v>0</v>
      </c>
      <c r="J142" s="797">
        <v>0</v>
      </c>
      <c r="K142" s="797">
        <v>0</v>
      </c>
      <c r="L142" s="797">
        <v>0</v>
      </c>
      <c r="M142" s="797">
        <v>0</v>
      </c>
      <c r="N142" s="441">
        <f t="shared" si="7"/>
        <v>2116.67</v>
      </c>
    </row>
    <row r="143" spans="1:15" x14ac:dyDescent="0.3">
      <c r="A143" s="745" t="s">
        <v>479</v>
      </c>
      <c r="B143" s="797">
        <v>0</v>
      </c>
      <c r="C143" s="797">
        <v>0</v>
      </c>
      <c r="D143" s="1186">
        <v>120</v>
      </c>
      <c r="E143" s="1186">
        <v>1920</v>
      </c>
      <c r="F143" s="1186">
        <v>3160</v>
      </c>
      <c r="G143" s="1186">
        <v>10120</v>
      </c>
      <c r="H143" s="797">
        <v>1620</v>
      </c>
      <c r="I143" s="797">
        <v>0</v>
      </c>
      <c r="J143" s="797">
        <v>616.70000000000005</v>
      </c>
      <c r="K143" s="797">
        <v>0</v>
      </c>
      <c r="L143" s="797">
        <v>0</v>
      </c>
      <c r="M143" s="797">
        <v>16142.5</v>
      </c>
      <c r="N143" s="441">
        <f t="shared" si="7"/>
        <v>33699.199999999997</v>
      </c>
    </row>
    <row r="144" spans="1:15" x14ac:dyDescent="0.3">
      <c r="A144" s="745" t="s">
        <v>480</v>
      </c>
      <c r="B144" s="797">
        <v>408</v>
      </c>
      <c r="C144" s="797">
        <v>433.45</v>
      </c>
      <c r="D144" s="797">
        <v>438.65</v>
      </c>
      <c r="E144" s="797">
        <v>461.61</v>
      </c>
      <c r="F144" s="797">
        <v>522.89</v>
      </c>
      <c r="G144" s="797">
        <v>951.54</v>
      </c>
      <c r="H144" s="797">
        <v>716.03</v>
      </c>
      <c r="I144" s="797">
        <v>717.05</v>
      </c>
      <c r="J144" s="797">
        <v>0</v>
      </c>
      <c r="K144" s="797">
        <v>508.24</v>
      </c>
      <c r="L144" s="797">
        <v>439.07</v>
      </c>
      <c r="M144" s="797">
        <v>405.93</v>
      </c>
      <c r="N144" s="442">
        <f t="shared" si="7"/>
        <v>6002.46</v>
      </c>
    </row>
    <row r="145" spans="1:23" x14ac:dyDescent="0.3">
      <c r="A145" s="745" t="s">
        <v>481</v>
      </c>
      <c r="B145" s="797">
        <v>294.77</v>
      </c>
      <c r="C145" s="797">
        <v>291.89999999999998</v>
      </c>
      <c r="D145" s="797">
        <v>294.73</v>
      </c>
      <c r="E145" s="797">
        <v>294.52999999999997</v>
      </c>
      <c r="F145" s="797">
        <v>294.52999999999997</v>
      </c>
      <c r="G145" s="797">
        <v>0</v>
      </c>
      <c r="H145" s="797">
        <v>301.70999999999998</v>
      </c>
      <c r="I145" s="797">
        <v>294.41000000000003</v>
      </c>
      <c r="J145" s="797">
        <v>294.41000000000003</v>
      </c>
      <c r="K145" s="797">
        <v>294.69</v>
      </c>
      <c r="L145" s="797">
        <v>294.69</v>
      </c>
      <c r="M145" s="797">
        <v>294.69</v>
      </c>
      <c r="N145" s="442">
        <f t="shared" si="7"/>
        <v>3245.06</v>
      </c>
    </row>
    <row r="146" spans="1:23" x14ac:dyDescent="0.3">
      <c r="A146" s="745" t="s">
        <v>717</v>
      </c>
      <c r="B146" s="797">
        <v>627.25</v>
      </c>
      <c r="C146" s="797">
        <v>52.85</v>
      </c>
      <c r="D146" s="797">
        <v>124.13</v>
      </c>
      <c r="E146" s="797">
        <v>54.42</v>
      </c>
      <c r="F146" s="797">
        <v>53.89</v>
      </c>
      <c r="G146" s="797">
        <v>61</v>
      </c>
      <c r="H146" s="797">
        <v>57.63</v>
      </c>
      <c r="I146" s="797">
        <v>60.34</v>
      </c>
      <c r="J146" s="797">
        <v>66.510000000000005</v>
      </c>
      <c r="K146" s="797">
        <v>52.26</v>
      </c>
      <c r="L146" s="797">
        <v>101.99</v>
      </c>
      <c r="M146" s="797">
        <v>1159.95</v>
      </c>
      <c r="N146" s="442">
        <f t="shared" si="7"/>
        <v>2472.2200000000003</v>
      </c>
    </row>
    <row r="147" spans="1:23" x14ac:dyDescent="0.3">
      <c r="A147" s="745" t="s">
        <v>482</v>
      </c>
      <c r="B147" s="797">
        <v>636.76</v>
      </c>
      <c r="C147" s="797">
        <v>718.26</v>
      </c>
      <c r="D147" s="797">
        <v>759.71</v>
      </c>
      <c r="E147" s="797">
        <v>591.78</v>
      </c>
      <c r="F147" s="797">
        <v>420.39</v>
      </c>
      <c r="G147" s="797">
        <v>352.2</v>
      </c>
      <c r="H147" s="797">
        <v>346.72</v>
      </c>
      <c r="I147" s="797">
        <v>368.11</v>
      </c>
      <c r="J147" s="797">
        <v>346.46</v>
      </c>
      <c r="K147" s="797">
        <v>333.9</v>
      </c>
      <c r="L147" s="797">
        <v>317.87</v>
      </c>
      <c r="M147" s="797">
        <v>497.88</v>
      </c>
      <c r="N147" s="442">
        <f t="shared" si="7"/>
        <v>5690.0399999999991</v>
      </c>
    </row>
    <row r="148" spans="1:23" x14ac:dyDescent="0.3">
      <c r="A148" s="745" t="s">
        <v>483</v>
      </c>
      <c r="B148" s="797">
        <v>635.87</v>
      </c>
      <c r="C148" s="797">
        <v>635.87</v>
      </c>
      <c r="D148" s="797">
        <v>635.87</v>
      </c>
      <c r="E148" s="797">
        <v>635.87</v>
      </c>
      <c r="F148" s="797">
        <v>780.83</v>
      </c>
      <c r="G148" s="797">
        <v>1074.6400000000001</v>
      </c>
      <c r="H148" s="797">
        <v>1070.77</v>
      </c>
      <c r="I148" s="797">
        <v>989.06</v>
      </c>
      <c r="J148" s="797">
        <v>991.42</v>
      </c>
      <c r="K148" s="797">
        <v>720.61</v>
      </c>
      <c r="L148" s="797">
        <v>586.39</v>
      </c>
      <c r="M148" s="797">
        <v>586.39</v>
      </c>
      <c r="N148" s="442">
        <f t="shared" si="7"/>
        <v>9343.5899999999983</v>
      </c>
    </row>
    <row r="149" spans="1:23" x14ac:dyDescent="0.3">
      <c r="A149" s="745" t="s">
        <v>718</v>
      </c>
      <c r="B149" s="746">
        <v>0</v>
      </c>
      <c r="C149" s="746">
        <v>0</v>
      </c>
      <c r="D149" s="746">
        <v>0</v>
      </c>
      <c r="E149" s="746">
        <v>0</v>
      </c>
      <c r="F149" s="746">
        <v>0</v>
      </c>
      <c r="G149" s="746">
        <v>0</v>
      </c>
      <c r="H149" s="746">
        <v>0</v>
      </c>
      <c r="I149" s="746">
        <v>0</v>
      </c>
      <c r="J149" s="746">
        <v>0</v>
      </c>
      <c r="K149" s="746">
        <v>0</v>
      </c>
      <c r="L149" s="746">
        <v>0</v>
      </c>
      <c r="M149" s="746">
        <v>0</v>
      </c>
      <c r="N149" s="443">
        <f t="shared" si="7"/>
        <v>0</v>
      </c>
    </row>
    <row r="150" spans="1:23" x14ac:dyDescent="0.3">
      <c r="A150" s="745" t="s">
        <v>719</v>
      </c>
      <c r="B150" s="797">
        <v>0</v>
      </c>
      <c r="C150" s="797">
        <v>0</v>
      </c>
      <c r="D150" s="797">
        <v>1240.4000000000001</v>
      </c>
      <c r="E150" s="797">
        <v>216.92</v>
      </c>
      <c r="F150" s="797">
        <v>1144.4000000000001</v>
      </c>
      <c r="G150" s="797">
        <v>315</v>
      </c>
      <c r="H150" s="797">
        <v>1889.39</v>
      </c>
      <c r="I150" s="797">
        <v>0</v>
      </c>
      <c r="J150" s="797">
        <v>75</v>
      </c>
      <c r="K150" s="797">
        <v>970</v>
      </c>
      <c r="L150" s="797">
        <v>50.01</v>
      </c>
      <c r="M150" s="797">
        <v>195</v>
      </c>
      <c r="N150" s="443">
        <f t="shared" si="7"/>
        <v>6096.1200000000008</v>
      </c>
    </row>
    <row r="151" spans="1:23" x14ac:dyDescent="0.3">
      <c r="A151" s="677" t="s">
        <v>37</v>
      </c>
      <c r="B151" s="797">
        <v>0</v>
      </c>
      <c r="C151" s="797">
        <v>0</v>
      </c>
      <c r="D151" s="797">
        <v>0</v>
      </c>
      <c r="E151" s="797">
        <v>0</v>
      </c>
      <c r="F151" s="797">
        <v>0</v>
      </c>
      <c r="G151" s="797">
        <v>0</v>
      </c>
      <c r="H151" s="797">
        <v>0</v>
      </c>
      <c r="I151" s="797">
        <v>0</v>
      </c>
      <c r="J151" s="797">
        <v>0</v>
      </c>
      <c r="K151" s="797">
        <v>0</v>
      </c>
      <c r="L151" s="797">
        <v>0</v>
      </c>
      <c r="M151" s="797">
        <v>0</v>
      </c>
      <c r="N151" s="449">
        <f t="shared" si="7"/>
        <v>0</v>
      </c>
    </row>
    <row r="152" spans="1:23" x14ac:dyDescent="0.3">
      <c r="A152" s="745" t="s">
        <v>373</v>
      </c>
      <c r="B152" s="797">
        <v>0</v>
      </c>
      <c r="C152" s="797">
        <v>0</v>
      </c>
      <c r="D152" s="797">
        <v>0</v>
      </c>
      <c r="E152" s="797">
        <v>0</v>
      </c>
      <c r="F152" s="797">
        <v>0</v>
      </c>
      <c r="G152" s="797">
        <v>0</v>
      </c>
      <c r="H152" s="797">
        <v>37.75</v>
      </c>
      <c r="I152" s="797">
        <v>0</v>
      </c>
      <c r="J152" s="797">
        <v>-0.04</v>
      </c>
      <c r="K152" s="797">
        <v>20</v>
      </c>
      <c r="L152" s="797">
        <v>0</v>
      </c>
      <c r="M152" s="797">
        <v>0</v>
      </c>
      <c r="N152" s="440">
        <f t="shared" si="7"/>
        <v>57.71</v>
      </c>
      <c r="P152"/>
      <c r="Q152"/>
      <c r="R152"/>
      <c r="S152"/>
      <c r="T152"/>
      <c r="U152"/>
      <c r="V152"/>
      <c r="W152"/>
    </row>
    <row r="153" spans="1:23" x14ac:dyDescent="0.3">
      <c r="A153" s="745" t="s">
        <v>374</v>
      </c>
      <c r="B153" s="797">
        <v>759.58</v>
      </c>
      <c r="C153" s="797">
        <v>2021.11</v>
      </c>
      <c r="D153" s="797">
        <v>1860.77</v>
      </c>
      <c r="E153" s="797">
        <v>2661.72</v>
      </c>
      <c r="F153" s="797">
        <v>4656.67</v>
      </c>
      <c r="G153" s="797">
        <v>7487.94</v>
      </c>
      <c r="H153" s="797">
        <v>10178.6</v>
      </c>
      <c r="I153" s="797">
        <v>10524.05</v>
      </c>
      <c r="J153" s="797">
        <v>7894.21</v>
      </c>
      <c r="K153" s="797">
        <v>5112.8100000000004</v>
      </c>
      <c r="L153" s="797">
        <v>2218.7800000000002</v>
      </c>
      <c r="M153" s="797">
        <v>886.95</v>
      </c>
      <c r="N153" s="447">
        <f t="shared" si="7"/>
        <v>56263.189999999995</v>
      </c>
    </row>
    <row r="154" spans="1:23" customFormat="1" x14ac:dyDescent="0.3">
      <c r="A154" s="678"/>
      <c r="B154" s="557"/>
      <c r="C154" s="557"/>
      <c r="D154" s="557"/>
      <c r="E154" s="557"/>
      <c r="F154" s="557"/>
      <c r="G154" s="557"/>
      <c r="H154" s="557"/>
      <c r="I154" s="557"/>
      <c r="J154" s="557"/>
      <c r="K154" s="557"/>
      <c r="L154" s="557"/>
      <c r="M154" s="557"/>
      <c r="N154" s="419"/>
      <c r="O154" s="708"/>
    </row>
    <row r="155" spans="1:23" x14ac:dyDescent="0.3">
      <c r="A155" s="677" t="s">
        <v>510</v>
      </c>
      <c r="B155" s="706">
        <f t="shared" ref="B155:M155" si="8">ROUND(SUBTOTAL(9, B44:B154), 5)</f>
        <v>72642.67</v>
      </c>
      <c r="C155" s="706">
        <f t="shared" si="8"/>
        <v>63548.67</v>
      </c>
      <c r="D155" s="706">
        <f t="shared" si="8"/>
        <v>66262.14</v>
      </c>
      <c r="E155" s="706">
        <f t="shared" si="8"/>
        <v>89373.1</v>
      </c>
      <c r="F155" s="706">
        <f t="shared" si="8"/>
        <v>107698.92</v>
      </c>
      <c r="G155" s="706">
        <f t="shared" si="8"/>
        <v>194600.48</v>
      </c>
      <c r="H155" s="706">
        <f t="shared" si="8"/>
        <v>196857.24</v>
      </c>
      <c r="I155" s="706">
        <f t="shared" si="8"/>
        <v>202411.08</v>
      </c>
      <c r="J155" s="706">
        <f t="shared" si="8"/>
        <v>151559.06</v>
      </c>
      <c r="K155" s="706">
        <f t="shared" si="8"/>
        <v>128141.32</v>
      </c>
      <c r="L155" s="706">
        <f t="shared" si="8"/>
        <v>75617.7</v>
      </c>
      <c r="M155" s="706">
        <f t="shared" si="8"/>
        <v>105982.42</v>
      </c>
      <c r="N155" s="421">
        <f t="shared" si="7"/>
        <v>1454694.7999999998</v>
      </c>
    </row>
    <row r="156" spans="1:23" customFormat="1" x14ac:dyDescent="0.3">
      <c r="A156" s="678"/>
      <c r="B156" s="557"/>
      <c r="C156" s="557"/>
      <c r="D156" s="557"/>
      <c r="E156" s="557"/>
      <c r="F156" s="557"/>
      <c r="G156" s="557"/>
      <c r="H156" s="557"/>
      <c r="I156" s="557"/>
      <c r="J156" s="557"/>
      <c r="K156" s="557"/>
      <c r="L156" s="557"/>
      <c r="M156" s="557"/>
      <c r="N156" s="419"/>
      <c r="O156" s="672"/>
    </row>
    <row r="157" spans="1:23" ht="13.5" thickBot="1" x14ac:dyDescent="0.35">
      <c r="A157" s="677" t="s">
        <v>511</v>
      </c>
      <c r="B157" s="706">
        <f t="shared" ref="B157:M157" si="9">-(ROUND(-B42+B155, 5))</f>
        <v>-44843.8</v>
      </c>
      <c r="C157" s="706">
        <f t="shared" si="9"/>
        <v>-30239.07</v>
      </c>
      <c r="D157" s="706">
        <f t="shared" si="9"/>
        <v>-30578.86</v>
      </c>
      <c r="E157" s="706">
        <f t="shared" si="9"/>
        <v>-21714.53</v>
      </c>
      <c r="F157" s="706">
        <f t="shared" si="9"/>
        <v>43457.31</v>
      </c>
      <c r="G157" s="706">
        <f t="shared" si="9"/>
        <v>68816.56</v>
      </c>
      <c r="H157" s="706">
        <f t="shared" si="9"/>
        <v>191730.6</v>
      </c>
      <c r="I157" s="706">
        <f t="shared" si="9"/>
        <v>86439.67</v>
      </c>
      <c r="J157" s="706">
        <f t="shared" si="9"/>
        <v>99772.4</v>
      </c>
      <c r="K157" s="706">
        <f t="shared" si="9"/>
        <v>-27255.43</v>
      </c>
      <c r="L157" s="706">
        <f t="shared" si="9"/>
        <v>-37797.440000000002</v>
      </c>
      <c r="M157" s="706">
        <f t="shared" si="9"/>
        <v>-51481.33</v>
      </c>
      <c r="N157" s="422">
        <f t="shared" si="7"/>
        <v>246306.08000000002</v>
      </c>
      <c r="O157" s="709">
        <f>O153+O40+O30</f>
        <v>27042.470000000005</v>
      </c>
    </row>
    <row r="158" spans="1:23" customFormat="1" ht="14" thickTop="1" thickBot="1" x14ac:dyDescent="0.35">
      <c r="A158" s="679"/>
      <c r="B158" s="558"/>
      <c r="C158" s="558"/>
      <c r="D158" s="558"/>
      <c r="E158" s="558"/>
      <c r="F158" s="558"/>
      <c r="G158" s="558"/>
      <c r="H158" s="558"/>
      <c r="I158" s="558"/>
      <c r="J158" s="558"/>
      <c r="K158" s="558"/>
      <c r="L158" s="558"/>
      <c r="M158" s="559"/>
      <c r="N158" s="423" t="s">
        <v>511</v>
      </c>
      <c r="O158" s="708">
        <v>1471885.95</v>
      </c>
      <c r="P158" s="309"/>
      <c r="Q158" s="309"/>
      <c r="R158" s="309"/>
      <c r="S158" s="309"/>
      <c r="T158" s="309"/>
      <c r="U158" s="309"/>
      <c r="V158" s="309"/>
      <c r="W158" s="309"/>
    </row>
    <row r="159" spans="1:23" x14ac:dyDescent="0.3">
      <c r="O159" s="709">
        <f>O157-O158</f>
        <v>-1444843.48</v>
      </c>
    </row>
    <row r="160" spans="1:23" ht="13.5" x14ac:dyDescent="0.35">
      <c r="B160" s="713">
        <f>0+B157</f>
        <v>-44843.8</v>
      </c>
      <c r="C160" s="713">
        <f>B160+C157</f>
        <v>-75082.87</v>
      </c>
      <c r="D160" s="713">
        <f t="shared" ref="D160:M160" si="10">C160+D157</f>
        <v>-105661.73</v>
      </c>
      <c r="E160" s="713">
        <f t="shared" si="10"/>
        <v>-127376.26</v>
      </c>
      <c r="F160" s="713">
        <f t="shared" si="10"/>
        <v>-83918.95</v>
      </c>
      <c r="G160" s="713">
        <f t="shared" si="10"/>
        <v>-15102.39</v>
      </c>
      <c r="H160" s="713">
        <f t="shared" si="10"/>
        <v>176628.21000000002</v>
      </c>
      <c r="I160" s="713">
        <f t="shared" si="10"/>
        <v>263067.88</v>
      </c>
      <c r="J160" s="713">
        <f t="shared" si="10"/>
        <v>362840.28</v>
      </c>
      <c r="K160" s="713">
        <f t="shared" si="10"/>
        <v>335584.85000000003</v>
      </c>
      <c r="L160" s="713">
        <f t="shared" si="10"/>
        <v>297787.41000000003</v>
      </c>
      <c r="M160" s="713">
        <f t="shared" si="10"/>
        <v>246306.08000000002</v>
      </c>
      <c r="N160" s="713"/>
    </row>
    <row r="161" spans="8:13" x14ac:dyDescent="0.3">
      <c r="M161" s="421">
        <f>245755.72-246306.08</f>
        <v>-550.35999999998603</v>
      </c>
    </row>
    <row r="162" spans="8:13" x14ac:dyDescent="0.3">
      <c r="H162" s="419">
        <f>SUM(B157:H157)</f>
        <v>176628.21000000002</v>
      </c>
      <c r="M162" s="419">
        <f>SUM(M160:M161)</f>
        <v>245755.72000000003</v>
      </c>
    </row>
  </sheetData>
  <printOptions gridLines="1"/>
  <pageMargins left="0" right="0" top="0.75" bottom="0.75" header="0.3" footer="0.3"/>
  <pageSetup scale="78" orientation="landscape" r:id="rId1"/>
  <headerFooter>
    <oddFooter>&amp;A</oddFooter>
  </headerFooter>
  <colBreaks count="1" manualBreakCount="1">
    <brk id="14"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2"/>
  <sheetViews>
    <sheetView workbookViewId="0"/>
  </sheetViews>
  <sheetFormatPr defaultColWidth="9.1796875" defaultRowHeight="12.5" x14ac:dyDescent="0.25"/>
  <cols>
    <col min="1" max="1" width="3.1796875" style="126" bestFit="1" customWidth="1"/>
    <col min="2" max="2" width="18.54296875" style="212" customWidth="1"/>
    <col min="3" max="3" width="17.1796875" style="127" customWidth="1"/>
    <col min="4" max="4" width="10.54296875" style="127" customWidth="1"/>
    <col min="5" max="5" width="6.54296875" style="125" customWidth="1"/>
    <col min="6" max="6" width="9.81640625" style="125" customWidth="1"/>
    <col min="7" max="7" width="13.453125" style="125" bestFit="1" customWidth="1"/>
    <col min="8" max="8" width="9.7265625" style="1" bestFit="1" customWidth="1"/>
    <col min="9" max="9" width="10.81640625" style="1" bestFit="1" customWidth="1"/>
    <col min="10" max="10" width="5" style="1" customWidth="1"/>
    <col min="11" max="11" width="12" style="234" customWidth="1"/>
    <col min="12" max="12" width="11.54296875" style="1" customWidth="1"/>
    <col min="13" max="15" width="9.1796875" style="1"/>
    <col min="16" max="16" width="10.7265625" style="1" bestFit="1" customWidth="1"/>
    <col min="17" max="16384" width="9.1796875" style="1"/>
  </cols>
  <sheetData>
    <row r="1" spans="1:17" s="121" customFormat="1" ht="13" x14ac:dyDescent="0.3">
      <c r="A1" s="119"/>
      <c r="B1" s="233" t="s">
        <v>898</v>
      </c>
      <c r="C1" s="118"/>
      <c r="D1" s="120"/>
      <c r="E1" s="120"/>
      <c r="F1" s="120"/>
      <c r="G1" s="120"/>
      <c r="H1" s="120"/>
      <c r="I1" s="120"/>
      <c r="J1" s="120"/>
      <c r="K1" s="1179"/>
    </row>
    <row r="2" spans="1:17" s="121" customFormat="1" ht="13" x14ac:dyDescent="0.3">
      <c r="A2" s="119"/>
      <c r="B2" s="988"/>
      <c r="C2" s="118"/>
      <c r="D2" s="118"/>
      <c r="E2" s="120"/>
      <c r="F2" s="120"/>
      <c r="G2" s="120"/>
      <c r="H2" s="120"/>
      <c r="I2" s="120"/>
      <c r="J2" s="120"/>
      <c r="K2" s="1179"/>
    </row>
    <row r="3" spans="1:17" ht="13" x14ac:dyDescent="0.3">
      <c r="B3" s="125"/>
      <c r="D3" s="125"/>
      <c r="E3" s="3"/>
      <c r="F3" s="129"/>
      <c r="G3" s="214"/>
      <c r="O3" s="121"/>
      <c r="P3" s="121"/>
      <c r="Q3" s="121"/>
    </row>
    <row r="4" spans="1:17" ht="13" x14ac:dyDescent="0.3">
      <c r="B4" s="125"/>
      <c r="C4" s="121" t="s">
        <v>761</v>
      </c>
      <c r="D4" s="125"/>
      <c r="E4" s="3"/>
      <c r="F4" s="129"/>
      <c r="G4" s="214"/>
      <c r="O4" s="121"/>
      <c r="P4" s="121"/>
      <c r="Q4" s="121"/>
    </row>
    <row r="5" spans="1:17" ht="13" x14ac:dyDescent="0.3">
      <c r="A5" s="126" t="s">
        <v>41</v>
      </c>
      <c r="B5" s="703">
        <v>175000</v>
      </c>
      <c r="C5" s="130" t="s">
        <v>795</v>
      </c>
      <c r="H5" s="130"/>
      <c r="O5" s="121"/>
      <c r="P5" s="121"/>
      <c r="Q5" s="121"/>
    </row>
    <row r="6" spans="1:17" ht="13" x14ac:dyDescent="0.3">
      <c r="B6" s="125"/>
      <c r="C6" s="127" t="s">
        <v>887</v>
      </c>
      <c r="H6" s="130"/>
      <c r="O6" s="121"/>
      <c r="P6" s="121"/>
      <c r="Q6" s="121"/>
    </row>
    <row r="7" spans="1:17" ht="13" x14ac:dyDescent="0.3">
      <c r="B7" s="124"/>
      <c r="C7" s="1" t="s">
        <v>888</v>
      </c>
      <c r="D7" s="1"/>
      <c r="E7" s="1"/>
      <c r="F7" s="1"/>
      <c r="G7" s="1"/>
      <c r="O7" s="121"/>
      <c r="P7" s="121"/>
      <c r="Q7" s="121"/>
    </row>
    <row r="8" spans="1:17" ht="13" x14ac:dyDescent="0.3">
      <c r="B8" s="122"/>
      <c r="O8" s="121"/>
      <c r="P8" s="121"/>
      <c r="Q8" s="121"/>
    </row>
    <row r="9" spans="1:17" ht="13" x14ac:dyDescent="0.3">
      <c r="A9" s="126" t="s">
        <v>43</v>
      </c>
      <c r="B9" s="703">
        <v>25000</v>
      </c>
      <c r="C9" s="127" t="s">
        <v>889</v>
      </c>
      <c r="E9" s="787"/>
      <c r="F9" s="129"/>
      <c r="G9" s="122"/>
      <c r="O9" s="121"/>
      <c r="P9" s="121"/>
      <c r="Q9" s="121"/>
    </row>
    <row r="10" spans="1:17" ht="13" x14ac:dyDescent="0.3">
      <c r="B10" s="126"/>
      <c r="C10" s="126"/>
      <c r="D10" s="125"/>
      <c r="E10" s="787"/>
      <c r="F10" s="129"/>
      <c r="G10" s="122"/>
      <c r="O10" s="121"/>
      <c r="P10" s="121"/>
      <c r="Q10" s="121"/>
    </row>
    <row r="11" spans="1:17" ht="13" x14ac:dyDescent="0.3">
      <c r="A11" s="1"/>
      <c r="B11" s="127">
        <f>'DLC LCBC Depn'!I80</f>
        <v>50000</v>
      </c>
      <c r="C11" s="1" t="s">
        <v>798</v>
      </c>
      <c r="D11" s="1"/>
      <c r="E11" s="787"/>
      <c r="F11" s="129"/>
      <c r="G11" s="122"/>
      <c r="O11" s="121"/>
      <c r="P11" s="121"/>
      <c r="Q11" s="121"/>
    </row>
    <row r="12" spans="1:17" ht="13" x14ac:dyDescent="0.3">
      <c r="B12" s="125">
        <f>-SUM('Inc Stmnt 12 mo 8.1.18  7.31.19'!N123:N124)</f>
        <v>-17441.940000000002</v>
      </c>
      <c r="C12" s="127" t="s">
        <v>800</v>
      </c>
      <c r="O12" s="121"/>
      <c r="P12" s="121"/>
      <c r="Q12" s="121"/>
    </row>
    <row r="13" spans="1:17" ht="13" x14ac:dyDescent="0.3">
      <c r="B13" s="128">
        <f>'DLC LCBC Depn'!I58+'DLC LCBC Depn'!I66</f>
        <v>21828</v>
      </c>
      <c r="C13" s="127" t="s">
        <v>843</v>
      </c>
      <c r="O13" s="121"/>
      <c r="P13" s="121"/>
      <c r="Q13" s="121"/>
    </row>
    <row r="14" spans="1:17" ht="13" x14ac:dyDescent="0.3">
      <c r="A14" s="126" t="s">
        <v>267</v>
      </c>
      <c r="B14" s="702">
        <f>SUM(B11:B13)</f>
        <v>54386.06</v>
      </c>
      <c r="C14" s="1"/>
      <c r="D14" s="1"/>
      <c r="E14" s="787"/>
      <c r="F14" s="129"/>
      <c r="G14" s="122"/>
      <c r="O14" s="121"/>
      <c r="P14" s="121"/>
      <c r="Q14" s="121"/>
    </row>
    <row r="15" spans="1:17" ht="13" x14ac:dyDescent="0.3">
      <c r="B15" s="234"/>
      <c r="C15" s="1"/>
      <c r="D15" s="1"/>
      <c r="E15" s="787"/>
      <c r="F15" s="129"/>
      <c r="G15" s="122"/>
      <c r="O15" s="121"/>
      <c r="P15" s="121"/>
      <c r="Q15" s="121"/>
    </row>
    <row r="16" spans="1:17" ht="13" x14ac:dyDescent="0.3">
      <c r="B16" s="125">
        <f>-SUM('Inc Stmnt 12 mo 8.1.18  7.31.19'!N125:N131)</f>
        <v>-97695.67</v>
      </c>
      <c r="C16" s="127" t="s">
        <v>799</v>
      </c>
      <c r="O16" s="121"/>
      <c r="P16" s="121"/>
      <c r="Q16" s="121"/>
    </row>
    <row r="17" spans="1:21" ht="13" x14ac:dyDescent="0.3">
      <c r="B17" s="128">
        <f>'DLC LCBC Depn'!I40</f>
        <v>121335</v>
      </c>
      <c r="C17" s="127" t="s">
        <v>802</v>
      </c>
      <c r="O17" s="121"/>
      <c r="P17" s="121"/>
      <c r="Q17" s="121"/>
    </row>
    <row r="18" spans="1:21" ht="13" x14ac:dyDescent="0.3">
      <c r="A18" s="126" t="s">
        <v>796</v>
      </c>
      <c r="B18" s="703">
        <f>SUM(B16:B17)</f>
        <v>23639.33</v>
      </c>
      <c r="H18" s="130"/>
      <c r="I18" s="130"/>
      <c r="O18" s="121"/>
      <c r="P18" s="121"/>
      <c r="Q18" s="121"/>
    </row>
    <row r="19" spans="1:21" s="130" customFormat="1" ht="13" x14ac:dyDescent="0.3">
      <c r="K19" s="127"/>
      <c r="O19" s="121"/>
      <c r="P19" s="121"/>
      <c r="Q19" s="121"/>
    </row>
    <row r="20" spans="1:21" s="130" customFormat="1" ht="13" x14ac:dyDescent="0.3">
      <c r="A20" s="123"/>
      <c r="B20" s="125"/>
      <c r="C20" s="127"/>
      <c r="D20" s="127"/>
      <c r="E20" s="125"/>
      <c r="F20" s="125"/>
      <c r="G20" s="125"/>
      <c r="K20" s="127"/>
      <c r="O20" s="121"/>
      <c r="P20" s="121"/>
      <c r="Q20" s="121"/>
      <c r="S20" s="1"/>
    </row>
    <row r="21" spans="1:21" s="130" customFormat="1" ht="13" x14ac:dyDescent="0.3">
      <c r="A21" s="126" t="s">
        <v>801</v>
      </c>
      <c r="B21" s="703">
        <f>-'Inc Stmnt 12 mo 8.1.18  7.31.19'!D143-'Inc Stmnt 12 mo 8.1.18  7.31.19'!E143-'Inc Stmnt 12 mo 8.1.18  7.31.19'!F143-'Inc Stmnt 12 mo 8.1.18  7.31.19'!G143</f>
        <v>-15320</v>
      </c>
      <c r="C21" s="127" t="s">
        <v>797</v>
      </c>
      <c r="D21" s="127"/>
      <c r="E21" s="125"/>
      <c r="F21" s="125"/>
      <c r="G21" s="125"/>
      <c r="K21" s="127"/>
      <c r="O21" s="121"/>
      <c r="P21" s="121"/>
      <c r="Q21" s="121"/>
      <c r="S21" s="1"/>
    </row>
    <row r="22" spans="1:21" s="130" customFormat="1" ht="13" x14ac:dyDescent="0.3">
      <c r="A22" s="123"/>
      <c r="B22" s="125"/>
      <c r="C22" s="127" t="s">
        <v>896</v>
      </c>
      <c r="D22" s="127"/>
      <c r="E22" s="125"/>
      <c r="F22" s="125"/>
      <c r="G22" s="125"/>
      <c r="K22" s="127"/>
      <c r="O22" s="121"/>
      <c r="P22" s="121"/>
      <c r="Q22" s="121"/>
      <c r="S22" s="1"/>
    </row>
    <row r="23" spans="1:21" s="130" customFormat="1" ht="13" x14ac:dyDescent="0.3">
      <c r="A23" s="123"/>
      <c r="B23" s="125"/>
      <c r="C23" s="127"/>
      <c r="D23" s="127"/>
      <c r="E23" s="125"/>
      <c r="F23" s="125"/>
      <c r="G23" s="125"/>
      <c r="K23" s="127"/>
      <c r="O23" s="121"/>
      <c r="P23" s="121"/>
      <c r="Q23" s="121"/>
      <c r="S23" s="1"/>
    </row>
    <row r="24" spans="1:21" s="130" customFormat="1" ht="13" x14ac:dyDescent="0.3">
      <c r="B24" s="122">
        <v>50297.279999999999</v>
      </c>
      <c r="C24" s="127" t="s">
        <v>894</v>
      </c>
      <c r="D24" s="127"/>
      <c r="E24" s="125"/>
      <c r="G24" s="125"/>
      <c r="K24" s="127"/>
      <c r="O24" s="121"/>
      <c r="P24" s="121"/>
      <c r="Q24" s="121"/>
      <c r="S24" s="1"/>
    </row>
    <row r="25" spans="1:21" s="130" customFormat="1" ht="13" x14ac:dyDescent="0.3">
      <c r="A25" s="123"/>
      <c r="B25" s="128">
        <f>SUM('Inc Stmnt 12 mo 8.1.18  7.31.19'!N70:N72)</f>
        <v>44689.06</v>
      </c>
      <c r="C25" s="127" t="s">
        <v>893</v>
      </c>
      <c r="D25" s="127"/>
      <c r="E25" s="125"/>
      <c r="F25" s="125"/>
      <c r="G25" s="125"/>
      <c r="K25" s="127"/>
      <c r="O25" s="121"/>
      <c r="P25" s="121"/>
      <c r="Q25" s="121"/>
      <c r="S25" s="1"/>
    </row>
    <row r="26" spans="1:21" s="130" customFormat="1" ht="13" x14ac:dyDescent="0.3">
      <c r="A26" s="123" t="s">
        <v>844</v>
      </c>
      <c r="B26" s="702">
        <f>B24-B25</f>
        <v>5608.2200000000012</v>
      </c>
      <c r="C26" s="127" t="s">
        <v>895</v>
      </c>
      <c r="F26" s="125"/>
      <c r="G26" s="125"/>
      <c r="K26" s="127"/>
      <c r="O26" s="121"/>
      <c r="P26" s="121"/>
      <c r="Q26" s="121"/>
      <c r="S26" s="1"/>
    </row>
    <row r="27" spans="1:21" s="130" customFormat="1" ht="13" x14ac:dyDescent="0.3">
      <c r="A27" s="123"/>
      <c r="B27" s="125"/>
      <c r="C27" s="127"/>
      <c r="D27" s="127"/>
      <c r="E27" s="125"/>
      <c r="F27" s="125"/>
      <c r="G27" s="125"/>
      <c r="I27" s="127"/>
      <c r="K27" s="127"/>
      <c r="O27" s="121"/>
      <c r="P27" s="121"/>
      <c r="Q27" s="121"/>
      <c r="S27" s="1"/>
    </row>
    <row r="28" spans="1:21" s="130" customFormat="1" ht="13" x14ac:dyDescent="0.3">
      <c r="A28" s="123" t="s">
        <v>892</v>
      </c>
      <c r="B28" s="1217">
        <v>-66800</v>
      </c>
      <c r="C28" s="1198" t="s">
        <v>904</v>
      </c>
      <c r="D28" s="1198"/>
      <c r="E28" s="1187"/>
      <c r="F28" s="1187"/>
      <c r="G28" s="1187"/>
      <c r="H28" s="1212"/>
      <c r="I28" s="1212"/>
      <c r="J28" s="1212"/>
      <c r="K28" s="127"/>
      <c r="O28" s="121"/>
      <c r="P28" s="121"/>
      <c r="Q28" s="121"/>
      <c r="S28" s="1"/>
      <c r="T28" s="1"/>
      <c r="U28" s="1"/>
    </row>
    <row r="29" spans="1:21" s="130" customFormat="1" ht="13" x14ac:dyDescent="0.3">
      <c r="A29" s="123"/>
      <c r="B29" s="125"/>
      <c r="C29" s="127"/>
      <c r="D29" s="127"/>
      <c r="E29" s="125"/>
      <c r="F29" s="125"/>
      <c r="G29" s="125"/>
      <c r="K29" s="127"/>
      <c r="O29" s="121"/>
      <c r="P29" s="121"/>
      <c r="Q29" s="121"/>
    </row>
    <row r="30" spans="1:21" s="130" customFormat="1" ht="13" x14ac:dyDescent="0.3">
      <c r="A30" s="126"/>
      <c r="B30" s="122">
        <f>B5+B9+B14+B18+B21+B26+B28</f>
        <v>201513.61</v>
      </c>
      <c r="C30" s="127" t="s">
        <v>695</v>
      </c>
      <c r="D30" s="125"/>
      <c r="E30" s="3"/>
      <c r="F30" s="129"/>
      <c r="G30" s="125"/>
      <c r="K30" s="127"/>
      <c r="O30" s="121"/>
      <c r="P30" s="121"/>
      <c r="Q30" s="121"/>
    </row>
    <row r="31" spans="1:21" s="130" customFormat="1" ht="13" x14ac:dyDescent="0.3">
      <c r="A31" s="123"/>
      <c r="B31" s="128">
        <f>'2020 Pro Forma Income State'!I51</f>
        <v>201513.61000000002</v>
      </c>
      <c r="C31" s="127" t="s">
        <v>886</v>
      </c>
      <c r="D31" s="127"/>
      <c r="E31" s="125"/>
      <c r="F31" s="125"/>
      <c r="G31" s="125"/>
      <c r="K31" s="127"/>
      <c r="O31" s="121"/>
      <c r="P31" s="121"/>
      <c r="Q31" s="121"/>
    </row>
    <row r="32" spans="1:21" s="130" customFormat="1" ht="13" x14ac:dyDescent="0.3">
      <c r="A32" s="123"/>
      <c r="B32" s="125">
        <f>B30-B31</f>
        <v>0</v>
      </c>
      <c r="C32" s="127"/>
      <c r="D32" s="127"/>
      <c r="E32" s="125"/>
      <c r="F32" s="125"/>
      <c r="G32" s="125"/>
      <c r="K32" s="127"/>
      <c r="O32" s="121"/>
      <c r="P32" s="121"/>
      <c r="Q32" s="121"/>
    </row>
    <row r="33" spans="1:17" s="130" customFormat="1" ht="13" x14ac:dyDescent="0.3">
      <c r="A33" s="123"/>
      <c r="B33" s="125"/>
      <c r="C33" s="127"/>
      <c r="D33" s="127"/>
      <c r="E33" s="125"/>
      <c r="F33" s="125"/>
      <c r="G33" s="125"/>
      <c r="K33" s="127"/>
      <c r="O33" s="121"/>
      <c r="P33" s="121"/>
      <c r="Q33" s="121"/>
    </row>
    <row r="34" spans="1:17" s="130" customFormat="1" ht="13" x14ac:dyDescent="0.3">
      <c r="A34" s="123"/>
      <c r="B34" s="125"/>
      <c r="C34" s="127"/>
      <c r="D34" s="127"/>
      <c r="E34" s="125"/>
      <c r="F34" s="125"/>
      <c r="G34" s="125"/>
      <c r="K34" s="127"/>
      <c r="O34" s="121"/>
      <c r="P34" s="121"/>
      <c r="Q34" s="121"/>
    </row>
    <row r="35" spans="1:17" s="130" customFormat="1" ht="13" x14ac:dyDescent="0.3">
      <c r="A35" s="123"/>
      <c r="B35" s="989"/>
      <c r="C35" s="127"/>
      <c r="D35" s="127"/>
      <c r="E35" s="125"/>
      <c r="F35" s="125"/>
      <c r="G35" s="125"/>
      <c r="K35" s="127"/>
      <c r="O35" s="121"/>
      <c r="P35" s="121"/>
      <c r="Q35" s="121"/>
    </row>
    <row r="36" spans="1:17" s="130" customFormat="1" ht="13" x14ac:dyDescent="0.3">
      <c r="A36" s="123"/>
      <c r="B36" s="989"/>
      <c r="C36" s="127"/>
      <c r="D36" s="127"/>
      <c r="E36" s="125"/>
      <c r="F36" s="125"/>
      <c r="G36" s="125"/>
      <c r="K36" s="127"/>
      <c r="O36" s="121"/>
      <c r="P36" s="121"/>
      <c r="Q36" s="121"/>
    </row>
    <row r="37" spans="1:17" s="130" customFormat="1" ht="13" x14ac:dyDescent="0.3">
      <c r="A37" s="123"/>
      <c r="B37" s="987"/>
      <c r="C37" s="127"/>
      <c r="D37" s="127"/>
      <c r="E37" s="125"/>
      <c r="F37" s="125"/>
      <c r="G37" s="125"/>
      <c r="K37" s="127"/>
      <c r="O37" s="121"/>
      <c r="P37" s="121"/>
      <c r="Q37" s="121"/>
    </row>
    <row r="38" spans="1:17" s="130" customFormat="1" ht="13" x14ac:dyDescent="0.3">
      <c r="A38" s="123"/>
      <c r="B38" s="987"/>
      <c r="C38" s="127"/>
      <c r="D38" s="127"/>
      <c r="E38" s="125"/>
      <c r="F38" s="125"/>
      <c r="G38" s="125"/>
      <c r="K38" s="127"/>
      <c r="O38" s="121"/>
      <c r="P38" s="121"/>
      <c r="Q38" s="121"/>
    </row>
    <row r="39" spans="1:17" s="130" customFormat="1" ht="13" x14ac:dyDescent="0.3">
      <c r="A39" s="123"/>
      <c r="B39" s="987"/>
      <c r="C39" s="127"/>
      <c r="D39" s="127"/>
      <c r="E39" s="125"/>
      <c r="F39" s="125"/>
      <c r="G39" s="125"/>
      <c r="K39" s="127"/>
      <c r="O39" s="121"/>
      <c r="P39" s="121"/>
      <c r="Q39" s="121"/>
    </row>
    <row r="40" spans="1:17" s="130" customFormat="1" ht="13" x14ac:dyDescent="0.3">
      <c r="A40" s="123"/>
      <c r="B40" s="987"/>
      <c r="C40" s="127"/>
      <c r="D40" s="127"/>
      <c r="E40" s="125"/>
      <c r="F40" s="125"/>
      <c r="G40" s="125"/>
      <c r="K40" s="127"/>
      <c r="O40" s="121"/>
      <c r="P40" s="121"/>
      <c r="Q40" s="121"/>
    </row>
    <row r="41" spans="1:17" s="130" customFormat="1" ht="13" x14ac:dyDescent="0.3">
      <c r="A41" s="123"/>
      <c r="B41" s="987"/>
      <c r="C41" s="127"/>
      <c r="D41" s="127"/>
      <c r="E41" s="125"/>
      <c r="F41" s="125"/>
      <c r="G41" s="125"/>
      <c r="K41" s="127"/>
      <c r="O41" s="121"/>
      <c r="P41" s="121"/>
      <c r="Q41" s="121"/>
    </row>
    <row r="42" spans="1:17" s="130" customFormat="1" ht="13" x14ac:dyDescent="0.3">
      <c r="A42" s="123"/>
      <c r="B42" s="212"/>
      <c r="C42" s="127"/>
      <c r="D42" s="127"/>
      <c r="E42" s="125"/>
      <c r="F42" s="125"/>
      <c r="G42" s="125"/>
      <c r="K42" s="127"/>
      <c r="O42" s="121"/>
      <c r="P42" s="121"/>
      <c r="Q42" s="121"/>
    </row>
    <row r="43" spans="1:17" s="130" customFormat="1" ht="13" x14ac:dyDescent="0.3">
      <c r="A43" s="123"/>
      <c r="B43" s="212"/>
      <c r="C43" s="127"/>
      <c r="D43" s="127"/>
      <c r="E43" s="125"/>
      <c r="F43" s="125"/>
      <c r="G43" s="125"/>
      <c r="K43" s="127"/>
      <c r="O43" s="121"/>
      <c r="P43" s="121"/>
      <c r="Q43" s="121"/>
    </row>
    <row r="44" spans="1:17" s="130" customFormat="1" ht="13" x14ac:dyDescent="0.3">
      <c r="A44" s="123"/>
      <c r="B44" s="212"/>
      <c r="C44" s="127"/>
      <c r="D44" s="127"/>
      <c r="E44" s="125"/>
      <c r="F44" s="125"/>
      <c r="G44" s="125"/>
      <c r="K44" s="127"/>
      <c r="O44" s="121"/>
      <c r="P44" s="121"/>
      <c r="Q44" s="121"/>
    </row>
    <row r="45" spans="1:17" s="130" customFormat="1" ht="13" x14ac:dyDescent="0.3">
      <c r="A45" s="123"/>
      <c r="B45" s="212"/>
      <c r="C45" s="127"/>
      <c r="D45" s="127"/>
      <c r="E45" s="125"/>
      <c r="F45" s="125"/>
      <c r="G45" s="125"/>
      <c r="K45" s="127"/>
      <c r="O45" s="121"/>
      <c r="P45" s="121"/>
      <c r="Q45" s="121"/>
    </row>
    <row r="46" spans="1:17" s="130" customFormat="1" ht="13" x14ac:dyDescent="0.3">
      <c r="A46" s="123"/>
      <c r="B46" s="212"/>
      <c r="C46" s="127"/>
      <c r="D46" s="127"/>
      <c r="E46" s="125"/>
      <c r="F46" s="125"/>
      <c r="G46" s="125"/>
      <c r="K46" s="127"/>
      <c r="O46" s="121"/>
      <c r="P46" s="121"/>
      <c r="Q46" s="121"/>
    </row>
    <row r="47" spans="1:17" s="130" customFormat="1" ht="13" x14ac:dyDescent="0.3">
      <c r="A47" s="123"/>
      <c r="B47" s="212"/>
      <c r="C47" s="127"/>
      <c r="D47" s="127"/>
      <c r="E47" s="125"/>
      <c r="F47" s="125"/>
      <c r="G47" s="125"/>
      <c r="K47" s="127"/>
      <c r="O47" s="121"/>
      <c r="P47" s="121"/>
      <c r="Q47" s="121"/>
    </row>
    <row r="48" spans="1:17" s="130" customFormat="1" ht="13" x14ac:dyDescent="0.3">
      <c r="A48" s="123"/>
      <c r="B48" s="212"/>
      <c r="C48" s="127"/>
      <c r="D48" s="127"/>
      <c r="E48" s="125"/>
      <c r="F48" s="125"/>
      <c r="G48" s="125"/>
      <c r="K48" s="127"/>
      <c r="O48" s="121"/>
      <c r="P48" s="121"/>
      <c r="Q48" s="121"/>
    </row>
    <row r="49" spans="1:17" s="130" customFormat="1" ht="13" x14ac:dyDescent="0.3">
      <c r="A49" s="123"/>
      <c r="B49" s="212"/>
      <c r="C49" s="127"/>
      <c r="D49" s="127"/>
      <c r="E49" s="125"/>
      <c r="F49" s="125"/>
      <c r="G49" s="125"/>
      <c r="K49" s="127"/>
      <c r="O49" s="121"/>
      <c r="P49" s="121"/>
      <c r="Q49" s="121"/>
    </row>
    <row r="50" spans="1:17" s="130" customFormat="1" ht="13" x14ac:dyDescent="0.3">
      <c r="A50" s="123"/>
      <c r="B50" s="212"/>
      <c r="C50" s="127"/>
      <c r="D50" s="127"/>
      <c r="E50" s="125"/>
      <c r="F50" s="125"/>
      <c r="G50" s="125"/>
      <c r="K50" s="127"/>
      <c r="O50" s="121"/>
      <c r="P50" s="121"/>
      <c r="Q50" s="121"/>
    </row>
    <row r="51" spans="1:17" s="130" customFormat="1" ht="13" x14ac:dyDescent="0.3">
      <c r="A51" s="123"/>
      <c r="B51" s="212"/>
      <c r="C51" s="127"/>
      <c r="D51" s="127"/>
      <c r="E51" s="125"/>
      <c r="F51" s="125"/>
      <c r="G51" s="125"/>
      <c r="K51" s="127"/>
      <c r="O51" s="121"/>
      <c r="P51" s="121"/>
      <c r="Q51" s="121"/>
    </row>
    <row r="52" spans="1:17" s="130" customFormat="1" ht="13" x14ac:dyDescent="0.3">
      <c r="A52" s="123"/>
      <c r="B52" s="212"/>
      <c r="C52" s="127"/>
      <c r="D52" s="127"/>
      <c r="E52" s="125"/>
      <c r="F52" s="125"/>
      <c r="G52" s="125"/>
      <c r="K52" s="127"/>
      <c r="O52" s="121"/>
      <c r="P52" s="121"/>
      <c r="Q52" s="121"/>
    </row>
    <row r="53" spans="1:17" s="130" customFormat="1" ht="13" x14ac:dyDescent="0.3">
      <c r="A53" s="123"/>
      <c r="B53" s="212"/>
      <c r="C53" s="127"/>
      <c r="D53" s="127"/>
      <c r="E53" s="125"/>
      <c r="F53" s="125"/>
      <c r="G53" s="125"/>
      <c r="K53" s="127"/>
      <c r="O53" s="121"/>
      <c r="P53" s="121"/>
      <c r="Q53" s="121"/>
    </row>
    <row r="54" spans="1:17" s="130" customFormat="1" ht="13" x14ac:dyDescent="0.3">
      <c r="A54" s="123"/>
      <c r="B54" s="212"/>
      <c r="C54" s="127"/>
      <c r="D54" s="127"/>
      <c r="E54" s="125"/>
      <c r="F54" s="125"/>
      <c r="G54" s="125"/>
      <c r="K54" s="127"/>
      <c r="O54" s="121"/>
      <c r="P54" s="121"/>
      <c r="Q54" s="121"/>
    </row>
    <row r="55" spans="1:17" s="130" customFormat="1" ht="13" x14ac:dyDescent="0.3">
      <c r="A55" s="123"/>
      <c r="B55" s="212"/>
      <c r="C55" s="127"/>
      <c r="D55" s="127"/>
      <c r="E55" s="125"/>
      <c r="F55" s="125"/>
      <c r="G55" s="125"/>
      <c r="K55" s="127"/>
      <c r="O55" s="121"/>
      <c r="P55" s="121"/>
      <c r="Q55" s="121"/>
    </row>
    <row r="56" spans="1:17" s="130" customFormat="1" ht="13" x14ac:dyDescent="0.3">
      <c r="A56" s="123"/>
      <c r="B56" s="212"/>
      <c r="C56" s="127"/>
      <c r="D56" s="127"/>
      <c r="E56" s="125"/>
      <c r="F56" s="125"/>
      <c r="G56" s="125"/>
      <c r="K56" s="127"/>
      <c r="O56" s="121"/>
      <c r="P56" s="121"/>
      <c r="Q56" s="121"/>
    </row>
    <row r="57" spans="1:17" s="130" customFormat="1" ht="13" x14ac:dyDescent="0.3">
      <c r="A57" s="123"/>
      <c r="B57" s="212"/>
      <c r="C57" s="127"/>
      <c r="D57" s="127"/>
      <c r="E57" s="125"/>
      <c r="F57" s="125"/>
      <c r="G57" s="125"/>
      <c r="K57" s="127"/>
      <c r="O57" s="121"/>
      <c r="P57" s="121"/>
      <c r="Q57" s="121"/>
    </row>
    <row r="58" spans="1:17" s="130" customFormat="1" ht="13" x14ac:dyDescent="0.3">
      <c r="A58" s="123"/>
      <c r="B58" s="212"/>
      <c r="C58" s="127"/>
      <c r="D58" s="127"/>
      <c r="E58" s="125"/>
      <c r="F58" s="125"/>
      <c r="G58" s="125"/>
      <c r="K58" s="127"/>
      <c r="O58" s="121"/>
      <c r="P58" s="121"/>
      <c r="Q58" s="121"/>
    </row>
    <row r="59" spans="1:17" s="130" customFormat="1" ht="13" x14ac:dyDescent="0.3">
      <c r="A59" s="123"/>
      <c r="B59" s="212"/>
      <c r="C59" s="127"/>
      <c r="D59" s="127"/>
      <c r="E59" s="125"/>
      <c r="F59" s="125"/>
      <c r="G59" s="125"/>
      <c r="K59" s="127"/>
      <c r="O59" s="121"/>
      <c r="P59" s="121"/>
      <c r="Q59" s="121"/>
    </row>
    <row r="60" spans="1:17" s="130" customFormat="1" ht="13" x14ac:dyDescent="0.3">
      <c r="A60" s="123"/>
      <c r="B60" s="212"/>
      <c r="C60" s="127"/>
      <c r="D60" s="127"/>
      <c r="E60" s="125"/>
      <c r="F60" s="125"/>
      <c r="G60" s="125"/>
      <c r="K60" s="127"/>
      <c r="O60" s="121"/>
      <c r="P60" s="121"/>
      <c r="Q60" s="121"/>
    </row>
    <row r="61" spans="1:17" s="130" customFormat="1" ht="13" x14ac:dyDescent="0.3">
      <c r="A61" s="123"/>
      <c r="B61" s="212"/>
      <c r="C61" s="127"/>
      <c r="D61" s="127"/>
      <c r="E61" s="125"/>
      <c r="F61" s="125"/>
      <c r="G61" s="125"/>
      <c r="K61" s="127"/>
      <c r="O61" s="121"/>
      <c r="P61" s="121"/>
      <c r="Q61" s="121"/>
    </row>
    <row r="62" spans="1:17" s="130" customFormat="1" ht="13" x14ac:dyDescent="0.3">
      <c r="A62" s="123"/>
      <c r="B62" s="212"/>
      <c r="C62" s="127"/>
      <c r="D62" s="127"/>
      <c r="E62" s="125"/>
      <c r="F62" s="125"/>
      <c r="G62" s="125"/>
      <c r="K62" s="127"/>
      <c r="O62" s="121"/>
      <c r="P62" s="121"/>
      <c r="Q62" s="121"/>
    </row>
    <row r="63" spans="1:17" s="130" customFormat="1" ht="13" x14ac:dyDescent="0.3">
      <c r="A63" s="123"/>
      <c r="B63" s="212"/>
      <c r="C63" s="127"/>
      <c r="D63" s="127"/>
      <c r="E63" s="125"/>
      <c r="F63" s="125"/>
      <c r="G63" s="125"/>
      <c r="K63" s="127"/>
      <c r="O63" s="121"/>
      <c r="P63" s="121"/>
      <c r="Q63" s="121"/>
    </row>
    <row r="64" spans="1:17" s="130" customFormat="1" ht="13" x14ac:dyDescent="0.3">
      <c r="A64" s="123"/>
      <c r="B64" s="212"/>
      <c r="C64" s="127"/>
      <c r="D64" s="127"/>
      <c r="E64" s="125"/>
      <c r="F64" s="125"/>
      <c r="G64" s="125"/>
      <c r="K64" s="127"/>
      <c r="O64" s="121"/>
      <c r="P64" s="121"/>
      <c r="Q64" s="121"/>
    </row>
    <row r="65" spans="1:17" s="130" customFormat="1" ht="13" x14ac:dyDescent="0.3">
      <c r="A65" s="123"/>
      <c r="B65" s="212"/>
      <c r="C65" s="127"/>
      <c r="D65" s="127"/>
      <c r="E65" s="125"/>
      <c r="F65" s="125"/>
      <c r="G65" s="125"/>
      <c r="K65" s="127"/>
      <c r="O65" s="121"/>
      <c r="P65" s="121"/>
      <c r="Q65" s="121"/>
    </row>
    <row r="66" spans="1:17" s="130" customFormat="1" ht="13" x14ac:dyDescent="0.3">
      <c r="A66" s="123"/>
      <c r="B66" s="212"/>
      <c r="C66" s="127"/>
      <c r="D66" s="127"/>
      <c r="E66" s="125"/>
      <c r="F66" s="125"/>
      <c r="G66" s="125"/>
      <c r="K66" s="127"/>
      <c r="O66" s="121"/>
      <c r="P66" s="121"/>
      <c r="Q66" s="121"/>
    </row>
    <row r="67" spans="1:17" s="130" customFormat="1" ht="13" x14ac:dyDescent="0.3">
      <c r="A67" s="123"/>
      <c r="B67" s="212"/>
      <c r="C67" s="127"/>
      <c r="D67" s="127"/>
      <c r="E67" s="125"/>
      <c r="F67" s="125"/>
      <c r="G67" s="125"/>
      <c r="K67" s="127"/>
      <c r="O67" s="121"/>
      <c r="P67" s="121"/>
      <c r="Q67" s="121"/>
    </row>
    <row r="68" spans="1:17" s="130" customFormat="1" ht="13" x14ac:dyDescent="0.3">
      <c r="A68" s="123"/>
      <c r="B68" s="212"/>
      <c r="C68" s="127"/>
      <c r="D68" s="127"/>
      <c r="E68" s="125"/>
      <c r="F68" s="125"/>
      <c r="G68" s="125"/>
      <c r="K68" s="127"/>
      <c r="O68" s="121"/>
      <c r="P68" s="121"/>
      <c r="Q68" s="121"/>
    </row>
    <row r="69" spans="1:17" s="130" customFormat="1" ht="13" x14ac:dyDescent="0.3">
      <c r="A69" s="123"/>
      <c r="B69" s="212"/>
      <c r="C69" s="127"/>
      <c r="D69" s="127"/>
      <c r="E69" s="125"/>
      <c r="F69" s="125"/>
      <c r="G69" s="125"/>
      <c r="K69" s="127"/>
      <c r="O69" s="121"/>
      <c r="P69" s="121"/>
      <c r="Q69" s="121"/>
    </row>
    <row r="70" spans="1:17" s="130" customFormat="1" ht="13" x14ac:dyDescent="0.3">
      <c r="A70" s="123"/>
      <c r="B70" s="212"/>
      <c r="C70" s="127"/>
      <c r="D70" s="127"/>
      <c r="E70" s="125"/>
      <c r="F70" s="125"/>
      <c r="G70" s="125"/>
      <c r="K70" s="127"/>
      <c r="O70" s="121"/>
      <c r="P70" s="121"/>
      <c r="Q70" s="121"/>
    </row>
    <row r="71" spans="1:17" s="130" customFormat="1" ht="13" x14ac:dyDescent="0.3">
      <c r="A71" s="123"/>
      <c r="B71" s="212"/>
      <c r="C71" s="127"/>
      <c r="D71" s="127"/>
      <c r="E71" s="125"/>
      <c r="F71" s="125"/>
      <c r="G71" s="125"/>
      <c r="K71" s="127"/>
      <c r="O71" s="121"/>
      <c r="P71" s="121"/>
      <c r="Q71" s="121"/>
    </row>
    <row r="72" spans="1:17" s="130" customFormat="1" ht="13" x14ac:dyDescent="0.3">
      <c r="A72" s="123"/>
      <c r="B72" s="212"/>
      <c r="C72" s="127"/>
      <c r="D72" s="127"/>
      <c r="E72" s="125"/>
      <c r="F72" s="125"/>
      <c r="G72" s="125"/>
      <c r="K72" s="127"/>
      <c r="O72" s="121"/>
      <c r="P72" s="121"/>
      <c r="Q72" s="121"/>
    </row>
    <row r="73" spans="1:17" s="130" customFormat="1" ht="13" x14ac:dyDescent="0.3">
      <c r="A73" s="123"/>
      <c r="B73" s="212"/>
      <c r="C73" s="127"/>
      <c r="D73" s="127"/>
      <c r="E73" s="125"/>
      <c r="F73" s="125"/>
      <c r="G73" s="125"/>
      <c r="K73" s="127"/>
      <c r="O73" s="121"/>
      <c r="P73" s="121"/>
      <c r="Q73" s="121"/>
    </row>
    <row r="74" spans="1:17" s="130" customFormat="1" ht="13" x14ac:dyDescent="0.3">
      <c r="A74" s="123"/>
      <c r="B74" s="212"/>
      <c r="C74" s="127"/>
      <c r="D74" s="127"/>
      <c r="E74" s="125"/>
      <c r="F74" s="125"/>
      <c r="G74" s="125"/>
      <c r="K74" s="127"/>
      <c r="O74" s="121"/>
      <c r="P74" s="121"/>
      <c r="Q74" s="121"/>
    </row>
    <row r="75" spans="1:17" s="130" customFormat="1" ht="13" x14ac:dyDescent="0.3">
      <c r="A75" s="123"/>
      <c r="B75" s="212"/>
      <c r="C75" s="127"/>
      <c r="D75" s="127"/>
      <c r="E75" s="125"/>
      <c r="F75" s="125"/>
      <c r="G75" s="125"/>
      <c r="K75" s="127"/>
      <c r="O75" s="121"/>
      <c r="P75" s="121"/>
      <c r="Q75" s="121"/>
    </row>
    <row r="76" spans="1:17" s="130" customFormat="1" ht="13" x14ac:dyDescent="0.3">
      <c r="A76" s="123"/>
      <c r="B76" s="212"/>
      <c r="C76" s="127"/>
      <c r="D76" s="127"/>
      <c r="E76" s="125"/>
      <c r="F76" s="125"/>
      <c r="G76" s="125"/>
      <c r="K76" s="127"/>
      <c r="O76" s="121"/>
      <c r="P76" s="121"/>
      <c r="Q76" s="121"/>
    </row>
    <row r="77" spans="1:17" s="130" customFormat="1" ht="13" x14ac:dyDescent="0.3">
      <c r="A77" s="123"/>
      <c r="B77" s="212"/>
      <c r="C77" s="127"/>
      <c r="D77" s="127"/>
      <c r="E77" s="125"/>
      <c r="F77" s="125"/>
      <c r="G77" s="125"/>
      <c r="K77" s="127"/>
      <c r="O77" s="121"/>
      <c r="P77" s="121"/>
      <c r="Q77" s="121"/>
    </row>
    <row r="78" spans="1:17" s="130" customFormat="1" ht="13" x14ac:dyDescent="0.3">
      <c r="A78" s="123"/>
      <c r="B78" s="212"/>
      <c r="C78" s="127"/>
      <c r="D78" s="127"/>
      <c r="E78" s="125"/>
      <c r="F78" s="125"/>
      <c r="G78" s="125"/>
      <c r="K78" s="127"/>
      <c r="O78" s="121"/>
      <c r="P78" s="121"/>
      <c r="Q78" s="121"/>
    </row>
    <row r="79" spans="1:17" s="130" customFormat="1" ht="13" x14ac:dyDescent="0.3">
      <c r="A79" s="123"/>
      <c r="B79" s="212"/>
      <c r="C79" s="127"/>
      <c r="D79" s="127"/>
      <c r="E79" s="125"/>
      <c r="F79" s="125"/>
      <c r="G79" s="125"/>
      <c r="K79" s="127"/>
      <c r="O79" s="121"/>
      <c r="P79" s="121"/>
      <c r="Q79" s="121"/>
    </row>
    <row r="80" spans="1:17" s="130" customFormat="1" ht="13" x14ac:dyDescent="0.3">
      <c r="A80" s="123"/>
      <c r="B80" s="212"/>
      <c r="C80" s="127"/>
      <c r="D80" s="127"/>
      <c r="E80" s="125"/>
      <c r="F80" s="125"/>
      <c r="G80" s="125"/>
      <c r="K80" s="127"/>
      <c r="O80" s="121"/>
      <c r="P80" s="121"/>
      <c r="Q80" s="121"/>
    </row>
    <row r="81" spans="1:17" s="130" customFormat="1" ht="13" x14ac:dyDescent="0.3">
      <c r="A81" s="123"/>
      <c r="B81" s="212"/>
      <c r="C81" s="127"/>
      <c r="D81" s="127"/>
      <c r="E81" s="125"/>
      <c r="F81" s="125"/>
      <c r="G81" s="125"/>
      <c r="K81" s="127"/>
      <c r="O81" s="121"/>
      <c r="P81" s="121"/>
      <c r="Q81" s="121"/>
    </row>
    <row r="82" spans="1:17" s="130" customFormat="1" ht="13" x14ac:dyDescent="0.3">
      <c r="A82" s="123"/>
      <c r="B82" s="212"/>
      <c r="C82" s="127"/>
      <c r="D82" s="127"/>
      <c r="E82" s="125"/>
      <c r="F82" s="125"/>
      <c r="G82" s="125"/>
      <c r="K82" s="127"/>
      <c r="O82" s="121"/>
      <c r="P82" s="121"/>
      <c r="Q82" s="121"/>
    </row>
    <row r="83" spans="1:17" s="130" customFormat="1" ht="13" x14ac:dyDescent="0.3">
      <c r="A83" s="123"/>
      <c r="B83" s="212"/>
      <c r="C83" s="127"/>
      <c r="D83" s="127"/>
      <c r="E83" s="125"/>
      <c r="F83" s="125"/>
      <c r="G83" s="125"/>
      <c r="K83" s="127"/>
      <c r="O83" s="121"/>
      <c r="P83" s="121"/>
      <c r="Q83" s="121"/>
    </row>
    <row r="84" spans="1:17" s="130" customFormat="1" ht="13" x14ac:dyDescent="0.3">
      <c r="A84" s="123"/>
      <c r="B84" s="212"/>
      <c r="C84" s="127"/>
      <c r="D84" s="127"/>
      <c r="E84" s="125"/>
      <c r="F84" s="125"/>
      <c r="G84" s="125"/>
      <c r="K84" s="127"/>
      <c r="O84" s="121"/>
      <c r="P84" s="121"/>
      <c r="Q84" s="121"/>
    </row>
    <row r="85" spans="1:17" s="130" customFormat="1" ht="13" x14ac:dyDescent="0.3">
      <c r="A85" s="123"/>
      <c r="B85" s="212"/>
      <c r="C85" s="127"/>
      <c r="D85" s="127"/>
      <c r="E85" s="125"/>
      <c r="F85" s="125"/>
      <c r="G85" s="125"/>
      <c r="K85" s="127"/>
      <c r="O85" s="121"/>
      <c r="P85" s="121"/>
      <c r="Q85" s="121"/>
    </row>
    <row r="86" spans="1:17" s="130" customFormat="1" ht="13" x14ac:dyDescent="0.3">
      <c r="A86" s="123"/>
      <c r="B86" s="212"/>
      <c r="C86" s="127"/>
      <c r="D86" s="127"/>
      <c r="E86" s="125"/>
      <c r="F86" s="125"/>
      <c r="G86" s="125"/>
      <c r="K86" s="127"/>
      <c r="O86" s="121"/>
      <c r="P86" s="121"/>
      <c r="Q86" s="121"/>
    </row>
    <row r="87" spans="1:17" s="130" customFormat="1" ht="13" x14ac:dyDescent="0.3">
      <c r="A87" s="123"/>
      <c r="B87" s="212"/>
      <c r="C87" s="127"/>
      <c r="D87" s="127"/>
      <c r="E87" s="125"/>
      <c r="F87" s="125"/>
      <c r="G87" s="125"/>
      <c r="K87" s="127"/>
      <c r="O87" s="121"/>
      <c r="P87" s="121"/>
      <c r="Q87" s="121"/>
    </row>
    <row r="88" spans="1:17" s="130" customFormat="1" ht="13" x14ac:dyDescent="0.3">
      <c r="A88" s="123"/>
      <c r="B88" s="212"/>
      <c r="C88" s="127"/>
      <c r="D88" s="127"/>
      <c r="E88" s="125"/>
      <c r="F88" s="125"/>
      <c r="G88" s="125"/>
      <c r="K88" s="127"/>
      <c r="O88" s="121"/>
      <c r="P88" s="121"/>
      <c r="Q88" s="121"/>
    </row>
    <row r="89" spans="1:17" s="130" customFormat="1" ht="13" x14ac:dyDescent="0.3">
      <c r="A89" s="123"/>
      <c r="B89" s="212"/>
      <c r="C89" s="127"/>
      <c r="D89" s="127"/>
      <c r="E89" s="125"/>
      <c r="F89" s="125"/>
      <c r="G89" s="125"/>
      <c r="K89" s="127"/>
      <c r="O89" s="121"/>
      <c r="P89" s="121"/>
      <c r="Q89" s="121"/>
    </row>
    <row r="90" spans="1:17" s="130" customFormat="1" ht="13" x14ac:dyDescent="0.3">
      <c r="A90" s="123"/>
      <c r="B90" s="212"/>
      <c r="C90" s="127"/>
      <c r="D90" s="127"/>
      <c r="E90" s="125"/>
      <c r="F90" s="125"/>
      <c r="G90" s="125"/>
      <c r="K90" s="127"/>
      <c r="O90" s="121"/>
      <c r="P90" s="121"/>
      <c r="Q90" s="121"/>
    </row>
    <row r="91" spans="1:17" s="130" customFormat="1" ht="13" x14ac:dyDescent="0.3">
      <c r="A91" s="123"/>
      <c r="B91" s="212"/>
      <c r="C91" s="127"/>
      <c r="D91" s="127"/>
      <c r="E91" s="125"/>
      <c r="F91" s="125"/>
      <c r="G91" s="125"/>
      <c r="K91" s="127"/>
      <c r="O91" s="121"/>
      <c r="P91" s="121"/>
      <c r="Q91" s="121"/>
    </row>
    <row r="92" spans="1:17" s="130" customFormat="1" ht="13" x14ac:dyDescent="0.3">
      <c r="A92" s="123"/>
      <c r="B92" s="212"/>
      <c r="C92" s="127"/>
      <c r="D92" s="127"/>
      <c r="E92" s="125"/>
      <c r="F92" s="125"/>
      <c r="G92" s="125"/>
      <c r="K92" s="127"/>
      <c r="O92" s="121"/>
      <c r="P92" s="121"/>
      <c r="Q92" s="121"/>
    </row>
    <row r="93" spans="1:17" s="130" customFormat="1" ht="13" x14ac:dyDescent="0.3">
      <c r="A93" s="123"/>
      <c r="B93" s="212"/>
      <c r="C93" s="127"/>
      <c r="D93" s="127"/>
      <c r="E93" s="125"/>
      <c r="F93" s="125"/>
      <c r="G93" s="125"/>
      <c r="K93" s="127"/>
      <c r="O93" s="121"/>
      <c r="P93" s="121"/>
      <c r="Q93" s="121"/>
    </row>
    <row r="94" spans="1:17" s="130" customFormat="1" ht="13" x14ac:dyDescent="0.3">
      <c r="A94" s="123"/>
      <c r="B94" s="212"/>
      <c r="C94" s="127"/>
      <c r="D94" s="127"/>
      <c r="E94" s="125"/>
      <c r="F94" s="125"/>
      <c r="G94" s="125"/>
      <c r="K94" s="127"/>
      <c r="O94" s="121"/>
      <c r="P94" s="121"/>
      <c r="Q94" s="121"/>
    </row>
    <row r="95" spans="1:17" s="130" customFormat="1" ht="13" x14ac:dyDescent="0.3">
      <c r="A95" s="123"/>
      <c r="B95" s="212"/>
      <c r="C95" s="127"/>
      <c r="D95" s="127"/>
      <c r="E95" s="125"/>
      <c r="F95" s="125"/>
      <c r="G95" s="125"/>
      <c r="K95" s="127"/>
      <c r="O95" s="121"/>
      <c r="P95" s="121"/>
      <c r="Q95" s="121"/>
    </row>
    <row r="96" spans="1:17" s="130" customFormat="1" ht="13" x14ac:dyDescent="0.3">
      <c r="A96" s="123"/>
      <c r="B96" s="212"/>
      <c r="C96" s="127"/>
      <c r="D96" s="127"/>
      <c r="E96" s="125"/>
      <c r="F96" s="125"/>
      <c r="G96" s="125"/>
      <c r="K96" s="127"/>
      <c r="O96" s="121"/>
      <c r="P96" s="121"/>
      <c r="Q96" s="121"/>
    </row>
    <row r="97" spans="1:17" s="130" customFormat="1" ht="13" x14ac:dyDescent="0.3">
      <c r="A97" s="123"/>
      <c r="B97" s="212"/>
      <c r="C97" s="127"/>
      <c r="D97" s="127"/>
      <c r="E97" s="125"/>
      <c r="F97" s="125"/>
      <c r="G97" s="125"/>
      <c r="K97" s="127"/>
      <c r="O97" s="121"/>
      <c r="P97" s="121"/>
      <c r="Q97" s="121"/>
    </row>
    <row r="98" spans="1:17" s="130" customFormat="1" ht="13" x14ac:dyDescent="0.3">
      <c r="A98" s="123"/>
      <c r="B98" s="212"/>
      <c r="C98" s="127"/>
      <c r="D98" s="127"/>
      <c r="E98" s="125"/>
      <c r="F98" s="125"/>
      <c r="G98" s="125"/>
      <c r="K98" s="127"/>
      <c r="O98" s="121"/>
      <c r="P98" s="121"/>
      <c r="Q98" s="121"/>
    </row>
    <row r="99" spans="1:17" s="130" customFormat="1" ht="13" x14ac:dyDescent="0.3">
      <c r="A99" s="123"/>
      <c r="B99" s="212"/>
      <c r="C99" s="127"/>
      <c r="D99" s="127"/>
      <c r="E99" s="125"/>
      <c r="F99" s="125"/>
      <c r="G99" s="125"/>
      <c r="K99" s="127"/>
      <c r="O99" s="121"/>
      <c r="P99" s="121"/>
      <c r="Q99" s="121"/>
    </row>
    <row r="100" spans="1:17" s="130" customFormat="1" ht="13" x14ac:dyDescent="0.3">
      <c r="A100" s="123"/>
      <c r="B100" s="212"/>
      <c r="C100" s="127"/>
      <c r="D100" s="127"/>
      <c r="E100" s="125"/>
      <c r="F100" s="125"/>
      <c r="G100" s="125"/>
      <c r="K100" s="127"/>
      <c r="O100" s="121"/>
      <c r="P100" s="121"/>
      <c r="Q100" s="121"/>
    </row>
    <row r="101" spans="1:17" s="130" customFormat="1" ht="13" x14ac:dyDescent="0.3">
      <c r="A101" s="123"/>
      <c r="B101" s="212"/>
      <c r="C101" s="127"/>
      <c r="D101" s="127"/>
      <c r="E101" s="125"/>
      <c r="F101" s="125"/>
      <c r="G101" s="125"/>
      <c r="K101" s="127"/>
      <c r="O101" s="121"/>
      <c r="P101" s="121"/>
      <c r="Q101" s="121"/>
    </row>
    <row r="102" spans="1:17" s="130" customFormat="1" ht="13" x14ac:dyDescent="0.3">
      <c r="A102" s="123"/>
      <c r="B102" s="212"/>
      <c r="C102" s="127"/>
      <c r="D102" s="127"/>
      <c r="E102" s="125"/>
      <c r="F102" s="125"/>
      <c r="G102" s="125"/>
      <c r="K102" s="127"/>
      <c r="O102" s="121"/>
      <c r="P102" s="121"/>
      <c r="Q102" s="121"/>
    </row>
    <row r="103" spans="1:17" s="130" customFormat="1" ht="13" x14ac:dyDescent="0.3">
      <c r="A103" s="123"/>
      <c r="B103" s="212"/>
      <c r="C103" s="127"/>
      <c r="D103" s="127"/>
      <c r="E103" s="125"/>
      <c r="F103" s="125"/>
      <c r="G103" s="125"/>
      <c r="K103" s="127"/>
      <c r="O103" s="121"/>
      <c r="P103" s="121"/>
      <c r="Q103" s="121"/>
    </row>
    <row r="104" spans="1:17" s="130" customFormat="1" ht="13" x14ac:dyDescent="0.3">
      <c r="A104" s="123"/>
      <c r="B104" s="212"/>
      <c r="C104" s="127"/>
      <c r="D104" s="127"/>
      <c r="E104" s="125"/>
      <c r="F104" s="125"/>
      <c r="G104" s="125"/>
      <c r="K104" s="127"/>
      <c r="O104" s="121"/>
      <c r="P104" s="121"/>
      <c r="Q104" s="121"/>
    </row>
    <row r="105" spans="1:17" s="130" customFormat="1" ht="13" x14ac:dyDescent="0.3">
      <c r="A105" s="123"/>
      <c r="B105" s="212"/>
      <c r="C105" s="127"/>
      <c r="D105" s="127"/>
      <c r="E105" s="125"/>
      <c r="F105" s="125"/>
      <c r="G105" s="125"/>
      <c r="K105" s="127"/>
      <c r="O105" s="121"/>
      <c r="P105" s="121"/>
      <c r="Q105" s="121"/>
    </row>
    <row r="106" spans="1:17" s="130" customFormat="1" ht="13" x14ac:dyDescent="0.3">
      <c r="A106" s="123"/>
      <c r="B106" s="212"/>
      <c r="C106" s="127"/>
      <c r="D106" s="127"/>
      <c r="E106" s="125"/>
      <c r="F106" s="125"/>
      <c r="G106" s="125"/>
      <c r="K106" s="127"/>
      <c r="O106" s="121"/>
      <c r="P106" s="121"/>
      <c r="Q106" s="121"/>
    </row>
    <row r="107" spans="1:17" s="130" customFormat="1" ht="13" x14ac:dyDescent="0.3">
      <c r="A107" s="123"/>
      <c r="B107" s="212"/>
      <c r="C107" s="127"/>
      <c r="D107" s="127"/>
      <c r="E107" s="125"/>
      <c r="F107" s="125"/>
      <c r="G107" s="125"/>
      <c r="K107" s="127"/>
      <c r="O107" s="121"/>
      <c r="P107" s="121"/>
      <c r="Q107" s="121"/>
    </row>
    <row r="108" spans="1:17" s="130" customFormat="1" ht="13" x14ac:dyDescent="0.3">
      <c r="A108" s="123"/>
      <c r="B108" s="212"/>
      <c r="C108" s="127"/>
      <c r="D108" s="127"/>
      <c r="E108" s="125"/>
      <c r="F108" s="125"/>
      <c r="G108" s="125"/>
      <c r="K108" s="127"/>
      <c r="O108" s="121"/>
      <c r="P108" s="121"/>
      <c r="Q108" s="121"/>
    </row>
    <row r="109" spans="1:17" s="130" customFormat="1" ht="13" x14ac:dyDescent="0.3">
      <c r="A109" s="123"/>
      <c r="B109" s="212"/>
      <c r="C109" s="127"/>
      <c r="D109" s="127"/>
      <c r="E109" s="125"/>
      <c r="F109" s="125"/>
      <c r="G109" s="125"/>
      <c r="K109" s="127"/>
      <c r="O109" s="121"/>
      <c r="P109" s="121"/>
      <c r="Q109" s="121"/>
    </row>
    <row r="110" spans="1:17" s="130" customFormat="1" ht="13" x14ac:dyDescent="0.3">
      <c r="A110" s="123"/>
      <c r="B110" s="212"/>
      <c r="C110" s="127"/>
      <c r="D110" s="127"/>
      <c r="E110" s="125"/>
      <c r="F110" s="125"/>
      <c r="G110" s="125"/>
      <c r="K110" s="127"/>
      <c r="O110" s="121"/>
      <c r="P110" s="121"/>
      <c r="Q110" s="121"/>
    </row>
    <row r="111" spans="1:17" s="130" customFormat="1" ht="13" x14ac:dyDescent="0.3">
      <c r="A111" s="123"/>
      <c r="B111" s="212"/>
      <c r="C111" s="127"/>
      <c r="D111" s="127"/>
      <c r="E111" s="125"/>
      <c r="F111" s="125"/>
      <c r="G111" s="125"/>
      <c r="K111" s="127"/>
      <c r="O111" s="121"/>
      <c r="P111" s="121"/>
      <c r="Q111" s="121"/>
    </row>
    <row r="112" spans="1:17" s="130" customFormat="1" ht="13" x14ac:dyDescent="0.3">
      <c r="A112" s="123"/>
      <c r="B112" s="212"/>
      <c r="C112" s="127"/>
      <c r="D112" s="127"/>
      <c r="E112" s="125"/>
      <c r="F112" s="125"/>
      <c r="G112" s="125"/>
      <c r="K112" s="127"/>
      <c r="O112" s="121"/>
      <c r="P112" s="121"/>
      <c r="Q112" s="121"/>
    </row>
    <row r="113" spans="1:17" s="130" customFormat="1" ht="13" x14ac:dyDescent="0.3">
      <c r="A113" s="123"/>
      <c r="B113" s="212"/>
      <c r="C113" s="127"/>
      <c r="D113" s="127"/>
      <c r="E113" s="125"/>
      <c r="F113" s="125"/>
      <c r="G113" s="125"/>
      <c r="K113" s="127"/>
      <c r="O113" s="121"/>
      <c r="P113" s="121"/>
      <c r="Q113" s="121"/>
    </row>
    <row r="114" spans="1:17" s="130" customFormat="1" ht="13" x14ac:dyDescent="0.3">
      <c r="A114" s="123"/>
      <c r="B114" s="212"/>
      <c r="C114" s="127"/>
      <c r="D114" s="127"/>
      <c r="E114" s="125"/>
      <c r="F114" s="125"/>
      <c r="G114" s="125"/>
      <c r="K114" s="127"/>
      <c r="O114" s="121"/>
      <c r="P114" s="121"/>
      <c r="Q114" s="121"/>
    </row>
    <row r="115" spans="1:17" s="130" customFormat="1" ht="13" x14ac:dyDescent="0.3">
      <c r="A115" s="123"/>
      <c r="B115" s="212"/>
      <c r="C115" s="127"/>
      <c r="D115" s="127"/>
      <c r="E115" s="125"/>
      <c r="F115" s="125"/>
      <c r="G115" s="125"/>
      <c r="K115" s="127"/>
      <c r="O115" s="121"/>
      <c r="P115" s="121"/>
      <c r="Q115" s="121"/>
    </row>
    <row r="116" spans="1:17" s="130" customFormat="1" ht="13" x14ac:dyDescent="0.3">
      <c r="A116" s="123"/>
      <c r="B116" s="212"/>
      <c r="C116" s="127"/>
      <c r="D116" s="127"/>
      <c r="E116" s="125"/>
      <c r="F116" s="125"/>
      <c r="G116" s="125"/>
      <c r="K116" s="127"/>
      <c r="O116" s="121"/>
      <c r="P116" s="121"/>
      <c r="Q116" s="121"/>
    </row>
    <row r="117" spans="1:17" s="130" customFormat="1" ht="13" x14ac:dyDescent="0.3">
      <c r="A117" s="123"/>
      <c r="B117" s="212"/>
      <c r="C117" s="127"/>
      <c r="D117" s="127"/>
      <c r="E117" s="125"/>
      <c r="F117" s="125"/>
      <c r="G117" s="125"/>
      <c r="K117" s="127"/>
      <c r="O117" s="121"/>
      <c r="P117" s="121"/>
      <c r="Q117" s="121"/>
    </row>
    <row r="118" spans="1:17" s="130" customFormat="1" ht="13" x14ac:dyDescent="0.3">
      <c r="A118" s="123"/>
      <c r="B118" s="212"/>
      <c r="C118" s="127"/>
      <c r="D118" s="127"/>
      <c r="E118" s="125"/>
      <c r="F118" s="125"/>
      <c r="G118" s="125"/>
      <c r="K118" s="127"/>
      <c r="O118" s="121"/>
      <c r="P118" s="121"/>
      <c r="Q118" s="121"/>
    </row>
    <row r="119" spans="1:17" s="130" customFormat="1" ht="13" x14ac:dyDescent="0.3">
      <c r="A119" s="123"/>
      <c r="B119" s="212"/>
      <c r="C119" s="127"/>
      <c r="D119" s="127"/>
      <c r="E119" s="125"/>
      <c r="F119" s="125"/>
      <c r="G119" s="125"/>
      <c r="K119" s="127"/>
      <c r="O119" s="121"/>
      <c r="P119" s="121"/>
      <c r="Q119" s="121"/>
    </row>
    <row r="120" spans="1:17" s="130" customFormat="1" ht="13" x14ac:dyDescent="0.3">
      <c r="A120" s="123"/>
      <c r="B120" s="212"/>
      <c r="C120" s="127"/>
      <c r="D120" s="127"/>
      <c r="E120" s="125"/>
      <c r="F120" s="125"/>
      <c r="G120" s="125"/>
      <c r="K120" s="127"/>
      <c r="O120" s="121"/>
      <c r="P120" s="121"/>
      <c r="Q120" s="121"/>
    </row>
    <row r="121" spans="1:17" s="130" customFormat="1" ht="13" x14ac:dyDescent="0.3">
      <c r="A121" s="123"/>
      <c r="B121" s="212"/>
      <c r="C121" s="127"/>
      <c r="D121" s="127"/>
      <c r="E121" s="125"/>
      <c r="F121" s="125"/>
      <c r="G121" s="125"/>
      <c r="K121" s="127"/>
      <c r="O121" s="121"/>
      <c r="P121" s="121"/>
      <c r="Q121" s="121"/>
    </row>
    <row r="122" spans="1:17" s="130" customFormat="1" ht="13" x14ac:dyDescent="0.3">
      <c r="A122" s="123"/>
      <c r="B122" s="212"/>
      <c r="C122" s="127"/>
      <c r="D122" s="127"/>
      <c r="E122" s="125"/>
      <c r="F122" s="125"/>
      <c r="G122" s="125"/>
      <c r="K122" s="127"/>
      <c r="O122" s="121"/>
      <c r="P122" s="121"/>
      <c r="Q122" s="121"/>
    </row>
    <row r="123" spans="1:17" s="130" customFormat="1" ht="13" x14ac:dyDescent="0.3">
      <c r="A123" s="123"/>
      <c r="B123" s="212"/>
      <c r="C123" s="127"/>
      <c r="D123" s="127"/>
      <c r="E123" s="125"/>
      <c r="F123" s="125"/>
      <c r="G123" s="125"/>
      <c r="K123" s="127"/>
      <c r="O123" s="121"/>
      <c r="P123" s="121"/>
      <c r="Q123" s="121"/>
    </row>
    <row r="124" spans="1:17" s="130" customFormat="1" ht="13" x14ac:dyDescent="0.3">
      <c r="A124" s="123"/>
      <c r="B124" s="212"/>
      <c r="C124" s="127"/>
      <c r="D124" s="127"/>
      <c r="E124" s="125"/>
      <c r="F124" s="125"/>
      <c r="G124" s="125"/>
      <c r="K124" s="127"/>
      <c r="O124" s="121"/>
      <c r="P124" s="121"/>
      <c r="Q124" s="121"/>
    </row>
    <row r="125" spans="1:17" s="130" customFormat="1" ht="13" x14ac:dyDescent="0.3">
      <c r="A125" s="123"/>
      <c r="B125" s="212"/>
      <c r="C125" s="127"/>
      <c r="D125" s="127"/>
      <c r="E125" s="125"/>
      <c r="F125" s="125"/>
      <c r="G125" s="125"/>
      <c r="K125" s="127"/>
      <c r="O125" s="121"/>
      <c r="P125" s="121"/>
      <c r="Q125" s="121"/>
    </row>
    <row r="126" spans="1:17" s="130" customFormat="1" ht="13" x14ac:dyDescent="0.3">
      <c r="A126" s="123"/>
      <c r="B126" s="212"/>
      <c r="C126" s="127"/>
      <c r="D126" s="127"/>
      <c r="E126" s="125"/>
      <c r="F126" s="125"/>
      <c r="G126" s="125"/>
      <c r="K126" s="127"/>
      <c r="O126" s="121"/>
      <c r="P126" s="121"/>
      <c r="Q126" s="121"/>
    </row>
    <row r="127" spans="1:17" s="130" customFormat="1" ht="13" x14ac:dyDescent="0.3">
      <c r="A127" s="123"/>
      <c r="B127" s="212"/>
      <c r="C127" s="127"/>
      <c r="D127" s="127"/>
      <c r="E127" s="125"/>
      <c r="F127" s="125"/>
      <c r="G127" s="125"/>
      <c r="K127" s="127"/>
      <c r="O127" s="121"/>
      <c r="P127" s="121"/>
      <c r="Q127" s="121"/>
    </row>
    <row r="128" spans="1:17" s="130" customFormat="1" ht="13" x14ac:dyDescent="0.3">
      <c r="A128" s="123"/>
      <c r="B128" s="212"/>
      <c r="C128" s="127"/>
      <c r="D128" s="127"/>
      <c r="E128" s="125"/>
      <c r="F128" s="125"/>
      <c r="G128" s="125"/>
      <c r="K128" s="127"/>
      <c r="O128" s="121"/>
      <c r="P128" s="121"/>
      <c r="Q128" s="121"/>
    </row>
    <row r="129" spans="1:17" s="130" customFormat="1" ht="13" x14ac:dyDescent="0.3">
      <c r="A129" s="123"/>
      <c r="B129" s="212"/>
      <c r="C129" s="127"/>
      <c r="D129" s="127"/>
      <c r="E129" s="125"/>
      <c r="F129" s="125"/>
      <c r="G129" s="125"/>
      <c r="K129" s="127"/>
      <c r="O129" s="121"/>
      <c r="P129" s="121"/>
      <c r="Q129" s="121"/>
    </row>
    <row r="130" spans="1:17" s="130" customFormat="1" ht="13" x14ac:dyDescent="0.3">
      <c r="A130" s="123"/>
      <c r="B130" s="212"/>
      <c r="C130" s="127"/>
      <c r="D130" s="127"/>
      <c r="E130" s="125"/>
      <c r="F130" s="125"/>
      <c r="G130" s="125"/>
      <c r="K130" s="127"/>
      <c r="O130" s="121"/>
      <c r="P130" s="121"/>
      <c r="Q130" s="121"/>
    </row>
    <row r="131" spans="1:17" s="130" customFormat="1" x14ac:dyDescent="0.25">
      <c r="A131" s="123"/>
      <c r="B131" s="212"/>
      <c r="C131" s="127"/>
      <c r="D131" s="127"/>
      <c r="E131" s="125"/>
      <c r="F131" s="125"/>
      <c r="G131" s="125"/>
      <c r="K131" s="127"/>
    </row>
    <row r="132" spans="1:17" s="130" customFormat="1" x14ac:dyDescent="0.25">
      <c r="A132" s="123"/>
      <c r="B132" s="212"/>
      <c r="C132" s="127"/>
      <c r="D132" s="127"/>
      <c r="E132" s="125"/>
      <c r="F132" s="125"/>
      <c r="G132" s="125"/>
      <c r="K132" s="127"/>
    </row>
    <row r="133" spans="1:17" s="130" customFormat="1" x14ac:dyDescent="0.25">
      <c r="A133" s="123"/>
      <c r="B133" s="212"/>
      <c r="C133" s="127"/>
      <c r="D133" s="127"/>
      <c r="E133" s="125"/>
      <c r="F133" s="125"/>
      <c r="G133" s="125"/>
      <c r="K133" s="127"/>
    </row>
    <row r="134" spans="1:17" s="130" customFormat="1" x14ac:dyDescent="0.25">
      <c r="A134" s="123"/>
      <c r="B134" s="212"/>
      <c r="C134" s="127"/>
      <c r="D134" s="127"/>
      <c r="E134" s="125"/>
      <c r="F134" s="125"/>
      <c r="G134" s="125"/>
      <c r="K134" s="127"/>
    </row>
    <row r="135" spans="1:17" s="130" customFormat="1" x14ac:dyDescent="0.25">
      <c r="A135" s="123"/>
      <c r="B135" s="212"/>
      <c r="C135" s="127"/>
      <c r="D135" s="127"/>
      <c r="E135" s="125"/>
      <c r="F135" s="125"/>
      <c r="G135" s="125"/>
      <c r="K135" s="127"/>
    </row>
    <row r="136" spans="1:17" s="130" customFormat="1" x14ac:dyDescent="0.25">
      <c r="A136" s="123"/>
      <c r="B136" s="212"/>
      <c r="C136" s="127"/>
      <c r="D136" s="127"/>
      <c r="E136" s="125"/>
      <c r="F136" s="125"/>
      <c r="G136" s="125"/>
      <c r="K136" s="127"/>
    </row>
    <row r="137" spans="1:17" s="130" customFormat="1" x14ac:dyDescent="0.25">
      <c r="A137" s="123"/>
      <c r="B137" s="212"/>
      <c r="C137" s="127"/>
      <c r="D137" s="127"/>
      <c r="E137" s="125"/>
      <c r="F137" s="125"/>
      <c r="G137" s="125"/>
      <c r="K137" s="127"/>
    </row>
    <row r="138" spans="1:17" s="130" customFormat="1" x14ac:dyDescent="0.25">
      <c r="A138" s="123"/>
      <c r="B138" s="212"/>
      <c r="C138" s="127"/>
      <c r="D138" s="127"/>
      <c r="E138" s="125"/>
      <c r="F138" s="125"/>
      <c r="G138" s="125"/>
      <c r="K138" s="127"/>
    </row>
    <row r="139" spans="1:17" s="130" customFormat="1" x14ac:dyDescent="0.25">
      <c r="A139" s="123"/>
      <c r="B139" s="212"/>
      <c r="C139" s="127"/>
      <c r="D139" s="127"/>
      <c r="E139" s="125"/>
      <c r="F139" s="125"/>
      <c r="G139" s="125"/>
      <c r="K139" s="127"/>
    </row>
    <row r="140" spans="1:17" s="130" customFormat="1" x14ac:dyDescent="0.25">
      <c r="A140" s="123"/>
      <c r="B140" s="212"/>
      <c r="C140" s="127"/>
      <c r="D140" s="127"/>
      <c r="E140" s="125"/>
      <c r="F140" s="125"/>
      <c r="G140" s="125"/>
      <c r="K140" s="127"/>
    </row>
    <row r="141" spans="1:17" s="130" customFormat="1" x14ac:dyDescent="0.25">
      <c r="A141" s="123"/>
      <c r="B141" s="212"/>
      <c r="C141" s="127"/>
      <c r="D141" s="127"/>
      <c r="E141" s="125"/>
      <c r="F141" s="125"/>
      <c r="G141" s="125"/>
      <c r="K141" s="127"/>
    </row>
    <row r="142" spans="1:17" s="130" customFormat="1" x14ac:dyDescent="0.25">
      <c r="A142" s="123"/>
      <c r="B142" s="212"/>
      <c r="C142" s="127"/>
      <c r="D142" s="127"/>
      <c r="E142" s="125"/>
      <c r="F142" s="125"/>
      <c r="G142" s="125"/>
      <c r="K142" s="127"/>
    </row>
    <row r="143" spans="1:17" s="130" customFormat="1" x14ac:dyDescent="0.25">
      <c r="A143" s="123"/>
      <c r="B143" s="212"/>
      <c r="C143" s="127"/>
      <c r="D143" s="127"/>
      <c r="E143" s="125"/>
      <c r="F143" s="125"/>
      <c r="G143" s="125"/>
      <c r="K143" s="127"/>
    </row>
    <row r="144" spans="1:17" s="130" customFormat="1" x14ac:dyDescent="0.25">
      <c r="A144" s="123"/>
      <c r="B144" s="212"/>
      <c r="C144" s="127"/>
      <c r="D144" s="127"/>
      <c r="E144" s="125"/>
      <c r="F144" s="125"/>
      <c r="G144" s="125"/>
      <c r="K144" s="127"/>
    </row>
    <row r="145" spans="1:11" s="130" customFormat="1" x14ac:dyDescent="0.25">
      <c r="A145" s="123"/>
      <c r="B145" s="212"/>
      <c r="C145" s="127"/>
      <c r="D145" s="127"/>
      <c r="E145" s="125"/>
      <c r="F145" s="125"/>
      <c r="G145" s="125"/>
      <c r="K145" s="127"/>
    </row>
    <row r="146" spans="1:11" s="130" customFormat="1" x14ac:dyDescent="0.25">
      <c r="A146" s="123"/>
      <c r="B146" s="212"/>
      <c r="C146" s="127"/>
      <c r="D146" s="127"/>
      <c r="E146" s="125"/>
      <c r="F146" s="125"/>
      <c r="G146" s="125"/>
      <c r="K146" s="127"/>
    </row>
    <row r="147" spans="1:11" s="130" customFormat="1" x14ac:dyDescent="0.25">
      <c r="A147" s="123"/>
      <c r="B147" s="212"/>
      <c r="C147" s="127"/>
      <c r="D147" s="127"/>
      <c r="E147" s="125"/>
      <c r="F147" s="125"/>
      <c r="G147" s="125"/>
      <c r="K147" s="127"/>
    </row>
    <row r="148" spans="1:11" s="130" customFormat="1" x14ac:dyDescent="0.25">
      <c r="A148" s="123"/>
      <c r="B148" s="212"/>
      <c r="C148" s="127"/>
      <c r="D148" s="127"/>
      <c r="E148" s="125"/>
      <c r="F148" s="125"/>
      <c r="G148" s="125"/>
      <c r="K148" s="127"/>
    </row>
    <row r="149" spans="1:11" s="130" customFormat="1" x14ac:dyDescent="0.25">
      <c r="A149" s="123"/>
      <c r="B149" s="212"/>
      <c r="C149" s="127"/>
      <c r="D149" s="127"/>
      <c r="E149" s="125"/>
      <c r="F149" s="125"/>
      <c r="G149" s="125"/>
      <c r="K149" s="127"/>
    </row>
    <row r="150" spans="1:11" s="130" customFormat="1" x14ac:dyDescent="0.25">
      <c r="A150" s="123"/>
      <c r="B150" s="212"/>
      <c r="C150" s="127"/>
      <c r="D150" s="127"/>
      <c r="E150" s="125"/>
      <c r="F150" s="125"/>
      <c r="G150" s="125"/>
      <c r="K150" s="127"/>
    </row>
    <row r="151" spans="1:11" s="130" customFormat="1" x14ac:dyDescent="0.25">
      <c r="A151" s="123"/>
      <c r="B151" s="212"/>
      <c r="C151" s="127"/>
      <c r="D151" s="127"/>
      <c r="E151" s="125"/>
      <c r="F151" s="125"/>
      <c r="G151" s="125"/>
      <c r="K151" s="127"/>
    </row>
    <row r="152" spans="1:11" s="130" customFormat="1" x14ac:dyDescent="0.25">
      <c r="A152" s="123"/>
      <c r="B152" s="212"/>
      <c r="C152" s="127"/>
      <c r="D152" s="127"/>
      <c r="E152" s="125"/>
      <c r="F152" s="125"/>
      <c r="G152" s="125"/>
      <c r="K152" s="127"/>
    </row>
    <row r="153" spans="1:11" s="130" customFormat="1" x14ac:dyDescent="0.25">
      <c r="A153" s="123"/>
      <c r="B153" s="212"/>
      <c r="C153" s="127"/>
      <c r="D153" s="127"/>
      <c r="E153" s="125"/>
      <c r="F153" s="125"/>
      <c r="G153" s="125"/>
      <c r="K153" s="127"/>
    </row>
    <row r="154" spans="1:11" s="130" customFormat="1" x14ac:dyDescent="0.25">
      <c r="A154" s="123"/>
      <c r="B154" s="212"/>
      <c r="C154" s="127"/>
      <c r="D154" s="127"/>
      <c r="E154" s="125"/>
      <c r="F154" s="125"/>
      <c r="G154" s="125"/>
      <c r="K154" s="127"/>
    </row>
    <row r="155" spans="1:11" s="130" customFormat="1" x14ac:dyDescent="0.25">
      <c r="A155" s="123"/>
      <c r="B155" s="212"/>
      <c r="C155" s="127"/>
      <c r="D155" s="127"/>
      <c r="E155" s="125"/>
      <c r="F155" s="125"/>
      <c r="G155" s="125"/>
      <c r="K155" s="127"/>
    </row>
    <row r="156" spans="1:11" s="130" customFormat="1" x14ac:dyDescent="0.25">
      <c r="A156" s="123"/>
      <c r="B156" s="212"/>
      <c r="C156" s="127"/>
      <c r="D156" s="127"/>
      <c r="E156" s="125"/>
      <c r="F156" s="125"/>
      <c r="G156" s="125"/>
      <c r="K156" s="127"/>
    </row>
    <row r="157" spans="1:11" s="130" customFormat="1" x14ac:dyDescent="0.25">
      <c r="A157" s="123"/>
      <c r="B157" s="212"/>
      <c r="C157" s="127"/>
      <c r="D157" s="127"/>
      <c r="E157" s="125"/>
      <c r="F157" s="125"/>
      <c r="G157" s="125"/>
      <c r="K157" s="127"/>
    </row>
    <row r="158" spans="1:11" s="130" customFormat="1" x14ac:dyDescent="0.25">
      <c r="A158" s="123"/>
      <c r="B158" s="212"/>
      <c r="C158" s="127"/>
      <c r="D158" s="127"/>
      <c r="E158" s="125"/>
      <c r="F158" s="125"/>
      <c r="G158" s="125"/>
      <c r="K158" s="127"/>
    </row>
    <row r="159" spans="1:11" s="130" customFormat="1" x14ac:dyDescent="0.25">
      <c r="A159" s="123"/>
      <c r="B159" s="212"/>
      <c r="C159" s="127"/>
      <c r="D159" s="127"/>
      <c r="E159" s="125"/>
      <c r="F159" s="125"/>
      <c r="G159" s="125"/>
      <c r="K159" s="127"/>
    </row>
    <row r="160" spans="1:11" s="130" customFormat="1" x14ac:dyDescent="0.25">
      <c r="A160" s="123"/>
      <c r="B160" s="212"/>
      <c r="C160" s="127"/>
      <c r="D160" s="127"/>
      <c r="E160" s="125"/>
      <c r="F160" s="125"/>
      <c r="G160" s="125"/>
      <c r="K160" s="127"/>
    </row>
    <row r="161" spans="1:11" s="130" customFormat="1" x14ac:dyDescent="0.25">
      <c r="A161" s="123"/>
      <c r="B161" s="212"/>
      <c r="C161" s="127"/>
      <c r="D161" s="127"/>
      <c r="E161" s="125"/>
      <c r="F161" s="125"/>
      <c r="G161" s="125"/>
      <c r="K161" s="127"/>
    </row>
    <row r="162" spans="1:11" s="130" customFormat="1" x14ac:dyDescent="0.25">
      <c r="A162" s="123"/>
      <c r="B162" s="212"/>
      <c r="C162" s="127"/>
      <c r="D162" s="127"/>
      <c r="E162" s="125"/>
      <c r="F162" s="125"/>
      <c r="G162" s="125"/>
      <c r="K162" s="127"/>
    </row>
    <row r="163" spans="1:11" s="130" customFormat="1" x14ac:dyDescent="0.25">
      <c r="A163" s="123"/>
      <c r="B163" s="212"/>
      <c r="C163" s="127"/>
      <c r="D163" s="127"/>
      <c r="E163" s="125"/>
      <c r="F163" s="125"/>
      <c r="G163" s="125"/>
      <c r="K163" s="127"/>
    </row>
    <row r="164" spans="1:11" s="130" customFormat="1" x14ac:dyDescent="0.25">
      <c r="A164" s="123"/>
      <c r="B164" s="212"/>
      <c r="C164" s="127"/>
      <c r="D164" s="127"/>
      <c r="E164" s="125"/>
      <c r="F164" s="125"/>
      <c r="G164" s="125"/>
      <c r="K164" s="127"/>
    </row>
    <row r="165" spans="1:11" s="130" customFormat="1" x14ac:dyDescent="0.25">
      <c r="A165" s="123"/>
      <c r="B165" s="212"/>
      <c r="C165" s="127"/>
      <c r="D165" s="127"/>
      <c r="E165" s="125"/>
      <c r="F165" s="125"/>
      <c r="G165" s="125"/>
      <c r="K165" s="127"/>
    </row>
    <row r="166" spans="1:11" s="130" customFormat="1" x14ac:dyDescent="0.25">
      <c r="A166" s="123"/>
      <c r="B166" s="212"/>
      <c r="C166" s="127"/>
      <c r="D166" s="127"/>
      <c r="E166" s="125"/>
      <c r="F166" s="125"/>
      <c r="G166" s="125"/>
      <c r="K166" s="127"/>
    </row>
    <row r="167" spans="1:11" s="130" customFormat="1" x14ac:dyDescent="0.25">
      <c r="A167" s="123"/>
      <c r="B167" s="212"/>
      <c r="C167" s="127"/>
      <c r="D167" s="127"/>
      <c r="E167" s="125"/>
      <c r="F167" s="125"/>
      <c r="G167" s="125"/>
      <c r="K167" s="127"/>
    </row>
    <row r="168" spans="1:11" s="130" customFormat="1" x14ac:dyDescent="0.25">
      <c r="A168" s="123"/>
      <c r="B168" s="212"/>
      <c r="C168" s="127"/>
      <c r="D168" s="127"/>
      <c r="E168" s="125"/>
      <c r="F168" s="125"/>
      <c r="G168" s="125"/>
      <c r="K168" s="127"/>
    </row>
    <row r="169" spans="1:11" s="130" customFormat="1" x14ac:dyDescent="0.25">
      <c r="A169" s="123"/>
      <c r="B169" s="212"/>
      <c r="C169" s="127"/>
      <c r="D169" s="127"/>
      <c r="E169" s="125"/>
      <c r="F169" s="125"/>
      <c r="G169" s="125"/>
      <c r="K169" s="127"/>
    </row>
    <row r="170" spans="1:11" s="130" customFormat="1" x14ac:dyDescent="0.25">
      <c r="A170" s="123"/>
      <c r="B170" s="212"/>
      <c r="C170" s="127"/>
      <c r="D170" s="127"/>
      <c r="E170" s="125"/>
      <c r="F170" s="125"/>
      <c r="G170" s="125"/>
      <c r="K170" s="127"/>
    </row>
    <row r="171" spans="1:11" s="130" customFormat="1" x14ac:dyDescent="0.25">
      <c r="A171" s="123"/>
      <c r="B171" s="212"/>
      <c r="C171" s="127"/>
      <c r="D171" s="127"/>
      <c r="E171" s="125"/>
      <c r="F171" s="125"/>
      <c r="G171" s="125"/>
      <c r="K171" s="127"/>
    </row>
    <row r="172" spans="1:11" s="130" customFormat="1" x14ac:dyDescent="0.25">
      <c r="A172" s="123"/>
      <c r="B172" s="212"/>
      <c r="C172" s="127"/>
      <c r="D172" s="127"/>
      <c r="E172" s="125"/>
      <c r="F172" s="125"/>
      <c r="G172" s="125"/>
      <c r="K172" s="127"/>
    </row>
    <row r="173" spans="1:11" s="130" customFormat="1" x14ac:dyDescent="0.25">
      <c r="A173" s="123"/>
      <c r="B173" s="212"/>
      <c r="C173" s="127"/>
      <c r="D173" s="127"/>
      <c r="E173" s="125"/>
      <c r="F173" s="125"/>
      <c r="G173" s="125"/>
      <c r="K173" s="127"/>
    </row>
    <row r="174" spans="1:11" s="130" customFormat="1" x14ac:dyDescent="0.25">
      <c r="A174" s="123"/>
      <c r="B174" s="212"/>
      <c r="C174" s="127"/>
      <c r="D174" s="127"/>
      <c r="E174" s="125"/>
      <c r="F174" s="125"/>
      <c r="G174" s="125"/>
      <c r="K174" s="127"/>
    </row>
    <row r="175" spans="1:11" s="130" customFormat="1" x14ac:dyDescent="0.25">
      <c r="A175" s="123"/>
      <c r="B175" s="212"/>
      <c r="C175" s="127"/>
      <c r="D175" s="127"/>
      <c r="E175" s="125"/>
      <c r="F175" s="125"/>
      <c r="G175" s="125"/>
      <c r="K175" s="127"/>
    </row>
    <row r="176" spans="1:11" s="130" customFormat="1" x14ac:dyDescent="0.25">
      <c r="A176" s="123"/>
      <c r="B176" s="212"/>
      <c r="C176" s="127"/>
      <c r="D176" s="127"/>
      <c r="E176" s="125"/>
      <c r="F176" s="125"/>
      <c r="G176" s="125"/>
      <c r="K176" s="127"/>
    </row>
    <row r="177" spans="1:11" s="130" customFormat="1" x14ac:dyDescent="0.25">
      <c r="A177" s="123"/>
      <c r="B177" s="212"/>
      <c r="C177" s="127"/>
      <c r="D177" s="127"/>
      <c r="E177" s="125"/>
      <c r="F177" s="125"/>
      <c r="G177" s="125"/>
      <c r="K177" s="127"/>
    </row>
    <row r="178" spans="1:11" s="130" customFormat="1" x14ac:dyDescent="0.25">
      <c r="A178" s="123"/>
      <c r="B178" s="212"/>
      <c r="C178" s="127"/>
      <c r="D178" s="127"/>
      <c r="E178" s="125"/>
      <c r="F178" s="125"/>
      <c r="G178" s="125"/>
      <c r="K178" s="127"/>
    </row>
    <row r="179" spans="1:11" s="130" customFormat="1" x14ac:dyDescent="0.25">
      <c r="A179" s="123"/>
      <c r="B179" s="212"/>
      <c r="C179" s="127"/>
      <c r="D179" s="127"/>
      <c r="E179" s="125"/>
      <c r="F179" s="125"/>
      <c r="G179" s="125"/>
      <c r="K179" s="127"/>
    </row>
    <row r="180" spans="1:11" s="130" customFormat="1" x14ac:dyDescent="0.25">
      <c r="A180" s="123"/>
      <c r="B180" s="212"/>
      <c r="C180" s="127"/>
      <c r="D180" s="127"/>
      <c r="E180" s="125"/>
      <c r="F180" s="125"/>
      <c r="G180" s="125"/>
      <c r="K180" s="127"/>
    </row>
    <row r="181" spans="1:11" s="130" customFormat="1" x14ac:dyDescent="0.25">
      <c r="A181" s="123"/>
      <c r="B181" s="212"/>
      <c r="C181" s="127"/>
      <c r="D181" s="127"/>
      <c r="E181" s="125"/>
      <c r="F181" s="125"/>
      <c r="G181" s="125"/>
      <c r="K181" s="127"/>
    </row>
    <row r="182" spans="1:11" s="130" customFormat="1" x14ac:dyDescent="0.25">
      <c r="A182" s="123"/>
      <c r="B182" s="212"/>
      <c r="C182" s="127"/>
      <c r="D182" s="127"/>
      <c r="E182" s="125"/>
      <c r="F182" s="125"/>
      <c r="G182" s="125"/>
      <c r="K182" s="127"/>
    </row>
    <row r="183" spans="1:11" s="130" customFormat="1" x14ac:dyDescent="0.25">
      <c r="A183" s="123"/>
      <c r="B183" s="212"/>
      <c r="C183" s="127"/>
      <c r="D183" s="127"/>
      <c r="E183" s="125"/>
      <c r="F183" s="125"/>
      <c r="G183" s="125"/>
      <c r="K183" s="127"/>
    </row>
    <row r="184" spans="1:11" s="130" customFormat="1" x14ac:dyDescent="0.25">
      <c r="A184" s="123"/>
      <c r="B184" s="212"/>
      <c r="C184" s="127"/>
      <c r="D184" s="127"/>
      <c r="E184" s="125"/>
      <c r="F184" s="125"/>
      <c r="G184" s="125"/>
      <c r="K184" s="127"/>
    </row>
    <row r="185" spans="1:11" s="130" customFormat="1" x14ac:dyDescent="0.25">
      <c r="A185" s="123"/>
      <c r="B185" s="212"/>
      <c r="C185" s="127"/>
      <c r="D185" s="127"/>
      <c r="E185" s="125"/>
      <c r="F185" s="125"/>
      <c r="G185" s="125"/>
      <c r="K185" s="127"/>
    </row>
    <row r="186" spans="1:11" s="130" customFormat="1" x14ac:dyDescent="0.25">
      <c r="A186" s="123"/>
      <c r="B186" s="212"/>
      <c r="C186" s="127"/>
      <c r="D186" s="127"/>
      <c r="E186" s="125"/>
      <c r="F186" s="125"/>
      <c r="G186" s="125"/>
      <c r="K186" s="127"/>
    </row>
    <row r="187" spans="1:11" s="130" customFormat="1" x14ac:dyDescent="0.25">
      <c r="A187" s="123"/>
      <c r="B187" s="212"/>
      <c r="C187" s="127"/>
      <c r="D187" s="127"/>
      <c r="E187" s="125"/>
      <c r="F187" s="125"/>
      <c r="G187" s="125"/>
      <c r="K187" s="127"/>
    </row>
    <row r="188" spans="1:11" s="130" customFormat="1" x14ac:dyDescent="0.25">
      <c r="A188" s="123"/>
      <c r="B188" s="212"/>
      <c r="C188" s="127"/>
      <c r="D188" s="127"/>
      <c r="E188" s="125"/>
      <c r="F188" s="125"/>
      <c r="G188" s="125"/>
      <c r="K188" s="127"/>
    </row>
    <row r="189" spans="1:11" s="130" customFormat="1" x14ac:dyDescent="0.25">
      <c r="A189" s="123"/>
      <c r="B189" s="212"/>
      <c r="C189" s="127"/>
      <c r="D189" s="127"/>
      <c r="E189" s="125"/>
      <c r="F189" s="125"/>
      <c r="G189" s="125"/>
      <c r="K189" s="127"/>
    </row>
    <row r="190" spans="1:11" s="130" customFormat="1" x14ac:dyDescent="0.25">
      <c r="A190" s="123"/>
      <c r="B190" s="212"/>
      <c r="C190" s="127"/>
      <c r="D190" s="127"/>
      <c r="E190" s="125"/>
      <c r="F190" s="125"/>
      <c r="G190" s="125"/>
      <c r="K190" s="127"/>
    </row>
    <row r="191" spans="1:11" s="130" customFormat="1" x14ac:dyDescent="0.25">
      <c r="A191" s="123"/>
      <c r="B191" s="212"/>
      <c r="C191" s="127"/>
      <c r="D191" s="127"/>
      <c r="E191" s="125"/>
      <c r="F191" s="125"/>
      <c r="G191" s="125"/>
      <c r="K191" s="127"/>
    </row>
    <row r="192" spans="1:11" s="130" customFormat="1" x14ac:dyDescent="0.25">
      <c r="A192" s="123"/>
      <c r="B192" s="212"/>
      <c r="C192" s="127"/>
      <c r="D192" s="127"/>
      <c r="E192" s="125"/>
      <c r="F192" s="125"/>
      <c r="G192" s="125"/>
      <c r="K192" s="127"/>
    </row>
    <row r="193" spans="1:11" s="130" customFormat="1" x14ac:dyDescent="0.25">
      <c r="A193" s="123"/>
      <c r="B193" s="212"/>
      <c r="C193" s="127"/>
      <c r="D193" s="127"/>
      <c r="E193" s="125"/>
      <c r="F193" s="125"/>
      <c r="G193" s="125"/>
      <c r="K193" s="127"/>
    </row>
    <row r="194" spans="1:11" s="130" customFormat="1" x14ac:dyDescent="0.25">
      <c r="A194" s="123"/>
      <c r="B194" s="212"/>
      <c r="C194" s="127"/>
      <c r="D194" s="127"/>
      <c r="E194" s="125"/>
      <c r="F194" s="125"/>
      <c r="G194" s="125"/>
      <c r="K194" s="127"/>
    </row>
    <row r="195" spans="1:11" s="130" customFormat="1" x14ac:dyDescent="0.25">
      <c r="A195" s="123"/>
      <c r="B195" s="212"/>
      <c r="C195" s="127"/>
      <c r="D195" s="127"/>
      <c r="E195" s="125"/>
      <c r="F195" s="125"/>
      <c r="G195" s="125"/>
      <c r="K195" s="127"/>
    </row>
    <row r="196" spans="1:11" s="130" customFormat="1" x14ac:dyDescent="0.25">
      <c r="A196" s="123"/>
      <c r="B196" s="212"/>
      <c r="C196" s="127"/>
      <c r="D196" s="127"/>
      <c r="E196" s="125"/>
      <c r="F196" s="125"/>
      <c r="G196" s="125"/>
      <c r="K196" s="127"/>
    </row>
    <row r="197" spans="1:11" s="130" customFormat="1" x14ac:dyDescent="0.25">
      <c r="A197" s="123"/>
      <c r="B197" s="212"/>
      <c r="C197" s="127"/>
      <c r="D197" s="127"/>
      <c r="E197" s="125"/>
      <c r="F197" s="125"/>
      <c r="G197" s="125"/>
      <c r="K197" s="127"/>
    </row>
    <row r="198" spans="1:11" s="130" customFormat="1" x14ac:dyDescent="0.25">
      <c r="A198" s="123"/>
      <c r="B198" s="212"/>
      <c r="C198" s="127"/>
      <c r="D198" s="127"/>
      <c r="E198" s="125"/>
      <c r="F198" s="125"/>
      <c r="G198" s="125"/>
      <c r="K198" s="127"/>
    </row>
    <row r="199" spans="1:11" s="130" customFormat="1" x14ac:dyDescent="0.25">
      <c r="A199" s="123"/>
      <c r="B199" s="212"/>
      <c r="C199" s="127"/>
      <c r="D199" s="127"/>
      <c r="E199" s="125"/>
      <c r="F199" s="125"/>
      <c r="G199" s="125"/>
      <c r="K199" s="127"/>
    </row>
    <row r="200" spans="1:11" s="130" customFormat="1" x14ac:dyDescent="0.25">
      <c r="A200" s="123"/>
      <c r="B200" s="212"/>
      <c r="C200" s="127"/>
      <c r="D200" s="127"/>
      <c r="E200" s="125"/>
      <c r="F200" s="125"/>
      <c r="G200" s="125"/>
      <c r="K200" s="127"/>
    </row>
    <row r="201" spans="1:11" s="130" customFormat="1" x14ac:dyDescent="0.25">
      <c r="A201" s="123"/>
      <c r="B201" s="212"/>
      <c r="C201" s="127"/>
      <c r="D201" s="127"/>
      <c r="E201" s="125"/>
      <c r="F201" s="125"/>
      <c r="G201" s="125"/>
      <c r="K201" s="127"/>
    </row>
    <row r="202" spans="1:11" s="130" customFormat="1" x14ac:dyDescent="0.25">
      <c r="A202" s="123"/>
      <c r="B202" s="212"/>
      <c r="C202" s="127"/>
      <c r="D202" s="127"/>
      <c r="E202" s="125"/>
      <c r="F202" s="125"/>
      <c r="G202" s="125"/>
      <c r="K202" s="127"/>
    </row>
    <row r="203" spans="1:11" s="130" customFormat="1" x14ac:dyDescent="0.25">
      <c r="A203" s="123"/>
      <c r="B203" s="212"/>
      <c r="C203" s="127"/>
      <c r="D203" s="127"/>
      <c r="E203" s="125"/>
      <c r="F203" s="125"/>
      <c r="G203" s="125"/>
      <c r="K203" s="127"/>
    </row>
    <row r="204" spans="1:11" s="130" customFormat="1" x14ac:dyDescent="0.25">
      <c r="A204" s="123"/>
      <c r="B204" s="212"/>
      <c r="C204" s="127"/>
      <c r="D204" s="127"/>
      <c r="E204" s="125"/>
      <c r="F204" s="125"/>
      <c r="G204" s="125"/>
      <c r="K204" s="127"/>
    </row>
    <row r="205" spans="1:11" s="130" customFormat="1" x14ac:dyDescent="0.25">
      <c r="A205" s="123"/>
      <c r="B205" s="212"/>
      <c r="C205" s="127"/>
      <c r="D205" s="127"/>
      <c r="E205" s="125"/>
      <c r="F205" s="125"/>
      <c r="G205" s="125"/>
      <c r="K205" s="127"/>
    </row>
    <row r="206" spans="1:11" s="130" customFormat="1" x14ac:dyDescent="0.25">
      <c r="A206" s="123"/>
      <c r="B206" s="212"/>
      <c r="C206" s="127"/>
      <c r="D206" s="127"/>
      <c r="E206" s="125"/>
      <c r="F206" s="125"/>
      <c r="G206" s="125"/>
      <c r="K206" s="127"/>
    </row>
    <row r="207" spans="1:11" s="130" customFormat="1" x14ac:dyDescent="0.25">
      <c r="A207" s="123"/>
      <c r="B207" s="212"/>
      <c r="C207" s="127"/>
      <c r="D207" s="127"/>
      <c r="E207" s="125"/>
      <c r="F207" s="125"/>
      <c r="G207" s="125"/>
      <c r="K207" s="127"/>
    </row>
    <row r="208" spans="1:11" s="130" customFormat="1" x14ac:dyDescent="0.25">
      <c r="A208" s="123"/>
      <c r="B208" s="212"/>
      <c r="C208" s="127"/>
      <c r="D208" s="127"/>
      <c r="E208" s="125"/>
      <c r="F208" s="125"/>
      <c r="G208" s="125"/>
      <c r="K208" s="127"/>
    </row>
    <row r="209" spans="1:11" s="130" customFormat="1" x14ac:dyDescent="0.25">
      <c r="A209" s="123"/>
      <c r="B209" s="212"/>
      <c r="C209" s="127"/>
      <c r="D209" s="127"/>
      <c r="E209" s="125"/>
      <c r="F209" s="125"/>
      <c r="G209" s="125"/>
      <c r="K209" s="127"/>
    </row>
    <row r="210" spans="1:11" s="130" customFormat="1" x14ac:dyDescent="0.25">
      <c r="A210" s="123"/>
      <c r="B210" s="212"/>
      <c r="C210" s="127"/>
      <c r="D210" s="127"/>
      <c r="E210" s="125"/>
      <c r="F210" s="125"/>
      <c r="G210" s="125"/>
      <c r="K210" s="127"/>
    </row>
    <row r="211" spans="1:11" s="130" customFormat="1" x14ac:dyDescent="0.25">
      <c r="A211" s="123"/>
      <c r="B211" s="212"/>
      <c r="C211" s="127"/>
      <c r="D211" s="127"/>
      <c r="E211" s="125"/>
      <c r="F211" s="125"/>
      <c r="G211" s="125"/>
      <c r="K211" s="127"/>
    </row>
    <row r="212" spans="1:11" s="130" customFormat="1" x14ac:dyDescent="0.25">
      <c r="A212" s="123"/>
      <c r="B212" s="212"/>
      <c r="C212" s="127"/>
      <c r="D212" s="127"/>
      <c r="E212" s="125"/>
      <c r="F212" s="125"/>
      <c r="G212" s="125"/>
      <c r="K212" s="127"/>
    </row>
    <row r="213" spans="1:11" s="130" customFormat="1" x14ac:dyDescent="0.25">
      <c r="A213" s="123"/>
      <c r="B213" s="212"/>
      <c r="C213" s="127"/>
      <c r="D213" s="127"/>
      <c r="E213" s="125"/>
      <c r="F213" s="125"/>
      <c r="G213" s="125"/>
      <c r="K213" s="127"/>
    </row>
    <row r="214" spans="1:11" s="130" customFormat="1" x14ac:dyDescent="0.25">
      <c r="A214" s="123"/>
      <c r="B214" s="212"/>
      <c r="C214" s="127"/>
      <c r="D214" s="127"/>
      <c r="E214" s="125"/>
      <c r="F214" s="125"/>
      <c r="G214" s="125"/>
      <c r="K214" s="127"/>
    </row>
    <row r="215" spans="1:11" s="130" customFormat="1" x14ac:dyDescent="0.25">
      <c r="A215" s="123"/>
      <c r="B215" s="212"/>
      <c r="C215" s="127"/>
      <c r="D215" s="127"/>
      <c r="E215" s="125"/>
      <c r="F215" s="125"/>
      <c r="G215" s="125"/>
      <c r="K215" s="127"/>
    </row>
    <row r="216" spans="1:11" s="130" customFormat="1" x14ac:dyDescent="0.25">
      <c r="A216" s="123"/>
      <c r="B216" s="212"/>
      <c r="C216" s="127"/>
      <c r="D216" s="127"/>
      <c r="E216" s="125"/>
      <c r="F216" s="125"/>
      <c r="G216" s="125"/>
      <c r="K216" s="127"/>
    </row>
    <row r="217" spans="1:11" s="130" customFormat="1" x14ac:dyDescent="0.25">
      <c r="A217" s="123"/>
      <c r="B217" s="212"/>
      <c r="C217" s="127"/>
      <c r="D217" s="127"/>
      <c r="E217" s="125"/>
      <c r="F217" s="125"/>
      <c r="G217" s="125"/>
      <c r="K217" s="127"/>
    </row>
    <row r="218" spans="1:11" s="130" customFormat="1" x14ac:dyDescent="0.25">
      <c r="A218" s="123"/>
      <c r="B218" s="212"/>
      <c r="C218" s="127"/>
      <c r="D218" s="127"/>
      <c r="E218" s="125"/>
      <c r="F218" s="125"/>
      <c r="G218" s="125"/>
      <c r="K218" s="127"/>
    </row>
    <row r="219" spans="1:11" s="130" customFormat="1" x14ac:dyDescent="0.25">
      <c r="A219" s="123"/>
      <c r="B219" s="212"/>
      <c r="C219" s="127"/>
      <c r="D219" s="127"/>
      <c r="E219" s="125"/>
      <c r="F219" s="125"/>
      <c r="G219" s="125"/>
      <c r="K219" s="127"/>
    </row>
    <row r="220" spans="1:11" s="130" customFormat="1" x14ac:dyDescent="0.25">
      <c r="A220" s="123"/>
      <c r="B220" s="212"/>
      <c r="C220" s="127"/>
      <c r="D220" s="127"/>
      <c r="E220" s="125"/>
      <c r="F220" s="125"/>
      <c r="G220" s="125"/>
      <c r="K220" s="127"/>
    </row>
    <row r="221" spans="1:11" s="130" customFormat="1" x14ac:dyDescent="0.25">
      <c r="A221" s="123"/>
      <c r="B221" s="212"/>
      <c r="C221" s="127"/>
      <c r="D221" s="127"/>
      <c r="E221" s="125"/>
      <c r="F221" s="125"/>
      <c r="G221" s="125"/>
      <c r="K221" s="127"/>
    </row>
    <row r="222" spans="1:11" s="130" customFormat="1" x14ac:dyDescent="0.25">
      <c r="A222" s="123"/>
      <c r="B222" s="212"/>
      <c r="C222" s="127"/>
      <c r="D222" s="127"/>
      <c r="E222" s="125"/>
      <c r="F222" s="125"/>
      <c r="G222" s="125"/>
      <c r="K222" s="127"/>
    </row>
    <row r="223" spans="1:11" s="130" customFormat="1" x14ac:dyDescent="0.25">
      <c r="A223" s="123"/>
      <c r="B223" s="212"/>
      <c r="C223" s="127"/>
      <c r="D223" s="127"/>
      <c r="E223" s="125"/>
      <c r="F223" s="125"/>
      <c r="G223" s="125"/>
      <c r="K223" s="127"/>
    </row>
    <row r="224" spans="1:11" s="130" customFormat="1" x14ac:dyDescent="0.25">
      <c r="A224" s="123"/>
      <c r="B224" s="212"/>
      <c r="C224" s="127"/>
      <c r="D224" s="127"/>
      <c r="E224" s="125"/>
      <c r="F224" s="125"/>
      <c r="G224" s="125"/>
      <c r="K224" s="127"/>
    </row>
    <row r="225" spans="1:11" s="130" customFormat="1" x14ac:dyDescent="0.25">
      <c r="A225" s="123"/>
      <c r="B225" s="212"/>
      <c r="C225" s="127"/>
      <c r="D225" s="127"/>
      <c r="E225" s="125"/>
      <c r="F225" s="125"/>
      <c r="G225" s="125"/>
      <c r="K225" s="127"/>
    </row>
    <row r="226" spans="1:11" s="130" customFormat="1" x14ac:dyDescent="0.25">
      <c r="A226" s="123"/>
      <c r="B226" s="212"/>
      <c r="C226" s="127"/>
      <c r="D226" s="127"/>
      <c r="E226" s="125"/>
      <c r="F226" s="125"/>
      <c r="G226" s="125"/>
      <c r="K226" s="127"/>
    </row>
    <row r="227" spans="1:11" s="130" customFormat="1" x14ac:dyDescent="0.25">
      <c r="A227" s="123"/>
      <c r="B227" s="212"/>
      <c r="C227" s="127"/>
      <c r="D227" s="127"/>
      <c r="E227" s="125"/>
      <c r="F227" s="125"/>
      <c r="G227" s="125"/>
      <c r="K227" s="127"/>
    </row>
    <row r="228" spans="1:11" s="130" customFormat="1" x14ac:dyDescent="0.25">
      <c r="A228" s="123"/>
      <c r="B228" s="212"/>
      <c r="C228" s="127"/>
      <c r="D228" s="127"/>
      <c r="E228" s="125"/>
      <c r="F228" s="125"/>
      <c r="G228" s="125"/>
      <c r="K228" s="127"/>
    </row>
    <row r="229" spans="1:11" s="130" customFormat="1" x14ac:dyDescent="0.25">
      <c r="A229" s="123"/>
      <c r="B229" s="212"/>
      <c r="C229" s="127"/>
      <c r="D229" s="127"/>
      <c r="E229" s="125"/>
      <c r="F229" s="125"/>
      <c r="G229" s="125"/>
      <c r="K229" s="127"/>
    </row>
    <row r="230" spans="1:11" s="130" customFormat="1" x14ac:dyDescent="0.25">
      <c r="A230" s="123"/>
      <c r="B230" s="212"/>
      <c r="C230" s="127"/>
      <c r="D230" s="127"/>
      <c r="E230" s="125"/>
      <c r="F230" s="125"/>
      <c r="G230" s="125"/>
      <c r="K230" s="127"/>
    </row>
    <row r="231" spans="1:11" s="130" customFormat="1" x14ac:dyDescent="0.25">
      <c r="A231" s="123"/>
      <c r="B231" s="212"/>
      <c r="C231" s="127"/>
      <c r="D231" s="127"/>
      <c r="E231" s="125"/>
      <c r="F231" s="125"/>
      <c r="G231" s="125"/>
      <c r="K231" s="127"/>
    </row>
    <row r="232" spans="1:11" s="130" customFormat="1" x14ac:dyDescent="0.25">
      <c r="A232" s="123"/>
      <c r="B232" s="212"/>
      <c r="C232" s="127"/>
      <c r="D232" s="127"/>
      <c r="E232" s="125"/>
      <c r="F232" s="125"/>
      <c r="G232" s="125"/>
      <c r="K232" s="127"/>
    </row>
    <row r="233" spans="1:11" s="130" customFormat="1" x14ac:dyDescent="0.25">
      <c r="A233" s="123"/>
      <c r="B233" s="212"/>
      <c r="C233" s="127"/>
      <c r="D233" s="127"/>
      <c r="E233" s="125"/>
      <c r="F233" s="125"/>
      <c r="G233" s="125"/>
      <c r="K233" s="127"/>
    </row>
    <row r="234" spans="1:11" s="130" customFormat="1" x14ac:dyDescent="0.25">
      <c r="A234" s="123"/>
      <c r="B234" s="212"/>
      <c r="C234" s="127"/>
      <c r="D234" s="127"/>
      <c r="E234" s="125"/>
      <c r="F234" s="125"/>
      <c r="G234" s="125"/>
      <c r="K234" s="127"/>
    </row>
    <row r="235" spans="1:11" s="130" customFormat="1" x14ac:dyDescent="0.25">
      <c r="A235" s="123"/>
      <c r="B235" s="212"/>
      <c r="C235" s="127"/>
      <c r="D235" s="127"/>
      <c r="E235" s="125"/>
      <c r="F235" s="125"/>
      <c r="G235" s="125"/>
      <c r="K235" s="127"/>
    </row>
    <row r="236" spans="1:11" s="130" customFormat="1" x14ac:dyDescent="0.25">
      <c r="A236" s="123"/>
      <c r="B236" s="212"/>
      <c r="C236" s="127"/>
      <c r="D236" s="127"/>
      <c r="E236" s="125"/>
      <c r="F236" s="125"/>
      <c r="G236" s="125"/>
      <c r="K236" s="127"/>
    </row>
    <row r="237" spans="1:11" s="130" customFormat="1" x14ac:dyDescent="0.25">
      <c r="A237" s="123"/>
      <c r="B237" s="212"/>
      <c r="C237" s="127"/>
      <c r="D237" s="127"/>
      <c r="E237" s="125"/>
      <c r="F237" s="125"/>
      <c r="G237" s="125"/>
      <c r="K237" s="127"/>
    </row>
    <row r="238" spans="1:11" s="130" customFormat="1" x14ac:dyDescent="0.25">
      <c r="A238" s="123"/>
      <c r="B238" s="212"/>
      <c r="C238" s="127"/>
      <c r="D238" s="127"/>
      <c r="E238" s="125"/>
      <c r="F238" s="125"/>
      <c r="G238" s="125"/>
      <c r="K238" s="127"/>
    </row>
    <row r="239" spans="1:11" s="130" customFormat="1" x14ac:dyDescent="0.25">
      <c r="A239" s="123"/>
      <c r="B239" s="212"/>
      <c r="C239" s="127"/>
      <c r="D239" s="127"/>
      <c r="E239" s="125"/>
      <c r="F239" s="125"/>
      <c r="G239" s="125"/>
      <c r="K239" s="127"/>
    </row>
    <row r="240" spans="1:11" s="130" customFormat="1" x14ac:dyDescent="0.25">
      <c r="A240" s="123"/>
      <c r="B240" s="212"/>
      <c r="C240" s="127"/>
      <c r="D240" s="127"/>
      <c r="E240" s="125"/>
      <c r="F240" s="125"/>
      <c r="G240" s="125"/>
      <c r="K240" s="127"/>
    </row>
    <row r="241" spans="1:11" s="130" customFormat="1" x14ac:dyDescent="0.25">
      <c r="A241" s="123"/>
      <c r="B241" s="212"/>
      <c r="C241" s="127"/>
      <c r="D241" s="127"/>
      <c r="E241" s="125"/>
      <c r="F241" s="125"/>
      <c r="G241" s="125"/>
      <c r="K241" s="127"/>
    </row>
    <row r="242" spans="1:11" s="130" customFormat="1" x14ac:dyDescent="0.25">
      <c r="A242" s="123"/>
      <c r="B242" s="212"/>
      <c r="C242" s="127"/>
      <c r="D242" s="127"/>
      <c r="E242" s="125"/>
      <c r="F242" s="125"/>
      <c r="G242" s="125"/>
      <c r="K242" s="127"/>
    </row>
    <row r="243" spans="1:11" s="130" customFormat="1" x14ac:dyDescent="0.25">
      <c r="A243" s="123"/>
      <c r="B243" s="212"/>
      <c r="C243" s="127"/>
      <c r="D243" s="127"/>
      <c r="E243" s="125"/>
      <c r="F243" s="125"/>
      <c r="G243" s="125"/>
      <c r="K243" s="127"/>
    </row>
    <row r="244" spans="1:11" s="130" customFormat="1" x14ac:dyDescent="0.25">
      <c r="A244" s="123"/>
      <c r="B244" s="212"/>
      <c r="C244" s="127"/>
      <c r="D244" s="127"/>
      <c r="E244" s="125"/>
      <c r="F244" s="125"/>
      <c r="G244" s="125"/>
      <c r="K244" s="127"/>
    </row>
    <row r="245" spans="1:11" s="130" customFormat="1" x14ac:dyDescent="0.25">
      <c r="A245" s="123"/>
      <c r="B245" s="212"/>
      <c r="C245" s="127"/>
      <c r="D245" s="127"/>
      <c r="E245" s="125"/>
      <c r="F245" s="125"/>
      <c r="G245" s="125"/>
      <c r="K245" s="127"/>
    </row>
    <row r="246" spans="1:11" s="130" customFormat="1" x14ac:dyDescent="0.25">
      <c r="A246" s="123"/>
      <c r="B246" s="212"/>
      <c r="C246" s="127"/>
      <c r="D246" s="127"/>
      <c r="E246" s="125"/>
      <c r="F246" s="125"/>
      <c r="G246" s="125"/>
      <c r="K246" s="127"/>
    </row>
    <row r="247" spans="1:11" s="130" customFormat="1" x14ac:dyDescent="0.25">
      <c r="A247" s="123"/>
      <c r="B247" s="212"/>
      <c r="C247" s="127"/>
      <c r="D247" s="127"/>
      <c r="E247" s="125"/>
      <c r="F247" s="125"/>
      <c r="G247" s="125"/>
      <c r="K247" s="127"/>
    </row>
    <row r="248" spans="1:11" s="130" customFormat="1" x14ac:dyDescent="0.25">
      <c r="A248" s="123"/>
      <c r="B248" s="212"/>
      <c r="C248" s="127"/>
      <c r="D248" s="127"/>
      <c r="E248" s="125"/>
      <c r="F248" s="125"/>
      <c r="G248" s="125"/>
      <c r="K248" s="127"/>
    </row>
    <row r="249" spans="1:11" s="130" customFormat="1" x14ac:dyDescent="0.25">
      <c r="A249" s="123"/>
      <c r="B249" s="212"/>
      <c r="C249" s="127"/>
      <c r="D249" s="127"/>
      <c r="E249" s="125"/>
      <c r="F249" s="125"/>
      <c r="G249" s="125"/>
      <c r="K249" s="127"/>
    </row>
    <row r="250" spans="1:11" s="130" customFormat="1" x14ac:dyDescent="0.25">
      <c r="A250" s="123"/>
      <c r="B250" s="212"/>
      <c r="C250" s="127"/>
      <c r="D250" s="127"/>
      <c r="E250" s="125"/>
      <c r="F250" s="125"/>
      <c r="G250" s="125"/>
      <c r="K250" s="127"/>
    </row>
    <row r="251" spans="1:11" s="130" customFormat="1" x14ac:dyDescent="0.25">
      <c r="A251" s="123"/>
      <c r="B251" s="212"/>
      <c r="C251" s="127"/>
      <c r="D251" s="127"/>
      <c r="E251" s="125"/>
      <c r="F251" s="125"/>
      <c r="G251" s="125"/>
      <c r="K251" s="127"/>
    </row>
    <row r="252" spans="1:11" s="130" customFormat="1" x14ac:dyDescent="0.25">
      <c r="A252" s="123"/>
      <c r="B252" s="212"/>
      <c r="C252" s="127"/>
      <c r="D252" s="127"/>
      <c r="E252" s="125"/>
      <c r="F252" s="125"/>
      <c r="G252" s="125"/>
      <c r="K252" s="127"/>
    </row>
    <row r="253" spans="1:11" s="130" customFormat="1" x14ac:dyDescent="0.25">
      <c r="A253" s="123"/>
      <c r="B253" s="212"/>
      <c r="C253" s="127"/>
      <c r="D253" s="127"/>
      <c r="E253" s="125"/>
      <c r="F253" s="125"/>
      <c r="G253" s="125"/>
      <c r="K253" s="127"/>
    </row>
    <row r="254" spans="1:11" s="130" customFormat="1" x14ac:dyDescent="0.25">
      <c r="A254" s="123"/>
      <c r="B254" s="212"/>
      <c r="C254" s="127"/>
      <c r="D254" s="127"/>
      <c r="E254" s="125"/>
      <c r="F254" s="125"/>
      <c r="G254" s="125"/>
      <c r="K254" s="127"/>
    </row>
    <row r="255" spans="1:11" s="130" customFormat="1" x14ac:dyDescent="0.25">
      <c r="A255" s="123"/>
      <c r="B255" s="212"/>
      <c r="C255" s="127"/>
      <c r="D255" s="127"/>
      <c r="E255" s="125"/>
      <c r="F255" s="125"/>
      <c r="G255" s="125"/>
      <c r="K255" s="127"/>
    </row>
    <row r="256" spans="1:11" s="130" customFormat="1" x14ac:dyDescent="0.25">
      <c r="A256" s="123"/>
      <c r="B256" s="212"/>
      <c r="C256" s="127"/>
      <c r="D256" s="127"/>
      <c r="E256" s="125"/>
      <c r="F256" s="125"/>
      <c r="G256" s="125"/>
      <c r="K256" s="127"/>
    </row>
    <row r="257" spans="1:11" s="130" customFormat="1" x14ac:dyDescent="0.25">
      <c r="A257" s="123"/>
      <c r="B257" s="212"/>
      <c r="C257" s="127"/>
      <c r="D257" s="127"/>
      <c r="E257" s="125"/>
      <c r="F257" s="125"/>
      <c r="G257" s="125"/>
      <c r="K257" s="127"/>
    </row>
    <row r="258" spans="1:11" s="130" customFormat="1" x14ac:dyDescent="0.25">
      <c r="A258" s="123"/>
      <c r="B258" s="212"/>
      <c r="C258" s="127"/>
      <c r="D258" s="127"/>
      <c r="E258" s="125"/>
      <c r="F258" s="125"/>
      <c r="G258" s="125"/>
      <c r="K258" s="127"/>
    </row>
    <row r="259" spans="1:11" s="130" customFormat="1" x14ac:dyDescent="0.25">
      <c r="A259" s="123"/>
      <c r="B259" s="212"/>
      <c r="C259" s="127"/>
      <c r="D259" s="127"/>
      <c r="E259" s="125"/>
      <c r="F259" s="125"/>
      <c r="G259" s="125"/>
      <c r="K259" s="127"/>
    </row>
    <row r="260" spans="1:11" s="130" customFormat="1" x14ac:dyDescent="0.25">
      <c r="A260" s="123"/>
      <c r="B260" s="212"/>
      <c r="C260" s="127"/>
      <c r="D260" s="127"/>
      <c r="E260" s="125"/>
      <c r="F260" s="125"/>
      <c r="G260" s="125"/>
      <c r="K260" s="127"/>
    </row>
    <row r="261" spans="1:11" s="130" customFormat="1" x14ac:dyDescent="0.25">
      <c r="A261" s="123"/>
      <c r="B261" s="212"/>
      <c r="C261" s="127"/>
      <c r="D261" s="127"/>
      <c r="E261" s="125"/>
      <c r="F261" s="125"/>
      <c r="G261" s="125"/>
      <c r="K261" s="127"/>
    </row>
    <row r="262" spans="1:11" s="130" customFormat="1" x14ac:dyDescent="0.25">
      <c r="A262" s="123"/>
      <c r="B262" s="212"/>
      <c r="C262" s="127"/>
      <c r="D262" s="127"/>
      <c r="E262" s="125"/>
      <c r="F262" s="125"/>
      <c r="G262" s="125"/>
      <c r="K262" s="127"/>
    </row>
    <row r="263" spans="1:11" s="130" customFormat="1" x14ac:dyDescent="0.25">
      <c r="A263" s="123"/>
      <c r="B263" s="212"/>
      <c r="C263" s="127"/>
      <c r="D263" s="127"/>
      <c r="E263" s="125"/>
      <c r="F263" s="125"/>
      <c r="G263" s="125"/>
      <c r="K263" s="127"/>
    </row>
    <row r="264" spans="1:11" s="130" customFormat="1" x14ac:dyDescent="0.25">
      <c r="A264" s="123"/>
      <c r="B264" s="212"/>
      <c r="C264" s="127"/>
      <c r="D264" s="127"/>
      <c r="E264" s="125"/>
      <c r="F264" s="125"/>
      <c r="G264" s="125"/>
      <c r="K264" s="127"/>
    </row>
    <row r="265" spans="1:11" s="130" customFormat="1" x14ac:dyDescent="0.25">
      <c r="A265" s="123"/>
      <c r="B265" s="212"/>
      <c r="C265" s="127"/>
      <c r="D265" s="127"/>
      <c r="E265" s="125"/>
      <c r="F265" s="125"/>
      <c r="G265" s="125"/>
      <c r="K265" s="127"/>
    </row>
    <row r="266" spans="1:11" s="130" customFormat="1" x14ac:dyDescent="0.25">
      <c r="A266" s="123"/>
      <c r="B266" s="212"/>
      <c r="C266" s="127"/>
      <c r="D266" s="127"/>
      <c r="E266" s="125"/>
      <c r="F266" s="125"/>
      <c r="G266" s="125"/>
      <c r="K266" s="127"/>
    </row>
    <row r="267" spans="1:11" s="130" customFormat="1" x14ac:dyDescent="0.25">
      <c r="A267" s="123"/>
      <c r="B267" s="212"/>
      <c r="C267" s="127"/>
      <c r="D267" s="127"/>
      <c r="E267" s="125"/>
      <c r="F267" s="125"/>
      <c r="G267" s="125"/>
      <c r="K267" s="127"/>
    </row>
    <row r="268" spans="1:11" s="130" customFormat="1" x14ac:dyDescent="0.25">
      <c r="A268" s="123"/>
      <c r="B268" s="212"/>
      <c r="C268" s="127"/>
      <c r="D268" s="127"/>
      <c r="E268" s="125"/>
      <c r="F268" s="125"/>
      <c r="G268" s="125"/>
      <c r="K268" s="127"/>
    </row>
    <row r="269" spans="1:11" s="130" customFormat="1" x14ac:dyDescent="0.25">
      <c r="A269" s="123"/>
      <c r="B269" s="212"/>
      <c r="C269" s="127"/>
      <c r="D269" s="127"/>
      <c r="E269" s="125"/>
      <c r="F269" s="125"/>
      <c r="G269" s="125"/>
      <c r="K269" s="127"/>
    </row>
    <row r="270" spans="1:11" s="130" customFormat="1" x14ac:dyDescent="0.25">
      <c r="A270" s="123"/>
      <c r="B270" s="212"/>
      <c r="C270" s="127"/>
      <c r="D270" s="127"/>
      <c r="E270" s="125"/>
      <c r="F270" s="125"/>
      <c r="G270" s="125"/>
      <c r="K270" s="127"/>
    </row>
    <row r="271" spans="1:11" s="130" customFormat="1" x14ac:dyDescent="0.25">
      <c r="A271" s="123"/>
      <c r="B271" s="212"/>
      <c r="C271" s="127"/>
      <c r="D271" s="127"/>
      <c r="E271" s="125"/>
      <c r="F271" s="125"/>
      <c r="G271" s="125"/>
      <c r="K271" s="127"/>
    </row>
    <row r="272" spans="1:11" s="130" customFormat="1" x14ac:dyDescent="0.25">
      <c r="A272" s="123"/>
      <c r="B272" s="212"/>
      <c r="C272" s="127"/>
      <c r="D272" s="127"/>
      <c r="E272" s="125"/>
      <c r="F272" s="125"/>
      <c r="G272" s="125"/>
      <c r="K272" s="127"/>
    </row>
    <row r="273" spans="1:11" s="130" customFormat="1" x14ac:dyDescent="0.25">
      <c r="A273" s="123"/>
      <c r="B273" s="212"/>
      <c r="C273" s="127"/>
      <c r="D273" s="127"/>
      <c r="E273" s="125"/>
      <c r="F273" s="125"/>
      <c r="G273" s="125"/>
      <c r="K273" s="127"/>
    </row>
    <row r="274" spans="1:11" s="130" customFormat="1" x14ac:dyDescent="0.25">
      <c r="A274" s="123"/>
      <c r="B274" s="212"/>
      <c r="C274" s="127"/>
      <c r="D274" s="127"/>
      <c r="E274" s="125"/>
      <c r="F274" s="125"/>
      <c r="G274" s="125"/>
      <c r="K274" s="127"/>
    </row>
    <row r="275" spans="1:11" s="130" customFormat="1" x14ac:dyDescent="0.25">
      <c r="A275" s="123"/>
      <c r="B275" s="212"/>
      <c r="C275" s="127"/>
      <c r="D275" s="127"/>
      <c r="E275" s="125"/>
      <c r="F275" s="125"/>
      <c r="G275" s="125"/>
      <c r="K275" s="127"/>
    </row>
    <row r="276" spans="1:11" s="130" customFormat="1" x14ac:dyDescent="0.25">
      <c r="A276" s="123"/>
      <c r="B276" s="212"/>
      <c r="C276" s="127"/>
      <c r="D276" s="127"/>
      <c r="E276" s="125"/>
      <c r="F276" s="125"/>
      <c r="G276" s="125"/>
      <c r="K276" s="127"/>
    </row>
    <row r="277" spans="1:11" s="130" customFormat="1" x14ac:dyDescent="0.25">
      <c r="A277" s="123"/>
      <c r="B277" s="212"/>
      <c r="C277" s="127"/>
      <c r="D277" s="127"/>
      <c r="E277" s="125"/>
      <c r="F277" s="125"/>
      <c r="G277" s="125"/>
      <c r="K277" s="127"/>
    </row>
    <row r="278" spans="1:11" s="130" customFormat="1" x14ac:dyDescent="0.25">
      <c r="A278" s="123"/>
      <c r="B278" s="212"/>
      <c r="C278" s="127"/>
      <c r="D278" s="127"/>
      <c r="E278" s="125"/>
      <c r="F278" s="125"/>
      <c r="G278" s="125"/>
      <c r="K278" s="127"/>
    </row>
    <row r="279" spans="1:11" s="130" customFormat="1" x14ac:dyDescent="0.25">
      <c r="A279" s="123"/>
      <c r="B279" s="212"/>
      <c r="C279" s="127"/>
      <c r="D279" s="127"/>
      <c r="E279" s="125"/>
      <c r="F279" s="125"/>
      <c r="G279" s="125"/>
      <c r="K279" s="127"/>
    </row>
    <row r="280" spans="1:11" s="130" customFormat="1" x14ac:dyDescent="0.25">
      <c r="A280" s="123"/>
      <c r="B280" s="212"/>
      <c r="C280" s="127"/>
      <c r="D280" s="127"/>
      <c r="E280" s="125"/>
      <c r="F280" s="125"/>
      <c r="G280" s="125"/>
      <c r="K280" s="127"/>
    </row>
    <row r="281" spans="1:11" s="130" customFormat="1" x14ac:dyDescent="0.25">
      <c r="A281" s="123"/>
      <c r="B281" s="212"/>
      <c r="C281" s="127"/>
      <c r="D281" s="127"/>
      <c r="E281" s="125"/>
      <c r="F281" s="125"/>
      <c r="G281" s="125"/>
      <c r="K281" s="127"/>
    </row>
    <row r="282" spans="1:11" s="130" customFormat="1" x14ac:dyDescent="0.25">
      <c r="A282" s="123"/>
      <c r="B282" s="212"/>
      <c r="C282" s="127"/>
      <c r="D282" s="127"/>
      <c r="E282" s="125"/>
      <c r="F282" s="125"/>
      <c r="G282" s="125"/>
      <c r="K282" s="127"/>
    </row>
    <row r="283" spans="1:11" s="130" customFormat="1" x14ac:dyDescent="0.25">
      <c r="A283" s="123"/>
      <c r="B283" s="212"/>
      <c r="C283" s="127"/>
      <c r="D283" s="127"/>
      <c r="E283" s="125"/>
      <c r="F283" s="125"/>
      <c r="G283" s="125"/>
      <c r="K283" s="127"/>
    </row>
    <row r="284" spans="1:11" s="130" customFormat="1" x14ac:dyDescent="0.25">
      <c r="A284" s="123"/>
      <c r="B284" s="212"/>
      <c r="C284" s="127"/>
      <c r="D284" s="127"/>
      <c r="E284" s="125"/>
      <c r="F284" s="125"/>
      <c r="G284" s="125"/>
      <c r="K284" s="127"/>
    </row>
    <row r="285" spans="1:11" s="130" customFormat="1" x14ac:dyDescent="0.25">
      <c r="A285" s="123"/>
      <c r="B285" s="212"/>
      <c r="C285" s="127"/>
      <c r="D285" s="127"/>
      <c r="E285" s="125"/>
      <c r="F285" s="125"/>
      <c r="G285" s="125"/>
      <c r="K285" s="127"/>
    </row>
    <row r="286" spans="1:11" s="130" customFormat="1" x14ac:dyDescent="0.25">
      <c r="A286" s="123"/>
      <c r="B286" s="212"/>
      <c r="C286" s="127"/>
      <c r="D286" s="127"/>
      <c r="E286" s="125"/>
      <c r="F286" s="125"/>
      <c r="G286" s="125"/>
      <c r="K286" s="127"/>
    </row>
    <row r="287" spans="1:11" s="130" customFormat="1" x14ac:dyDescent="0.25">
      <c r="A287" s="123"/>
      <c r="B287" s="212"/>
      <c r="C287" s="127"/>
      <c r="D287" s="127"/>
      <c r="E287" s="125"/>
      <c r="F287" s="125"/>
      <c r="G287" s="125"/>
      <c r="K287" s="127"/>
    </row>
    <row r="288" spans="1:11" s="130" customFormat="1" x14ac:dyDescent="0.25">
      <c r="A288" s="123"/>
      <c r="B288" s="212"/>
      <c r="C288" s="127"/>
      <c r="D288" s="127"/>
      <c r="E288" s="125"/>
      <c r="F288" s="125"/>
      <c r="G288" s="125"/>
      <c r="K288" s="127"/>
    </row>
    <row r="289" spans="1:11" s="130" customFormat="1" x14ac:dyDescent="0.25">
      <c r="A289" s="123"/>
      <c r="B289" s="212"/>
      <c r="C289" s="127"/>
      <c r="D289" s="127"/>
      <c r="E289" s="125"/>
      <c r="F289" s="125"/>
      <c r="G289" s="125"/>
      <c r="K289" s="127"/>
    </row>
    <row r="290" spans="1:11" s="130" customFormat="1" x14ac:dyDescent="0.25">
      <c r="A290" s="123"/>
      <c r="B290" s="212"/>
      <c r="C290" s="127"/>
      <c r="D290" s="127"/>
      <c r="E290" s="125"/>
      <c r="F290" s="125"/>
      <c r="G290" s="125"/>
      <c r="K290" s="127"/>
    </row>
    <row r="291" spans="1:11" s="130" customFormat="1" x14ac:dyDescent="0.25">
      <c r="A291" s="123"/>
      <c r="B291" s="212"/>
      <c r="C291" s="127"/>
      <c r="D291" s="127"/>
      <c r="E291" s="125"/>
      <c r="F291" s="125"/>
      <c r="G291" s="125"/>
      <c r="K291" s="127"/>
    </row>
    <row r="292" spans="1:11" s="130" customFormat="1" x14ac:dyDescent="0.25">
      <c r="A292" s="123"/>
      <c r="B292" s="212"/>
      <c r="C292" s="127"/>
      <c r="D292" s="127"/>
      <c r="E292" s="125"/>
      <c r="F292" s="125"/>
      <c r="G292" s="125"/>
      <c r="K292" s="127"/>
    </row>
    <row r="293" spans="1:11" s="130" customFormat="1" x14ac:dyDescent="0.25">
      <c r="A293" s="123"/>
      <c r="B293" s="212"/>
      <c r="C293" s="127"/>
      <c r="D293" s="127"/>
      <c r="E293" s="125"/>
      <c r="F293" s="125"/>
      <c r="G293" s="125"/>
      <c r="K293" s="127"/>
    </row>
    <row r="294" spans="1:11" s="130" customFormat="1" x14ac:dyDescent="0.25">
      <c r="A294" s="123"/>
      <c r="B294" s="212"/>
      <c r="C294" s="127"/>
      <c r="D294" s="127"/>
      <c r="E294" s="125"/>
      <c r="F294" s="125"/>
      <c r="G294" s="125"/>
      <c r="K294" s="127"/>
    </row>
    <row r="295" spans="1:11" s="130" customFormat="1" x14ac:dyDescent="0.25">
      <c r="A295" s="123"/>
      <c r="B295" s="212"/>
      <c r="C295" s="127"/>
      <c r="D295" s="127"/>
      <c r="E295" s="125"/>
      <c r="F295" s="125"/>
      <c r="G295" s="125"/>
      <c r="K295" s="127"/>
    </row>
    <row r="296" spans="1:11" s="130" customFormat="1" x14ac:dyDescent="0.25">
      <c r="A296" s="123"/>
      <c r="B296" s="212"/>
      <c r="C296" s="127"/>
      <c r="D296" s="127"/>
      <c r="E296" s="125"/>
      <c r="F296" s="125"/>
      <c r="G296" s="125"/>
      <c r="K296" s="127"/>
    </row>
    <row r="297" spans="1:11" s="130" customFormat="1" x14ac:dyDescent="0.25">
      <c r="A297" s="123"/>
      <c r="B297" s="212"/>
      <c r="C297" s="127"/>
      <c r="D297" s="127"/>
      <c r="E297" s="125"/>
      <c r="F297" s="125"/>
      <c r="G297" s="125"/>
      <c r="K297" s="127"/>
    </row>
    <row r="298" spans="1:11" s="130" customFormat="1" x14ac:dyDescent="0.25">
      <c r="A298" s="123"/>
      <c r="B298" s="212"/>
      <c r="C298" s="127"/>
      <c r="D298" s="127"/>
      <c r="E298" s="125"/>
      <c r="F298" s="125"/>
      <c r="G298" s="125"/>
      <c r="K298" s="127"/>
    </row>
    <row r="299" spans="1:11" s="130" customFormat="1" x14ac:dyDescent="0.25">
      <c r="A299" s="123"/>
      <c r="B299" s="212"/>
      <c r="C299" s="127"/>
      <c r="D299" s="127"/>
      <c r="E299" s="125"/>
      <c r="F299" s="125"/>
      <c r="G299" s="125"/>
      <c r="K299" s="127"/>
    </row>
    <row r="300" spans="1:11" s="130" customFormat="1" x14ac:dyDescent="0.25">
      <c r="A300" s="123"/>
      <c r="B300" s="212"/>
      <c r="C300" s="127"/>
      <c r="D300" s="127"/>
      <c r="E300" s="125"/>
      <c r="F300" s="125"/>
      <c r="G300" s="125"/>
      <c r="K300" s="127"/>
    </row>
    <row r="301" spans="1:11" s="130" customFormat="1" x14ac:dyDescent="0.25">
      <c r="A301" s="123"/>
      <c r="B301" s="212"/>
      <c r="C301" s="127"/>
      <c r="D301" s="127"/>
      <c r="E301" s="125"/>
      <c r="F301" s="125"/>
      <c r="G301" s="125"/>
      <c r="K301" s="127"/>
    </row>
    <row r="302" spans="1:11" s="130" customFormat="1" x14ac:dyDescent="0.25">
      <c r="A302" s="123"/>
      <c r="B302" s="212"/>
      <c r="C302" s="127"/>
      <c r="D302" s="127"/>
      <c r="E302" s="125"/>
      <c r="F302" s="125"/>
      <c r="G302" s="125"/>
      <c r="K302" s="127"/>
    </row>
    <row r="303" spans="1:11" s="130" customFormat="1" x14ac:dyDescent="0.25">
      <c r="A303" s="123"/>
      <c r="B303" s="212"/>
      <c r="C303" s="127"/>
      <c r="D303" s="127"/>
      <c r="E303" s="125"/>
      <c r="F303" s="125"/>
      <c r="G303" s="125"/>
      <c r="K303" s="127"/>
    </row>
    <row r="304" spans="1:11" s="130" customFormat="1" x14ac:dyDescent="0.25">
      <c r="A304" s="123"/>
      <c r="B304" s="212"/>
      <c r="C304" s="127"/>
      <c r="D304" s="127"/>
      <c r="E304" s="125"/>
      <c r="F304" s="125"/>
      <c r="G304" s="125"/>
      <c r="K304" s="127"/>
    </row>
    <row r="305" spans="1:11" s="130" customFormat="1" x14ac:dyDescent="0.25">
      <c r="A305" s="123"/>
      <c r="B305" s="212"/>
      <c r="C305" s="127"/>
      <c r="D305" s="127"/>
      <c r="E305" s="125"/>
      <c r="F305" s="125"/>
      <c r="G305" s="125"/>
      <c r="K305" s="127"/>
    </row>
    <row r="306" spans="1:11" s="130" customFormat="1" x14ac:dyDescent="0.25">
      <c r="A306" s="123"/>
      <c r="B306" s="212"/>
      <c r="C306" s="127"/>
      <c r="D306" s="127"/>
      <c r="E306" s="125"/>
      <c r="F306" s="125"/>
      <c r="G306" s="125"/>
      <c r="K306" s="127"/>
    </row>
    <row r="307" spans="1:11" s="130" customFormat="1" x14ac:dyDescent="0.25">
      <c r="A307" s="123"/>
      <c r="B307" s="212"/>
      <c r="C307" s="127"/>
      <c r="D307" s="127"/>
      <c r="E307" s="125"/>
      <c r="F307" s="125"/>
      <c r="G307" s="125"/>
      <c r="K307" s="127"/>
    </row>
    <row r="308" spans="1:11" s="130" customFormat="1" x14ac:dyDescent="0.25">
      <c r="A308" s="123"/>
      <c r="B308" s="212"/>
      <c r="C308" s="127"/>
      <c r="D308" s="127"/>
      <c r="E308" s="125"/>
      <c r="F308" s="125"/>
      <c r="G308" s="125"/>
      <c r="K308" s="127"/>
    </row>
    <row r="309" spans="1:11" s="130" customFormat="1" x14ac:dyDescent="0.25">
      <c r="A309" s="123"/>
      <c r="B309" s="212"/>
      <c r="C309" s="127"/>
      <c r="D309" s="127"/>
      <c r="E309" s="125"/>
      <c r="F309" s="125"/>
      <c r="G309" s="125"/>
      <c r="K309" s="127"/>
    </row>
    <row r="310" spans="1:11" s="130" customFormat="1" x14ac:dyDescent="0.25">
      <c r="A310" s="123"/>
      <c r="B310" s="212"/>
      <c r="C310" s="127"/>
      <c r="D310" s="127"/>
      <c r="E310" s="125"/>
      <c r="F310" s="125"/>
      <c r="G310" s="125"/>
      <c r="K310" s="127"/>
    </row>
    <row r="311" spans="1:11" s="130" customFormat="1" x14ac:dyDescent="0.25">
      <c r="A311" s="123"/>
      <c r="B311" s="212"/>
      <c r="C311" s="127"/>
      <c r="D311" s="127"/>
      <c r="E311" s="125"/>
      <c r="F311" s="125"/>
      <c r="G311" s="125"/>
      <c r="K311" s="127"/>
    </row>
    <row r="312" spans="1:11" s="130" customFormat="1" x14ac:dyDescent="0.25">
      <c r="A312" s="123"/>
      <c r="B312" s="212"/>
      <c r="C312" s="127"/>
      <c r="D312" s="127"/>
      <c r="E312" s="125"/>
      <c r="F312" s="125"/>
      <c r="G312" s="125"/>
      <c r="K312" s="127"/>
    </row>
    <row r="313" spans="1:11" s="130" customFormat="1" x14ac:dyDescent="0.25">
      <c r="A313" s="123"/>
      <c r="B313" s="212"/>
      <c r="C313" s="127"/>
      <c r="D313" s="127"/>
      <c r="E313" s="125"/>
      <c r="F313" s="125"/>
      <c r="G313" s="125"/>
      <c r="K313" s="127"/>
    </row>
    <row r="314" spans="1:11" s="130" customFormat="1" x14ac:dyDescent="0.25">
      <c r="A314" s="123"/>
      <c r="B314" s="212"/>
      <c r="C314" s="127"/>
      <c r="D314" s="127"/>
      <c r="E314" s="125"/>
      <c r="F314" s="125"/>
      <c r="G314" s="125"/>
      <c r="K314" s="127"/>
    </row>
    <row r="315" spans="1:11" s="130" customFormat="1" x14ac:dyDescent="0.25">
      <c r="A315" s="123"/>
      <c r="B315" s="212"/>
      <c r="C315" s="127"/>
      <c r="D315" s="127"/>
      <c r="E315" s="125"/>
      <c r="F315" s="125"/>
      <c r="G315" s="125"/>
      <c r="K315" s="127"/>
    </row>
    <row r="316" spans="1:11" s="130" customFormat="1" x14ac:dyDescent="0.25">
      <c r="A316" s="123"/>
      <c r="B316" s="212"/>
      <c r="C316" s="127"/>
      <c r="D316" s="127"/>
      <c r="E316" s="125"/>
      <c r="F316" s="125"/>
      <c r="G316" s="125"/>
      <c r="K316" s="127"/>
    </row>
    <row r="317" spans="1:11" s="130" customFormat="1" x14ac:dyDescent="0.25">
      <c r="A317" s="123"/>
      <c r="B317" s="212"/>
      <c r="C317" s="127"/>
      <c r="D317" s="127"/>
      <c r="E317" s="125"/>
      <c r="F317" s="125"/>
      <c r="G317" s="125"/>
      <c r="K317" s="127"/>
    </row>
    <row r="318" spans="1:11" s="130" customFormat="1" x14ac:dyDescent="0.25">
      <c r="A318" s="123"/>
      <c r="B318" s="212"/>
      <c r="C318" s="127"/>
      <c r="D318" s="127"/>
      <c r="E318" s="125"/>
      <c r="F318" s="125"/>
      <c r="G318" s="125"/>
      <c r="K318" s="127"/>
    </row>
    <row r="319" spans="1:11" s="130" customFormat="1" x14ac:dyDescent="0.25">
      <c r="A319" s="123"/>
      <c r="B319" s="212"/>
      <c r="C319" s="127"/>
      <c r="D319" s="127"/>
      <c r="E319" s="125"/>
      <c r="F319" s="125"/>
      <c r="G319" s="125"/>
      <c r="K319" s="127"/>
    </row>
    <row r="320" spans="1:11" s="130" customFormat="1" x14ac:dyDescent="0.25">
      <c r="A320" s="123"/>
      <c r="B320" s="212"/>
      <c r="C320" s="127"/>
      <c r="D320" s="127"/>
      <c r="E320" s="125"/>
      <c r="F320" s="125"/>
      <c r="G320" s="125"/>
      <c r="K320" s="127"/>
    </row>
    <row r="321" spans="1:11" s="130" customFormat="1" x14ac:dyDescent="0.25">
      <c r="A321" s="123"/>
      <c r="B321" s="212"/>
      <c r="C321" s="127"/>
      <c r="D321" s="127"/>
      <c r="E321" s="125"/>
      <c r="F321" s="125"/>
      <c r="G321" s="125"/>
      <c r="K321" s="127"/>
    </row>
    <row r="322" spans="1:11" s="130" customFormat="1" x14ac:dyDescent="0.25">
      <c r="A322" s="123"/>
      <c r="B322" s="212"/>
      <c r="C322" s="127"/>
      <c r="D322" s="127"/>
      <c r="E322" s="125"/>
      <c r="F322" s="125"/>
      <c r="G322" s="125"/>
      <c r="K322" s="127"/>
    </row>
    <row r="323" spans="1:11" s="130" customFormat="1" x14ac:dyDescent="0.25">
      <c r="A323" s="123"/>
      <c r="B323" s="212"/>
      <c r="C323" s="127"/>
      <c r="D323" s="127"/>
      <c r="E323" s="125"/>
      <c r="F323" s="125"/>
      <c r="G323" s="125"/>
      <c r="K323" s="127"/>
    </row>
    <row r="324" spans="1:11" s="130" customFormat="1" x14ac:dyDescent="0.25">
      <c r="A324" s="123"/>
      <c r="B324" s="212"/>
      <c r="C324" s="127"/>
      <c r="D324" s="127"/>
      <c r="E324" s="125"/>
      <c r="F324" s="125"/>
      <c r="G324" s="125"/>
      <c r="K324" s="127"/>
    </row>
    <row r="325" spans="1:11" s="130" customFormat="1" x14ac:dyDescent="0.25">
      <c r="A325" s="123"/>
      <c r="B325" s="212"/>
      <c r="C325" s="127"/>
      <c r="D325" s="127"/>
      <c r="E325" s="125"/>
      <c r="F325" s="125"/>
      <c r="G325" s="125"/>
      <c r="K325" s="127"/>
    </row>
    <row r="326" spans="1:11" s="130" customFormat="1" x14ac:dyDescent="0.25">
      <c r="A326" s="123"/>
      <c r="B326" s="212"/>
      <c r="C326" s="127"/>
      <c r="D326" s="127"/>
      <c r="E326" s="125"/>
      <c r="F326" s="125"/>
      <c r="G326" s="125"/>
      <c r="K326" s="127"/>
    </row>
    <row r="327" spans="1:11" s="130" customFormat="1" x14ac:dyDescent="0.25">
      <c r="A327" s="123"/>
      <c r="B327" s="212"/>
      <c r="C327" s="127"/>
      <c r="D327" s="127"/>
      <c r="E327" s="125"/>
      <c r="F327" s="125"/>
      <c r="G327" s="125"/>
      <c r="K327" s="127"/>
    </row>
    <row r="328" spans="1:11" s="130" customFormat="1" x14ac:dyDescent="0.25">
      <c r="A328" s="123"/>
      <c r="B328" s="212"/>
      <c r="C328" s="127"/>
      <c r="D328" s="127"/>
      <c r="E328" s="125"/>
      <c r="F328" s="125"/>
      <c r="G328" s="125"/>
      <c r="K328" s="127"/>
    </row>
    <row r="329" spans="1:11" s="130" customFormat="1" x14ac:dyDescent="0.25">
      <c r="A329" s="123"/>
      <c r="B329" s="212"/>
      <c r="C329" s="127"/>
      <c r="D329" s="127"/>
      <c r="E329" s="125"/>
      <c r="F329" s="125"/>
      <c r="G329" s="125"/>
      <c r="K329" s="127"/>
    </row>
    <row r="330" spans="1:11" s="130" customFormat="1" x14ac:dyDescent="0.25">
      <c r="A330" s="123"/>
      <c r="B330" s="212"/>
      <c r="C330" s="127"/>
      <c r="D330" s="127"/>
      <c r="E330" s="125"/>
      <c r="F330" s="125"/>
      <c r="G330" s="125"/>
      <c r="K330" s="127"/>
    </row>
    <row r="331" spans="1:11" s="130" customFormat="1" x14ac:dyDescent="0.25">
      <c r="A331" s="123"/>
      <c r="B331" s="212"/>
      <c r="C331" s="127"/>
      <c r="D331" s="127"/>
      <c r="E331" s="125"/>
      <c r="F331" s="125"/>
      <c r="G331" s="125"/>
      <c r="K331" s="127"/>
    </row>
    <row r="332" spans="1:11" s="130" customFormat="1" x14ac:dyDescent="0.25">
      <c r="A332" s="123"/>
      <c r="B332" s="212"/>
      <c r="C332" s="127"/>
      <c r="D332" s="127"/>
      <c r="E332" s="125"/>
      <c r="F332" s="125"/>
      <c r="G332" s="125"/>
      <c r="K332" s="127"/>
    </row>
    <row r="333" spans="1:11" s="130" customFormat="1" x14ac:dyDescent="0.25">
      <c r="A333" s="123"/>
      <c r="B333" s="212"/>
      <c r="C333" s="127"/>
      <c r="D333" s="127"/>
      <c r="E333" s="125"/>
      <c r="F333" s="125"/>
      <c r="G333" s="125"/>
      <c r="K333" s="127"/>
    </row>
    <row r="334" spans="1:11" s="130" customFormat="1" x14ac:dyDescent="0.25">
      <c r="A334" s="123"/>
      <c r="B334" s="212"/>
      <c r="C334" s="127"/>
      <c r="D334" s="127"/>
      <c r="E334" s="125"/>
      <c r="F334" s="125"/>
      <c r="G334" s="125"/>
      <c r="K334" s="127"/>
    </row>
    <row r="335" spans="1:11" s="130" customFormat="1" x14ac:dyDescent="0.25">
      <c r="A335" s="123"/>
      <c r="B335" s="212"/>
      <c r="C335" s="127"/>
      <c r="D335" s="127"/>
      <c r="E335" s="125"/>
      <c r="F335" s="125"/>
      <c r="G335" s="125"/>
      <c r="K335" s="127"/>
    </row>
    <row r="336" spans="1:11" s="130" customFormat="1" x14ac:dyDescent="0.25">
      <c r="A336" s="123"/>
      <c r="B336" s="212"/>
      <c r="C336" s="127"/>
      <c r="D336" s="127"/>
      <c r="E336" s="125"/>
      <c r="F336" s="125"/>
      <c r="G336" s="125"/>
      <c r="K336" s="127"/>
    </row>
    <row r="337" spans="1:11" s="130" customFormat="1" x14ac:dyDescent="0.25">
      <c r="A337" s="123"/>
      <c r="B337" s="212"/>
      <c r="C337" s="127"/>
      <c r="D337" s="127"/>
      <c r="E337" s="125"/>
      <c r="F337" s="125"/>
      <c r="G337" s="125"/>
      <c r="K337" s="127"/>
    </row>
    <row r="338" spans="1:11" s="130" customFormat="1" x14ac:dyDescent="0.25">
      <c r="A338" s="123"/>
      <c r="B338" s="212"/>
      <c r="C338" s="127"/>
      <c r="D338" s="127"/>
      <c r="E338" s="125"/>
      <c r="F338" s="125"/>
      <c r="G338" s="125"/>
      <c r="K338" s="127"/>
    </row>
    <row r="339" spans="1:11" s="130" customFormat="1" x14ac:dyDescent="0.25">
      <c r="A339" s="123"/>
      <c r="B339" s="212"/>
      <c r="C339" s="127"/>
      <c r="D339" s="127"/>
      <c r="E339" s="125"/>
      <c r="F339" s="125"/>
      <c r="G339" s="125"/>
      <c r="K339" s="127"/>
    </row>
    <row r="340" spans="1:11" s="130" customFormat="1" x14ac:dyDescent="0.25">
      <c r="A340" s="123"/>
      <c r="B340" s="212"/>
      <c r="C340" s="127"/>
      <c r="D340" s="127"/>
      <c r="E340" s="125"/>
      <c r="F340" s="125"/>
      <c r="G340" s="125"/>
      <c r="K340" s="127"/>
    </row>
    <row r="341" spans="1:11" s="130" customFormat="1" x14ac:dyDescent="0.25">
      <c r="A341" s="123"/>
      <c r="B341" s="212"/>
      <c r="C341" s="127"/>
      <c r="D341" s="127"/>
      <c r="E341" s="125"/>
      <c r="F341" s="125"/>
      <c r="G341" s="125"/>
      <c r="K341" s="127"/>
    </row>
    <row r="342" spans="1:11" s="130" customFormat="1" x14ac:dyDescent="0.25">
      <c r="A342" s="123"/>
      <c r="B342" s="212"/>
      <c r="C342" s="127"/>
      <c r="D342" s="127"/>
      <c r="E342" s="125"/>
      <c r="F342" s="125"/>
      <c r="G342" s="125"/>
      <c r="K342" s="127"/>
    </row>
    <row r="343" spans="1:11" s="130" customFormat="1" x14ac:dyDescent="0.25">
      <c r="A343" s="123"/>
      <c r="B343" s="212"/>
      <c r="C343" s="127"/>
      <c r="D343" s="127"/>
      <c r="E343" s="125"/>
      <c r="F343" s="125"/>
      <c r="G343" s="125"/>
      <c r="K343" s="127"/>
    </row>
    <row r="344" spans="1:11" s="130" customFormat="1" x14ac:dyDescent="0.25">
      <c r="A344" s="123"/>
      <c r="B344" s="212"/>
      <c r="C344" s="127"/>
      <c r="D344" s="127"/>
      <c r="E344" s="125"/>
      <c r="F344" s="125"/>
      <c r="G344" s="125"/>
      <c r="K344" s="127"/>
    </row>
    <row r="345" spans="1:11" s="130" customFormat="1" x14ac:dyDescent="0.25">
      <c r="A345" s="123"/>
      <c r="B345" s="212"/>
      <c r="C345" s="127"/>
      <c r="D345" s="127"/>
      <c r="E345" s="125"/>
      <c r="F345" s="125"/>
      <c r="G345" s="125"/>
      <c r="K345" s="127"/>
    </row>
    <row r="346" spans="1:11" s="130" customFormat="1" x14ac:dyDescent="0.25">
      <c r="A346" s="123"/>
      <c r="B346" s="212"/>
      <c r="C346" s="127"/>
      <c r="D346" s="127"/>
      <c r="E346" s="125"/>
      <c r="F346" s="125"/>
      <c r="G346" s="125"/>
      <c r="K346" s="127"/>
    </row>
    <row r="347" spans="1:11" s="130" customFormat="1" x14ac:dyDescent="0.25">
      <c r="A347" s="123"/>
      <c r="B347" s="212"/>
      <c r="C347" s="127"/>
      <c r="D347" s="127"/>
      <c r="E347" s="125"/>
      <c r="F347" s="125"/>
      <c r="G347" s="125"/>
      <c r="K347" s="127"/>
    </row>
    <row r="348" spans="1:11" s="130" customFormat="1" x14ac:dyDescent="0.25">
      <c r="A348" s="123"/>
      <c r="B348" s="212"/>
      <c r="C348" s="127"/>
      <c r="D348" s="127"/>
      <c r="E348" s="125"/>
      <c r="F348" s="125"/>
      <c r="G348" s="125"/>
      <c r="K348" s="127"/>
    </row>
    <row r="349" spans="1:11" s="130" customFormat="1" x14ac:dyDescent="0.25">
      <c r="A349" s="123"/>
      <c r="B349" s="212"/>
      <c r="C349" s="127"/>
      <c r="D349" s="127"/>
      <c r="E349" s="125"/>
      <c r="F349" s="125"/>
      <c r="G349" s="125"/>
      <c r="K349" s="127"/>
    </row>
    <row r="350" spans="1:11" s="130" customFormat="1" x14ac:dyDescent="0.25">
      <c r="A350" s="123"/>
      <c r="B350" s="212"/>
      <c r="C350" s="127"/>
      <c r="D350" s="127"/>
      <c r="E350" s="125"/>
      <c r="F350" s="125"/>
      <c r="G350" s="125"/>
      <c r="K350" s="127"/>
    </row>
    <row r="351" spans="1:11" s="130" customFormat="1" x14ac:dyDescent="0.25">
      <c r="A351" s="123"/>
      <c r="B351" s="212"/>
      <c r="C351" s="127"/>
      <c r="D351" s="127"/>
      <c r="E351" s="125"/>
      <c r="F351" s="125"/>
      <c r="G351" s="125"/>
      <c r="K351" s="127"/>
    </row>
    <row r="352" spans="1:11" s="130" customFormat="1" x14ac:dyDescent="0.25">
      <c r="A352" s="123"/>
      <c r="B352" s="212"/>
      <c r="C352" s="127"/>
      <c r="D352" s="127"/>
      <c r="E352" s="125"/>
      <c r="F352" s="125"/>
      <c r="G352" s="125"/>
      <c r="K352" s="127"/>
    </row>
    <row r="353" spans="1:11" s="130" customFormat="1" x14ac:dyDescent="0.25">
      <c r="A353" s="123"/>
      <c r="B353" s="212"/>
      <c r="C353" s="127"/>
      <c r="D353" s="127"/>
      <c r="E353" s="125"/>
      <c r="F353" s="125"/>
      <c r="G353" s="125"/>
      <c r="K353" s="127"/>
    </row>
    <row r="354" spans="1:11" s="130" customFormat="1" x14ac:dyDescent="0.25">
      <c r="A354" s="123"/>
      <c r="B354" s="212"/>
      <c r="C354" s="127"/>
      <c r="D354" s="127"/>
      <c r="E354" s="125"/>
      <c r="F354" s="125"/>
      <c r="G354" s="125"/>
      <c r="K354" s="127"/>
    </row>
    <row r="355" spans="1:11" s="130" customFormat="1" x14ac:dyDescent="0.25">
      <c r="A355" s="123"/>
      <c r="B355" s="212"/>
      <c r="C355" s="127"/>
      <c r="D355" s="127"/>
      <c r="E355" s="125"/>
      <c r="F355" s="125"/>
      <c r="G355" s="125"/>
      <c r="K355" s="127"/>
    </row>
    <row r="356" spans="1:11" s="130" customFormat="1" x14ac:dyDescent="0.25">
      <c r="A356" s="123"/>
      <c r="B356" s="212"/>
      <c r="C356" s="127"/>
      <c r="D356" s="127"/>
      <c r="E356" s="125"/>
      <c r="F356" s="125"/>
      <c r="G356" s="125"/>
      <c r="K356" s="127"/>
    </row>
    <row r="357" spans="1:11" s="130" customFormat="1" x14ac:dyDescent="0.25">
      <c r="A357" s="123"/>
      <c r="B357" s="212"/>
      <c r="C357" s="127"/>
      <c r="D357" s="127"/>
      <c r="E357" s="125"/>
      <c r="F357" s="125"/>
      <c r="G357" s="125"/>
      <c r="K357" s="127"/>
    </row>
    <row r="358" spans="1:11" s="130" customFormat="1" x14ac:dyDescent="0.25">
      <c r="A358" s="123"/>
      <c r="B358" s="212"/>
      <c r="C358" s="127"/>
      <c r="D358" s="127"/>
      <c r="E358" s="125"/>
      <c r="F358" s="125"/>
      <c r="G358" s="125"/>
      <c r="K358" s="127"/>
    </row>
    <row r="359" spans="1:11" s="130" customFormat="1" x14ac:dyDescent="0.25">
      <c r="A359" s="123"/>
      <c r="B359" s="212"/>
      <c r="C359" s="127"/>
      <c r="D359" s="127"/>
      <c r="E359" s="125"/>
      <c r="F359" s="125"/>
      <c r="G359" s="125"/>
      <c r="K359" s="127"/>
    </row>
    <row r="360" spans="1:11" s="130" customFormat="1" x14ac:dyDescent="0.25">
      <c r="A360" s="123"/>
      <c r="B360" s="212"/>
      <c r="C360" s="127"/>
      <c r="D360" s="127"/>
      <c r="E360" s="125"/>
      <c r="F360" s="125"/>
      <c r="G360" s="125"/>
      <c r="K360" s="127"/>
    </row>
    <row r="361" spans="1:11" s="130" customFormat="1" x14ac:dyDescent="0.25">
      <c r="A361" s="123"/>
      <c r="B361" s="212"/>
      <c r="C361" s="127"/>
      <c r="D361" s="127"/>
      <c r="E361" s="125"/>
      <c r="F361" s="125"/>
      <c r="G361" s="125"/>
      <c r="K361" s="127"/>
    </row>
    <row r="362" spans="1:11" s="130" customFormat="1" x14ac:dyDescent="0.25">
      <c r="A362" s="123"/>
      <c r="B362" s="212"/>
      <c r="C362" s="127"/>
      <c r="D362" s="127"/>
      <c r="E362" s="125"/>
      <c r="F362" s="125"/>
      <c r="G362" s="125"/>
      <c r="K362" s="127"/>
    </row>
    <row r="363" spans="1:11" s="130" customFormat="1" x14ac:dyDescent="0.25">
      <c r="A363" s="123"/>
      <c r="B363" s="212"/>
      <c r="C363" s="127"/>
      <c r="D363" s="127"/>
      <c r="E363" s="125"/>
      <c r="F363" s="125"/>
      <c r="G363" s="125"/>
      <c r="K363" s="127"/>
    </row>
    <row r="364" spans="1:11" s="130" customFormat="1" x14ac:dyDescent="0.25">
      <c r="A364" s="123"/>
      <c r="B364" s="212"/>
      <c r="C364" s="127"/>
      <c r="D364" s="127"/>
      <c r="E364" s="125"/>
      <c r="F364" s="125"/>
      <c r="G364" s="125"/>
      <c r="K364" s="127"/>
    </row>
    <row r="365" spans="1:11" s="130" customFormat="1" x14ac:dyDescent="0.25">
      <c r="A365" s="123"/>
      <c r="B365" s="212"/>
      <c r="C365" s="127"/>
      <c r="D365" s="127"/>
      <c r="E365" s="125"/>
      <c r="F365" s="125"/>
      <c r="G365" s="125"/>
      <c r="K365" s="127"/>
    </row>
    <row r="366" spans="1:11" s="130" customFormat="1" x14ac:dyDescent="0.25">
      <c r="A366" s="123"/>
      <c r="B366" s="212"/>
      <c r="C366" s="127"/>
      <c r="D366" s="127"/>
      <c r="E366" s="125"/>
      <c r="F366" s="125"/>
      <c r="G366" s="125"/>
      <c r="K366" s="127"/>
    </row>
    <row r="367" spans="1:11" s="130" customFormat="1" x14ac:dyDescent="0.25">
      <c r="A367" s="123"/>
      <c r="B367" s="212"/>
      <c r="C367" s="127"/>
      <c r="D367" s="127"/>
      <c r="E367" s="125"/>
      <c r="F367" s="125"/>
      <c r="G367" s="125"/>
      <c r="K367" s="127"/>
    </row>
    <row r="368" spans="1:11" s="130" customFormat="1" x14ac:dyDescent="0.25">
      <c r="A368" s="123"/>
      <c r="B368" s="212"/>
      <c r="C368" s="127"/>
      <c r="D368" s="127"/>
      <c r="E368" s="125"/>
      <c r="F368" s="125"/>
      <c r="G368" s="125"/>
      <c r="K368" s="127"/>
    </row>
    <row r="369" spans="1:11" s="130" customFormat="1" x14ac:dyDescent="0.25">
      <c r="A369" s="123"/>
      <c r="B369" s="212"/>
      <c r="C369" s="127"/>
      <c r="D369" s="127"/>
      <c r="E369" s="125"/>
      <c r="F369" s="125"/>
      <c r="G369" s="125"/>
      <c r="K369" s="127"/>
    </row>
    <row r="370" spans="1:11" s="130" customFormat="1" x14ac:dyDescent="0.25">
      <c r="A370" s="123"/>
      <c r="B370" s="212"/>
      <c r="C370" s="127"/>
      <c r="D370" s="127"/>
      <c r="E370" s="125"/>
      <c r="F370" s="125"/>
      <c r="G370" s="125"/>
      <c r="K370" s="127"/>
    </row>
    <row r="371" spans="1:11" s="130" customFormat="1" x14ac:dyDescent="0.25">
      <c r="A371" s="123"/>
      <c r="B371" s="212"/>
      <c r="C371" s="127"/>
      <c r="D371" s="127"/>
      <c r="E371" s="125"/>
      <c r="F371" s="125"/>
      <c r="G371" s="125"/>
      <c r="K371" s="127"/>
    </row>
    <row r="372" spans="1:11" s="130" customFormat="1" x14ac:dyDescent="0.25">
      <c r="A372" s="123"/>
      <c r="B372" s="212"/>
      <c r="C372" s="127"/>
      <c r="D372" s="127"/>
      <c r="E372" s="125"/>
      <c r="F372" s="125"/>
      <c r="G372" s="125"/>
      <c r="K372" s="127"/>
    </row>
    <row r="373" spans="1:11" s="130" customFormat="1" x14ac:dyDescent="0.25">
      <c r="A373" s="123"/>
      <c r="B373" s="212"/>
      <c r="C373" s="127"/>
      <c r="D373" s="127"/>
      <c r="E373" s="125"/>
      <c r="F373" s="125"/>
      <c r="G373" s="125"/>
      <c r="K373" s="127"/>
    </row>
    <row r="374" spans="1:11" s="130" customFormat="1" x14ac:dyDescent="0.25">
      <c r="A374" s="123"/>
      <c r="B374" s="212"/>
      <c r="C374" s="127"/>
      <c r="D374" s="127"/>
      <c r="E374" s="125"/>
      <c r="F374" s="125"/>
      <c r="G374" s="125"/>
      <c r="K374" s="127"/>
    </row>
    <row r="375" spans="1:11" s="130" customFormat="1" x14ac:dyDescent="0.25">
      <c r="A375" s="123"/>
      <c r="B375" s="212"/>
      <c r="C375" s="127"/>
      <c r="D375" s="127"/>
      <c r="E375" s="125"/>
      <c r="F375" s="125"/>
      <c r="G375" s="125"/>
      <c r="K375" s="127"/>
    </row>
    <row r="376" spans="1:11" s="130" customFormat="1" x14ac:dyDescent="0.25">
      <c r="A376" s="123"/>
      <c r="B376" s="212"/>
      <c r="C376" s="127"/>
      <c r="D376" s="127"/>
      <c r="E376" s="125"/>
      <c r="F376" s="125"/>
      <c r="G376" s="125"/>
      <c r="K376" s="127"/>
    </row>
    <row r="377" spans="1:11" s="130" customFormat="1" x14ac:dyDescent="0.25">
      <c r="A377" s="123"/>
      <c r="B377" s="212"/>
      <c r="C377" s="127"/>
      <c r="D377" s="127"/>
      <c r="E377" s="125"/>
      <c r="F377" s="125"/>
      <c r="G377" s="125"/>
      <c r="K377" s="127"/>
    </row>
    <row r="378" spans="1:11" s="130" customFormat="1" x14ac:dyDescent="0.25">
      <c r="A378" s="123"/>
      <c r="B378" s="212"/>
      <c r="C378" s="127"/>
      <c r="D378" s="127"/>
      <c r="E378" s="125"/>
      <c r="F378" s="125"/>
      <c r="G378" s="125"/>
      <c r="K378" s="127"/>
    </row>
    <row r="379" spans="1:11" s="130" customFormat="1" x14ac:dyDescent="0.25">
      <c r="A379" s="123"/>
      <c r="B379" s="212"/>
      <c r="C379" s="127"/>
      <c r="D379" s="127"/>
      <c r="E379" s="125"/>
      <c r="F379" s="125"/>
      <c r="G379" s="125"/>
      <c r="K379" s="127"/>
    </row>
    <row r="380" spans="1:11" s="130" customFormat="1" x14ac:dyDescent="0.25">
      <c r="A380" s="123"/>
      <c r="B380" s="212"/>
      <c r="C380" s="127"/>
      <c r="D380" s="127"/>
      <c r="E380" s="125"/>
      <c r="F380" s="125"/>
      <c r="G380" s="125"/>
      <c r="K380" s="127"/>
    </row>
    <row r="381" spans="1:11" s="130" customFormat="1" x14ac:dyDescent="0.25">
      <c r="A381" s="123"/>
      <c r="B381" s="212"/>
      <c r="C381" s="127"/>
      <c r="D381" s="127"/>
      <c r="E381" s="125"/>
      <c r="F381" s="125"/>
      <c r="G381" s="125"/>
      <c r="K381" s="127"/>
    </row>
    <row r="382" spans="1:11" s="130" customFormat="1" x14ac:dyDescent="0.25">
      <c r="A382" s="123"/>
      <c r="B382" s="212"/>
      <c r="C382" s="127"/>
      <c r="D382" s="127"/>
      <c r="E382" s="125"/>
      <c r="F382" s="125"/>
      <c r="G382" s="125"/>
      <c r="K382" s="127"/>
    </row>
    <row r="383" spans="1:11" s="130" customFormat="1" x14ac:dyDescent="0.25">
      <c r="A383" s="123"/>
      <c r="B383" s="212"/>
      <c r="C383" s="127"/>
      <c r="D383" s="127"/>
      <c r="E383" s="125"/>
      <c r="F383" s="125"/>
      <c r="G383" s="125"/>
      <c r="K383" s="127"/>
    </row>
    <row r="384" spans="1:11" s="130" customFormat="1" x14ac:dyDescent="0.25">
      <c r="A384" s="123"/>
      <c r="B384" s="212"/>
      <c r="C384" s="127"/>
      <c r="D384" s="127"/>
      <c r="E384" s="125"/>
      <c r="F384" s="125"/>
      <c r="G384" s="125"/>
      <c r="K384" s="127"/>
    </row>
    <row r="385" spans="1:11" s="130" customFormat="1" x14ac:dyDescent="0.25">
      <c r="A385" s="123"/>
      <c r="B385" s="212"/>
      <c r="C385" s="127"/>
      <c r="D385" s="127"/>
      <c r="E385" s="125"/>
      <c r="F385" s="125"/>
      <c r="G385" s="125"/>
      <c r="K385" s="127"/>
    </row>
    <row r="386" spans="1:11" s="130" customFormat="1" x14ac:dyDescent="0.25">
      <c r="A386" s="123"/>
      <c r="B386" s="212"/>
      <c r="C386" s="127"/>
      <c r="D386" s="127"/>
      <c r="E386" s="125"/>
      <c r="F386" s="125"/>
      <c r="G386" s="125"/>
      <c r="K386" s="127"/>
    </row>
    <row r="387" spans="1:11" s="130" customFormat="1" x14ac:dyDescent="0.25">
      <c r="A387" s="123"/>
      <c r="B387" s="212"/>
      <c r="C387" s="127"/>
      <c r="D387" s="127"/>
      <c r="E387" s="125"/>
      <c r="F387" s="125"/>
      <c r="G387" s="125"/>
      <c r="K387" s="127"/>
    </row>
    <row r="388" spans="1:11" s="130" customFormat="1" x14ac:dyDescent="0.25">
      <c r="A388" s="123"/>
      <c r="B388" s="212"/>
      <c r="C388" s="127"/>
      <c r="D388" s="127"/>
      <c r="E388" s="125"/>
      <c r="F388" s="125"/>
      <c r="G388" s="125"/>
      <c r="K388" s="127"/>
    </row>
    <row r="389" spans="1:11" s="130" customFormat="1" x14ac:dyDescent="0.25">
      <c r="A389" s="123"/>
      <c r="B389" s="212"/>
      <c r="C389" s="127"/>
      <c r="D389" s="127"/>
      <c r="E389" s="125"/>
      <c r="F389" s="125"/>
      <c r="G389" s="125"/>
      <c r="K389" s="127"/>
    </row>
    <row r="390" spans="1:11" s="130" customFormat="1" x14ac:dyDescent="0.25">
      <c r="A390" s="123"/>
      <c r="B390" s="212"/>
      <c r="C390" s="127"/>
      <c r="D390" s="127"/>
      <c r="E390" s="125"/>
      <c r="F390" s="125"/>
      <c r="G390" s="125"/>
      <c r="K390" s="127"/>
    </row>
    <row r="391" spans="1:11" s="130" customFormat="1" x14ac:dyDescent="0.25">
      <c r="A391" s="123"/>
      <c r="B391" s="212"/>
      <c r="C391" s="127"/>
      <c r="D391" s="127"/>
      <c r="E391" s="125"/>
      <c r="F391" s="125"/>
      <c r="G391" s="125"/>
      <c r="K391" s="127"/>
    </row>
    <row r="392" spans="1:11" s="130" customFormat="1" x14ac:dyDescent="0.25">
      <c r="A392" s="123"/>
      <c r="B392" s="212"/>
      <c r="C392" s="127"/>
      <c r="D392" s="127"/>
      <c r="E392" s="125"/>
      <c r="F392" s="125"/>
      <c r="G392" s="125"/>
      <c r="K392" s="127"/>
    </row>
    <row r="393" spans="1:11" s="130" customFormat="1" x14ac:dyDescent="0.25">
      <c r="A393" s="123"/>
      <c r="B393" s="212"/>
      <c r="C393" s="127"/>
      <c r="D393" s="127"/>
      <c r="E393" s="125"/>
      <c r="F393" s="125"/>
      <c r="G393" s="125"/>
      <c r="K393" s="127"/>
    </row>
    <row r="394" spans="1:11" s="130" customFormat="1" x14ac:dyDescent="0.25">
      <c r="A394" s="123"/>
      <c r="B394" s="212"/>
      <c r="C394" s="127"/>
      <c r="D394" s="127"/>
      <c r="E394" s="125"/>
      <c r="F394" s="125"/>
      <c r="G394" s="125"/>
      <c r="K394" s="127"/>
    </row>
    <row r="395" spans="1:11" s="130" customFormat="1" x14ac:dyDescent="0.25">
      <c r="A395" s="123"/>
      <c r="B395" s="212"/>
      <c r="C395" s="127"/>
      <c r="D395" s="127"/>
      <c r="E395" s="125"/>
      <c r="F395" s="125"/>
      <c r="G395" s="125"/>
      <c r="K395" s="127"/>
    </row>
    <row r="396" spans="1:11" s="130" customFormat="1" x14ac:dyDescent="0.25">
      <c r="A396" s="123"/>
      <c r="B396" s="212"/>
      <c r="C396" s="127"/>
      <c r="D396" s="127"/>
      <c r="E396" s="125"/>
      <c r="F396" s="125"/>
      <c r="G396" s="125"/>
      <c r="K396" s="127"/>
    </row>
    <row r="397" spans="1:11" s="130" customFormat="1" x14ac:dyDescent="0.25">
      <c r="A397" s="123"/>
      <c r="B397" s="212"/>
      <c r="C397" s="127"/>
      <c r="D397" s="127"/>
      <c r="E397" s="125"/>
      <c r="F397" s="125"/>
      <c r="G397" s="125"/>
      <c r="K397" s="127"/>
    </row>
    <row r="398" spans="1:11" s="130" customFormat="1" x14ac:dyDescent="0.25">
      <c r="A398" s="123"/>
      <c r="B398" s="212"/>
      <c r="C398" s="127"/>
      <c r="D398" s="127"/>
      <c r="E398" s="125"/>
      <c r="F398" s="125"/>
      <c r="G398" s="125"/>
      <c r="K398" s="127"/>
    </row>
    <row r="399" spans="1:11" s="130" customFormat="1" x14ac:dyDescent="0.25">
      <c r="A399" s="123"/>
      <c r="B399" s="212"/>
      <c r="C399" s="127"/>
      <c r="D399" s="127"/>
      <c r="E399" s="125"/>
      <c r="F399" s="125"/>
      <c r="G399" s="125"/>
      <c r="K399" s="127"/>
    </row>
    <row r="400" spans="1:11" s="130" customFormat="1" x14ac:dyDescent="0.25">
      <c r="A400" s="123"/>
      <c r="B400" s="212"/>
      <c r="C400" s="127"/>
      <c r="D400" s="127"/>
      <c r="E400" s="125"/>
      <c r="F400" s="125"/>
      <c r="G400" s="125"/>
      <c r="K400" s="127"/>
    </row>
    <row r="401" spans="1:11" s="130" customFormat="1" x14ac:dyDescent="0.25">
      <c r="A401" s="123"/>
      <c r="B401" s="212"/>
      <c r="C401" s="127"/>
      <c r="D401" s="127"/>
      <c r="E401" s="125"/>
      <c r="F401" s="125"/>
      <c r="G401" s="125"/>
      <c r="K401" s="127"/>
    </row>
    <row r="402" spans="1:11" s="130" customFormat="1" x14ac:dyDescent="0.25">
      <c r="A402" s="123"/>
      <c r="B402" s="212"/>
      <c r="C402" s="127"/>
      <c r="D402" s="127"/>
      <c r="E402" s="125"/>
      <c r="F402" s="125"/>
      <c r="G402" s="125"/>
      <c r="K402" s="127"/>
    </row>
    <row r="403" spans="1:11" s="130" customFormat="1" x14ac:dyDescent="0.25">
      <c r="A403" s="123"/>
      <c r="B403" s="212"/>
      <c r="C403" s="127"/>
      <c r="D403" s="127"/>
      <c r="E403" s="125"/>
      <c r="F403" s="125"/>
      <c r="G403" s="125"/>
      <c r="K403" s="127"/>
    </row>
    <row r="404" spans="1:11" s="130" customFormat="1" x14ac:dyDescent="0.25">
      <c r="A404" s="123"/>
      <c r="B404" s="212"/>
      <c r="C404" s="127"/>
      <c r="D404" s="127"/>
      <c r="E404" s="125"/>
      <c r="F404" s="125"/>
      <c r="G404" s="125"/>
      <c r="K404" s="127"/>
    </row>
    <row r="405" spans="1:11" s="130" customFormat="1" x14ac:dyDescent="0.25">
      <c r="A405" s="123"/>
      <c r="B405" s="212"/>
      <c r="C405" s="127"/>
      <c r="D405" s="127"/>
      <c r="E405" s="125"/>
      <c r="F405" s="125"/>
      <c r="G405" s="125"/>
      <c r="K405" s="127"/>
    </row>
    <row r="406" spans="1:11" s="130" customFormat="1" x14ac:dyDescent="0.25">
      <c r="A406" s="123"/>
      <c r="B406" s="212"/>
      <c r="C406" s="127"/>
      <c r="D406" s="127"/>
      <c r="E406" s="125"/>
      <c r="F406" s="125"/>
      <c r="G406" s="125"/>
      <c r="K406" s="127"/>
    </row>
    <row r="407" spans="1:11" s="130" customFormat="1" x14ac:dyDescent="0.25">
      <c r="A407" s="123"/>
      <c r="B407" s="212"/>
      <c r="C407" s="127"/>
      <c r="D407" s="127"/>
      <c r="E407" s="125"/>
      <c r="F407" s="125"/>
      <c r="G407" s="125"/>
      <c r="K407" s="127"/>
    </row>
    <row r="408" spans="1:11" s="130" customFormat="1" x14ac:dyDescent="0.25">
      <c r="A408" s="123"/>
      <c r="B408" s="212"/>
      <c r="C408" s="127"/>
      <c r="D408" s="127"/>
      <c r="E408" s="125"/>
      <c r="F408" s="125"/>
      <c r="G408" s="125"/>
      <c r="K408" s="127"/>
    </row>
    <row r="409" spans="1:11" s="130" customFormat="1" x14ac:dyDescent="0.25">
      <c r="A409" s="123"/>
      <c r="B409" s="212"/>
      <c r="C409" s="127"/>
      <c r="D409" s="127"/>
      <c r="E409" s="125"/>
      <c r="F409" s="125"/>
      <c r="G409" s="125"/>
      <c r="K409" s="127"/>
    </row>
    <row r="410" spans="1:11" s="130" customFormat="1" x14ac:dyDescent="0.25">
      <c r="A410" s="123"/>
      <c r="B410" s="212"/>
      <c r="C410" s="127"/>
      <c r="D410" s="127"/>
      <c r="E410" s="125"/>
      <c r="F410" s="125"/>
      <c r="G410" s="125"/>
      <c r="K410" s="127"/>
    </row>
    <row r="411" spans="1:11" s="130" customFormat="1" x14ac:dyDescent="0.25">
      <c r="A411" s="123"/>
      <c r="B411" s="212"/>
      <c r="C411" s="127"/>
      <c r="D411" s="127"/>
      <c r="E411" s="125"/>
      <c r="F411" s="125"/>
      <c r="G411" s="125"/>
      <c r="K411" s="127"/>
    </row>
    <row r="412" spans="1:11" s="130" customFormat="1" x14ac:dyDescent="0.25">
      <c r="A412" s="123"/>
      <c r="B412" s="212"/>
      <c r="C412" s="127"/>
      <c r="D412" s="127"/>
      <c r="E412" s="125"/>
      <c r="F412" s="125"/>
      <c r="G412" s="125"/>
      <c r="K412" s="127"/>
    </row>
    <row r="413" spans="1:11" s="130" customFormat="1" x14ac:dyDescent="0.25">
      <c r="A413" s="123"/>
      <c r="B413" s="212"/>
      <c r="C413" s="127"/>
      <c r="D413" s="127"/>
      <c r="E413" s="125"/>
      <c r="F413" s="125"/>
      <c r="G413" s="125"/>
      <c r="K413" s="127"/>
    </row>
    <row r="414" spans="1:11" s="130" customFormat="1" x14ac:dyDescent="0.25">
      <c r="A414" s="123"/>
      <c r="B414" s="212"/>
      <c r="C414" s="127"/>
      <c r="D414" s="127"/>
      <c r="E414" s="125"/>
      <c r="F414" s="125"/>
      <c r="G414" s="125"/>
      <c r="K414" s="127"/>
    </row>
    <row r="415" spans="1:11" s="130" customFormat="1" x14ac:dyDescent="0.25">
      <c r="A415" s="123"/>
      <c r="B415" s="212"/>
      <c r="C415" s="127"/>
      <c r="D415" s="127"/>
      <c r="E415" s="125"/>
      <c r="F415" s="125"/>
      <c r="G415" s="125"/>
      <c r="K415" s="127"/>
    </row>
    <row r="416" spans="1:11" s="130" customFormat="1" x14ac:dyDescent="0.25">
      <c r="A416" s="123"/>
      <c r="B416" s="212"/>
      <c r="C416" s="127"/>
      <c r="D416" s="127"/>
      <c r="E416" s="125"/>
      <c r="F416" s="125"/>
      <c r="G416" s="125"/>
      <c r="K416" s="127"/>
    </row>
    <row r="417" spans="1:11" s="130" customFormat="1" x14ac:dyDescent="0.25">
      <c r="A417" s="123"/>
      <c r="B417" s="212"/>
      <c r="C417" s="127"/>
      <c r="D417" s="127"/>
      <c r="E417" s="125"/>
      <c r="F417" s="125"/>
      <c r="G417" s="125"/>
      <c r="K417" s="127"/>
    </row>
    <row r="418" spans="1:11" s="130" customFormat="1" x14ac:dyDescent="0.25">
      <c r="A418" s="123"/>
      <c r="B418" s="212"/>
      <c r="C418" s="127"/>
      <c r="D418" s="127"/>
      <c r="E418" s="125"/>
      <c r="F418" s="125"/>
      <c r="G418" s="125"/>
      <c r="K418" s="127"/>
    </row>
    <row r="419" spans="1:11" s="130" customFormat="1" x14ac:dyDescent="0.25">
      <c r="A419" s="123"/>
      <c r="B419" s="212"/>
      <c r="C419" s="127"/>
      <c r="D419" s="127"/>
      <c r="E419" s="125"/>
      <c r="F419" s="125"/>
      <c r="G419" s="125"/>
      <c r="K419" s="127"/>
    </row>
    <row r="420" spans="1:11" s="130" customFormat="1" x14ac:dyDescent="0.25">
      <c r="A420" s="123"/>
      <c r="B420" s="212"/>
      <c r="C420" s="127"/>
      <c r="D420" s="127"/>
      <c r="E420" s="125"/>
      <c r="F420" s="125"/>
      <c r="G420" s="125"/>
      <c r="K420" s="127"/>
    </row>
    <row r="421" spans="1:11" s="130" customFormat="1" x14ac:dyDescent="0.25">
      <c r="A421" s="123"/>
      <c r="B421" s="212"/>
      <c r="C421" s="127"/>
      <c r="D421" s="127"/>
      <c r="E421" s="125"/>
      <c r="F421" s="125"/>
      <c r="G421" s="125"/>
      <c r="K421" s="127"/>
    </row>
    <row r="422" spans="1:11" s="130" customFormat="1" x14ac:dyDescent="0.25">
      <c r="A422" s="123"/>
      <c r="B422" s="212"/>
      <c r="C422" s="127"/>
      <c r="D422" s="127"/>
      <c r="E422" s="125"/>
      <c r="F422" s="125"/>
      <c r="G422" s="125"/>
      <c r="K422" s="127"/>
    </row>
    <row r="423" spans="1:11" s="130" customFormat="1" x14ac:dyDescent="0.25">
      <c r="A423" s="123"/>
      <c r="B423" s="212"/>
      <c r="C423" s="127"/>
      <c r="D423" s="127"/>
      <c r="E423" s="125"/>
      <c r="F423" s="125"/>
      <c r="G423" s="125"/>
      <c r="K423" s="127"/>
    </row>
    <row r="424" spans="1:11" s="130" customFormat="1" x14ac:dyDescent="0.25">
      <c r="A424" s="123"/>
      <c r="B424" s="212"/>
      <c r="C424" s="127"/>
      <c r="D424" s="127"/>
      <c r="E424" s="125"/>
      <c r="F424" s="125"/>
      <c r="G424" s="125"/>
      <c r="K424" s="127"/>
    </row>
    <row r="425" spans="1:11" s="130" customFormat="1" x14ac:dyDescent="0.25">
      <c r="A425" s="123"/>
      <c r="B425" s="212"/>
      <c r="C425" s="127"/>
      <c r="D425" s="127"/>
      <c r="E425" s="125"/>
      <c r="F425" s="125"/>
      <c r="G425" s="125"/>
      <c r="K425" s="127"/>
    </row>
    <row r="426" spans="1:11" s="130" customFormat="1" x14ac:dyDescent="0.25">
      <c r="A426" s="123"/>
      <c r="B426" s="212"/>
      <c r="C426" s="127"/>
      <c r="D426" s="127"/>
      <c r="E426" s="125"/>
      <c r="F426" s="125"/>
      <c r="G426" s="125"/>
      <c r="K426" s="127"/>
    </row>
    <row r="427" spans="1:11" s="130" customFormat="1" x14ac:dyDescent="0.25">
      <c r="A427" s="123"/>
      <c r="B427" s="212"/>
      <c r="C427" s="127"/>
      <c r="D427" s="127"/>
      <c r="E427" s="125"/>
      <c r="F427" s="125"/>
      <c r="G427" s="125"/>
      <c r="K427" s="127"/>
    </row>
    <row r="428" spans="1:11" s="130" customFormat="1" x14ac:dyDescent="0.25">
      <c r="A428" s="123"/>
      <c r="B428" s="212"/>
      <c r="C428" s="127"/>
      <c r="D428" s="127"/>
      <c r="E428" s="125"/>
      <c r="F428" s="125"/>
      <c r="G428" s="125"/>
      <c r="K428" s="127"/>
    </row>
    <row r="429" spans="1:11" s="130" customFormat="1" x14ac:dyDescent="0.25">
      <c r="A429" s="123"/>
      <c r="B429" s="212"/>
      <c r="C429" s="127"/>
      <c r="D429" s="127"/>
      <c r="E429" s="125"/>
      <c r="F429" s="125"/>
      <c r="G429" s="125"/>
      <c r="K429" s="127"/>
    </row>
    <row r="430" spans="1:11" s="130" customFormat="1" x14ac:dyDescent="0.25">
      <c r="A430" s="123"/>
      <c r="B430" s="212"/>
      <c r="C430" s="127"/>
      <c r="D430" s="127"/>
      <c r="E430" s="125"/>
      <c r="F430" s="125"/>
      <c r="G430" s="125"/>
      <c r="K430" s="127"/>
    </row>
    <row r="431" spans="1:11" s="130" customFormat="1" x14ac:dyDescent="0.25">
      <c r="A431" s="123"/>
      <c r="B431" s="212"/>
      <c r="C431" s="127"/>
      <c r="D431" s="127"/>
      <c r="E431" s="125"/>
      <c r="F431" s="125"/>
      <c r="G431" s="125"/>
      <c r="K431" s="127"/>
    </row>
    <row r="432" spans="1:11" s="130" customFormat="1" x14ac:dyDescent="0.25">
      <c r="A432" s="123"/>
      <c r="B432" s="212"/>
      <c r="C432" s="127"/>
      <c r="D432" s="127"/>
      <c r="E432" s="125"/>
      <c r="F432" s="125"/>
      <c r="G432" s="125"/>
      <c r="K432" s="127"/>
    </row>
    <row r="433" spans="1:11" s="130" customFormat="1" x14ac:dyDescent="0.25">
      <c r="A433" s="123"/>
      <c r="B433" s="212"/>
      <c r="C433" s="127"/>
      <c r="D433" s="127"/>
      <c r="E433" s="125"/>
      <c r="F433" s="125"/>
      <c r="G433" s="125"/>
      <c r="K433" s="127"/>
    </row>
    <row r="434" spans="1:11" s="130" customFormat="1" x14ac:dyDescent="0.25">
      <c r="A434" s="123"/>
      <c r="B434" s="212"/>
      <c r="C434" s="127"/>
      <c r="D434" s="127"/>
      <c r="E434" s="125"/>
      <c r="F434" s="125"/>
      <c r="G434" s="125"/>
      <c r="K434" s="127"/>
    </row>
    <row r="435" spans="1:11" s="130" customFormat="1" x14ac:dyDescent="0.25">
      <c r="A435" s="123"/>
      <c r="B435" s="212"/>
      <c r="C435" s="127"/>
      <c r="D435" s="127"/>
      <c r="E435" s="125"/>
      <c r="F435" s="125"/>
      <c r="G435" s="125"/>
      <c r="K435" s="127"/>
    </row>
    <row r="436" spans="1:11" s="130" customFormat="1" x14ac:dyDescent="0.25">
      <c r="A436" s="123"/>
      <c r="B436" s="212"/>
      <c r="C436" s="127"/>
      <c r="D436" s="127"/>
      <c r="E436" s="125"/>
      <c r="F436" s="125"/>
      <c r="G436" s="125"/>
      <c r="K436" s="127"/>
    </row>
    <row r="437" spans="1:11" s="130" customFormat="1" x14ac:dyDescent="0.25">
      <c r="A437" s="123"/>
      <c r="B437" s="212"/>
      <c r="C437" s="127"/>
      <c r="D437" s="127"/>
      <c r="E437" s="125"/>
      <c r="F437" s="125"/>
      <c r="G437" s="125"/>
      <c r="K437" s="127"/>
    </row>
    <row r="438" spans="1:11" s="130" customFormat="1" x14ac:dyDescent="0.25">
      <c r="A438" s="123"/>
      <c r="B438" s="212"/>
      <c r="C438" s="127"/>
      <c r="D438" s="127"/>
      <c r="E438" s="125"/>
      <c r="F438" s="125"/>
      <c r="G438" s="125"/>
      <c r="K438" s="127"/>
    </row>
    <row r="439" spans="1:11" s="130" customFormat="1" x14ac:dyDescent="0.25">
      <c r="A439" s="123"/>
      <c r="B439" s="212"/>
      <c r="C439" s="127"/>
      <c r="D439" s="127"/>
      <c r="E439" s="125"/>
      <c r="F439" s="125"/>
      <c r="G439" s="125"/>
      <c r="K439" s="127"/>
    </row>
    <row r="440" spans="1:11" s="130" customFormat="1" x14ac:dyDescent="0.25">
      <c r="A440" s="123"/>
      <c r="B440" s="212"/>
      <c r="C440" s="127"/>
      <c r="D440" s="127"/>
      <c r="E440" s="125"/>
      <c r="F440" s="125"/>
      <c r="G440" s="125"/>
      <c r="K440" s="127"/>
    </row>
    <row r="441" spans="1:11" s="130" customFormat="1" x14ac:dyDescent="0.25">
      <c r="A441" s="123"/>
      <c r="B441" s="212"/>
      <c r="C441" s="127"/>
      <c r="D441" s="127"/>
      <c r="E441" s="125"/>
      <c r="F441" s="125"/>
      <c r="G441" s="125"/>
      <c r="K441" s="127"/>
    </row>
    <row r="442" spans="1:11" s="130" customFormat="1" x14ac:dyDescent="0.25">
      <c r="A442" s="123"/>
      <c r="B442" s="212"/>
      <c r="C442" s="127"/>
      <c r="D442" s="127"/>
      <c r="E442" s="125"/>
      <c r="F442" s="125"/>
      <c r="G442" s="125"/>
      <c r="K442" s="127"/>
    </row>
    <row r="443" spans="1:11" s="130" customFormat="1" x14ac:dyDescent="0.25">
      <c r="A443" s="123"/>
      <c r="B443" s="212"/>
      <c r="C443" s="127"/>
      <c r="D443" s="127"/>
      <c r="E443" s="125"/>
      <c r="F443" s="125"/>
      <c r="G443" s="125"/>
      <c r="K443" s="127"/>
    </row>
    <row r="444" spans="1:11" s="130" customFormat="1" x14ac:dyDescent="0.25">
      <c r="A444" s="123"/>
      <c r="B444" s="212"/>
      <c r="C444" s="127"/>
      <c r="D444" s="127"/>
      <c r="E444" s="125"/>
      <c r="F444" s="125"/>
      <c r="G444" s="125"/>
      <c r="K444" s="127"/>
    </row>
    <row r="445" spans="1:11" s="130" customFormat="1" x14ac:dyDescent="0.25">
      <c r="A445" s="123"/>
      <c r="B445" s="212"/>
      <c r="C445" s="127"/>
      <c r="D445" s="127"/>
      <c r="E445" s="125"/>
      <c r="F445" s="125"/>
      <c r="G445" s="125"/>
      <c r="K445" s="127"/>
    </row>
    <row r="446" spans="1:11" s="130" customFormat="1" x14ac:dyDescent="0.25">
      <c r="A446" s="123"/>
      <c r="B446" s="212"/>
      <c r="C446" s="127"/>
      <c r="D446" s="127"/>
      <c r="E446" s="125"/>
      <c r="F446" s="125"/>
      <c r="G446" s="125"/>
      <c r="K446" s="127"/>
    </row>
    <row r="447" spans="1:11" s="130" customFormat="1" x14ac:dyDescent="0.25">
      <c r="A447" s="123"/>
      <c r="B447" s="212"/>
      <c r="C447" s="127"/>
      <c r="D447" s="127"/>
      <c r="E447" s="125"/>
      <c r="F447" s="125"/>
      <c r="G447" s="125"/>
      <c r="K447" s="127"/>
    </row>
    <row r="448" spans="1:11" s="130" customFormat="1" x14ac:dyDescent="0.25">
      <c r="A448" s="123"/>
      <c r="B448" s="212"/>
      <c r="C448" s="127"/>
      <c r="D448" s="127"/>
      <c r="E448" s="125"/>
      <c r="F448" s="125"/>
      <c r="G448" s="125"/>
      <c r="K448" s="127"/>
    </row>
    <row r="449" spans="1:11" s="130" customFormat="1" x14ac:dyDescent="0.25">
      <c r="A449" s="123"/>
      <c r="B449" s="212"/>
      <c r="C449" s="127"/>
      <c r="D449" s="127"/>
      <c r="E449" s="125"/>
      <c r="F449" s="125"/>
      <c r="G449" s="125"/>
      <c r="K449" s="127"/>
    </row>
    <row r="450" spans="1:11" s="130" customFormat="1" x14ac:dyDescent="0.25">
      <c r="A450" s="123"/>
      <c r="B450" s="212"/>
      <c r="C450" s="127"/>
      <c r="D450" s="127"/>
      <c r="E450" s="125"/>
      <c r="F450" s="125"/>
      <c r="G450" s="125"/>
      <c r="K450" s="127"/>
    </row>
    <row r="451" spans="1:11" s="130" customFormat="1" x14ac:dyDescent="0.25">
      <c r="A451" s="123"/>
      <c r="B451" s="212"/>
      <c r="C451" s="127"/>
      <c r="D451" s="127"/>
      <c r="E451" s="125"/>
      <c r="F451" s="125"/>
      <c r="G451" s="125"/>
      <c r="K451" s="127"/>
    </row>
    <row r="452" spans="1:11" s="130" customFormat="1" x14ac:dyDescent="0.25">
      <c r="A452" s="123"/>
      <c r="B452" s="212"/>
      <c r="C452" s="127"/>
      <c r="D452" s="127"/>
      <c r="E452" s="125"/>
      <c r="F452" s="125"/>
      <c r="G452" s="125"/>
      <c r="K452" s="127"/>
    </row>
    <row r="453" spans="1:11" s="130" customFormat="1" x14ac:dyDescent="0.25">
      <c r="A453" s="123"/>
      <c r="B453" s="212"/>
      <c r="C453" s="127"/>
      <c r="D453" s="127"/>
      <c r="E453" s="125"/>
      <c r="F453" s="125"/>
      <c r="G453" s="125"/>
      <c r="K453" s="127"/>
    </row>
    <row r="454" spans="1:11" s="130" customFormat="1" x14ac:dyDescent="0.25">
      <c r="A454" s="123"/>
      <c r="B454" s="212"/>
      <c r="C454" s="127"/>
      <c r="D454" s="127"/>
      <c r="E454" s="125"/>
      <c r="F454" s="125"/>
      <c r="G454" s="125"/>
      <c r="K454" s="127"/>
    </row>
    <row r="455" spans="1:11" s="130" customFormat="1" x14ac:dyDescent="0.25">
      <c r="A455" s="123"/>
      <c r="B455" s="212"/>
      <c r="C455" s="127"/>
      <c r="D455" s="127"/>
      <c r="E455" s="125"/>
      <c r="F455" s="125"/>
      <c r="G455" s="125"/>
      <c r="K455" s="127"/>
    </row>
    <row r="456" spans="1:11" s="130" customFormat="1" x14ac:dyDescent="0.25">
      <c r="A456" s="123"/>
      <c r="B456" s="212"/>
      <c r="C456" s="127"/>
      <c r="D456" s="127"/>
      <c r="E456" s="125"/>
      <c r="F456" s="125"/>
      <c r="G456" s="125"/>
      <c r="K456" s="127"/>
    </row>
    <row r="457" spans="1:11" s="130" customFormat="1" x14ac:dyDescent="0.25">
      <c r="A457" s="123"/>
      <c r="B457" s="212"/>
      <c r="C457" s="127"/>
      <c r="D457" s="127"/>
      <c r="E457" s="125"/>
      <c r="F457" s="125"/>
      <c r="G457" s="125"/>
      <c r="K457" s="127"/>
    </row>
    <row r="458" spans="1:11" s="130" customFormat="1" x14ac:dyDescent="0.25">
      <c r="A458" s="123"/>
      <c r="B458" s="212"/>
      <c r="C458" s="127"/>
      <c r="D458" s="127"/>
      <c r="E458" s="125"/>
      <c r="F458" s="125"/>
      <c r="G458" s="125"/>
      <c r="K458" s="127"/>
    </row>
    <row r="459" spans="1:11" s="130" customFormat="1" x14ac:dyDescent="0.25">
      <c r="A459" s="123"/>
      <c r="B459" s="212"/>
      <c r="C459" s="127"/>
      <c r="D459" s="127"/>
      <c r="E459" s="125"/>
      <c r="F459" s="125"/>
      <c r="G459" s="125"/>
      <c r="K459" s="127"/>
    </row>
    <row r="460" spans="1:11" s="130" customFormat="1" x14ac:dyDescent="0.25">
      <c r="A460" s="123"/>
      <c r="B460" s="212"/>
      <c r="C460" s="127"/>
      <c r="D460" s="127"/>
      <c r="E460" s="125"/>
      <c r="F460" s="125"/>
      <c r="G460" s="125"/>
      <c r="K460" s="127"/>
    </row>
    <row r="461" spans="1:11" s="130" customFormat="1" x14ac:dyDescent="0.25">
      <c r="A461" s="123"/>
      <c r="B461" s="212"/>
      <c r="C461" s="127"/>
      <c r="D461" s="127"/>
      <c r="E461" s="125"/>
      <c r="F461" s="125"/>
      <c r="G461" s="125"/>
      <c r="K461" s="127"/>
    </row>
    <row r="462" spans="1:11" s="130" customFormat="1" x14ac:dyDescent="0.25">
      <c r="A462" s="123"/>
      <c r="B462" s="212"/>
      <c r="C462" s="127"/>
      <c r="D462" s="127"/>
      <c r="E462" s="125"/>
      <c r="F462" s="125"/>
      <c r="G462" s="125"/>
      <c r="K462" s="127"/>
    </row>
    <row r="463" spans="1:11" s="130" customFormat="1" x14ac:dyDescent="0.25">
      <c r="A463" s="123"/>
      <c r="B463" s="212"/>
      <c r="C463" s="127"/>
      <c r="D463" s="127"/>
      <c r="E463" s="125"/>
      <c r="F463" s="125"/>
      <c r="G463" s="125"/>
      <c r="K463" s="127"/>
    </row>
    <row r="464" spans="1:11" s="130" customFormat="1" x14ac:dyDescent="0.25">
      <c r="A464" s="123"/>
      <c r="B464" s="212"/>
      <c r="C464" s="127"/>
      <c r="D464" s="127"/>
      <c r="E464" s="125"/>
      <c r="F464" s="125"/>
      <c r="G464" s="125"/>
      <c r="K464" s="127"/>
    </row>
    <row r="465" spans="1:11" s="130" customFormat="1" x14ac:dyDescent="0.25">
      <c r="A465" s="123"/>
      <c r="B465" s="212"/>
      <c r="C465" s="127"/>
      <c r="D465" s="127"/>
      <c r="E465" s="125"/>
      <c r="F465" s="125"/>
      <c r="G465" s="125"/>
      <c r="K465" s="127"/>
    </row>
    <row r="466" spans="1:11" s="130" customFormat="1" x14ac:dyDescent="0.25">
      <c r="A466" s="123"/>
      <c r="B466" s="212"/>
      <c r="C466" s="127"/>
      <c r="D466" s="127"/>
      <c r="E466" s="125"/>
      <c r="F466" s="125"/>
      <c r="G466" s="125"/>
      <c r="K466" s="127"/>
    </row>
    <row r="467" spans="1:11" s="130" customFormat="1" x14ac:dyDescent="0.25">
      <c r="A467" s="123"/>
      <c r="B467" s="212"/>
      <c r="C467" s="127"/>
      <c r="D467" s="127"/>
      <c r="E467" s="125"/>
      <c r="F467" s="125"/>
      <c r="G467" s="125"/>
      <c r="K467" s="127"/>
    </row>
    <row r="468" spans="1:11" s="130" customFormat="1" x14ac:dyDescent="0.25">
      <c r="A468" s="123"/>
      <c r="B468" s="212"/>
      <c r="C468" s="127"/>
      <c r="D468" s="127"/>
      <c r="E468" s="125"/>
      <c r="F468" s="125"/>
      <c r="G468" s="125"/>
      <c r="K468" s="127"/>
    </row>
    <row r="469" spans="1:11" s="130" customFormat="1" x14ac:dyDescent="0.25">
      <c r="A469" s="123"/>
      <c r="B469" s="212"/>
      <c r="C469" s="127"/>
      <c r="D469" s="127"/>
      <c r="E469" s="125"/>
      <c r="F469" s="125"/>
      <c r="G469" s="125"/>
      <c r="K469" s="127"/>
    </row>
    <row r="470" spans="1:11" s="130" customFormat="1" x14ac:dyDescent="0.25">
      <c r="A470" s="123"/>
      <c r="B470" s="212"/>
      <c r="C470" s="127"/>
      <c r="D470" s="127"/>
      <c r="E470" s="125"/>
      <c r="F470" s="125"/>
      <c r="G470" s="125"/>
      <c r="K470" s="127"/>
    </row>
    <row r="471" spans="1:11" s="130" customFormat="1" x14ac:dyDescent="0.25">
      <c r="A471" s="123"/>
      <c r="B471" s="212"/>
      <c r="C471" s="127"/>
      <c r="D471" s="127"/>
      <c r="E471" s="125"/>
      <c r="F471" s="125"/>
      <c r="G471" s="125"/>
      <c r="K471" s="127"/>
    </row>
    <row r="472" spans="1:11" s="130" customFormat="1" x14ac:dyDescent="0.25">
      <c r="A472" s="123"/>
      <c r="B472" s="212"/>
      <c r="C472" s="127"/>
      <c r="D472" s="127"/>
      <c r="E472" s="125"/>
      <c r="F472" s="125"/>
      <c r="G472" s="125"/>
      <c r="K472" s="127"/>
    </row>
    <row r="473" spans="1:11" s="130" customFormat="1" x14ac:dyDescent="0.25">
      <c r="A473" s="123"/>
      <c r="B473" s="212"/>
      <c r="C473" s="127"/>
      <c r="D473" s="127"/>
      <c r="E473" s="125"/>
      <c r="F473" s="125"/>
      <c r="G473" s="125"/>
      <c r="K473" s="127"/>
    </row>
    <row r="474" spans="1:11" s="130" customFormat="1" x14ac:dyDescent="0.25">
      <c r="A474" s="123"/>
      <c r="B474" s="212"/>
      <c r="C474" s="127"/>
      <c r="D474" s="127"/>
      <c r="E474" s="125"/>
      <c r="F474" s="125"/>
      <c r="G474" s="125"/>
      <c r="K474" s="127"/>
    </row>
    <row r="475" spans="1:11" s="130" customFormat="1" x14ac:dyDescent="0.25">
      <c r="A475" s="123"/>
      <c r="B475" s="212"/>
      <c r="C475" s="127"/>
      <c r="D475" s="127"/>
      <c r="E475" s="125"/>
      <c r="F475" s="125"/>
      <c r="G475" s="125"/>
      <c r="K475" s="127"/>
    </row>
    <row r="476" spans="1:11" s="130" customFormat="1" x14ac:dyDescent="0.25">
      <c r="A476" s="123"/>
      <c r="B476" s="212"/>
      <c r="C476" s="127"/>
      <c r="D476" s="127"/>
      <c r="E476" s="125"/>
      <c r="F476" s="125"/>
      <c r="G476" s="125"/>
      <c r="K476" s="127"/>
    </row>
    <row r="477" spans="1:11" s="130" customFormat="1" x14ac:dyDescent="0.25">
      <c r="A477" s="123"/>
      <c r="B477" s="212"/>
      <c r="C477" s="127"/>
      <c r="D477" s="127"/>
      <c r="E477" s="125"/>
      <c r="F477" s="125"/>
      <c r="G477" s="125"/>
      <c r="K477" s="127"/>
    </row>
    <row r="478" spans="1:11" s="130" customFormat="1" x14ac:dyDescent="0.25">
      <c r="A478" s="123"/>
      <c r="B478" s="212"/>
      <c r="C478" s="127"/>
      <c r="D478" s="127"/>
      <c r="E478" s="125"/>
      <c r="F478" s="125"/>
      <c r="G478" s="125"/>
      <c r="K478" s="127"/>
    </row>
    <row r="479" spans="1:11" s="130" customFormat="1" x14ac:dyDescent="0.25">
      <c r="A479" s="123"/>
      <c r="B479" s="212"/>
      <c r="C479" s="127"/>
      <c r="D479" s="127"/>
      <c r="E479" s="125"/>
      <c r="F479" s="125"/>
      <c r="G479" s="125"/>
      <c r="K479" s="127"/>
    </row>
    <row r="480" spans="1:11" s="130" customFormat="1" x14ac:dyDescent="0.25">
      <c r="A480" s="123"/>
      <c r="B480" s="212"/>
      <c r="C480" s="127"/>
      <c r="D480" s="127"/>
      <c r="E480" s="125"/>
      <c r="F480" s="125"/>
      <c r="G480" s="125"/>
      <c r="K480" s="127"/>
    </row>
    <row r="481" spans="1:11" s="130" customFormat="1" x14ac:dyDescent="0.25">
      <c r="A481" s="123"/>
      <c r="B481" s="212"/>
      <c r="C481" s="127"/>
      <c r="D481" s="127"/>
      <c r="E481" s="125"/>
      <c r="F481" s="125"/>
      <c r="G481" s="125"/>
      <c r="K481" s="127"/>
    </row>
    <row r="482" spans="1:11" s="130" customFormat="1" x14ac:dyDescent="0.25">
      <c r="A482" s="123"/>
      <c r="B482" s="212"/>
      <c r="C482" s="127"/>
      <c r="D482" s="127"/>
      <c r="E482" s="125"/>
      <c r="F482" s="125"/>
      <c r="G482" s="125"/>
      <c r="K482" s="127"/>
    </row>
    <row r="483" spans="1:11" s="130" customFormat="1" x14ac:dyDescent="0.25">
      <c r="A483" s="123"/>
      <c r="B483" s="212"/>
      <c r="C483" s="127"/>
      <c r="D483" s="127"/>
      <c r="E483" s="125"/>
      <c r="F483" s="125"/>
      <c r="G483" s="125"/>
      <c r="K483" s="127"/>
    </row>
    <row r="484" spans="1:11" s="130" customFormat="1" x14ac:dyDescent="0.25">
      <c r="A484" s="123"/>
      <c r="B484" s="212"/>
      <c r="C484" s="127"/>
      <c r="D484" s="127"/>
      <c r="E484" s="125"/>
      <c r="F484" s="125"/>
      <c r="G484" s="125"/>
      <c r="K484" s="127"/>
    </row>
    <row r="485" spans="1:11" s="130" customFormat="1" x14ac:dyDescent="0.25">
      <c r="A485" s="123"/>
      <c r="B485" s="212"/>
      <c r="C485" s="127"/>
      <c r="D485" s="127"/>
      <c r="E485" s="125"/>
      <c r="F485" s="125"/>
      <c r="G485" s="125"/>
      <c r="K485" s="127"/>
    </row>
    <row r="486" spans="1:11" s="130" customFormat="1" x14ac:dyDescent="0.25">
      <c r="A486" s="123"/>
      <c r="B486" s="212"/>
      <c r="C486" s="127"/>
      <c r="D486" s="127"/>
      <c r="E486" s="125"/>
      <c r="F486" s="125"/>
      <c r="G486" s="125"/>
      <c r="K486" s="127"/>
    </row>
    <row r="487" spans="1:11" s="130" customFormat="1" x14ac:dyDescent="0.25">
      <c r="A487" s="123"/>
      <c r="B487" s="212"/>
      <c r="C487" s="127"/>
      <c r="D487" s="127"/>
      <c r="E487" s="125"/>
      <c r="F487" s="125"/>
      <c r="G487" s="125"/>
      <c r="K487" s="127"/>
    </row>
    <row r="488" spans="1:11" s="130" customFormat="1" x14ac:dyDescent="0.25">
      <c r="A488" s="123"/>
      <c r="B488" s="212"/>
      <c r="C488" s="127"/>
      <c r="D488" s="127"/>
      <c r="E488" s="125"/>
      <c r="F488" s="125"/>
      <c r="G488" s="125"/>
      <c r="K488" s="127"/>
    </row>
    <row r="489" spans="1:11" s="130" customFormat="1" x14ac:dyDescent="0.25">
      <c r="A489" s="123"/>
      <c r="B489" s="212"/>
      <c r="C489" s="127"/>
      <c r="D489" s="127"/>
      <c r="E489" s="125"/>
      <c r="F489" s="125"/>
      <c r="G489" s="125"/>
      <c r="K489" s="127"/>
    </row>
    <row r="490" spans="1:11" s="130" customFormat="1" x14ac:dyDescent="0.25">
      <c r="A490" s="123"/>
      <c r="B490" s="212"/>
      <c r="C490" s="127"/>
      <c r="D490" s="127"/>
      <c r="E490" s="125"/>
      <c r="F490" s="125"/>
      <c r="G490" s="125"/>
      <c r="K490" s="127"/>
    </row>
    <row r="491" spans="1:11" s="130" customFormat="1" x14ac:dyDescent="0.25">
      <c r="A491" s="123"/>
      <c r="B491" s="212"/>
      <c r="C491" s="127"/>
      <c r="D491" s="127"/>
      <c r="E491" s="125"/>
      <c r="F491" s="125"/>
      <c r="G491" s="125"/>
      <c r="K491" s="127"/>
    </row>
    <row r="492" spans="1:11" s="130" customFormat="1" x14ac:dyDescent="0.25">
      <c r="A492" s="123"/>
      <c r="B492" s="212"/>
      <c r="C492" s="127"/>
      <c r="D492" s="127"/>
      <c r="E492" s="125"/>
      <c r="F492" s="125"/>
      <c r="G492" s="125"/>
      <c r="K492" s="127"/>
    </row>
    <row r="493" spans="1:11" s="130" customFormat="1" x14ac:dyDescent="0.25">
      <c r="A493" s="123"/>
      <c r="B493" s="212"/>
      <c r="C493" s="127"/>
      <c r="D493" s="127"/>
      <c r="E493" s="125"/>
      <c r="F493" s="125"/>
      <c r="G493" s="125"/>
      <c r="K493" s="127"/>
    </row>
    <row r="494" spans="1:11" s="130" customFormat="1" x14ac:dyDescent="0.25">
      <c r="A494" s="123"/>
      <c r="B494" s="212"/>
      <c r="C494" s="127"/>
      <c r="D494" s="127"/>
      <c r="E494" s="125"/>
      <c r="F494" s="125"/>
      <c r="G494" s="125"/>
      <c r="K494" s="127"/>
    </row>
    <row r="495" spans="1:11" s="130" customFormat="1" x14ac:dyDescent="0.25">
      <c r="A495" s="123"/>
      <c r="B495" s="212"/>
      <c r="C495" s="127"/>
      <c r="D495" s="127"/>
      <c r="E495" s="125"/>
      <c r="F495" s="125"/>
      <c r="G495" s="125"/>
      <c r="K495" s="127"/>
    </row>
    <row r="496" spans="1:11" s="130" customFormat="1" x14ac:dyDescent="0.25">
      <c r="A496" s="123"/>
      <c r="B496" s="212"/>
      <c r="C496" s="127"/>
      <c r="D496" s="127"/>
      <c r="E496" s="125"/>
      <c r="F496" s="125"/>
      <c r="G496" s="125"/>
      <c r="K496" s="127"/>
    </row>
    <row r="497" spans="1:11" s="130" customFormat="1" x14ac:dyDescent="0.25">
      <c r="A497" s="123"/>
      <c r="B497" s="212"/>
      <c r="C497" s="127"/>
      <c r="D497" s="127"/>
      <c r="E497" s="125"/>
      <c r="F497" s="125"/>
      <c r="G497" s="125"/>
      <c r="K497" s="127"/>
    </row>
    <row r="498" spans="1:11" s="130" customFormat="1" x14ac:dyDescent="0.25">
      <c r="A498" s="123"/>
      <c r="B498" s="212"/>
      <c r="C498" s="127"/>
      <c r="D498" s="127"/>
      <c r="E498" s="125"/>
      <c r="F498" s="125"/>
      <c r="G498" s="125"/>
      <c r="K498" s="127"/>
    </row>
    <row r="499" spans="1:11" s="130" customFormat="1" x14ac:dyDescent="0.25">
      <c r="A499" s="123"/>
      <c r="B499" s="212"/>
      <c r="C499" s="127"/>
      <c r="D499" s="127"/>
      <c r="E499" s="125"/>
      <c r="F499" s="125"/>
      <c r="G499" s="125"/>
      <c r="K499" s="127"/>
    </row>
    <row r="500" spans="1:11" s="130" customFormat="1" x14ac:dyDescent="0.25">
      <c r="A500" s="123"/>
      <c r="B500" s="212"/>
      <c r="C500" s="127"/>
      <c r="D500" s="127"/>
      <c r="E500" s="125"/>
      <c r="F500" s="125"/>
      <c r="G500" s="125"/>
      <c r="K500" s="127"/>
    </row>
    <row r="501" spans="1:11" s="130" customFormat="1" x14ac:dyDescent="0.25">
      <c r="A501" s="123"/>
      <c r="B501" s="212"/>
      <c r="C501" s="127"/>
      <c r="D501" s="127"/>
      <c r="E501" s="125"/>
      <c r="F501" s="125"/>
      <c r="G501" s="125"/>
      <c r="K501" s="127"/>
    </row>
    <row r="502" spans="1:11" s="130" customFormat="1" x14ac:dyDescent="0.25">
      <c r="A502" s="123"/>
      <c r="B502" s="212"/>
      <c r="C502" s="127"/>
      <c r="D502" s="127"/>
      <c r="E502" s="125"/>
      <c r="F502" s="125"/>
      <c r="G502" s="125"/>
      <c r="K502" s="127"/>
    </row>
    <row r="503" spans="1:11" s="130" customFormat="1" x14ac:dyDescent="0.25">
      <c r="A503" s="123"/>
      <c r="B503" s="212"/>
      <c r="C503" s="127"/>
      <c r="D503" s="127"/>
      <c r="E503" s="125"/>
      <c r="F503" s="125"/>
      <c r="G503" s="125"/>
      <c r="K503" s="127"/>
    </row>
    <row r="504" spans="1:11" s="130" customFormat="1" x14ac:dyDescent="0.25">
      <c r="A504" s="123"/>
      <c r="B504" s="212"/>
      <c r="C504" s="127"/>
      <c r="D504" s="127"/>
      <c r="E504" s="125"/>
      <c r="F504" s="125"/>
      <c r="G504" s="125"/>
      <c r="K504" s="127"/>
    </row>
    <row r="505" spans="1:11" s="130" customFormat="1" x14ac:dyDescent="0.25">
      <c r="A505" s="123"/>
      <c r="B505" s="212"/>
      <c r="C505" s="127"/>
      <c r="D505" s="127"/>
      <c r="E505" s="125"/>
      <c r="F505" s="125"/>
      <c r="G505" s="125"/>
      <c r="K505" s="127"/>
    </row>
    <row r="506" spans="1:11" s="130" customFormat="1" x14ac:dyDescent="0.25">
      <c r="A506" s="123"/>
      <c r="B506" s="212"/>
      <c r="C506" s="127"/>
      <c r="D506" s="127"/>
      <c r="E506" s="125"/>
      <c r="F506" s="125"/>
      <c r="G506" s="125"/>
      <c r="K506" s="127"/>
    </row>
    <row r="507" spans="1:11" s="130" customFormat="1" x14ac:dyDescent="0.25">
      <c r="A507" s="123"/>
      <c r="B507" s="212"/>
      <c r="C507" s="127"/>
      <c r="D507" s="127"/>
      <c r="E507" s="125"/>
      <c r="F507" s="125"/>
      <c r="G507" s="125"/>
      <c r="K507" s="127"/>
    </row>
    <row r="508" spans="1:11" s="130" customFormat="1" x14ac:dyDescent="0.25">
      <c r="A508" s="123"/>
      <c r="B508" s="212"/>
      <c r="C508" s="127"/>
      <c r="D508" s="127"/>
      <c r="E508" s="125"/>
      <c r="F508" s="125"/>
      <c r="G508" s="125"/>
      <c r="K508" s="127"/>
    </row>
    <row r="509" spans="1:11" s="130" customFormat="1" x14ac:dyDescent="0.25">
      <c r="A509" s="123"/>
      <c r="B509" s="212"/>
      <c r="C509" s="127"/>
      <c r="D509" s="127"/>
      <c r="E509" s="125"/>
      <c r="F509" s="125"/>
      <c r="G509" s="125"/>
      <c r="K509" s="127"/>
    </row>
    <row r="510" spans="1:11" s="130" customFormat="1" x14ac:dyDescent="0.25">
      <c r="A510" s="123"/>
      <c r="B510" s="212"/>
      <c r="C510" s="127"/>
      <c r="D510" s="127"/>
      <c r="E510" s="125"/>
      <c r="F510" s="125"/>
      <c r="G510" s="125"/>
      <c r="K510" s="127"/>
    </row>
    <row r="511" spans="1:11" s="130" customFormat="1" x14ac:dyDescent="0.25">
      <c r="A511" s="123"/>
      <c r="B511" s="212"/>
      <c r="C511" s="127"/>
      <c r="D511" s="127"/>
      <c r="E511" s="125"/>
      <c r="F511" s="125"/>
      <c r="G511" s="125"/>
      <c r="K511" s="127"/>
    </row>
    <row r="512" spans="1:11" s="130" customFormat="1" x14ac:dyDescent="0.25">
      <c r="A512" s="123"/>
      <c r="B512" s="212"/>
      <c r="C512" s="127"/>
      <c r="D512" s="127"/>
      <c r="E512" s="125"/>
      <c r="F512" s="125"/>
      <c r="G512" s="125"/>
      <c r="K512" s="127"/>
    </row>
    <row r="513" spans="1:11" s="130" customFormat="1" x14ac:dyDescent="0.25">
      <c r="A513" s="123"/>
      <c r="B513" s="212"/>
      <c r="C513" s="127"/>
      <c r="D513" s="127"/>
      <c r="E513" s="125"/>
      <c r="F513" s="125"/>
      <c r="G513" s="125"/>
      <c r="K513" s="127"/>
    </row>
    <row r="514" spans="1:11" s="130" customFormat="1" x14ac:dyDescent="0.25">
      <c r="A514" s="123"/>
      <c r="B514" s="212"/>
      <c r="C514" s="127"/>
      <c r="D514" s="127"/>
      <c r="E514" s="125"/>
      <c r="F514" s="125"/>
      <c r="G514" s="125"/>
      <c r="K514" s="127"/>
    </row>
    <row r="515" spans="1:11" s="130" customFormat="1" x14ac:dyDescent="0.25">
      <c r="A515" s="123"/>
      <c r="B515" s="212"/>
      <c r="C515" s="127"/>
      <c r="D515" s="127"/>
      <c r="E515" s="125"/>
      <c r="F515" s="125"/>
      <c r="G515" s="125"/>
      <c r="K515" s="127"/>
    </row>
    <row r="516" spans="1:11" s="130" customFormat="1" x14ac:dyDescent="0.25">
      <c r="A516" s="123"/>
      <c r="B516" s="212"/>
      <c r="C516" s="127"/>
      <c r="D516" s="127"/>
      <c r="E516" s="125"/>
      <c r="F516" s="125"/>
      <c r="G516" s="125"/>
      <c r="K516" s="127"/>
    </row>
    <row r="517" spans="1:11" s="130" customFormat="1" x14ac:dyDescent="0.25">
      <c r="A517" s="123"/>
      <c r="B517" s="212"/>
      <c r="C517" s="127"/>
      <c r="D517" s="127"/>
      <c r="E517" s="125"/>
      <c r="F517" s="125"/>
      <c r="G517" s="125"/>
      <c r="K517" s="127"/>
    </row>
    <row r="518" spans="1:11" s="130" customFormat="1" x14ac:dyDescent="0.25">
      <c r="A518" s="123"/>
      <c r="B518" s="212"/>
      <c r="C518" s="127"/>
      <c r="D518" s="127"/>
      <c r="E518" s="125"/>
      <c r="F518" s="125"/>
      <c r="G518" s="125"/>
      <c r="K518" s="127"/>
    </row>
    <row r="519" spans="1:11" s="130" customFormat="1" x14ac:dyDescent="0.25">
      <c r="A519" s="123"/>
      <c r="B519" s="212"/>
      <c r="C519" s="127"/>
      <c r="D519" s="127"/>
      <c r="E519" s="125"/>
      <c r="F519" s="125"/>
      <c r="G519" s="125"/>
      <c r="K519" s="127"/>
    </row>
    <row r="520" spans="1:11" s="130" customFormat="1" x14ac:dyDescent="0.25">
      <c r="A520" s="123"/>
      <c r="B520" s="212"/>
      <c r="C520" s="127"/>
      <c r="D520" s="127"/>
      <c r="E520" s="125"/>
      <c r="F520" s="125"/>
      <c r="G520" s="125"/>
      <c r="K520" s="127"/>
    </row>
    <row r="521" spans="1:11" s="130" customFormat="1" x14ac:dyDescent="0.25">
      <c r="A521" s="123"/>
      <c r="B521" s="212"/>
      <c r="C521" s="127"/>
      <c r="D521" s="127"/>
      <c r="E521" s="125"/>
      <c r="F521" s="125"/>
      <c r="G521" s="125"/>
      <c r="K521" s="127"/>
    </row>
    <row r="522" spans="1:11" s="130" customFormat="1" x14ac:dyDescent="0.25">
      <c r="A522" s="123"/>
      <c r="B522" s="212"/>
      <c r="C522" s="127"/>
      <c r="D522" s="127"/>
      <c r="E522" s="125"/>
      <c r="F522" s="125"/>
      <c r="G522" s="125"/>
      <c r="K522" s="127"/>
    </row>
    <row r="523" spans="1:11" s="130" customFormat="1" x14ac:dyDescent="0.25">
      <c r="A523" s="123"/>
      <c r="B523" s="212"/>
      <c r="C523" s="127"/>
      <c r="D523" s="127"/>
      <c r="E523" s="125"/>
      <c r="F523" s="125"/>
      <c r="G523" s="125"/>
      <c r="K523" s="127"/>
    </row>
    <row r="524" spans="1:11" s="130" customFormat="1" x14ac:dyDescent="0.25">
      <c r="A524" s="123"/>
      <c r="B524" s="212"/>
      <c r="C524" s="127"/>
      <c r="D524" s="127"/>
      <c r="E524" s="125"/>
      <c r="F524" s="125"/>
      <c r="G524" s="125"/>
      <c r="K524" s="127"/>
    </row>
    <row r="525" spans="1:11" s="130" customFormat="1" x14ac:dyDescent="0.25">
      <c r="A525" s="123"/>
      <c r="B525" s="212"/>
      <c r="C525" s="127"/>
      <c r="D525" s="127"/>
      <c r="E525" s="125"/>
      <c r="F525" s="125"/>
      <c r="G525" s="125"/>
      <c r="K525" s="127"/>
    </row>
    <row r="526" spans="1:11" s="130" customFormat="1" x14ac:dyDescent="0.25">
      <c r="A526" s="123"/>
      <c r="B526" s="212"/>
      <c r="C526" s="127"/>
      <c r="D526" s="127"/>
      <c r="E526" s="125"/>
      <c r="F526" s="125"/>
      <c r="G526" s="125"/>
      <c r="K526" s="127"/>
    </row>
    <row r="527" spans="1:11" s="130" customFormat="1" x14ac:dyDescent="0.25">
      <c r="A527" s="123"/>
      <c r="B527" s="212"/>
      <c r="C527" s="127"/>
      <c r="D527" s="127"/>
      <c r="E527" s="125"/>
      <c r="F527" s="125"/>
      <c r="G527" s="125"/>
      <c r="K527" s="127"/>
    </row>
    <row r="528" spans="1:11" s="130" customFormat="1" x14ac:dyDescent="0.25">
      <c r="A528" s="123"/>
      <c r="B528" s="212"/>
      <c r="C528" s="127"/>
      <c r="D528" s="127"/>
      <c r="E528" s="125"/>
      <c r="F528" s="125"/>
      <c r="G528" s="125"/>
      <c r="K528" s="127"/>
    </row>
    <row r="529" spans="1:11" s="130" customFormat="1" x14ac:dyDescent="0.25">
      <c r="A529" s="123"/>
      <c r="B529" s="212"/>
      <c r="C529" s="127"/>
      <c r="D529" s="127"/>
      <c r="E529" s="125"/>
      <c r="F529" s="125"/>
      <c r="G529" s="125"/>
      <c r="K529" s="127"/>
    </row>
    <row r="530" spans="1:11" s="130" customFormat="1" x14ac:dyDescent="0.25">
      <c r="A530" s="123"/>
      <c r="B530" s="212"/>
      <c r="C530" s="127"/>
      <c r="D530" s="127"/>
      <c r="E530" s="125"/>
      <c r="F530" s="125"/>
      <c r="G530" s="125"/>
      <c r="K530" s="127"/>
    </row>
    <row r="531" spans="1:11" s="130" customFormat="1" x14ac:dyDescent="0.25">
      <c r="A531" s="123"/>
      <c r="B531" s="212"/>
      <c r="C531" s="127"/>
      <c r="D531" s="127"/>
      <c r="E531" s="125"/>
      <c r="F531" s="125"/>
      <c r="G531" s="125"/>
      <c r="K531" s="127"/>
    </row>
    <row r="532" spans="1:11" s="130" customFormat="1" x14ac:dyDescent="0.25">
      <c r="A532" s="123"/>
      <c r="B532" s="212"/>
      <c r="C532" s="127"/>
      <c r="D532" s="127"/>
      <c r="E532" s="125"/>
      <c r="F532" s="125"/>
      <c r="G532" s="125"/>
      <c r="K532" s="127"/>
    </row>
    <row r="533" spans="1:11" s="130" customFormat="1" x14ac:dyDescent="0.25">
      <c r="A533" s="123"/>
      <c r="B533" s="212"/>
      <c r="C533" s="127"/>
      <c r="D533" s="127"/>
      <c r="E533" s="125"/>
      <c r="F533" s="125"/>
      <c r="G533" s="125"/>
      <c r="K533" s="127"/>
    </row>
    <row r="534" spans="1:11" s="130" customFormat="1" x14ac:dyDescent="0.25">
      <c r="A534" s="123"/>
      <c r="B534" s="212"/>
      <c r="C534" s="127"/>
      <c r="D534" s="127"/>
      <c r="E534" s="125"/>
      <c r="F534" s="125"/>
      <c r="G534" s="125"/>
      <c r="K534" s="127"/>
    </row>
    <row r="535" spans="1:11" s="130" customFormat="1" x14ac:dyDescent="0.25">
      <c r="A535" s="123"/>
      <c r="B535" s="212"/>
      <c r="C535" s="127"/>
      <c r="D535" s="127"/>
      <c r="E535" s="125"/>
      <c r="F535" s="125"/>
      <c r="G535" s="125"/>
      <c r="K535" s="127"/>
    </row>
    <row r="536" spans="1:11" s="130" customFormat="1" x14ac:dyDescent="0.25">
      <c r="A536" s="123"/>
      <c r="B536" s="212"/>
      <c r="C536" s="127"/>
      <c r="D536" s="127"/>
      <c r="E536" s="125"/>
      <c r="F536" s="125"/>
      <c r="G536" s="125"/>
      <c r="K536" s="127"/>
    </row>
    <row r="537" spans="1:11" s="130" customFormat="1" x14ac:dyDescent="0.25">
      <c r="A537" s="123"/>
      <c r="B537" s="212"/>
      <c r="C537" s="127"/>
      <c r="D537" s="127"/>
      <c r="E537" s="125"/>
      <c r="F537" s="125"/>
      <c r="G537" s="125"/>
      <c r="K537" s="127"/>
    </row>
    <row r="538" spans="1:11" s="130" customFormat="1" x14ac:dyDescent="0.25">
      <c r="A538" s="123"/>
      <c r="B538" s="212"/>
      <c r="C538" s="127"/>
      <c r="D538" s="127"/>
      <c r="E538" s="125"/>
      <c r="F538" s="125"/>
      <c r="G538" s="125"/>
      <c r="K538" s="127"/>
    </row>
    <row r="539" spans="1:11" s="130" customFormat="1" x14ac:dyDescent="0.25">
      <c r="A539" s="123"/>
      <c r="B539" s="212"/>
      <c r="C539" s="127"/>
      <c r="D539" s="127"/>
      <c r="E539" s="125"/>
      <c r="F539" s="125"/>
      <c r="G539" s="125"/>
      <c r="K539" s="127"/>
    </row>
    <row r="540" spans="1:11" s="130" customFormat="1" x14ac:dyDescent="0.25">
      <c r="A540" s="123"/>
      <c r="B540" s="212"/>
      <c r="C540" s="127"/>
      <c r="D540" s="127"/>
      <c r="E540" s="125"/>
      <c r="F540" s="125"/>
      <c r="G540" s="125"/>
      <c r="K540" s="127"/>
    </row>
    <row r="541" spans="1:11" s="130" customFormat="1" x14ac:dyDescent="0.25">
      <c r="A541" s="123"/>
      <c r="B541" s="212"/>
      <c r="C541" s="127"/>
      <c r="D541" s="127"/>
      <c r="E541" s="125"/>
      <c r="F541" s="125"/>
      <c r="G541" s="125"/>
      <c r="K541" s="127"/>
    </row>
    <row r="542" spans="1:11" s="130" customFormat="1" x14ac:dyDescent="0.25">
      <c r="A542" s="123"/>
      <c r="B542" s="212"/>
      <c r="C542" s="127"/>
      <c r="D542" s="127"/>
      <c r="E542" s="125"/>
      <c r="F542" s="125"/>
      <c r="G542" s="125"/>
      <c r="K542" s="127"/>
    </row>
    <row r="543" spans="1:11" s="130" customFormat="1" x14ac:dyDescent="0.25">
      <c r="A543" s="123"/>
      <c r="B543" s="212"/>
      <c r="C543" s="127"/>
      <c r="D543" s="127"/>
      <c r="E543" s="125"/>
      <c r="F543" s="125"/>
      <c r="G543" s="125"/>
      <c r="K543" s="127"/>
    </row>
    <row r="544" spans="1:11" s="130" customFormat="1" x14ac:dyDescent="0.25">
      <c r="A544" s="123"/>
      <c r="B544" s="212"/>
      <c r="C544" s="127"/>
      <c r="D544" s="127"/>
      <c r="E544" s="125"/>
      <c r="F544" s="125"/>
      <c r="G544" s="125"/>
      <c r="K544" s="127"/>
    </row>
    <row r="545" spans="1:11" s="130" customFormat="1" x14ac:dyDescent="0.25">
      <c r="A545" s="123"/>
      <c r="B545" s="212"/>
      <c r="C545" s="127"/>
      <c r="D545" s="127"/>
      <c r="E545" s="125"/>
      <c r="F545" s="125"/>
      <c r="G545" s="125"/>
      <c r="K545" s="127"/>
    </row>
    <row r="546" spans="1:11" s="130" customFormat="1" x14ac:dyDescent="0.25">
      <c r="A546" s="123"/>
      <c r="B546" s="212"/>
      <c r="C546" s="127"/>
      <c r="D546" s="127"/>
      <c r="E546" s="125"/>
      <c r="F546" s="125"/>
      <c r="G546" s="125"/>
      <c r="K546" s="127"/>
    </row>
    <row r="547" spans="1:11" s="130" customFormat="1" x14ac:dyDescent="0.25">
      <c r="A547" s="123"/>
      <c r="B547" s="212"/>
      <c r="C547" s="127"/>
      <c r="D547" s="127"/>
      <c r="E547" s="125"/>
      <c r="F547" s="125"/>
      <c r="G547" s="125"/>
      <c r="K547" s="127"/>
    </row>
    <row r="548" spans="1:11" s="130" customFormat="1" x14ac:dyDescent="0.25">
      <c r="A548" s="123"/>
      <c r="B548" s="212"/>
      <c r="C548" s="127"/>
      <c r="D548" s="127"/>
      <c r="E548" s="125"/>
      <c r="F548" s="125"/>
      <c r="G548" s="125"/>
      <c r="K548" s="127"/>
    </row>
    <row r="549" spans="1:11" s="130" customFormat="1" x14ac:dyDescent="0.25">
      <c r="A549" s="123"/>
      <c r="B549" s="212"/>
      <c r="C549" s="127"/>
      <c r="D549" s="127"/>
      <c r="E549" s="125"/>
      <c r="F549" s="125"/>
      <c r="G549" s="125"/>
      <c r="K549" s="127"/>
    </row>
    <row r="550" spans="1:11" s="130" customFormat="1" x14ac:dyDescent="0.25">
      <c r="A550" s="123"/>
      <c r="B550" s="212"/>
      <c r="C550" s="127"/>
      <c r="D550" s="127"/>
      <c r="E550" s="125"/>
      <c r="F550" s="125"/>
      <c r="G550" s="125"/>
      <c r="K550" s="127"/>
    </row>
    <row r="551" spans="1:11" s="130" customFormat="1" x14ac:dyDescent="0.25">
      <c r="A551" s="123"/>
      <c r="B551" s="212"/>
      <c r="C551" s="127"/>
      <c r="D551" s="127"/>
      <c r="E551" s="125"/>
      <c r="F551" s="125"/>
      <c r="G551" s="125"/>
      <c r="K551" s="127"/>
    </row>
    <row r="552" spans="1:11" s="130" customFormat="1" x14ac:dyDescent="0.25">
      <c r="A552" s="123"/>
      <c r="B552" s="212"/>
      <c r="C552" s="127"/>
      <c r="D552" s="127"/>
      <c r="E552" s="125"/>
      <c r="F552" s="125"/>
      <c r="G552" s="125"/>
      <c r="K552" s="127"/>
    </row>
    <row r="553" spans="1:11" s="130" customFormat="1" x14ac:dyDescent="0.25">
      <c r="A553" s="123"/>
      <c r="B553" s="212"/>
      <c r="C553" s="127"/>
      <c r="D553" s="127"/>
      <c r="E553" s="125"/>
      <c r="F553" s="125"/>
      <c r="G553" s="125"/>
      <c r="K553" s="127"/>
    </row>
    <row r="554" spans="1:11" s="130" customFormat="1" x14ac:dyDescent="0.25">
      <c r="A554" s="123"/>
      <c r="B554" s="212"/>
      <c r="C554" s="127"/>
      <c r="D554" s="127"/>
      <c r="E554" s="125"/>
      <c r="F554" s="125"/>
      <c r="G554" s="125"/>
      <c r="K554" s="127"/>
    </row>
    <row r="555" spans="1:11" s="130" customFormat="1" x14ac:dyDescent="0.25">
      <c r="A555" s="123"/>
      <c r="B555" s="212"/>
      <c r="C555" s="127"/>
      <c r="D555" s="127"/>
      <c r="E555" s="125"/>
      <c r="F555" s="125"/>
      <c r="G555" s="125"/>
      <c r="K555" s="127"/>
    </row>
    <row r="556" spans="1:11" s="130" customFormat="1" x14ac:dyDescent="0.25">
      <c r="A556" s="123"/>
      <c r="B556" s="212"/>
      <c r="C556" s="127"/>
      <c r="D556" s="127"/>
      <c r="E556" s="125"/>
      <c r="F556" s="125"/>
      <c r="G556" s="125"/>
      <c r="K556" s="127"/>
    </row>
    <row r="557" spans="1:11" s="130" customFormat="1" x14ac:dyDescent="0.25">
      <c r="A557" s="123"/>
      <c r="B557" s="212"/>
      <c r="C557" s="127"/>
      <c r="D557" s="127"/>
      <c r="E557" s="125"/>
      <c r="F557" s="125"/>
      <c r="G557" s="125"/>
      <c r="K557" s="127"/>
    </row>
    <row r="558" spans="1:11" s="130" customFormat="1" x14ac:dyDescent="0.25">
      <c r="A558" s="123"/>
      <c r="B558" s="212"/>
      <c r="C558" s="127"/>
      <c r="D558" s="127"/>
      <c r="E558" s="125"/>
      <c r="F558" s="125"/>
      <c r="G558" s="125"/>
      <c r="K558" s="127"/>
    </row>
    <row r="559" spans="1:11" s="130" customFormat="1" x14ac:dyDescent="0.25">
      <c r="A559" s="123"/>
      <c r="B559" s="212"/>
      <c r="C559" s="127"/>
      <c r="D559" s="127"/>
      <c r="E559" s="125"/>
      <c r="F559" s="125"/>
      <c r="G559" s="125"/>
      <c r="K559" s="127"/>
    </row>
    <row r="560" spans="1:11" s="130" customFormat="1" x14ac:dyDescent="0.25">
      <c r="A560" s="123"/>
      <c r="B560" s="212"/>
      <c r="C560" s="127"/>
      <c r="D560" s="127"/>
      <c r="E560" s="125"/>
      <c r="F560" s="125"/>
      <c r="G560" s="125"/>
      <c r="K560" s="127"/>
    </row>
    <row r="561" spans="1:11" s="130" customFormat="1" x14ac:dyDescent="0.25">
      <c r="A561" s="123"/>
      <c r="B561" s="212"/>
      <c r="C561" s="127"/>
      <c r="D561" s="127"/>
      <c r="E561" s="125"/>
      <c r="F561" s="125"/>
      <c r="G561" s="125"/>
      <c r="K561" s="127"/>
    </row>
    <row r="562" spans="1:11" s="130" customFormat="1" x14ac:dyDescent="0.25">
      <c r="A562" s="123"/>
      <c r="B562" s="212"/>
      <c r="C562" s="127"/>
      <c r="D562" s="127"/>
      <c r="E562" s="125"/>
      <c r="F562" s="125"/>
      <c r="G562" s="125"/>
      <c r="K562" s="127"/>
    </row>
    <row r="563" spans="1:11" s="130" customFormat="1" x14ac:dyDescent="0.25">
      <c r="A563" s="123"/>
      <c r="B563" s="212"/>
      <c r="C563" s="127"/>
      <c r="D563" s="127"/>
      <c r="E563" s="125"/>
      <c r="F563" s="125"/>
      <c r="G563" s="125"/>
      <c r="K563" s="127"/>
    </row>
    <row r="564" spans="1:11" s="130" customFormat="1" x14ac:dyDescent="0.25">
      <c r="A564" s="123"/>
      <c r="B564" s="212"/>
      <c r="C564" s="127"/>
      <c r="D564" s="127"/>
      <c r="E564" s="125"/>
      <c r="F564" s="125"/>
      <c r="G564" s="125"/>
      <c r="K564" s="127"/>
    </row>
    <row r="565" spans="1:11" s="130" customFormat="1" x14ac:dyDescent="0.25">
      <c r="A565" s="123"/>
      <c r="B565" s="212"/>
      <c r="C565" s="127"/>
      <c r="D565" s="127"/>
      <c r="E565" s="125"/>
      <c r="F565" s="125"/>
      <c r="G565" s="125"/>
      <c r="K565" s="127"/>
    </row>
    <row r="566" spans="1:11" s="130" customFormat="1" x14ac:dyDescent="0.25">
      <c r="A566" s="123"/>
      <c r="B566" s="212"/>
      <c r="C566" s="127"/>
      <c r="D566" s="127"/>
      <c r="E566" s="125"/>
      <c r="F566" s="125"/>
      <c r="G566" s="125"/>
      <c r="K566" s="127"/>
    </row>
    <row r="567" spans="1:11" s="130" customFormat="1" x14ac:dyDescent="0.25">
      <c r="A567" s="123"/>
      <c r="B567" s="212"/>
      <c r="C567" s="127"/>
      <c r="D567" s="127"/>
      <c r="E567" s="125"/>
      <c r="F567" s="125"/>
      <c r="G567" s="125"/>
      <c r="K567" s="127"/>
    </row>
    <row r="568" spans="1:11" s="130" customFormat="1" x14ac:dyDescent="0.25">
      <c r="A568" s="123"/>
      <c r="B568" s="212"/>
      <c r="C568" s="127"/>
      <c r="D568" s="127"/>
      <c r="E568" s="125"/>
      <c r="F568" s="125"/>
      <c r="G568" s="125"/>
      <c r="K568" s="127"/>
    </row>
    <row r="569" spans="1:11" s="130" customFormat="1" x14ac:dyDescent="0.25">
      <c r="A569" s="123"/>
      <c r="B569" s="212"/>
      <c r="C569" s="127"/>
      <c r="D569" s="127"/>
      <c r="E569" s="125"/>
      <c r="F569" s="125"/>
      <c r="G569" s="125"/>
      <c r="K569" s="127"/>
    </row>
    <row r="570" spans="1:11" s="130" customFormat="1" x14ac:dyDescent="0.25">
      <c r="A570" s="123"/>
      <c r="B570" s="212"/>
      <c r="C570" s="127"/>
      <c r="D570" s="127"/>
      <c r="E570" s="125"/>
      <c r="F570" s="125"/>
      <c r="G570" s="125"/>
      <c r="K570" s="127"/>
    </row>
    <row r="571" spans="1:11" s="130" customFormat="1" x14ac:dyDescent="0.25">
      <c r="A571" s="123"/>
      <c r="B571" s="212"/>
      <c r="C571" s="127"/>
      <c r="D571" s="127"/>
      <c r="E571" s="125"/>
      <c r="F571" s="125"/>
      <c r="G571" s="125"/>
      <c r="K571" s="127"/>
    </row>
    <row r="572" spans="1:11" s="130" customFormat="1" x14ac:dyDescent="0.25">
      <c r="A572" s="123"/>
      <c r="B572" s="212"/>
      <c r="C572" s="127"/>
      <c r="D572" s="127"/>
      <c r="E572" s="125"/>
      <c r="F572" s="125"/>
      <c r="G572" s="125"/>
      <c r="K572" s="127"/>
    </row>
    <row r="573" spans="1:11" s="130" customFormat="1" x14ac:dyDescent="0.25">
      <c r="A573" s="123"/>
      <c r="B573" s="212"/>
      <c r="C573" s="127"/>
      <c r="D573" s="127"/>
      <c r="E573" s="125"/>
      <c r="F573" s="125"/>
      <c r="G573" s="125"/>
      <c r="K573" s="127"/>
    </row>
    <row r="574" spans="1:11" s="130" customFormat="1" x14ac:dyDescent="0.25">
      <c r="A574" s="123"/>
      <c r="B574" s="212"/>
      <c r="C574" s="127"/>
      <c r="D574" s="127"/>
      <c r="E574" s="125"/>
      <c r="F574" s="125"/>
      <c r="G574" s="125"/>
      <c r="K574" s="127"/>
    </row>
    <row r="575" spans="1:11" s="130" customFormat="1" x14ac:dyDescent="0.25">
      <c r="A575" s="123"/>
      <c r="B575" s="212"/>
      <c r="C575" s="127"/>
      <c r="D575" s="127"/>
      <c r="E575" s="125"/>
      <c r="F575" s="125"/>
      <c r="G575" s="125"/>
      <c r="K575" s="127"/>
    </row>
    <row r="576" spans="1:11" s="130" customFormat="1" x14ac:dyDescent="0.25">
      <c r="A576" s="123"/>
      <c r="B576" s="212"/>
      <c r="C576" s="127"/>
      <c r="D576" s="127"/>
      <c r="E576" s="125"/>
      <c r="F576" s="125"/>
      <c r="G576" s="125"/>
      <c r="K576" s="127"/>
    </row>
    <row r="577" spans="1:11" s="130" customFormat="1" x14ac:dyDescent="0.25">
      <c r="A577" s="123"/>
      <c r="B577" s="212"/>
      <c r="C577" s="127"/>
      <c r="D577" s="127"/>
      <c r="E577" s="125"/>
      <c r="F577" s="125"/>
      <c r="G577" s="125"/>
      <c r="K577" s="127"/>
    </row>
    <row r="578" spans="1:11" s="130" customFormat="1" x14ac:dyDescent="0.25">
      <c r="A578" s="123"/>
      <c r="B578" s="212"/>
      <c r="C578" s="127"/>
      <c r="D578" s="127"/>
      <c r="E578" s="125"/>
      <c r="F578" s="125"/>
      <c r="G578" s="125"/>
      <c r="K578" s="127"/>
    </row>
    <row r="579" spans="1:11" s="130" customFormat="1" x14ac:dyDescent="0.25">
      <c r="A579" s="123"/>
      <c r="B579" s="212"/>
      <c r="C579" s="127"/>
      <c r="D579" s="127"/>
      <c r="E579" s="125"/>
      <c r="F579" s="125"/>
      <c r="G579" s="125"/>
      <c r="K579" s="127"/>
    </row>
    <row r="580" spans="1:11" s="130" customFormat="1" x14ac:dyDescent="0.25">
      <c r="A580" s="123"/>
      <c r="B580" s="212"/>
      <c r="C580" s="127"/>
      <c r="D580" s="127"/>
      <c r="E580" s="125"/>
      <c r="F580" s="125"/>
      <c r="G580" s="125"/>
      <c r="K580" s="127"/>
    </row>
    <row r="581" spans="1:11" s="130" customFormat="1" x14ac:dyDescent="0.25">
      <c r="A581" s="123"/>
      <c r="B581" s="212"/>
      <c r="C581" s="127"/>
      <c r="D581" s="127"/>
      <c r="E581" s="125"/>
      <c r="F581" s="125"/>
      <c r="G581" s="125"/>
      <c r="K581" s="127"/>
    </row>
    <row r="582" spans="1:11" s="130" customFormat="1" x14ac:dyDescent="0.25">
      <c r="A582" s="123"/>
      <c r="B582" s="212"/>
      <c r="C582" s="127"/>
      <c r="D582" s="127"/>
      <c r="E582" s="125"/>
      <c r="F582" s="125"/>
      <c r="G582" s="125"/>
      <c r="K582" s="127"/>
    </row>
    <row r="583" spans="1:11" s="130" customFormat="1" x14ac:dyDescent="0.25">
      <c r="A583" s="123"/>
      <c r="B583" s="212"/>
      <c r="C583" s="127"/>
      <c r="D583" s="127"/>
      <c r="E583" s="125"/>
      <c r="F583" s="125"/>
      <c r="G583" s="125"/>
      <c r="K583" s="127"/>
    </row>
    <row r="584" spans="1:11" s="130" customFormat="1" x14ac:dyDescent="0.25">
      <c r="A584" s="123"/>
      <c r="B584" s="212"/>
      <c r="C584" s="127"/>
      <c r="D584" s="127"/>
      <c r="E584" s="125"/>
      <c r="F584" s="125"/>
      <c r="G584" s="125"/>
      <c r="K584" s="127"/>
    </row>
    <row r="585" spans="1:11" s="130" customFormat="1" x14ac:dyDescent="0.25">
      <c r="A585" s="123"/>
      <c r="B585" s="212"/>
      <c r="C585" s="127"/>
      <c r="D585" s="127"/>
      <c r="E585" s="125"/>
      <c r="F585" s="125"/>
      <c r="G585" s="125"/>
      <c r="K585" s="127"/>
    </row>
    <row r="586" spans="1:11" s="130" customFormat="1" x14ac:dyDescent="0.25">
      <c r="A586" s="123"/>
      <c r="B586" s="212"/>
      <c r="C586" s="127"/>
      <c r="D586" s="127"/>
      <c r="E586" s="125"/>
      <c r="F586" s="125"/>
      <c r="G586" s="125"/>
      <c r="K586" s="127"/>
    </row>
    <row r="587" spans="1:11" s="130" customFormat="1" x14ac:dyDescent="0.25">
      <c r="A587" s="123"/>
      <c r="B587" s="212"/>
      <c r="C587" s="127"/>
      <c r="D587" s="127"/>
      <c r="E587" s="125"/>
      <c r="F587" s="125"/>
      <c r="G587" s="125"/>
      <c r="K587" s="127"/>
    </row>
    <row r="588" spans="1:11" s="130" customFormat="1" x14ac:dyDescent="0.25">
      <c r="A588" s="123"/>
      <c r="B588" s="212"/>
      <c r="C588" s="127"/>
      <c r="D588" s="127"/>
      <c r="E588" s="125"/>
      <c r="F588" s="125"/>
      <c r="G588" s="125"/>
      <c r="K588" s="127"/>
    </row>
    <row r="589" spans="1:11" s="130" customFormat="1" x14ac:dyDescent="0.25">
      <c r="A589" s="123"/>
      <c r="B589" s="212"/>
      <c r="C589" s="127"/>
      <c r="D589" s="127"/>
      <c r="E589" s="125"/>
      <c r="F589" s="125"/>
      <c r="G589" s="125"/>
      <c r="K589" s="127"/>
    </row>
    <row r="590" spans="1:11" s="130" customFormat="1" x14ac:dyDescent="0.25">
      <c r="A590" s="123"/>
      <c r="B590" s="212"/>
      <c r="C590" s="127"/>
      <c r="D590" s="127"/>
      <c r="E590" s="125"/>
      <c r="F590" s="125"/>
      <c r="G590" s="125"/>
      <c r="K590" s="127"/>
    </row>
    <row r="591" spans="1:11" s="130" customFormat="1" x14ac:dyDescent="0.25">
      <c r="A591" s="123"/>
      <c r="B591" s="212"/>
      <c r="C591" s="127"/>
      <c r="D591" s="127"/>
      <c r="E591" s="125"/>
      <c r="F591" s="125"/>
      <c r="G591" s="125"/>
      <c r="K591" s="127"/>
    </row>
    <row r="592" spans="1:11" s="130" customFormat="1" x14ac:dyDescent="0.25">
      <c r="A592" s="123"/>
      <c r="B592" s="212"/>
      <c r="C592" s="127"/>
      <c r="D592" s="127"/>
      <c r="E592" s="125"/>
      <c r="F592" s="125"/>
      <c r="G592" s="125"/>
      <c r="K592" s="127"/>
    </row>
    <row r="593" spans="1:11" s="130" customFormat="1" x14ac:dyDescent="0.25">
      <c r="A593" s="123"/>
      <c r="B593" s="212"/>
      <c r="C593" s="127"/>
      <c r="D593" s="127"/>
      <c r="E593" s="125"/>
      <c r="F593" s="125"/>
      <c r="G593" s="125"/>
      <c r="K593" s="127"/>
    </row>
    <row r="594" spans="1:11" s="130" customFormat="1" x14ac:dyDescent="0.25">
      <c r="A594" s="123"/>
      <c r="B594" s="212"/>
      <c r="C594" s="127"/>
      <c r="D594" s="127"/>
      <c r="E594" s="125"/>
      <c r="F594" s="125"/>
      <c r="G594" s="125"/>
      <c r="K594" s="127"/>
    </row>
    <row r="595" spans="1:11" s="130" customFormat="1" x14ac:dyDescent="0.25">
      <c r="A595" s="123"/>
      <c r="B595" s="212"/>
      <c r="C595" s="127"/>
      <c r="D595" s="127"/>
      <c r="E595" s="125"/>
      <c r="F595" s="125"/>
      <c r="G595" s="125"/>
      <c r="K595" s="127"/>
    </row>
    <row r="596" spans="1:11" s="130" customFormat="1" x14ac:dyDescent="0.25">
      <c r="A596" s="123"/>
      <c r="B596" s="212"/>
      <c r="C596" s="127"/>
      <c r="D596" s="127"/>
      <c r="E596" s="125"/>
      <c r="F596" s="125"/>
      <c r="G596" s="125"/>
      <c r="K596" s="127"/>
    </row>
    <row r="597" spans="1:11" s="130" customFormat="1" x14ac:dyDescent="0.25">
      <c r="A597" s="123"/>
      <c r="B597" s="212"/>
      <c r="C597" s="127"/>
      <c r="D597" s="127"/>
      <c r="E597" s="125"/>
      <c r="F597" s="125"/>
      <c r="G597" s="125"/>
      <c r="K597" s="127"/>
    </row>
    <row r="598" spans="1:11" s="130" customFormat="1" x14ac:dyDescent="0.25">
      <c r="A598" s="123"/>
      <c r="B598" s="212"/>
      <c r="C598" s="127"/>
      <c r="D598" s="127"/>
      <c r="E598" s="125"/>
      <c r="F598" s="125"/>
      <c r="G598" s="125"/>
      <c r="K598" s="127"/>
    </row>
    <row r="599" spans="1:11" s="130" customFormat="1" x14ac:dyDescent="0.25">
      <c r="A599" s="123"/>
      <c r="B599" s="212"/>
      <c r="C599" s="127"/>
      <c r="D599" s="127"/>
      <c r="E599" s="125"/>
      <c r="F599" s="125"/>
      <c r="G599" s="125"/>
      <c r="K599" s="127"/>
    </row>
    <row r="600" spans="1:11" s="130" customFormat="1" x14ac:dyDescent="0.25">
      <c r="A600" s="123"/>
      <c r="B600" s="212"/>
      <c r="C600" s="127"/>
      <c r="D600" s="127"/>
      <c r="E600" s="125"/>
      <c r="F600" s="125"/>
      <c r="G600" s="125"/>
      <c r="K600" s="127"/>
    </row>
    <row r="601" spans="1:11" s="130" customFormat="1" x14ac:dyDescent="0.25">
      <c r="A601" s="123"/>
      <c r="B601" s="212"/>
      <c r="C601" s="127"/>
      <c r="D601" s="127"/>
      <c r="E601" s="125"/>
      <c r="F601" s="125"/>
      <c r="G601" s="125"/>
      <c r="K601" s="127"/>
    </row>
    <row r="602" spans="1:11" s="130" customFormat="1" x14ac:dyDescent="0.25">
      <c r="A602" s="123"/>
      <c r="B602" s="212"/>
      <c r="C602" s="127"/>
      <c r="D602" s="127"/>
      <c r="E602" s="125"/>
      <c r="F602" s="125"/>
      <c r="G602" s="125"/>
      <c r="K602" s="127"/>
    </row>
    <row r="603" spans="1:11" s="130" customFormat="1" x14ac:dyDescent="0.25">
      <c r="A603" s="123"/>
      <c r="B603" s="212"/>
      <c r="C603" s="127"/>
      <c r="D603" s="127"/>
      <c r="E603" s="125"/>
      <c r="F603" s="125"/>
      <c r="G603" s="125"/>
      <c r="K603" s="127"/>
    </row>
    <row r="604" spans="1:11" s="130" customFormat="1" x14ac:dyDescent="0.25">
      <c r="A604" s="123"/>
      <c r="B604" s="212"/>
      <c r="C604" s="127"/>
      <c r="D604" s="127"/>
      <c r="E604" s="125"/>
      <c r="F604" s="125"/>
      <c r="G604" s="125"/>
      <c r="K604" s="127"/>
    </row>
    <row r="605" spans="1:11" s="130" customFormat="1" x14ac:dyDescent="0.25">
      <c r="A605" s="123"/>
      <c r="B605" s="212"/>
      <c r="C605" s="127"/>
      <c r="D605" s="127"/>
      <c r="E605" s="125"/>
      <c r="F605" s="125"/>
      <c r="G605" s="125"/>
      <c r="K605" s="127"/>
    </row>
    <row r="606" spans="1:11" s="130" customFormat="1" x14ac:dyDescent="0.25">
      <c r="A606" s="123"/>
      <c r="B606" s="212"/>
      <c r="C606" s="127"/>
      <c r="D606" s="127"/>
      <c r="E606" s="125"/>
      <c r="F606" s="125"/>
      <c r="G606" s="125"/>
      <c r="K606" s="127"/>
    </row>
    <row r="607" spans="1:11" s="130" customFormat="1" x14ac:dyDescent="0.25">
      <c r="A607" s="123"/>
      <c r="B607" s="212"/>
      <c r="C607" s="127"/>
      <c r="D607" s="127"/>
      <c r="E607" s="125"/>
      <c r="F607" s="125"/>
      <c r="G607" s="125"/>
      <c r="K607" s="127"/>
    </row>
    <row r="608" spans="1:11" s="130" customFormat="1" x14ac:dyDescent="0.25">
      <c r="A608" s="123"/>
      <c r="B608" s="212"/>
      <c r="C608" s="127"/>
      <c r="D608" s="127"/>
      <c r="E608" s="125"/>
      <c r="F608" s="125"/>
      <c r="G608" s="125"/>
      <c r="K608" s="127"/>
    </row>
    <row r="609" spans="1:11" s="130" customFormat="1" x14ac:dyDescent="0.25">
      <c r="A609" s="123"/>
      <c r="B609" s="212"/>
      <c r="C609" s="127"/>
      <c r="D609" s="127"/>
      <c r="E609" s="125"/>
      <c r="F609" s="125"/>
      <c r="G609" s="125"/>
      <c r="K609" s="127"/>
    </row>
    <row r="610" spans="1:11" s="130" customFormat="1" x14ac:dyDescent="0.25">
      <c r="A610" s="123"/>
      <c r="B610" s="212"/>
      <c r="C610" s="127"/>
      <c r="D610" s="127"/>
      <c r="E610" s="125"/>
      <c r="F610" s="125"/>
      <c r="G610" s="125"/>
      <c r="K610" s="127"/>
    </row>
    <row r="611" spans="1:11" s="130" customFormat="1" x14ac:dyDescent="0.25">
      <c r="A611" s="123"/>
      <c r="B611" s="212"/>
      <c r="C611" s="127"/>
      <c r="D611" s="127"/>
      <c r="E611" s="125"/>
      <c r="F611" s="125"/>
      <c r="G611" s="125"/>
      <c r="K611" s="127"/>
    </row>
    <row r="612" spans="1:11" s="130" customFormat="1" x14ac:dyDescent="0.25">
      <c r="A612" s="123"/>
      <c r="B612" s="212"/>
      <c r="C612" s="127"/>
      <c r="D612" s="127"/>
      <c r="E612" s="125"/>
      <c r="F612" s="125"/>
      <c r="G612" s="125"/>
      <c r="K612" s="127"/>
    </row>
    <row r="613" spans="1:11" s="130" customFormat="1" x14ac:dyDescent="0.25">
      <c r="A613" s="123"/>
      <c r="B613" s="212"/>
      <c r="C613" s="127"/>
      <c r="D613" s="127"/>
      <c r="E613" s="125"/>
      <c r="F613" s="125"/>
      <c r="G613" s="125"/>
      <c r="K613" s="127"/>
    </row>
    <row r="614" spans="1:11" s="130" customFormat="1" x14ac:dyDescent="0.25">
      <c r="A614" s="123"/>
      <c r="B614" s="212"/>
      <c r="C614" s="127"/>
      <c r="D614" s="127"/>
      <c r="E614" s="125"/>
      <c r="F614" s="125"/>
      <c r="G614" s="125"/>
      <c r="K614" s="127"/>
    </row>
    <row r="615" spans="1:11" s="130" customFormat="1" x14ac:dyDescent="0.25">
      <c r="A615" s="123"/>
      <c r="B615" s="212"/>
      <c r="C615" s="127"/>
      <c r="D615" s="127"/>
      <c r="E615" s="125"/>
      <c r="F615" s="125"/>
      <c r="G615" s="125"/>
      <c r="K615" s="127"/>
    </row>
    <row r="616" spans="1:11" s="130" customFormat="1" x14ac:dyDescent="0.25">
      <c r="A616" s="123"/>
      <c r="B616" s="212"/>
      <c r="C616" s="127"/>
      <c r="D616" s="127"/>
      <c r="E616" s="125"/>
      <c r="F616" s="125"/>
      <c r="G616" s="125"/>
      <c r="K616" s="127"/>
    </row>
    <row r="617" spans="1:11" s="130" customFormat="1" x14ac:dyDescent="0.25">
      <c r="A617" s="123"/>
      <c r="B617" s="212"/>
      <c r="C617" s="127"/>
      <c r="D617" s="127"/>
      <c r="E617" s="125"/>
      <c r="F617" s="125"/>
      <c r="G617" s="125"/>
      <c r="K617" s="127"/>
    </row>
    <row r="618" spans="1:11" s="130" customFormat="1" x14ac:dyDescent="0.25">
      <c r="A618" s="123"/>
      <c r="B618" s="212"/>
      <c r="C618" s="127"/>
      <c r="D618" s="127"/>
      <c r="E618" s="125"/>
      <c r="F618" s="125"/>
      <c r="G618" s="125"/>
      <c r="K618" s="127"/>
    </row>
    <row r="619" spans="1:11" s="130" customFormat="1" x14ac:dyDescent="0.25">
      <c r="A619" s="123"/>
      <c r="B619" s="212"/>
      <c r="C619" s="127"/>
      <c r="D619" s="127"/>
      <c r="E619" s="125"/>
      <c r="F619" s="125"/>
      <c r="G619" s="125"/>
      <c r="K619" s="127"/>
    </row>
    <row r="620" spans="1:11" s="130" customFormat="1" x14ac:dyDescent="0.25">
      <c r="A620" s="123"/>
      <c r="B620" s="212"/>
      <c r="C620" s="127"/>
      <c r="D620" s="127"/>
      <c r="E620" s="125"/>
      <c r="F620" s="125"/>
      <c r="G620" s="125"/>
      <c r="K620" s="127"/>
    </row>
    <row r="621" spans="1:11" s="130" customFormat="1" x14ac:dyDescent="0.25">
      <c r="A621" s="123"/>
      <c r="B621" s="212"/>
      <c r="C621" s="127"/>
      <c r="D621" s="127"/>
      <c r="E621" s="125"/>
      <c r="F621" s="125"/>
      <c r="G621" s="125"/>
      <c r="K621" s="127"/>
    </row>
    <row r="622" spans="1:11" s="130" customFormat="1" x14ac:dyDescent="0.25">
      <c r="A622" s="123"/>
      <c r="B622" s="212"/>
      <c r="C622" s="127"/>
      <c r="D622" s="127"/>
      <c r="E622" s="125"/>
      <c r="F622" s="125"/>
      <c r="G622" s="125"/>
      <c r="K622" s="127"/>
    </row>
    <row r="623" spans="1:11" s="130" customFormat="1" x14ac:dyDescent="0.25">
      <c r="A623" s="123"/>
      <c r="B623" s="212"/>
      <c r="C623" s="127"/>
      <c r="D623" s="127"/>
      <c r="E623" s="125"/>
      <c r="F623" s="125"/>
      <c r="G623" s="125"/>
      <c r="K623" s="127"/>
    </row>
    <row r="624" spans="1:11" s="130" customFormat="1" x14ac:dyDescent="0.25">
      <c r="A624" s="123"/>
      <c r="B624" s="212"/>
      <c r="C624" s="127"/>
      <c r="D624" s="127"/>
      <c r="E624" s="125"/>
      <c r="F624" s="125"/>
      <c r="G624" s="125"/>
      <c r="K624" s="127"/>
    </row>
    <row r="625" spans="1:11" s="130" customFormat="1" x14ac:dyDescent="0.25">
      <c r="A625" s="123"/>
      <c r="B625" s="212"/>
      <c r="C625" s="127"/>
      <c r="D625" s="127"/>
      <c r="E625" s="125"/>
      <c r="F625" s="125"/>
      <c r="G625" s="125"/>
      <c r="K625" s="127"/>
    </row>
    <row r="626" spans="1:11" s="130" customFormat="1" x14ac:dyDescent="0.25">
      <c r="A626" s="123"/>
      <c r="B626" s="212"/>
      <c r="C626" s="127"/>
      <c r="D626" s="127"/>
      <c r="E626" s="125"/>
      <c r="F626" s="125"/>
      <c r="G626" s="125"/>
      <c r="K626" s="127"/>
    </row>
    <row r="627" spans="1:11" s="130" customFormat="1" x14ac:dyDescent="0.25">
      <c r="A627" s="123"/>
      <c r="B627" s="212"/>
      <c r="C627" s="127"/>
      <c r="D627" s="127"/>
      <c r="E627" s="125"/>
      <c r="F627" s="125"/>
      <c r="G627" s="125"/>
      <c r="K627" s="127"/>
    </row>
    <row r="628" spans="1:11" s="130" customFormat="1" x14ac:dyDescent="0.25">
      <c r="A628" s="123"/>
      <c r="B628" s="212"/>
      <c r="C628" s="127"/>
      <c r="D628" s="127"/>
      <c r="E628" s="125"/>
      <c r="F628" s="125"/>
      <c r="G628" s="125"/>
      <c r="K628" s="127"/>
    </row>
    <row r="629" spans="1:11" s="130" customFormat="1" x14ac:dyDescent="0.25">
      <c r="A629" s="123"/>
      <c r="B629" s="212"/>
      <c r="C629" s="127"/>
      <c r="D629" s="127"/>
      <c r="E629" s="125"/>
      <c r="F629" s="125"/>
      <c r="G629" s="125"/>
      <c r="K629" s="127"/>
    </row>
    <row r="630" spans="1:11" s="130" customFormat="1" x14ac:dyDescent="0.25">
      <c r="A630" s="123"/>
      <c r="B630" s="212"/>
      <c r="C630" s="127"/>
      <c r="D630" s="127"/>
      <c r="E630" s="125"/>
      <c r="F630" s="125"/>
      <c r="G630" s="125"/>
      <c r="K630" s="127"/>
    </row>
    <row r="631" spans="1:11" s="130" customFormat="1" x14ac:dyDescent="0.25">
      <c r="A631" s="123"/>
      <c r="B631" s="212"/>
      <c r="C631" s="127"/>
      <c r="D631" s="127"/>
      <c r="E631" s="125"/>
      <c r="F631" s="125"/>
      <c r="G631" s="125"/>
      <c r="K631" s="127"/>
    </row>
    <row r="632" spans="1:11" s="130" customFormat="1" x14ac:dyDescent="0.25">
      <c r="A632" s="123"/>
      <c r="B632" s="212"/>
      <c r="C632" s="127"/>
      <c r="D632" s="127"/>
      <c r="E632" s="125"/>
      <c r="F632" s="125"/>
      <c r="G632" s="125"/>
      <c r="K632" s="127"/>
    </row>
    <row r="633" spans="1:11" s="130" customFormat="1" x14ac:dyDescent="0.25">
      <c r="A633" s="123"/>
      <c r="B633" s="212"/>
      <c r="C633" s="127"/>
      <c r="D633" s="127"/>
      <c r="E633" s="125"/>
      <c r="F633" s="125"/>
      <c r="G633" s="125"/>
      <c r="K633" s="127"/>
    </row>
    <row r="634" spans="1:11" s="130" customFormat="1" x14ac:dyDescent="0.25">
      <c r="A634" s="123"/>
      <c r="B634" s="212"/>
      <c r="C634" s="127"/>
      <c r="D634" s="127"/>
      <c r="E634" s="125"/>
      <c r="F634" s="125"/>
      <c r="G634" s="125"/>
      <c r="K634" s="127"/>
    </row>
    <row r="635" spans="1:11" s="130" customFormat="1" x14ac:dyDescent="0.25">
      <c r="A635" s="123"/>
      <c r="B635" s="212"/>
      <c r="C635" s="127"/>
      <c r="D635" s="127"/>
      <c r="E635" s="125"/>
      <c r="F635" s="125"/>
      <c r="G635" s="125"/>
      <c r="K635" s="127"/>
    </row>
    <row r="636" spans="1:11" s="130" customFormat="1" x14ac:dyDescent="0.25">
      <c r="A636" s="123"/>
      <c r="B636" s="212"/>
      <c r="C636" s="127"/>
      <c r="D636" s="127"/>
      <c r="E636" s="125"/>
      <c r="F636" s="125"/>
      <c r="G636" s="125"/>
      <c r="K636" s="127"/>
    </row>
    <row r="637" spans="1:11" s="130" customFormat="1" x14ac:dyDescent="0.25">
      <c r="A637" s="123"/>
      <c r="B637" s="212"/>
      <c r="C637" s="127"/>
      <c r="D637" s="127"/>
      <c r="E637" s="125"/>
      <c r="F637" s="125"/>
      <c r="G637" s="125"/>
      <c r="K637" s="127"/>
    </row>
    <row r="638" spans="1:11" s="130" customFormat="1" x14ac:dyDescent="0.25">
      <c r="A638" s="123"/>
      <c r="B638" s="212"/>
      <c r="C638" s="127"/>
      <c r="D638" s="127"/>
      <c r="E638" s="125"/>
      <c r="F638" s="125"/>
      <c r="G638" s="125"/>
      <c r="K638" s="127"/>
    </row>
    <row r="639" spans="1:11" s="130" customFormat="1" x14ac:dyDescent="0.25">
      <c r="A639" s="123"/>
      <c r="B639" s="212"/>
      <c r="C639" s="127"/>
      <c r="D639" s="127"/>
      <c r="E639" s="125"/>
      <c r="F639" s="125"/>
      <c r="G639" s="125"/>
      <c r="K639" s="127"/>
    </row>
    <row r="640" spans="1:11" s="130" customFormat="1" x14ac:dyDescent="0.25">
      <c r="A640" s="123"/>
      <c r="B640" s="212"/>
      <c r="C640" s="127"/>
      <c r="D640" s="127"/>
      <c r="E640" s="125"/>
      <c r="F640" s="125"/>
      <c r="G640" s="125"/>
      <c r="K640" s="127"/>
    </row>
    <row r="641" spans="1:11" s="130" customFormat="1" x14ac:dyDescent="0.25">
      <c r="A641" s="123"/>
      <c r="B641" s="212"/>
      <c r="C641" s="127"/>
      <c r="D641" s="127"/>
      <c r="E641" s="125"/>
      <c r="F641" s="125"/>
      <c r="G641" s="125"/>
      <c r="K641" s="127"/>
    </row>
    <row r="642" spans="1:11" s="130" customFormat="1" x14ac:dyDescent="0.25">
      <c r="A642" s="123"/>
      <c r="B642" s="212"/>
      <c r="C642" s="127"/>
      <c r="D642" s="127"/>
      <c r="E642" s="125"/>
      <c r="F642" s="125"/>
      <c r="G642" s="125"/>
      <c r="K642" s="127"/>
    </row>
    <row r="643" spans="1:11" s="130" customFormat="1" x14ac:dyDescent="0.25">
      <c r="A643" s="123"/>
      <c r="B643" s="212"/>
      <c r="C643" s="127"/>
      <c r="D643" s="127"/>
      <c r="E643" s="125"/>
      <c r="F643" s="125"/>
      <c r="G643" s="125"/>
      <c r="K643" s="127"/>
    </row>
    <row r="644" spans="1:11" s="130" customFormat="1" x14ac:dyDescent="0.25">
      <c r="A644" s="123"/>
      <c r="B644" s="212"/>
      <c r="C644" s="127"/>
      <c r="D644" s="127"/>
      <c r="E644" s="125"/>
      <c r="F644" s="125"/>
      <c r="G644" s="125"/>
      <c r="K644" s="127"/>
    </row>
    <row r="645" spans="1:11" s="130" customFormat="1" x14ac:dyDescent="0.25">
      <c r="A645" s="123"/>
      <c r="B645" s="212"/>
      <c r="C645" s="127"/>
      <c r="D645" s="127"/>
      <c r="E645" s="125"/>
      <c r="F645" s="125"/>
      <c r="G645" s="125"/>
      <c r="K645" s="127"/>
    </row>
    <row r="646" spans="1:11" s="130" customFormat="1" x14ac:dyDescent="0.25">
      <c r="A646" s="123"/>
      <c r="B646" s="212"/>
      <c r="C646" s="127"/>
      <c r="D646" s="127"/>
      <c r="E646" s="125"/>
      <c r="F646" s="125"/>
      <c r="G646" s="125"/>
      <c r="K646" s="127"/>
    </row>
    <row r="647" spans="1:11" s="130" customFormat="1" x14ac:dyDescent="0.25">
      <c r="A647" s="123"/>
      <c r="B647" s="212"/>
      <c r="C647" s="127"/>
      <c r="D647" s="127"/>
      <c r="E647" s="125"/>
      <c r="F647" s="125"/>
      <c r="G647" s="125"/>
      <c r="K647" s="127"/>
    </row>
    <row r="648" spans="1:11" s="130" customFormat="1" x14ac:dyDescent="0.25">
      <c r="A648" s="123"/>
      <c r="B648" s="212"/>
      <c r="C648" s="127"/>
      <c r="D648" s="127"/>
      <c r="E648" s="125"/>
      <c r="F648" s="125"/>
      <c r="G648" s="125"/>
      <c r="K648" s="127"/>
    </row>
    <row r="649" spans="1:11" s="130" customFormat="1" x14ac:dyDescent="0.25">
      <c r="A649" s="123"/>
      <c r="B649" s="212"/>
      <c r="C649" s="127"/>
      <c r="D649" s="127"/>
      <c r="E649" s="125"/>
      <c r="F649" s="125"/>
      <c r="G649" s="125"/>
      <c r="K649" s="127"/>
    </row>
    <row r="650" spans="1:11" s="130" customFormat="1" x14ac:dyDescent="0.25">
      <c r="A650" s="123"/>
      <c r="B650" s="212"/>
      <c r="C650" s="127"/>
      <c r="D650" s="127"/>
      <c r="E650" s="125"/>
      <c r="F650" s="125"/>
      <c r="G650" s="125"/>
      <c r="K650" s="127"/>
    </row>
    <row r="651" spans="1:11" s="130" customFormat="1" x14ac:dyDescent="0.25">
      <c r="A651" s="123"/>
      <c r="B651" s="212"/>
      <c r="C651" s="127"/>
      <c r="D651" s="127"/>
      <c r="E651" s="125"/>
      <c r="F651" s="125"/>
      <c r="G651" s="125"/>
      <c r="K651" s="127"/>
    </row>
    <row r="652" spans="1:11" s="130" customFormat="1" x14ac:dyDescent="0.25">
      <c r="A652" s="123"/>
      <c r="B652" s="212"/>
      <c r="C652" s="127"/>
      <c r="D652" s="127"/>
      <c r="E652" s="125"/>
      <c r="F652" s="125"/>
      <c r="G652" s="125"/>
      <c r="K652" s="127"/>
    </row>
    <row r="653" spans="1:11" s="130" customFormat="1" x14ac:dyDescent="0.25">
      <c r="A653" s="123"/>
      <c r="B653" s="212"/>
      <c r="C653" s="127"/>
      <c r="D653" s="127"/>
      <c r="E653" s="125"/>
      <c r="F653" s="125"/>
      <c r="G653" s="125"/>
      <c r="K653" s="127"/>
    </row>
    <row r="654" spans="1:11" s="130" customFormat="1" x14ac:dyDescent="0.25">
      <c r="A654" s="123"/>
      <c r="B654" s="212"/>
      <c r="C654" s="127"/>
      <c r="D654" s="127"/>
      <c r="E654" s="125"/>
      <c r="F654" s="125"/>
      <c r="G654" s="125"/>
      <c r="K654" s="127"/>
    </row>
    <row r="655" spans="1:11" s="130" customFormat="1" x14ac:dyDescent="0.25">
      <c r="A655" s="123"/>
      <c r="B655" s="212"/>
      <c r="C655" s="127"/>
      <c r="D655" s="127"/>
      <c r="E655" s="125"/>
      <c r="F655" s="125"/>
      <c r="G655" s="125"/>
      <c r="K655" s="127"/>
    </row>
    <row r="656" spans="1:11" s="130" customFormat="1" x14ac:dyDescent="0.25">
      <c r="A656" s="123"/>
      <c r="B656" s="212"/>
      <c r="C656" s="127"/>
      <c r="D656" s="127"/>
      <c r="E656" s="125"/>
      <c r="F656" s="125"/>
      <c r="G656" s="125"/>
      <c r="K656" s="127"/>
    </row>
    <row r="657" spans="1:11" s="130" customFormat="1" x14ac:dyDescent="0.25">
      <c r="A657" s="123"/>
      <c r="B657" s="212"/>
      <c r="C657" s="127"/>
      <c r="D657" s="127"/>
      <c r="E657" s="125"/>
      <c r="F657" s="125"/>
      <c r="G657" s="125"/>
      <c r="K657" s="127"/>
    </row>
    <row r="658" spans="1:11" s="130" customFormat="1" x14ac:dyDescent="0.25">
      <c r="A658" s="123"/>
      <c r="B658" s="212"/>
      <c r="C658" s="127"/>
      <c r="D658" s="127"/>
      <c r="E658" s="125"/>
      <c r="F658" s="125"/>
      <c r="G658" s="125"/>
      <c r="K658" s="127"/>
    </row>
    <row r="659" spans="1:11" s="130" customFormat="1" x14ac:dyDescent="0.25">
      <c r="A659" s="123"/>
      <c r="B659" s="212"/>
      <c r="C659" s="127"/>
      <c r="D659" s="127"/>
      <c r="E659" s="125"/>
      <c r="F659" s="125"/>
      <c r="G659" s="125"/>
      <c r="K659" s="127"/>
    </row>
    <row r="660" spans="1:11" s="130" customFormat="1" x14ac:dyDescent="0.25">
      <c r="A660" s="123"/>
      <c r="B660" s="212"/>
      <c r="C660" s="127"/>
      <c r="D660" s="127"/>
      <c r="E660" s="125"/>
      <c r="F660" s="125"/>
      <c r="G660" s="125"/>
      <c r="K660" s="127"/>
    </row>
    <row r="661" spans="1:11" s="130" customFormat="1" x14ac:dyDescent="0.25">
      <c r="A661" s="123"/>
      <c r="B661" s="212"/>
      <c r="C661" s="127"/>
      <c r="D661" s="127"/>
      <c r="E661" s="125"/>
      <c r="F661" s="125"/>
      <c r="G661" s="125"/>
      <c r="K661" s="127"/>
    </row>
    <row r="662" spans="1:11" s="130" customFormat="1" x14ac:dyDescent="0.25">
      <c r="A662" s="123"/>
      <c r="B662" s="212"/>
      <c r="C662" s="127"/>
      <c r="D662" s="127"/>
      <c r="E662" s="125"/>
      <c r="F662" s="125"/>
      <c r="G662" s="125"/>
      <c r="K662" s="127"/>
    </row>
    <row r="663" spans="1:11" s="130" customFormat="1" x14ac:dyDescent="0.25">
      <c r="A663" s="123"/>
      <c r="B663" s="212"/>
      <c r="C663" s="127"/>
      <c r="D663" s="127"/>
      <c r="E663" s="125"/>
      <c r="F663" s="125"/>
      <c r="G663" s="125"/>
      <c r="K663" s="127"/>
    </row>
    <row r="664" spans="1:11" s="130" customFormat="1" x14ac:dyDescent="0.25">
      <c r="A664" s="123"/>
      <c r="B664" s="212"/>
      <c r="C664" s="127"/>
      <c r="D664" s="127"/>
      <c r="E664" s="125"/>
      <c r="F664" s="125"/>
      <c r="G664" s="125"/>
      <c r="K664" s="127"/>
    </row>
    <row r="665" spans="1:11" s="130" customFormat="1" x14ac:dyDescent="0.25">
      <c r="A665" s="123"/>
      <c r="B665" s="212"/>
      <c r="C665" s="127"/>
      <c r="D665" s="127"/>
      <c r="E665" s="125"/>
      <c r="F665" s="125"/>
      <c r="G665" s="125"/>
      <c r="K665" s="127"/>
    </row>
    <row r="666" spans="1:11" s="130" customFormat="1" x14ac:dyDescent="0.25">
      <c r="A666" s="123"/>
      <c r="B666" s="212"/>
      <c r="C666" s="127"/>
      <c r="D666" s="127"/>
      <c r="E666" s="125"/>
      <c r="F666" s="125"/>
      <c r="G666" s="125"/>
      <c r="K666" s="127"/>
    </row>
    <row r="667" spans="1:11" s="130" customFormat="1" x14ac:dyDescent="0.25">
      <c r="A667" s="123"/>
      <c r="B667" s="212"/>
      <c r="C667" s="127"/>
      <c r="D667" s="127"/>
      <c r="E667" s="125"/>
      <c r="F667" s="125"/>
      <c r="G667" s="125"/>
      <c r="K667" s="127"/>
    </row>
    <row r="668" spans="1:11" s="130" customFormat="1" x14ac:dyDescent="0.25">
      <c r="A668" s="123"/>
      <c r="B668" s="212"/>
      <c r="C668" s="127"/>
      <c r="D668" s="127"/>
      <c r="E668" s="125"/>
      <c r="F668" s="125"/>
      <c r="G668" s="125"/>
      <c r="K668" s="127"/>
    </row>
    <row r="669" spans="1:11" s="130" customFormat="1" x14ac:dyDescent="0.25">
      <c r="A669" s="123"/>
      <c r="B669" s="212"/>
      <c r="C669" s="127"/>
      <c r="D669" s="127"/>
      <c r="E669" s="125"/>
      <c r="F669" s="125"/>
      <c r="G669" s="125"/>
      <c r="K669" s="127"/>
    </row>
    <row r="670" spans="1:11" s="130" customFormat="1" x14ac:dyDescent="0.25">
      <c r="A670" s="123"/>
      <c r="B670" s="212"/>
      <c r="C670" s="127"/>
      <c r="D670" s="127"/>
      <c r="E670" s="125"/>
      <c r="F670" s="125"/>
      <c r="G670" s="125"/>
      <c r="K670" s="127"/>
    </row>
    <row r="671" spans="1:11" s="130" customFormat="1" x14ac:dyDescent="0.25">
      <c r="A671" s="123"/>
      <c r="B671" s="212"/>
      <c r="C671" s="127"/>
      <c r="D671" s="127"/>
      <c r="E671" s="125"/>
      <c r="F671" s="125"/>
      <c r="G671" s="125"/>
      <c r="K671" s="127"/>
    </row>
    <row r="672" spans="1:11" s="130" customFormat="1" x14ac:dyDescent="0.25">
      <c r="A672" s="123"/>
      <c r="B672" s="212"/>
      <c r="C672" s="127"/>
      <c r="D672" s="127"/>
      <c r="E672" s="125"/>
      <c r="F672" s="125"/>
      <c r="G672" s="125"/>
      <c r="K672" s="127"/>
    </row>
    <row r="673" spans="1:11" s="130" customFormat="1" x14ac:dyDescent="0.25">
      <c r="A673" s="123"/>
      <c r="B673" s="212"/>
      <c r="C673" s="127"/>
      <c r="D673" s="127"/>
      <c r="E673" s="125"/>
      <c r="F673" s="125"/>
      <c r="G673" s="125"/>
      <c r="K673" s="127"/>
    </row>
    <row r="674" spans="1:11" s="130" customFormat="1" x14ac:dyDescent="0.25">
      <c r="A674" s="123"/>
      <c r="B674" s="212"/>
      <c r="C674" s="127"/>
      <c r="D674" s="127"/>
      <c r="E674" s="125"/>
      <c r="F674" s="125"/>
      <c r="G674" s="125"/>
      <c r="K674" s="127"/>
    </row>
    <row r="675" spans="1:11" s="130" customFormat="1" x14ac:dyDescent="0.25">
      <c r="A675" s="123"/>
      <c r="B675" s="212"/>
      <c r="C675" s="127"/>
      <c r="D675" s="127"/>
      <c r="E675" s="125"/>
      <c r="F675" s="125"/>
      <c r="G675" s="125"/>
      <c r="K675" s="127"/>
    </row>
    <row r="676" spans="1:11" s="130" customFormat="1" x14ac:dyDescent="0.25">
      <c r="A676" s="123"/>
      <c r="B676" s="212"/>
      <c r="C676" s="127"/>
      <c r="D676" s="127"/>
      <c r="E676" s="125"/>
      <c r="F676" s="125"/>
      <c r="G676" s="125"/>
      <c r="K676" s="127"/>
    </row>
    <row r="677" spans="1:11" s="130" customFormat="1" x14ac:dyDescent="0.25">
      <c r="A677" s="123"/>
      <c r="B677" s="212"/>
      <c r="C677" s="127"/>
      <c r="D677" s="127"/>
      <c r="E677" s="125"/>
      <c r="F677" s="125"/>
      <c r="G677" s="125"/>
      <c r="K677" s="127"/>
    </row>
    <row r="678" spans="1:11" s="130" customFormat="1" x14ac:dyDescent="0.25">
      <c r="A678" s="123"/>
      <c r="B678" s="212"/>
      <c r="C678" s="127"/>
      <c r="D678" s="127"/>
      <c r="E678" s="125"/>
      <c r="F678" s="125"/>
      <c r="G678" s="125"/>
      <c r="K678" s="127"/>
    </row>
    <row r="679" spans="1:11" s="130" customFormat="1" x14ac:dyDescent="0.25">
      <c r="A679" s="123"/>
      <c r="B679" s="212"/>
      <c r="C679" s="127"/>
      <c r="D679" s="127"/>
      <c r="E679" s="125"/>
      <c r="F679" s="125"/>
      <c r="G679" s="125"/>
      <c r="K679" s="127"/>
    </row>
    <row r="680" spans="1:11" s="130" customFormat="1" x14ac:dyDescent="0.25">
      <c r="A680" s="123"/>
      <c r="B680" s="212"/>
      <c r="C680" s="127"/>
      <c r="D680" s="127"/>
      <c r="E680" s="125"/>
      <c r="F680" s="125"/>
      <c r="G680" s="125"/>
      <c r="K680" s="127"/>
    </row>
    <row r="681" spans="1:11" s="130" customFormat="1" x14ac:dyDescent="0.25">
      <c r="A681" s="123"/>
      <c r="B681" s="212"/>
      <c r="C681" s="127"/>
      <c r="D681" s="127"/>
      <c r="E681" s="125"/>
      <c r="F681" s="125"/>
      <c r="G681" s="125"/>
      <c r="K681" s="127"/>
    </row>
    <row r="682" spans="1:11" s="130" customFormat="1" x14ac:dyDescent="0.25">
      <c r="A682" s="123"/>
      <c r="B682" s="212"/>
      <c r="C682" s="127"/>
      <c r="D682" s="127"/>
      <c r="E682" s="125"/>
      <c r="F682" s="125"/>
      <c r="G682" s="125"/>
      <c r="K682" s="127"/>
    </row>
    <row r="683" spans="1:11" s="130" customFormat="1" x14ac:dyDescent="0.25">
      <c r="A683" s="123"/>
      <c r="B683" s="212"/>
      <c r="C683" s="127"/>
      <c r="D683" s="127"/>
      <c r="E683" s="125"/>
      <c r="F683" s="125"/>
      <c r="G683" s="125"/>
      <c r="K683" s="127"/>
    </row>
    <row r="684" spans="1:11" s="130" customFormat="1" x14ac:dyDescent="0.25">
      <c r="A684" s="123"/>
      <c r="B684" s="212"/>
      <c r="C684" s="127"/>
      <c r="D684" s="127"/>
      <c r="E684" s="125"/>
      <c r="F684" s="125"/>
      <c r="G684" s="125"/>
      <c r="K684" s="127"/>
    </row>
    <row r="685" spans="1:11" s="130" customFormat="1" x14ac:dyDescent="0.25">
      <c r="A685" s="123"/>
      <c r="B685" s="212"/>
      <c r="C685" s="127"/>
      <c r="D685" s="127"/>
      <c r="E685" s="125"/>
      <c r="F685" s="125"/>
      <c r="G685" s="125"/>
      <c r="K685" s="127"/>
    </row>
    <row r="686" spans="1:11" s="130" customFormat="1" x14ac:dyDescent="0.25">
      <c r="A686" s="123"/>
      <c r="B686" s="212"/>
      <c r="C686" s="127"/>
      <c r="D686" s="127"/>
      <c r="E686" s="125"/>
      <c r="F686" s="125"/>
      <c r="G686" s="125"/>
      <c r="K686" s="127"/>
    </row>
    <row r="687" spans="1:11" s="130" customFormat="1" x14ac:dyDescent="0.25">
      <c r="A687" s="123"/>
      <c r="B687" s="212"/>
      <c r="C687" s="127"/>
      <c r="D687" s="127"/>
      <c r="E687" s="125"/>
      <c r="F687" s="125"/>
      <c r="G687" s="125"/>
      <c r="K687" s="127"/>
    </row>
    <row r="688" spans="1:11" s="130" customFormat="1" x14ac:dyDescent="0.25">
      <c r="A688" s="123"/>
      <c r="B688" s="212"/>
      <c r="C688" s="127"/>
      <c r="D688" s="127"/>
      <c r="E688" s="125"/>
      <c r="F688" s="125"/>
      <c r="G688" s="125"/>
      <c r="K688" s="127"/>
    </row>
    <row r="689" spans="1:11" s="130" customFormat="1" x14ac:dyDescent="0.25">
      <c r="A689" s="123"/>
      <c r="B689" s="212"/>
      <c r="C689" s="127"/>
      <c r="D689" s="127"/>
      <c r="E689" s="125"/>
      <c r="F689" s="125"/>
      <c r="G689" s="125"/>
      <c r="K689" s="127"/>
    </row>
    <row r="690" spans="1:11" s="130" customFormat="1" x14ac:dyDescent="0.25">
      <c r="A690" s="123"/>
      <c r="B690" s="212"/>
      <c r="C690" s="127"/>
      <c r="D690" s="127"/>
      <c r="E690" s="125"/>
      <c r="F690" s="125"/>
      <c r="G690" s="125"/>
      <c r="K690" s="127"/>
    </row>
    <row r="691" spans="1:11" s="130" customFormat="1" x14ac:dyDescent="0.25">
      <c r="A691" s="123"/>
      <c r="B691" s="212"/>
      <c r="C691" s="127"/>
      <c r="D691" s="127"/>
      <c r="E691" s="125"/>
      <c r="F691" s="125"/>
      <c r="G691" s="125"/>
      <c r="K691" s="127"/>
    </row>
    <row r="692" spans="1:11" s="130" customFormat="1" x14ac:dyDescent="0.25">
      <c r="A692" s="123"/>
      <c r="B692" s="212"/>
      <c r="C692" s="127"/>
      <c r="D692" s="127"/>
      <c r="E692" s="125"/>
      <c r="F692" s="125"/>
      <c r="G692" s="125"/>
      <c r="K692" s="127"/>
    </row>
    <row r="693" spans="1:11" s="130" customFormat="1" x14ac:dyDescent="0.25">
      <c r="A693" s="123"/>
      <c r="B693" s="212"/>
      <c r="C693" s="127"/>
      <c r="D693" s="127"/>
      <c r="E693" s="125"/>
      <c r="F693" s="125"/>
      <c r="G693" s="125"/>
      <c r="K693" s="127"/>
    </row>
    <row r="694" spans="1:11" s="130" customFormat="1" x14ac:dyDescent="0.25">
      <c r="A694" s="123"/>
      <c r="B694" s="212"/>
      <c r="C694" s="127"/>
      <c r="D694" s="127"/>
      <c r="E694" s="125"/>
      <c r="F694" s="125"/>
      <c r="G694" s="125"/>
      <c r="K694" s="127"/>
    </row>
    <row r="695" spans="1:11" s="130" customFormat="1" x14ac:dyDescent="0.25">
      <c r="A695" s="123"/>
      <c r="B695" s="212"/>
      <c r="C695" s="127"/>
      <c r="D695" s="127"/>
      <c r="E695" s="125"/>
      <c r="F695" s="125"/>
      <c r="G695" s="125"/>
      <c r="K695" s="127"/>
    </row>
    <row r="696" spans="1:11" s="130" customFormat="1" x14ac:dyDescent="0.25">
      <c r="A696" s="123"/>
      <c r="B696" s="212"/>
      <c r="C696" s="127"/>
      <c r="D696" s="127"/>
      <c r="E696" s="125"/>
      <c r="F696" s="125"/>
      <c r="G696" s="125"/>
      <c r="K696" s="127"/>
    </row>
    <row r="697" spans="1:11" s="130" customFormat="1" x14ac:dyDescent="0.25">
      <c r="A697" s="123"/>
      <c r="B697" s="212"/>
      <c r="C697" s="127"/>
      <c r="D697" s="127"/>
      <c r="E697" s="125"/>
      <c r="F697" s="125"/>
      <c r="G697" s="125"/>
      <c r="K697" s="127"/>
    </row>
    <row r="698" spans="1:11" s="130" customFormat="1" x14ac:dyDescent="0.25">
      <c r="A698" s="123"/>
      <c r="B698" s="212"/>
      <c r="C698" s="127"/>
      <c r="D698" s="127"/>
      <c r="E698" s="125"/>
      <c r="F698" s="125"/>
      <c r="G698" s="125"/>
      <c r="K698" s="127"/>
    </row>
    <row r="699" spans="1:11" s="130" customFormat="1" x14ac:dyDescent="0.25">
      <c r="A699" s="123"/>
      <c r="B699" s="212"/>
      <c r="C699" s="127"/>
      <c r="D699" s="127"/>
      <c r="E699" s="125"/>
      <c r="F699" s="125"/>
      <c r="G699" s="125"/>
      <c r="K699" s="127"/>
    </row>
    <row r="700" spans="1:11" s="130" customFormat="1" x14ac:dyDescent="0.25">
      <c r="A700" s="123"/>
      <c r="B700" s="212"/>
      <c r="C700" s="127"/>
      <c r="D700" s="127"/>
      <c r="E700" s="125"/>
      <c r="F700" s="125"/>
      <c r="G700" s="125"/>
      <c r="K700" s="127"/>
    </row>
    <row r="701" spans="1:11" s="130" customFormat="1" x14ac:dyDescent="0.25">
      <c r="A701" s="123"/>
      <c r="B701" s="212"/>
      <c r="C701" s="127"/>
      <c r="D701" s="127"/>
      <c r="E701" s="125"/>
      <c r="F701" s="125"/>
      <c r="G701" s="125"/>
      <c r="K701" s="127"/>
    </row>
    <row r="702" spans="1:11" s="130" customFormat="1" x14ac:dyDescent="0.25">
      <c r="A702" s="123"/>
      <c r="B702" s="212"/>
      <c r="C702" s="127"/>
      <c r="D702" s="127"/>
      <c r="E702" s="125"/>
      <c r="F702" s="125"/>
      <c r="G702" s="125"/>
      <c r="K702" s="127"/>
    </row>
    <row r="703" spans="1:11" s="130" customFormat="1" x14ac:dyDescent="0.25">
      <c r="A703" s="123"/>
      <c r="B703" s="212"/>
      <c r="C703" s="127"/>
      <c r="D703" s="127"/>
      <c r="E703" s="125"/>
      <c r="F703" s="125"/>
      <c r="G703" s="125"/>
      <c r="K703" s="127"/>
    </row>
    <row r="704" spans="1:11" s="130" customFormat="1" x14ac:dyDescent="0.25">
      <c r="A704" s="123"/>
      <c r="B704" s="212"/>
      <c r="C704" s="127"/>
      <c r="D704" s="127"/>
      <c r="E704" s="125"/>
      <c r="F704" s="125"/>
      <c r="G704" s="125"/>
      <c r="K704" s="127"/>
    </row>
    <row r="705" spans="1:11" s="130" customFormat="1" x14ac:dyDescent="0.25">
      <c r="A705" s="123"/>
      <c r="B705" s="212"/>
      <c r="C705" s="127"/>
      <c r="D705" s="127"/>
      <c r="E705" s="125"/>
      <c r="F705" s="125"/>
      <c r="G705" s="125"/>
      <c r="K705" s="127"/>
    </row>
    <row r="706" spans="1:11" s="130" customFormat="1" x14ac:dyDescent="0.25">
      <c r="A706" s="123"/>
      <c r="B706" s="212"/>
      <c r="C706" s="127"/>
      <c r="D706" s="127"/>
      <c r="E706" s="125"/>
      <c r="F706" s="125"/>
      <c r="G706" s="125"/>
      <c r="K706" s="127"/>
    </row>
    <row r="707" spans="1:11" s="130" customFormat="1" x14ac:dyDescent="0.25">
      <c r="A707" s="123"/>
      <c r="B707" s="212"/>
      <c r="C707" s="127"/>
      <c r="D707" s="127"/>
      <c r="E707" s="125"/>
      <c r="F707" s="125"/>
      <c r="G707" s="125"/>
      <c r="K707" s="127"/>
    </row>
    <row r="708" spans="1:11" s="130" customFormat="1" x14ac:dyDescent="0.25">
      <c r="A708" s="123"/>
      <c r="B708" s="212"/>
      <c r="C708" s="127"/>
      <c r="D708" s="127"/>
      <c r="E708" s="125"/>
      <c r="F708" s="125"/>
      <c r="G708" s="125"/>
      <c r="K708" s="127"/>
    </row>
    <row r="709" spans="1:11" s="130" customFormat="1" x14ac:dyDescent="0.25">
      <c r="A709" s="123"/>
      <c r="B709" s="212"/>
      <c r="C709" s="127"/>
      <c r="D709" s="127"/>
      <c r="E709" s="125"/>
      <c r="F709" s="125"/>
      <c r="G709" s="125"/>
      <c r="K709" s="127"/>
    </row>
    <row r="710" spans="1:11" s="130" customFormat="1" x14ac:dyDescent="0.25">
      <c r="A710" s="123"/>
      <c r="B710" s="212"/>
      <c r="C710" s="127"/>
      <c r="D710" s="127"/>
      <c r="E710" s="125"/>
      <c r="F710" s="125"/>
      <c r="G710" s="125"/>
      <c r="K710" s="127"/>
    </row>
    <row r="711" spans="1:11" s="130" customFormat="1" x14ac:dyDescent="0.25">
      <c r="A711" s="123"/>
      <c r="B711" s="212"/>
      <c r="C711" s="127"/>
      <c r="D711" s="127"/>
      <c r="E711" s="125"/>
      <c r="F711" s="125"/>
      <c r="G711" s="125"/>
      <c r="K711" s="127"/>
    </row>
    <row r="712" spans="1:11" s="130" customFormat="1" x14ac:dyDescent="0.25">
      <c r="A712" s="123"/>
      <c r="B712" s="212"/>
      <c r="C712" s="127"/>
      <c r="D712" s="127"/>
      <c r="E712" s="125"/>
      <c r="F712" s="125"/>
      <c r="G712" s="125"/>
      <c r="K712" s="127"/>
    </row>
    <row r="713" spans="1:11" s="130" customFormat="1" x14ac:dyDescent="0.25">
      <c r="A713" s="123"/>
      <c r="B713" s="212"/>
      <c r="C713" s="127"/>
      <c r="D713" s="127"/>
      <c r="E713" s="125"/>
      <c r="F713" s="125"/>
      <c r="G713" s="125"/>
      <c r="K713" s="127"/>
    </row>
    <row r="714" spans="1:11" s="130" customFormat="1" x14ac:dyDescent="0.25">
      <c r="A714" s="123"/>
      <c r="B714" s="212"/>
      <c r="C714" s="127"/>
      <c r="D714" s="127"/>
      <c r="E714" s="125"/>
      <c r="F714" s="125"/>
      <c r="G714" s="125"/>
      <c r="K714" s="127"/>
    </row>
    <row r="715" spans="1:11" s="130" customFormat="1" x14ac:dyDescent="0.25">
      <c r="A715" s="123"/>
      <c r="B715" s="212"/>
      <c r="C715" s="127"/>
      <c r="D715" s="127"/>
      <c r="E715" s="125"/>
      <c r="F715" s="125"/>
      <c r="G715" s="125"/>
      <c r="K715" s="127"/>
    </row>
    <row r="716" spans="1:11" s="130" customFormat="1" x14ac:dyDescent="0.25">
      <c r="A716" s="123"/>
      <c r="B716" s="212"/>
      <c r="C716" s="127"/>
      <c r="D716" s="127"/>
      <c r="E716" s="125"/>
      <c r="F716" s="125"/>
      <c r="G716" s="125"/>
      <c r="K716" s="127"/>
    </row>
    <row r="717" spans="1:11" s="130" customFormat="1" x14ac:dyDescent="0.25">
      <c r="A717" s="123"/>
      <c r="B717" s="212"/>
      <c r="C717" s="127"/>
      <c r="D717" s="127"/>
      <c r="E717" s="125"/>
      <c r="F717" s="125"/>
      <c r="G717" s="125"/>
      <c r="K717" s="127"/>
    </row>
    <row r="718" spans="1:11" s="130" customFormat="1" x14ac:dyDescent="0.25">
      <c r="A718" s="123"/>
      <c r="B718" s="212"/>
      <c r="C718" s="127"/>
      <c r="D718" s="127"/>
      <c r="E718" s="125"/>
      <c r="F718" s="125"/>
      <c r="G718" s="125"/>
      <c r="K718" s="127"/>
    </row>
    <row r="719" spans="1:11" s="130" customFormat="1" x14ac:dyDescent="0.25">
      <c r="A719" s="123"/>
      <c r="B719" s="212"/>
      <c r="C719" s="127"/>
      <c r="D719" s="127"/>
      <c r="E719" s="125"/>
      <c r="F719" s="125"/>
      <c r="G719" s="125"/>
      <c r="K719" s="127"/>
    </row>
    <row r="720" spans="1:11" s="130" customFormat="1" x14ac:dyDescent="0.25">
      <c r="A720" s="123"/>
      <c r="B720" s="212"/>
      <c r="C720" s="127"/>
      <c r="D720" s="127"/>
      <c r="E720" s="125"/>
      <c r="F720" s="125"/>
      <c r="G720" s="125"/>
      <c r="K720" s="127"/>
    </row>
    <row r="721" spans="1:11" s="130" customFormat="1" x14ac:dyDescent="0.25">
      <c r="A721" s="123"/>
      <c r="B721" s="212"/>
      <c r="C721" s="127"/>
      <c r="D721" s="127"/>
      <c r="E721" s="125"/>
      <c r="F721" s="125"/>
      <c r="G721" s="125"/>
      <c r="K721" s="127"/>
    </row>
    <row r="722" spans="1:11" s="130" customFormat="1" x14ac:dyDescent="0.25">
      <c r="A722" s="123"/>
      <c r="B722" s="212"/>
      <c r="C722" s="127"/>
      <c r="D722" s="127"/>
      <c r="E722" s="125"/>
      <c r="F722" s="125"/>
      <c r="G722" s="125"/>
      <c r="K722" s="127"/>
    </row>
    <row r="723" spans="1:11" s="130" customFormat="1" x14ac:dyDescent="0.25">
      <c r="A723" s="123"/>
      <c r="B723" s="212"/>
      <c r="C723" s="127"/>
      <c r="D723" s="127"/>
      <c r="E723" s="125"/>
      <c r="F723" s="125"/>
      <c r="G723" s="125"/>
      <c r="K723" s="127"/>
    </row>
    <row r="724" spans="1:11" s="130" customFormat="1" x14ac:dyDescent="0.25">
      <c r="A724" s="123"/>
      <c r="B724" s="212"/>
      <c r="C724" s="127"/>
      <c r="D724" s="127"/>
      <c r="E724" s="125"/>
      <c r="F724" s="125"/>
      <c r="G724" s="125"/>
      <c r="K724" s="127"/>
    </row>
    <row r="725" spans="1:11" s="130" customFormat="1" x14ac:dyDescent="0.25">
      <c r="A725" s="123"/>
      <c r="B725" s="212"/>
      <c r="C725" s="127"/>
      <c r="D725" s="127"/>
      <c r="E725" s="125"/>
      <c r="F725" s="125"/>
      <c r="G725" s="125"/>
      <c r="K725" s="127"/>
    </row>
    <row r="726" spans="1:11" s="130" customFormat="1" x14ac:dyDescent="0.25">
      <c r="A726" s="123"/>
      <c r="B726" s="212"/>
      <c r="C726" s="127"/>
      <c r="D726" s="127"/>
      <c r="E726" s="125"/>
      <c r="F726" s="125"/>
      <c r="G726" s="125"/>
      <c r="K726" s="127"/>
    </row>
    <row r="727" spans="1:11" s="130" customFormat="1" x14ac:dyDescent="0.25">
      <c r="A727" s="123"/>
      <c r="B727" s="212"/>
      <c r="C727" s="127"/>
      <c r="D727" s="127"/>
      <c r="E727" s="125"/>
      <c r="F727" s="125"/>
      <c r="G727" s="125"/>
      <c r="K727" s="127"/>
    </row>
    <row r="728" spans="1:11" s="130" customFormat="1" x14ac:dyDescent="0.25">
      <c r="A728" s="123"/>
      <c r="B728" s="212"/>
      <c r="C728" s="127"/>
      <c r="D728" s="127"/>
      <c r="E728" s="125"/>
      <c r="F728" s="125"/>
      <c r="G728" s="125"/>
      <c r="K728" s="127"/>
    </row>
    <row r="729" spans="1:11" s="130" customFormat="1" x14ac:dyDescent="0.25">
      <c r="A729" s="123"/>
      <c r="B729" s="212"/>
      <c r="C729" s="127"/>
      <c r="D729" s="127"/>
      <c r="E729" s="125"/>
      <c r="F729" s="125"/>
      <c r="G729" s="125"/>
      <c r="K729" s="127"/>
    </row>
    <row r="730" spans="1:11" s="130" customFormat="1" x14ac:dyDescent="0.25">
      <c r="A730" s="123"/>
      <c r="B730" s="212"/>
      <c r="C730" s="127"/>
      <c r="D730" s="127"/>
      <c r="E730" s="125"/>
      <c r="F730" s="125"/>
      <c r="G730" s="125"/>
      <c r="K730" s="127"/>
    </row>
    <row r="731" spans="1:11" s="130" customFormat="1" x14ac:dyDescent="0.25">
      <c r="A731" s="123"/>
      <c r="B731" s="212"/>
      <c r="C731" s="127"/>
      <c r="D731" s="127"/>
      <c r="E731" s="125"/>
      <c r="F731" s="125"/>
      <c r="G731" s="125"/>
      <c r="K731" s="127"/>
    </row>
    <row r="732" spans="1:11" s="130" customFormat="1" x14ac:dyDescent="0.25">
      <c r="A732" s="123"/>
      <c r="B732" s="212"/>
      <c r="C732" s="127"/>
      <c r="D732" s="127"/>
      <c r="E732" s="125"/>
      <c r="F732" s="125"/>
      <c r="G732" s="125"/>
      <c r="K732" s="127"/>
    </row>
    <row r="733" spans="1:11" s="130" customFormat="1" x14ac:dyDescent="0.25">
      <c r="A733" s="123"/>
      <c r="B733" s="212"/>
      <c r="C733" s="127"/>
      <c r="D733" s="127"/>
      <c r="E733" s="125"/>
      <c r="F733" s="125"/>
      <c r="G733" s="125"/>
      <c r="K733" s="127"/>
    </row>
    <row r="734" spans="1:11" s="130" customFormat="1" x14ac:dyDescent="0.25">
      <c r="A734" s="123"/>
      <c r="B734" s="212"/>
      <c r="C734" s="127"/>
      <c r="D734" s="127"/>
      <c r="E734" s="125"/>
      <c r="F734" s="125"/>
      <c r="G734" s="125"/>
      <c r="K734" s="127"/>
    </row>
    <row r="735" spans="1:11" s="130" customFormat="1" x14ac:dyDescent="0.25">
      <c r="A735" s="123"/>
      <c r="B735" s="212"/>
      <c r="C735" s="127"/>
      <c r="D735" s="127"/>
      <c r="E735" s="125"/>
      <c r="F735" s="125"/>
      <c r="G735" s="125"/>
      <c r="K735" s="127"/>
    </row>
    <row r="736" spans="1:11" s="130" customFormat="1" x14ac:dyDescent="0.25">
      <c r="A736" s="123"/>
      <c r="B736" s="212"/>
      <c r="C736" s="127"/>
      <c r="D736" s="127"/>
      <c r="E736" s="125"/>
      <c r="F736" s="125"/>
      <c r="G736" s="125"/>
      <c r="K736" s="127"/>
    </row>
    <row r="737" spans="1:11" s="130" customFormat="1" x14ac:dyDescent="0.25">
      <c r="A737" s="123"/>
      <c r="B737" s="212"/>
      <c r="C737" s="127"/>
      <c r="D737" s="127"/>
      <c r="E737" s="125"/>
      <c r="F737" s="125"/>
      <c r="G737" s="125"/>
      <c r="K737" s="127"/>
    </row>
    <row r="738" spans="1:11" s="130" customFormat="1" x14ac:dyDescent="0.25">
      <c r="A738" s="123"/>
      <c r="B738" s="212"/>
      <c r="C738" s="127"/>
      <c r="D738" s="127"/>
      <c r="E738" s="125"/>
      <c r="F738" s="125"/>
      <c r="G738" s="125"/>
      <c r="K738" s="127"/>
    </row>
    <row r="739" spans="1:11" s="130" customFormat="1" x14ac:dyDescent="0.25">
      <c r="A739" s="123"/>
      <c r="B739" s="212"/>
      <c r="C739" s="127"/>
      <c r="D739" s="127"/>
      <c r="E739" s="125"/>
      <c r="F739" s="125"/>
      <c r="G739" s="125"/>
      <c r="K739" s="127"/>
    </row>
    <row r="740" spans="1:11" s="130" customFormat="1" x14ac:dyDescent="0.25">
      <c r="A740" s="123"/>
      <c r="B740" s="212"/>
      <c r="C740" s="127"/>
      <c r="D740" s="127"/>
      <c r="E740" s="125"/>
      <c r="F740" s="125"/>
      <c r="G740" s="125"/>
      <c r="K740" s="127"/>
    </row>
    <row r="741" spans="1:11" s="130" customFormat="1" x14ac:dyDescent="0.25">
      <c r="A741" s="123"/>
      <c r="B741" s="212"/>
      <c r="C741" s="127"/>
      <c r="D741" s="127"/>
      <c r="E741" s="125"/>
      <c r="F741" s="125"/>
      <c r="G741" s="125"/>
      <c r="K741" s="127"/>
    </row>
    <row r="742" spans="1:11" s="130" customFormat="1" x14ac:dyDescent="0.25">
      <c r="A742" s="123"/>
      <c r="B742" s="212"/>
      <c r="C742" s="127"/>
      <c r="D742" s="127"/>
      <c r="E742" s="125"/>
      <c r="F742" s="125"/>
      <c r="G742" s="125"/>
      <c r="K742" s="127"/>
    </row>
    <row r="743" spans="1:11" s="130" customFormat="1" x14ac:dyDescent="0.25">
      <c r="A743" s="123"/>
      <c r="B743" s="212"/>
      <c r="C743" s="127"/>
      <c r="D743" s="127"/>
      <c r="E743" s="125"/>
      <c r="F743" s="125"/>
      <c r="G743" s="125"/>
      <c r="K743" s="127"/>
    </row>
    <row r="744" spans="1:11" s="130" customFormat="1" x14ac:dyDescent="0.25">
      <c r="A744" s="123"/>
      <c r="B744" s="212"/>
      <c r="C744" s="127"/>
      <c r="D744" s="127"/>
      <c r="E744" s="125"/>
      <c r="F744" s="125"/>
      <c r="G744" s="125"/>
      <c r="K744" s="127"/>
    </row>
    <row r="745" spans="1:11" s="130" customFormat="1" x14ac:dyDescent="0.25">
      <c r="A745" s="123"/>
      <c r="B745" s="212"/>
      <c r="C745" s="127"/>
      <c r="D745" s="127"/>
      <c r="E745" s="125"/>
      <c r="F745" s="125"/>
      <c r="G745" s="125"/>
      <c r="K745" s="127"/>
    </row>
    <row r="746" spans="1:11" s="130" customFormat="1" x14ac:dyDescent="0.25">
      <c r="A746" s="123"/>
      <c r="B746" s="212"/>
      <c r="C746" s="127"/>
      <c r="D746" s="127"/>
      <c r="E746" s="125"/>
      <c r="F746" s="125"/>
      <c r="G746" s="125"/>
      <c r="K746" s="127"/>
    </row>
    <row r="747" spans="1:11" s="130" customFormat="1" x14ac:dyDescent="0.25">
      <c r="A747" s="123"/>
      <c r="B747" s="212"/>
      <c r="C747" s="127"/>
      <c r="D747" s="127"/>
      <c r="E747" s="125"/>
      <c r="F747" s="125"/>
      <c r="G747" s="125"/>
      <c r="K747" s="127"/>
    </row>
    <row r="748" spans="1:11" s="130" customFormat="1" x14ac:dyDescent="0.25">
      <c r="A748" s="123"/>
      <c r="B748" s="212"/>
      <c r="C748" s="127"/>
      <c r="D748" s="127"/>
      <c r="E748" s="125"/>
      <c r="F748" s="125"/>
      <c r="G748" s="125"/>
      <c r="K748" s="127"/>
    </row>
    <row r="749" spans="1:11" s="130" customFormat="1" x14ac:dyDescent="0.25">
      <c r="A749" s="123"/>
      <c r="B749" s="212"/>
      <c r="C749" s="127"/>
      <c r="D749" s="127"/>
      <c r="E749" s="125"/>
      <c r="F749" s="125"/>
      <c r="G749" s="125"/>
      <c r="K749" s="127"/>
    </row>
    <row r="750" spans="1:11" s="130" customFormat="1" x14ac:dyDescent="0.25">
      <c r="A750" s="123"/>
      <c r="B750" s="212"/>
      <c r="C750" s="127"/>
      <c r="D750" s="127"/>
      <c r="E750" s="125"/>
      <c r="F750" s="125"/>
      <c r="G750" s="125"/>
      <c r="K750" s="127"/>
    </row>
    <row r="751" spans="1:11" s="130" customFormat="1" x14ac:dyDescent="0.25">
      <c r="A751" s="123"/>
      <c r="B751" s="212"/>
      <c r="C751" s="127"/>
      <c r="D751" s="127"/>
      <c r="E751" s="125"/>
      <c r="F751" s="125"/>
      <c r="G751" s="125"/>
      <c r="K751" s="127"/>
    </row>
    <row r="752" spans="1:11" s="130" customFormat="1" x14ac:dyDescent="0.25">
      <c r="A752" s="123"/>
      <c r="B752" s="212"/>
      <c r="C752" s="127"/>
      <c r="D752" s="127"/>
      <c r="E752" s="125"/>
      <c r="F752" s="125"/>
      <c r="G752" s="125"/>
      <c r="K752" s="127"/>
    </row>
    <row r="753" spans="1:11" s="130" customFormat="1" x14ac:dyDescent="0.25">
      <c r="A753" s="123"/>
      <c r="B753" s="212"/>
      <c r="C753" s="127"/>
      <c r="D753" s="127"/>
      <c r="E753" s="125"/>
      <c r="F753" s="125"/>
      <c r="G753" s="125"/>
      <c r="K753" s="127"/>
    </row>
    <row r="754" spans="1:11" s="130" customFormat="1" x14ac:dyDescent="0.25">
      <c r="A754" s="123"/>
      <c r="B754" s="212"/>
      <c r="C754" s="127"/>
      <c r="D754" s="127"/>
      <c r="E754" s="125"/>
      <c r="F754" s="125"/>
      <c r="G754" s="125"/>
      <c r="K754" s="127"/>
    </row>
    <row r="755" spans="1:11" s="130" customFormat="1" x14ac:dyDescent="0.25">
      <c r="A755" s="123"/>
      <c r="B755" s="212"/>
      <c r="C755" s="127"/>
      <c r="D755" s="127"/>
      <c r="E755" s="125"/>
      <c r="F755" s="125"/>
      <c r="G755" s="125"/>
      <c r="K755" s="127"/>
    </row>
    <row r="756" spans="1:11" s="130" customFormat="1" x14ac:dyDescent="0.25">
      <c r="A756" s="123"/>
      <c r="B756" s="212"/>
      <c r="C756" s="127"/>
      <c r="D756" s="127"/>
      <c r="E756" s="125"/>
      <c r="F756" s="125"/>
      <c r="G756" s="125"/>
      <c r="K756" s="127"/>
    </row>
    <row r="757" spans="1:11" s="130" customFormat="1" x14ac:dyDescent="0.25">
      <c r="A757" s="123"/>
      <c r="B757" s="212"/>
      <c r="C757" s="127"/>
      <c r="D757" s="127"/>
      <c r="E757" s="125"/>
      <c r="F757" s="125"/>
      <c r="G757" s="125"/>
      <c r="K757" s="127"/>
    </row>
    <row r="758" spans="1:11" s="130" customFormat="1" x14ac:dyDescent="0.25">
      <c r="A758" s="123"/>
      <c r="B758" s="212"/>
      <c r="C758" s="127"/>
      <c r="D758" s="127"/>
      <c r="E758" s="125"/>
      <c r="F758" s="125"/>
      <c r="G758" s="125"/>
      <c r="K758" s="127"/>
    </row>
    <row r="759" spans="1:11" s="130" customFormat="1" x14ac:dyDescent="0.25">
      <c r="A759" s="123"/>
      <c r="B759" s="212"/>
      <c r="C759" s="127"/>
      <c r="D759" s="127"/>
      <c r="E759" s="125"/>
      <c r="F759" s="125"/>
      <c r="G759" s="125"/>
      <c r="K759" s="127"/>
    </row>
    <row r="760" spans="1:11" s="130" customFormat="1" x14ac:dyDescent="0.25">
      <c r="A760" s="123"/>
      <c r="B760" s="212"/>
      <c r="C760" s="127"/>
      <c r="D760" s="127"/>
      <c r="E760" s="125"/>
      <c r="F760" s="125"/>
      <c r="G760" s="125"/>
      <c r="K760" s="127"/>
    </row>
    <row r="761" spans="1:11" s="130" customFormat="1" x14ac:dyDescent="0.25">
      <c r="A761" s="123"/>
      <c r="B761" s="212"/>
      <c r="C761" s="127"/>
      <c r="D761" s="127"/>
      <c r="E761" s="125"/>
      <c r="F761" s="125"/>
      <c r="G761" s="125"/>
      <c r="K761" s="127"/>
    </row>
    <row r="762" spans="1:11" s="130" customFormat="1" x14ac:dyDescent="0.25">
      <c r="A762" s="123"/>
      <c r="B762" s="212"/>
      <c r="C762" s="127"/>
      <c r="D762" s="127"/>
      <c r="E762" s="125"/>
      <c r="F762" s="125"/>
      <c r="G762" s="125"/>
      <c r="K762" s="127"/>
    </row>
    <row r="763" spans="1:11" s="130" customFormat="1" x14ac:dyDescent="0.25">
      <c r="A763" s="123"/>
      <c r="B763" s="212"/>
      <c r="C763" s="127"/>
      <c r="D763" s="127"/>
      <c r="E763" s="125"/>
      <c r="F763" s="125"/>
      <c r="G763" s="125"/>
      <c r="K763" s="127"/>
    </row>
    <row r="764" spans="1:11" s="130" customFormat="1" x14ac:dyDescent="0.25">
      <c r="A764" s="123"/>
      <c r="B764" s="212"/>
      <c r="C764" s="127"/>
      <c r="D764" s="127"/>
      <c r="E764" s="125"/>
      <c r="F764" s="125"/>
      <c r="G764" s="125"/>
      <c r="K764" s="127"/>
    </row>
    <row r="765" spans="1:11" s="130" customFormat="1" x14ac:dyDescent="0.25">
      <c r="A765" s="123"/>
      <c r="B765" s="212"/>
      <c r="C765" s="127"/>
      <c r="D765" s="127"/>
      <c r="E765" s="125"/>
      <c r="F765" s="125"/>
      <c r="G765" s="125"/>
      <c r="K765" s="127"/>
    </row>
    <row r="766" spans="1:11" s="130" customFormat="1" x14ac:dyDescent="0.25">
      <c r="A766" s="123"/>
      <c r="B766" s="212"/>
      <c r="C766" s="127"/>
      <c r="D766" s="127"/>
      <c r="E766" s="125"/>
      <c r="F766" s="125"/>
      <c r="G766" s="125"/>
      <c r="K766" s="127"/>
    </row>
    <row r="767" spans="1:11" s="130" customFormat="1" x14ac:dyDescent="0.25">
      <c r="A767" s="123"/>
      <c r="B767" s="212"/>
      <c r="C767" s="127"/>
      <c r="D767" s="127"/>
      <c r="E767" s="125"/>
      <c r="F767" s="125"/>
      <c r="G767" s="125"/>
      <c r="K767" s="127"/>
    </row>
    <row r="768" spans="1:11" s="130" customFormat="1" x14ac:dyDescent="0.25">
      <c r="A768" s="123"/>
      <c r="B768" s="212"/>
      <c r="C768" s="127"/>
      <c r="D768" s="127"/>
      <c r="E768" s="125"/>
      <c r="F768" s="125"/>
      <c r="G768" s="125"/>
      <c r="K768" s="127"/>
    </row>
    <row r="769" spans="1:11" s="130" customFormat="1" x14ac:dyDescent="0.25">
      <c r="A769" s="123"/>
      <c r="B769" s="212"/>
      <c r="C769" s="127"/>
      <c r="D769" s="127"/>
      <c r="E769" s="125"/>
      <c r="F769" s="125"/>
      <c r="G769" s="125"/>
      <c r="K769" s="127"/>
    </row>
    <row r="770" spans="1:11" s="130" customFormat="1" x14ac:dyDescent="0.25">
      <c r="A770" s="123"/>
      <c r="B770" s="212"/>
      <c r="C770" s="127"/>
      <c r="D770" s="127"/>
      <c r="E770" s="125"/>
      <c r="F770" s="125"/>
      <c r="G770" s="125"/>
      <c r="K770" s="127"/>
    </row>
    <row r="771" spans="1:11" s="130" customFormat="1" x14ac:dyDescent="0.25">
      <c r="A771" s="123"/>
      <c r="B771" s="212"/>
      <c r="C771" s="127"/>
      <c r="D771" s="127"/>
      <c r="E771" s="125"/>
      <c r="F771" s="125"/>
      <c r="G771" s="125"/>
      <c r="K771" s="127"/>
    </row>
    <row r="772" spans="1:11" s="130" customFormat="1" x14ac:dyDescent="0.25">
      <c r="A772" s="123"/>
      <c r="B772" s="212"/>
      <c r="C772" s="127"/>
      <c r="D772" s="127"/>
      <c r="E772" s="125"/>
      <c r="F772" s="125"/>
      <c r="G772" s="125"/>
      <c r="K772" s="127"/>
    </row>
  </sheetData>
  <pageMargins left="0.5" right="0.25" top="0" bottom="0.5" header="0.3" footer="0.3"/>
  <pageSetup orientation="landscape" horizontalDpi="300" verticalDpi="300"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8"/>
  <sheetViews>
    <sheetView workbookViewId="0"/>
  </sheetViews>
  <sheetFormatPr defaultColWidth="9.1796875" defaultRowHeight="13" x14ac:dyDescent="0.3"/>
  <cols>
    <col min="1" max="1" width="3.81640625" style="236" customWidth="1"/>
    <col min="2" max="2" width="11.7265625" style="124" customWidth="1"/>
    <col min="3" max="3" width="86.54296875" style="127" customWidth="1"/>
    <col min="4" max="16384" width="9.1796875" style="1"/>
  </cols>
  <sheetData>
    <row r="1" spans="1:6" s="121" customFormat="1" x14ac:dyDescent="0.3">
      <c r="A1" s="232"/>
      <c r="B1" s="233"/>
      <c r="C1" s="118"/>
    </row>
    <row r="2" spans="1:6" s="121" customFormat="1" x14ac:dyDescent="0.3">
      <c r="A2" s="232"/>
      <c r="B2" s="124"/>
      <c r="C2" s="118"/>
    </row>
    <row r="3" spans="1:6" s="121" customFormat="1" x14ac:dyDescent="0.3">
      <c r="A3" s="232"/>
      <c r="B3" s="124"/>
      <c r="C3" s="118"/>
    </row>
    <row r="4" spans="1:6" s="121" customFormat="1" x14ac:dyDescent="0.3">
      <c r="A4" s="232"/>
      <c r="B4" s="124"/>
      <c r="C4" s="118"/>
    </row>
    <row r="5" spans="1:6" x14ac:dyDescent="0.3">
      <c r="A5" s="232"/>
      <c r="C5" s="118"/>
      <c r="D5" s="121"/>
      <c r="E5" s="121"/>
      <c r="F5" s="121"/>
    </row>
    <row r="6" spans="1:6" x14ac:dyDescent="0.3">
      <c r="A6" s="232"/>
      <c r="C6" s="118"/>
      <c r="D6" s="121"/>
      <c r="E6" s="121"/>
      <c r="F6" s="121"/>
    </row>
    <row r="7" spans="1:6" x14ac:dyDescent="0.3">
      <c r="A7" s="232"/>
      <c r="C7" s="118"/>
      <c r="D7" s="121"/>
      <c r="E7" s="121"/>
      <c r="F7" s="121"/>
    </row>
    <row r="8" spans="1:6" x14ac:dyDescent="0.3">
      <c r="A8" s="232"/>
      <c r="C8" s="118"/>
      <c r="D8" s="121"/>
      <c r="E8" s="121"/>
      <c r="F8" s="121"/>
    </row>
    <row r="9" spans="1:6" x14ac:dyDescent="0.3">
      <c r="A9" s="232"/>
      <c r="C9" s="118"/>
      <c r="D9" s="121"/>
      <c r="E9" s="121"/>
      <c r="F9" s="121"/>
    </row>
    <row r="10" spans="1:6" x14ac:dyDescent="0.3">
      <c r="A10" s="232"/>
      <c r="C10" s="118"/>
      <c r="D10" s="121"/>
      <c r="E10" s="121"/>
      <c r="F10" s="121"/>
    </row>
    <row r="11" spans="1:6" x14ac:dyDescent="0.3">
      <c r="A11" s="232"/>
      <c r="C11" s="118"/>
      <c r="D11" s="121"/>
      <c r="E11" s="121"/>
      <c r="F11" s="121"/>
    </row>
    <row r="12" spans="1:6" x14ac:dyDescent="0.3">
      <c r="A12" s="232"/>
      <c r="C12" s="118"/>
      <c r="D12" s="121"/>
      <c r="E12" s="121"/>
      <c r="F12" s="121"/>
    </row>
    <row r="13" spans="1:6" x14ac:dyDescent="0.3">
      <c r="A13" s="232"/>
      <c r="C13" s="118"/>
      <c r="D13" s="121"/>
      <c r="E13" s="121"/>
      <c r="F13" s="121"/>
    </row>
    <row r="14" spans="1:6" s="121" customFormat="1" x14ac:dyDescent="0.3">
      <c r="A14" s="232"/>
      <c r="B14" s="124"/>
      <c r="C14" s="118"/>
    </row>
    <row r="15" spans="1:6" x14ac:dyDescent="0.3">
      <c r="A15" s="232"/>
      <c r="C15" s="118"/>
      <c r="D15" s="121"/>
      <c r="E15" s="121"/>
      <c r="F15" s="121"/>
    </row>
    <row r="16" spans="1:6" x14ac:dyDescent="0.3">
      <c r="A16" s="232"/>
      <c r="C16" s="118"/>
      <c r="D16" s="121"/>
      <c r="E16" s="121"/>
      <c r="F16" s="121"/>
    </row>
    <row r="17" spans="1:6" x14ac:dyDescent="0.3">
      <c r="A17" s="232"/>
      <c r="C17" s="118"/>
      <c r="D17" s="121"/>
      <c r="E17" s="121"/>
      <c r="F17" s="121"/>
    </row>
    <row r="18" spans="1:6" x14ac:dyDescent="0.3">
      <c r="A18" s="232"/>
      <c r="C18" s="118"/>
      <c r="D18" s="121"/>
      <c r="E18" s="121"/>
      <c r="F18" s="121"/>
    </row>
    <row r="19" spans="1:6" x14ac:dyDescent="0.3">
      <c r="A19" s="232"/>
      <c r="C19" s="118"/>
      <c r="D19" s="121"/>
      <c r="E19" s="121"/>
      <c r="F19" s="121"/>
    </row>
    <row r="20" spans="1:6" x14ac:dyDescent="0.3">
      <c r="A20" s="232"/>
      <c r="C20" s="118"/>
      <c r="D20" s="121"/>
      <c r="E20" s="121"/>
      <c r="F20" s="121"/>
    </row>
    <row r="21" spans="1:6" x14ac:dyDescent="0.3">
      <c r="A21" s="232"/>
      <c r="C21" s="118"/>
      <c r="D21" s="121"/>
      <c r="E21" s="121"/>
      <c r="F21" s="121"/>
    </row>
    <row r="22" spans="1:6" s="130" customFormat="1" x14ac:dyDescent="0.3">
      <c r="A22" s="232"/>
      <c r="B22" s="124"/>
      <c r="C22" s="118"/>
    </row>
    <row r="23" spans="1:6" s="130" customFormat="1" x14ac:dyDescent="0.3">
      <c r="A23" s="232"/>
      <c r="B23" s="124"/>
      <c r="C23" s="118"/>
    </row>
    <row r="24" spans="1:6" s="130" customFormat="1" x14ac:dyDescent="0.3">
      <c r="A24" s="232"/>
      <c r="B24" s="124"/>
      <c r="C24" s="118"/>
    </row>
    <row r="25" spans="1:6" s="130" customFormat="1" x14ac:dyDescent="0.3">
      <c r="A25" s="232"/>
      <c r="B25" s="124"/>
      <c r="C25" s="118"/>
    </row>
    <row r="26" spans="1:6" s="130" customFormat="1" x14ac:dyDescent="0.3">
      <c r="A26" s="232"/>
      <c r="B26" s="124"/>
      <c r="C26" s="118"/>
    </row>
    <row r="27" spans="1:6" s="130" customFormat="1" x14ac:dyDescent="0.3">
      <c r="A27" s="232"/>
      <c r="B27" s="124"/>
      <c r="C27" s="118"/>
    </row>
    <row r="28" spans="1:6" s="130" customFormat="1" x14ac:dyDescent="0.3">
      <c r="A28" s="232"/>
      <c r="B28" s="124"/>
      <c r="C28" s="118"/>
    </row>
    <row r="29" spans="1:6" s="130" customFormat="1" x14ac:dyDescent="0.3">
      <c r="A29" s="232"/>
      <c r="B29" s="124"/>
      <c r="C29" s="118"/>
    </row>
    <row r="30" spans="1:6" s="130" customFormat="1" x14ac:dyDescent="0.3">
      <c r="A30" s="232"/>
      <c r="B30" s="124"/>
      <c r="C30" s="118"/>
    </row>
    <row r="31" spans="1:6" s="130" customFormat="1" x14ac:dyDescent="0.3">
      <c r="A31" s="237"/>
      <c r="B31" s="125"/>
      <c r="C31" s="127"/>
    </row>
    <row r="32" spans="1:6" s="130" customFormat="1" x14ac:dyDescent="0.3">
      <c r="A32" s="237"/>
      <c r="B32" s="125"/>
      <c r="C32" s="127"/>
    </row>
    <row r="33" spans="1:3" s="130" customFormat="1" x14ac:dyDescent="0.3">
      <c r="A33" s="237"/>
      <c r="B33" s="547"/>
      <c r="C33" s="548"/>
    </row>
    <row r="34" spans="1:3" s="130" customFormat="1" x14ac:dyDescent="0.3">
      <c r="A34" s="237"/>
      <c r="B34" s="549"/>
      <c r="C34" s="551"/>
    </row>
    <row r="35" spans="1:3" s="130" customFormat="1" x14ac:dyDescent="0.3">
      <c r="A35" s="237"/>
      <c r="B35" s="549"/>
      <c r="C35" s="551"/>
    </row>
    <row r="36" spans="1:3" s="130" customFormat="1" x14ac:dyDescent="0.3">
      <c r="A36" s="237"/>
      <c r="B36" s="550"/>
      <c r="C36" s="551"/>
    </row>
    <row r="37" spans="1:3" s="130" customFormat="1" x14ac:dyDescent="0.3">
      <c r="A37" s="237"/>
      <c r="B37" s="125"/>
      <c r="C37" s="127"/>
    </row>
    <row r="38" spans="1:3" s="130" customFormat="1" x14ac:dyDescent="0.3">
      <c r="A38" s="237"/>
      <c r="B38" s="125"/>
      <c r="C38" s="127"/>
    </row>
    <row r="39" spans="1:3" s="130" customFormat="1" x14ac:dyDescent="0.3">
      <c r="A39" s="237"/>
      <c r="B39" s="125"/>
      <c r="C39" s="127"/>
    </row>
    <row r="40" spans="1:3" s="130" customFormat="1" x14ac:dyDescent="0.3">
      <c r="A40" s="237"/>
      <c r="B40" s="125"/>
      <c r="C40" s="127"/>
    </row>
    <row r="41" spans="1:3" s="130" customFormat="1" x14ac:dyDescent="0.3">
      <c r="A41" s="237"/>
      <c r="B41" s="125"/>
      <c r="C41" s="127"/>
    </row>
    <row r="42" spans="1:3" s="130" customFormat="1" x14ac:dyDescent="0.3">
      <c r="A42" s="237"/>
      <c r="B42" s="125"/>
      <c r="C42" s="127"/>
    </row>
    <row r="43" spans="1:3" s="130" customFormat="1" x14ac:dyDescent="0.3">
      <c r="A43" s="237"/>
      <c r="B43" s="125"/>
      <c r="C43" s="127"/>
    </row>
    <row r="44" spans="1:3" s="130" customFormat="1" x14ac:dyDescent="0.3">
      <c r="A44" s="237"/>
      <c r="B44" s="125"/>
      <c r="C44" s="127"/>
    </row>
    <row r="45" spans="1:3" s="130" customFormat="1" x14ac:dyDescent="0.3">
      <c r="A45" s="237"/>
      <c r="B45" s="125"/>
      <c r="C45" s="127"/>
    </row>
    <row r="46" spans="1:3" s="130" customFormat="1" x14ac:dyDescent="0.3">
      <c r="A46" s="237"/>
      <c r="B46" s="125"/>
      <c r="C46" s="127"/>
    </row>
    <row r="47" spans="1:3" s="130" customFormat="1" x14ac:dyDescent="0.3">
      <c r="A47" s="237"/>
      <c r="B47" s="125"/>
      <c r="C47" s="127"/>
    </row>
    <row r="48" spans="1:3" s="130" customFormat="1" x14ac:dyDescent="0.3">
      <c r="A48" s="237"/>
      <c r="B48" s="125"/>
      <c r="C48" s="127"/>
    </row>
    <row r="49" spans="1:3" s="130" customFormat="1" x14ac:dyDescent="0.3">
      <c r="A49" s="237"/>
      <c r="B49" s="125"/>
      <c r="C49" s="127"/>
    </row>
    <row r="50" spans="1:3" s="130" customFormat="1" x14ac:dyDescent="0.3">
      <c r="A50" s="237"/>
      <c r="B50" s="125"/>
      <c r="C50" s="127"/>
    </row>
    <row r="51" spans="1:3" s="130" customFormat="1" x14ac:dyDescent="0.3">
      <c r="A51" s="237"/>
      <c r="B51" s="125"/>
      <c r="C51" s="127"/>
    </row>
    <row r="52" spans="1:3" s="130" customFormat="1" x14ac:dyDescent="0.3">
      <c r="A52" s="237"/>
      <c r="B52" s="125"/>
      <c r="C52" s="127"/>
    </row>
    <row r="53" spans="1:3" s="130" customFormat="1" x14ac:dyDescent="0.3">
      <c r="A53" s="237"/>
      <c r="B53" s="125"/>
      <c r="C53" s="127"/>
    </row>
    <row r="54" spans="1:3" s="130" customFormat="1" x14ac:dyDescent="0.3">
      <c r="A54" s="237"/>
      <c r="B54" s="125"/>
      <c r="C54" s="127"/>
    </row>
    <row r="55" spans="1:3" s="130" customFormat="1" x14ac:dyDescent="0.3">
      <c r="A55" s="237"/>
      <c r="B55" s="125"/>
      <c r="C55" s="127"/>
    </row>
    <row r="56" spans="1:3" s="130" customFormat="1" x14ac:dyDescent="0.3">
      <c r="A56" s="237"/>
      <c r="B56" s="125"/>
      <c r="C56" s="127"/>
    </row>
    <row r="57" spans="1:3" s="130" customFormat="1" x14ac:dyDescent="0.3">
      <c r="A57" s="237"/>
      <c r="B57" s="125"/>
      <c r="C57" s="127"/>
    </row>
    <row r="58" spans="1:3" s="130" customFormat="1" x14ac:dyDescent="0.3">
      <c r="A58" s="237"/>
      <c r="B58" s="125"/>
      <c r="C58" s="127"/>
    </row>
    <row r="59" spans="1:3" s="130" customFormat="1" x14ac:dyDescent="0.3">
      <c r="A59" s="237"/>
      <c r="B59" s="125"/>
      <c r="C59" s="127"/>
    </row>
    <row r="60" spans="1:3" s="130" customFormat="1" x14ac:dyDescent="0.3">
      <c r="A60" s="237"/>
      <c r="B60" s="125"/>
      <c r="C60" s="127"/>
    </row>
    <row r="61" spans="1:3" s="130" customFormat="1" x14ac:dyDescent="0.3">
      <c r="A61" s="237"/>
      <c r="B61" s="125"/>
      <c r="C61" s="127"/>
    </row>
    <row r="62" spans="1:3" s="130" customFormat="1" x14ac:dyDescent="0.3">
      <c r="A62" s="237"/>
      <c r="B62" s="125"/>
      <c r="C62" s="127"/>
    </row>
    <row r="63" spans="1:3" s="130" customFormat="1" x14ac:dyDescent="0.3">
      <c r="A63" s="237"/>
      <c r="B63" s="125"/>
      <c r="C63" s="127"/>
    </row>
    <row r="64" spans="1:3" s="130" customFormat="1" x14ac:dyDescent="0.3">
      <c r="A64" s="237"/>
      <c r="B64" s="125"/>
      <c r="C64" s="127"/>
    </row>
    <row r="65" spans="1:3" s="130" customFormat="1" x14ac:dyDescent="0.3">
      <c r="A65" s="237"/>
      <c r="B65" s="125"/>
      <c r="C65" s="127"/>
    </row>
    <row r="66" spans="1:3" s="130" customFormat="1" x14ac:dyDescent="0.3">
      <c r="A66" s="237"/>
      <c r="B66" s="125"/>
      <c r="C66" s="127"/>
    </row>
    <row r="67" spans="1:3" s="130" customFormat="1" x14ac:dyDescent="0.3">
      <c r="A67" s="237"/>
      <c r="B67" s="125"/>
      <c r="C67" s="127"/>
    </row>
    <row r="68" spans="1:3" s="130" customFormat="1" x14ac:dyDescent="0.3">
      <c r="A68" s="237"/>
      <c r="B68" s="125"/>
      <c r="C68" s="127"/>
    </row>
    <row r="69" spans="1:3" s="130" customFormat="1" x14ac:dyDescent="0.3">
      <c r="A69" s="237"/>
      <c r="B69" s="125"/>
      <c r="C69" s="127"/>
    </row>
    <row r="70" spans="1:3" s="130" customFormat="1" x14ac:dyDescent="0.3">
      <c r="A70" s="237"/>
      <c r="B70" s="125"/>
      <c r="C70" s="127"/>
    </row>
    <row r="71" spans="1:3" s="130" customFormat="1" x14ac:dyDescent="0.3">
      <c r="A71" s="237"/>
      <c r="B71" s="125"/>
      <c r="C71" s="127"/>
    </row>
    <row r="72" spans="1:3" s="130" customFormat="1" x14ac:dyDescent="0.3">
      <c r="A72" s="237"/>
      <c r="B72" s="125"/>
      <c r="C72" s="127"/>
    </row>
    <row r="73" spans="1:3" s="130" customFormat="1" x14ac:dyDescent="0.3">
      <c r="A73" s="237"/>
      <c r="B73" s="125"/>
      <c r="C73" s="127"/>
    </row>
    <row r="74" spans="1:3" s="130" customFormat="1" x14ac:dyDescent="0.3">
      <c r="A74" s="237"/>
      <c r="B74" s="125"/>
      <c r="C74" s="127"/>
    </row>
    <row r="75" spans="1:3" s="130" customFormat="1" x14ac:dyDescent="0.3">
      <c r="A75" s="237"/>
      <c r="B75" s="125"/>
      <c r="C75" s="127"/>
    </row>
    <row r="76" spans="1:3" s="130" customFormat="1" x14ac:dyDescent="0.3">
      <c r="A76" s="237"/>
      <c r="B76" s="125"/>
      <c r="C76" s="127"/>
    </row>
    <row r="77" spans="1:3" s="130" customFormat="1" x14ac:dyDescent="0.3">
      <c r="A77" s="237"/>
      <c r="B77" s="125"/>
      <c r="C77" s="127"/>
    </row>
    <row r="78" spans="1:3" s="130" customFormat="1" x14ac:dyDescent="0.3">
      <c r="A78" s="237"/>
      <c r="B78" s="125"/>
      <c r="C78" s="127"/>
    </row>
    <row r="79" spans="1:3" s="130" customFormat="1" x14ac:dyDescent="0.3">
      <c r="A79" s="237"/>
      <c r="B79" s="125"/>
      <c r="C79" s="127"/>
    </row>
    <row r="80" spans="1:3" s="130" customFormat="1" x14ac:dyDescent="0.3">
      <c r="A80" s="237"/>
      <c r="B80" s="125"/>
      <c r="C80" s="127"/>
    </row>
    <row r="81" spans="1:3" s="130" customFormat="1" x14ac:dyDescent="0.3">
      <c r="A81" s="237"/>
      <c r="B81" s="125"/>
      <c r="C81" s="127"/>
    </row>
    <row r="82" spans="1:3" s="130" customFormat="1" x14ac:dyDescent="0.3">
      <c r="A82" s="237"/>
      <c r="B82" s="125"/>
      <c r="C82" s="127"/>
    </row>
    <row r="83" spans="1:3" s="130" customFormat="1" x14ac:dyDescent="0.3">
      <c r="A83" s="237"/>
      <c r="B83" s="125"/>
      <c r="C83" s="127"/>
    </row>
    <row r="84" spans="1:3" s="130" customFormat="1" x14ac:dyDescent="0.3">
      <c r="A84" s="237"/>
      <c r="B84" s="125"/>
      <c r="C84" s="127"/>
    </row>
    <row r="85" spans="1:3" s="130" customFormat="1" x14ac:dyDescent="0.3">
      <c r="A85" s="237"/>
      <c r="B85" s="125"/>
      <c r="C85" s="127"/>
    </row>
    <row r="86" spans="1:3" s="130" customFormat="1" x14ac:dyDescent="0.3">
      <c r="A86" s="237"/>
      <c r="B86" s="125"/>
      <c r="C86" s="127"/>
    </row>
    <row r="87" spans="1:3" s="130" customFormat="1" x14ac:dyDescent="0.3">
      <c r="A87" s="237"/>
      <c r="B87" s="125"/>
      <c r="C87" s="127"/>
    </row>
    <row r="88" spans="1:3" s="130" customFormat="1" x14ac:dyDescent="0.3">
      <c r="A88" s="237"/>
      <c r="B88" s="125"/>
      <c r="C88" s="127"/>
    </row>
    <row r="89" spans="1:3" s="130" customFormat="1" x14ac:dyDescent="0.3">
      <c r="A89" s="237"/>
      <c r="B89" s="125"/>
      <c r="C89" s="127"/>
    </row>
    <row r="90" spans="1:3" s="130" customFormat="1" x14ac:dyDescent="0.3">
      <c r="A90" s="237"/>
      <c r="B90" s="125"/>
      <c r="C90" s="127"/>
    </row>
    <row r="91" spans="1:3" s="130" customFormat="1" x14ac:dyDescent="0.3">
      <c r="A91" s="237"/>
      <c r="B91" s="125"/>
      <c r="C91" s="127"/>
    </row>
    <row r="92" spans="1:3" s="130" customFormat="1" x14ac:dyDescent="0.3">
      <c r="A92" s="237"/>
      <c r="B92" s="125"/>
      <c r="C92" s="127"/>
    </row>
    <row r="93" spans="1:3" s="130" customFormat="1" x14ac:dyDescent="0.3">
      <c r="A93" s="237"/>
      <c r="B93" s="125"/>
      <c r="C93" s="127"/>
    </row>
    <row r="94" spans="1:3" s="130" customFormat="1" x14ac:dyDescent="0.3">
      <c r="A94" s="237"/>
      <c r="B94" s="125"/>
      <c r="C94" s="127"/>
    </row>
    <row r="95" spans="1:3" s="130" customFormat="1" x14ac:dyDescent="0.3">
      <c r="A95" s="237"/>
      <c r="B95" s="125"/>
      <c r="C95" s="127"/>
    </row>
    <row r="96" spans="1:3" s="130" customFormat="1" x14ac:dyDescent="0.3">
      <c r="A96" s="237"/>
      <c r="B96" s="125"/>
      <c r="C96" s="127"/>
    </row>
    <row r="97" spans="1:3" s="130" customFormat="1" x14ac:dyDescent="0.3">
      <c r="A97" s="237"/>
      <c r="B97" s="125"/>
      <c r="C97" s="127"/>
    </row>
    <row r="98" spans="1:3" s="130" customFormat="1" x14ac:dyDescent="0.3">
      <c r="A98" s="237"/>
      <c r="B98" s="125"/>
      <c r="C98" s="127"/>
    </row>
    <row r="99" spans="1:3" s="130" customFormat="1" x14ac:dyDescent="0.3">
      <c r="A99" s="237"/>
      <c r="B99" s="125"/>
      <c r="C99" s="127"/>
    </row>
    <row r="100" spans="1:3" s="130" customFormat="1" x14ac:dyDescent="0.3">
      <c r="A100" s="237"/>
      <c r="B100" s="125"/>
      <c r="C100" s="127"/>
    </row>
    <row r="101" spans="1:3" s="130" customFormat="1" x14ac:dyDescent="0.3">
      <c r="A101" s="237"/>
      <c r="B101" s="125"/>
      <c r="C101" s="127"/>
    </row>
    <row r="102" spans="1:3" s="130" customFormat="1" x14ac:dyDescent="0.3">
      <c r="A102" s="237"/>
      <c r="B102" s="125"/>
      <c r="C102" s="127"/>
    </row>
    <row r="103" spans="1:3" s="130" customFormat="1" x14ac:dyDescent="0.3">
      <c r="A103" s="237"/>
      <c r="B103" s="125"/>
      <c r="C103" s="127"/>
    </row>
    <row r="104" spans="1:3" s="130" customFormat="1" x14ac:dyDescent="0.3">
      <c r="A104" s="237"/>
      <c r="B104" s="125"/>
      <c r="C104" s="127"/>
    </row>
    <row r="105" spans="1:3" s="130" customFormat="1" x14ac:dyDescent="0.3">
      <c r="A105" s="237"/>
      <c r="B105" s="125"/>
      <c r="C105" s="127"/>
    </row>
    <row r="106" spans="1:3" s="130" customFormat="1" x14ac:dyDescent="0.3">
      <c r="A106" s="237"/>
      <c r="B106" s="125"/>
      <c r="C106" s="127"/>
    </row>
    <row r="107" spans="1:3" s="130" customFormat="1" x14ac:dyDescent="0.3">
      <c r="A107" s="237"/>
      <c r="B107" s="125"/>
      <c r="C107" s="127"/>
    </row>
    <row r="108" spans="1:3" s="130" customFormat="1" x14ac:dyDescent="0.3">
      <c r="A108" s="237"/>
      <c r="B108" s="125"/>
      <c r="C108" s="127"/>
    </row>
    <row r="109" spans="1:3" s="130" customFormat="1" x14ac:dyDescent="0.3">
      <c r="A109" s="237"/>
      <c r="B109" s="125"/>
      <c r="C109" s="127"/>
    </row>
    <row r="110" spans="1:3" s="130" customFormat="1" x14ac:dyDescent="0.3">
      <c r="A110" s="237"/>
      <c r="B110" s="125"/>
      <c r="C110" s="127"/>
    </row>
    <row r="111" spans="1:3" s="130" customFormat="1" x14ac:dyDescent="0.3">
      <c r="A111" s="237"/>
      <c r="B111" s="125"/>
      <c r="C111" s="127"/>
    </row>
    <row r="112" spans="1:3" s="130" customFormat="1" x14ac:dyDescent="0.3">
      <c r="A112" s="237"/>
      <c r="B112" s="125"/>
      <c r="C112" s="127"/>
    </row>
    <row r="113" spans="1:3" s="130" customFormat="1" x14ac:dyDescent="0.3">
      <c r="A113" s="237"/>
      <c r="B113" s="125"/>
      <c r="C113" s="127"/>
    </row>
    <row r="114" spans="1:3" s="130" customFormat="1" x14ac:dyDescent="0.3">
      <c r="A114" s="237"/>
      <c r="B114" s="125"/>
      <c r="C114" s="127"/>
    </row>
    <row r="115" spans="1:3" s="130" customFormat="1" x14ac:dyDescent="0.3">
      <c r="A115" s="237"/>
      <c r="B115" s="125"/>
      <c r="C115" s="127"/>
    </row>
    <row r="116" spans="1:3" s="130" customFormat="1" x14ac:dyDescent="0.3">
      <c r="A116" s="237"/>
      <c r="B116" s="125"/>
      <c r="C116" s="127"/>
    </row>
    <row r="117" spans="1:3" s="130" customFormat="1" x14ac:dyDescent="0.3">
      <c r="A117" s="237"/>
      <c r="B117" s="125"/>
      <c r="C117" s="127"/>
    </row>
    <row r="118" spans="1:3" s="130" customFormat="1" x14ac:dyDescent="0.3">
      <c r="A118" s="237"/>
      <c r="B118" s="125"/>
      <c r="C118" s="127"/>
    </row>
    <row r="119" spans="1:3" s="130" customFormat="1" x14ac:dyDescent="0.3">
      <c r="A119" s="237"/>
      <c r="B119" s="125"/>
      <c r="C119" s="127"/>
    </row>
    <row r="120" spans="1:3" s="130" customFormat="1" x14ac:dyDescent="0.3">
      <c r="A120" s="237"/>
      <c r="B120" s="125"/>
      <c r="C120" s="127"/>
    </row>
    <row r="121" spans="1:3" s="130" customFormat="1" x14ac:dyDescent="0.3">
      <c r="A121" s="237"/>
      <c r="B121" s="125"/>
      <c r="C121" s="127"/>
    </row>
    <row r="122" spans="1:3" s="130" customFormat="1" x14ac:dyDescent="0.3">
      <c r="A122" s="237"/>
      <c r="B122" s="125"/>
      <c r="C122" s="127"/>
    </row>
    <row r="123" spans="1:3" s="130" customFormat="1" x14ac:dyDescent="0.3">
      <c r="A123" s="237"/>
      <c r="B123" s="125"/>
      <c r="C123" s="127"/>
    </row>
    <row r="124" spans="1:3" s="130" customFormat="1" x14ac:dyDescent="0.3">
      <c r="A124" s="237"/>
      <c r="B124" s="125"/>
      <c r="C124" s="127"/>
    </row>
    <row r="125" spans="1:3" s="130" customFormat="1" x14ac:dyDescent="0.3">
      <c r="A125" s="237"/>
      <c r="B125" s="125"/>
      <c r="C125" s="127"/>
    </row>
    <row r="126" spans="1:3" s="130" customFormat="1" x14ac:dyDescent="0.3">
      <c r="A126" s="237"/>
      <c r="B126" s="125"/>
      <c r="C126" s="127"/>
    </row>
    <row r="127" spans="1:3" s="130" customFormat="1" x14ac:dyDescent="0.3">
      <c r="A127" s="237"/>
      <c r="B127" s="125"/>
      <c r="C127" s="127"/>
    </row>
    <row r="128" spans="1:3" s="130" customFormat="1" x14ac:dyDescent="0.3">
      <c r="A128" s="237"/>
      <c r="B128" s="125"/>
      <c r="C128" s="127"/>
    </row>
    <row r="129" spans="1:3" s="130" customFormat="1" x14ac:dyDescent="0.3">
      <c r="A129" s="237"/>
      <c r="B129" s="125"/>
      <c r="C129" s="127"/>
    </row>
    <row r="130" spans="1:3" s="130" customFormat="1" x14ac:dyDescent="0.3">
      <c r="A130" s="237"/>
      <c r="B130" s="125"/>
      <c r="C130" s="127"/>
    </row>
    <row r="131" spans="1:3" s="130" customFormat="1" x14ac:dyDescent="0.3">
      <c r="A131" s="237"/>
      <c r="B131" s="125"/>
      <c r="C131" s="127"/>
    </row>
    <row r="132" spans="1:3" s="130" customFormat="1" x14ac:dyDescent="0.3">
      <c r="A132" s="237"/>
      <c r="B132" s="125"/>
      <c r="C132" s="127"/>
    </row>
    <row r="133" spans="1:3" s="130" customFormat="1" x14ac:dyDescent="0.3">
      <c r="A133" s="237"/>
      <c r="B133" s="125"/>
      <c r="C133" s="127"/>
    </row>
    <row r="134" spans="1:3" s="130" customFormat="1" x14ac:dyDescent="0.3">
      <c r="A134" s="237"/>
      <c r="B134" s="125"/>
      <c r="C134" s="127"/>
    </row>
    <row r="135" spans="1:3" s="130" customFormat="1" x14ac:dyDescent="0.3">
      <c r="A135" s="237"/>
      <c r="B135" s="125"/>
      <c r="C135" s="127"/>
    </row>
    <row r="136" spans="1:3" s="130" customFormat="1" x14ac:dyDescent="0.3">
      <c r="A136" s="237"/>
      <c r="B136" s="125"/>
      <c r="C136" s="127"/>
    </row>
    <row r="137" spans="1:3" s="130" customFormat="1" x14ac:dyDescent="0.3">
      <c r="A137" s="237"/>
      <c r="B137" s="125"/>
      <c r="C137" s="127"/>
    </row>
    <row r="138" spans="1:3" s="130" customFormat="1" x14ac:dyDescent="0.3">
      <c r="A138" s="237"/>
      <c r="B138" s="125"/>
      <c r="C138" s="127"/>
    </row>
    <row r="139" spans="1:3" s="130" customFormat="1" x14ac:dyDescent="0.3">
      <c r="A139" s="237"/>
      <c r="B139" s="125"/>
      <c r="C139" s="127"/>
    </row>
    <row r="140" spans="1:3" s="130" customFormat="1" x14ac:dyDescent="0.3">
      <c r="A140" s="237"/>
      <c r="B140" s="125"/>
      <c r="C140" s="127"/>
    </row>
    <row r="141" spans="1:3" s="130" customFormat="1" x14ac:dyDescent="0.3">
      <c r="A141" s="237"/>
      <c r="B141" s="125"/>
      <c r="C141" s="127"/>
    </row>
    <row r="142" spans="1:3" s="130" customFormat="1" x14ac:dyDescent="0.3">
      <c r="A142" s="237"/>
      <c r="B142" s="125"/>
      <c r="C142" s="127"/>
    </row>
    <row r="143" spans="1:3" s="130" customFormat="1" x14ac:dyDescent="0.3">
      <c r="A143" s="237"/>
      <c r="B143" s="125"/>
      <c r="C143" s="127"/>
    </row>
    <row r="144" spans="1:3" s="130" customFormat="1" x14ac:dyDescent="0.3">
      <c r="A144" s="237"/>
      <c r="B144" s="125"/>
      <c r="C144" s="127"/>
    </row>
    <row r="145" spans="1:3" s="130" customFormat="1" x14ac:dyDescent="0.3">
      <c r="A145" s="237"/>
      <c r="B145" s="125"/>
      <c r="C145" s="127"/>
    </row>
    <row r="146" spans="1:3" s="130" customFormat="1" x14ac:dyDescent="0.3">
      <c r="A146" s="237"/>
      <c r="B146" s="125"/>
      <c r="C146" s="127"/>
    </row>
    <row r="147" spans="1:3" s="130" customFormat="1" x14ac:dyDescent="0.3">
      <c r="A147" s="237"/>
      <c r="B147" s="125"/>
      <c r="C147" s="127"/>
    </row>
    <row r="148" spans="1:3" s="130" customFormat="1" x14ac:dyDescent="0.3">
      <c r="A148" s="237"/>
      <c r="B148" s="125"/>
      <c r="C148" s="127"/>
    </row>
    <row r="149" spans="1:3" s="130" customFormat="1" x14ac:dyDescent="0.3">
      <c r="A149" s="237"/>
      <c r="B149" s="125"/>
      <c r="C149" s="127"/>
    </row>
    <row r="150" spans="1:3" s="130" customFormat="1" x14ac:dyDescent="0.3">
      <c r="A150" s="237"/>
      <c r="B150" s="125"/>
      <c r="C150" s="127"/>
    </row>
    <row r="151" spans="1:3" s="130" customFormat="1" x14ac:dyDescent="0.3">
      <c r="A151" s="237"/>
      <c r="B151" s="125"/>
      <c r="C151" s="127"/>
    </row>
    <row r="152" spans="1:3" s="130" customFormat="1" x14ac:dyDescent="0.3">
      <c r="A152" s="237"/>
      <c r="B152" s="125"/>
      <c r="C152" s="127"/>
    </row>
    <row r="153" spans="1:3" s="130" customFormat="1" x14ac:dyDescent="0.3">
      <c r="A153" s="237"/>
      <c r="B153" s="125"/>
      <c r="C153" s="127"/>
    </row>
    <row r="154" spans="1:3" s="130" customFormat="1" x14ac:dyDescent="0.3">
      <c r="A154" s="237"/>
      <c r="B154" s="125"/>
      <c r="C154" s="127"/>
    </row>
    <row r="155" spans="1:3" s="130" customFormat="1" x14ac:dyDescent="0.3">
      <c r="A155" s="237"/>
      <c r="B155" s="125"/>
      <c r="C155" s="127"/>
    </row>
    <row r="156" spans="1:3" s="130" customFormat="1" x14ac:dyDescent="0.3">
      <c r="A156" s="237"/>
      <c r="B156" s="125"/>
      <c r="C156" s="127"/>
    </row>
    <row r="157" spans="1:3" s="130" customFormat="1" x14ac:dyDescent="0.3">
      <c r="A157" s="237"/>
      <c r="B157" s="125"/>
      <c r="C157" s="127"/>
    </row>
    <row r="158" spans="1:3" s="130" customFormat="1" x14ac:dyDescent="0.3">
      <c r="A158" s="237"/>
      <c r="B158" s="125"/>
      <c r="C158" s="127"/>
    </row>
    <row r="159" spans="1:3" s="130" customFormat="1" x14ac:dyDescent="0.3">
      <c r="A159" s="237"/>
      <c r="B159" s="125"/>
      <c r="C159" s="127"/>
    </row>
    <row r="160" spans="1:3" s="130" customFormat="1" x14ac:dyDescent="0.3">
      <c r="A160" s="237"/>
      <c r="B160" s="125"/>
      <c r="C160" s="127"/>
    </row>
    <row r="161" spans="1:3" s="130" customFormat="1" x14ac:dyDescent="0.3">
      <c r="A161" s="237"/>
      <c r="B161" s="125"/>
      <c r="C161" s="127"/>
    </row>
    <row r="162" spans="1:3" s="130" customFormat="1" x14ac:dyDescent="0.3">
      <c r="A162" s="237"/>
      <c r="B162" s="125"/>
      <c r="C162" s="127"/>
    </row>
    <row r="163" spans="1:3" s="130" customFormat="1" x14ac:dyDescent="0.3">
      <c r="A163" s="237"/>
      <c r="B163" s="125"/>
      <c r="C163" s="127"/>
    </row>
    <row r="164" spans="1:3" s="130" customFormat="1" x14ac:dyDescent="0.3">
      <c r="A164" s="237"/>
      <c r="B164" s="125"/>
      <c r="C164" s="127"/>
    </row>
    <row r="165" spans="1:3" s="130" customFormat="1" x14ac:dyDescent="0.3">
      <c r="A165" s="237"/>
      <c r="B165" s="125"/>
      <c r="C165" s="127"/>
    </row>
    <row r="166" spans="1:3" s="130" customFormat="1" x14ac:dyDescent="0.3">
      <c r="A166" s="237"/>
      <c r="B166" s="125"/>
      <c r="C166" s="127"/>
    </row>
    <row r="167" spans="1:3" s="130" customFormat="1" x14ac:dyDescent="0.3">
      <c r="A167" s="237"/>
      <c r="B167" s="125"/>
      <c r="C167" s="127"/>
    </row>
    <row r="168" spans="1:3" s="130" customFormat="1" x14ac:dyDescent="0.3">
      <c r="A168" s="237"/>
      <c r="B168" s="125"/>
      <c r="C168" s="127"/>
    </row>
    <row r="169" spans="1:3" s="130" customFormat="1" x14ac:dyDescent="0.3">
      <c r="A169" s="237"/>
      <c r="B169" s="125"/>
      <c r="C169" s="127"/>
    </row>
    <row r="170" spans="1:3" s="130" customFormat="1" x14ac:dyDescent="0.3">
      <c r="A170" s="237"/>
      <c r="B170" s="125"/>
      <c r="C170" s="127"/>
    </row>
    <row r="171" spans="1:3" s="130" customFormat="1" x14ac:dyDescent="0.3">
      <c r="A171" s="237"/>
      <c r="B171" s="125"/>
      <c r="C171" s="127"/>
    </row>
    <row r="172" spans="1:3" s="130" customFormat="1" x14ac:dyDescent="0.3">
      <c r="A172" s="237"/>
      <c r="B172" s="125"/>
      <c r="C172" s="127"/>
    </row>
    <row r="173" spans="1:3" s="130" customFormat="1" x14ac:dyDescent="0.3">
      <c r="A173" s="237"/>
      <c r="B173" s="125"/>
      <c r="C173" s="127"/>
    </row>
    <row r="174" spans="1:3" s="130" customFormat="1" x14ac:dyDescent="0.3">
      <c r="A174" s="237"/>
      <c r="B174" s="125"/>
      <c r="C174" s="127"/>
    </row>
    <row r="175" spans="1:3" s="130" customFormat="1" x14ac:dyDescent="0.3">
      <c r="A175" s="237"/>
      <c r="B175" s="125"/>
      <c r="C175" s="127"/>
    </row>
    <row r="176" spans="1:3" s="130" customFormat="1" x14ac:dyDescent="0.3">
      <c r="A176" s="237"/>
      <c r="B176" s="125"/>
      <c r="C176" s="127"/>
    </row>
    <row r="177" spans="1:3" s="130" customFormat="1" x14ac:dyDescent="0.3">
      <c r="A177" s="237"/>
      <c r="B177" s="125"/>
      <c r="C177" s="127"/>
    </row>
    <row r="178" spans="1:3" s="130" customFormat="1" x14ac:dyDescent="0.3">
      <c r="A178" s="237"/>
      <c r="B178" s="125"/>
      <c r="C178" s="127"/>
    </row>
    <row r="179" spans="1:3" s="130" customFormat="1" x14ac:dyDescent="0.3">
      <c r="A179" s="237"/>
      <c r="B179" s="125"/>
      <c r="C179" s="127"/>
    </row>
    <row r="180" spans="1:3" s="130" customFormat="1" x14ac:dyDescent="0.3">
      <c r="A180" s="237"/>
      <c r="B180" s="125"/>
      <c r="C180" s="127"/>
    </row>
    <row r="181" spans="1:3" s="130" customFormat="1" x14ac:dyDescent="0.3">
      <c r="A181" s="237"/>
      <c r="B181" s="125"/>
      <c r="C181" s="127"/>
    </row>
    <row r="182" spans="1:3" s="130" customFormat="1" x14ac:dyDescent="0.3">
      <c r="A182" s="237"/>
      <c r="B182" s="125"/>
      <c r="C182" s="127"/>
    </row>
    <row r="183" spans="1:3" s="130" customFormat="1" x14ac:dyDescent="0.3">
      <c r="A183" s="237"/>
      <c r="B183" s="125"/>
      <c r="C183" s="127"/>
    </row>
    <row r="184" spans="1:3" s="130" customFormat="1" x14ac:dyDescent="0.3">
      <c r="A184" s="237"/>
      <c r="B184" s="125"/>
      <c r="C184" s="127"/>
    </row>
    <row r="185" spans="1:3" s="130" customFormat="1" x14ac:dyDescent="0.3">
      <c r="A185" s="237"/>
      <c r="B185" s="125"/>
      <c r="C185" s="127"/>
    </row>
    <row r="186" spans="1:3" s="130" customFormat="1" x14ac:dyDescent="0.3">
      <c r="A186" s="237"/>
      <c r="B186" s="125"/>
      <c r="C186" s="127"/>
    </row>
    <row r="187" spans="1:3" s="130" customFormat="1" x14ac:dyDescent="0.3">
      <c r="A187" s="237"/>
      <c r="B187" s="125"/>
      <c r="C187" s="127"/>
    </row>
    <row r="188" spans="1:3" s="130" customFormat="1" x14ac:dyDescent="0.3">
      <c r="A188" s="237"/>
      <c r="B188" s="125"/>
      <c r="C188" s="127"/>
    </row>
    <row r="189" spans="1:3" s="130" customFormat="1" x14ac:dyDescent="0.3">
      <c r="A189" s="237"/>
      <c r="B189" s="125"/>
      <c r="C189" s="127"/>
    </row>
    <row r="190" spans="1:3" s="130" customFormat="1" x14ac:dyDescent="0.3">
      <c r="A190" s="237"/>
      <c r="B190" s="125"/>
      <c r="C190" s="127"/>
    </row>
    <row r="191" spans="1:3" s="130" customFormat="1" x14ac:dyDescent="0.3">
      <c r="A191" s="237"/>
      <c r="B191" s="125"/>
      <c r="C191" s="127"/>
    </row>
    <row r="192" spans="1:3" s="130" customFormat="1" x14ac:dyDescent="0.3">
      <c r="A192" s="237"/>
      <c r="B192" s="125"/>
      <c r="C192" s="127"/>
    </row>
    <row r="193" spans="1:3" s="130" customFormat="1" x14ac:dyDescent="0.3">
      <c r="A193" s="237"/>
      <c r="B193" s="125"/>
      <c r="C193" s="127"/>
    </row>
    <row r="194" spans="1:3" s="130" customFormat="1" x14ac:dyDescent="0.3">
      <c r="A194" s="237"/>
      <c r="B194" s="125"/>
      <c r="C194" s="127"/>
    </row>
    <row r="195" spans="1:3" s="130" customFormat="1" x14ac:dyDescent="0.3">
      <c r="A195" s="237"/>
      <c r="B195" s="125"/>
      <c r="C195" s="127"/>
    </row>
    <row r="196" spans="1:3" s="130" customFormat="1" x14ac:dyDescent="0.3">
      <c r="A196" s="237"/>
      <c r="B196" s="125"/>
      <c r="C196" s="127"/>
    </row>
    <row r="197" spans="1:3" s="130" customFormat="1" x14ac:dyDescent="0.3">
      <c r="A197" s="237"/>
      <c r="B197" s="125"/>
      <c r="C197" s="127"/>
    </row>
    <row r="198" spans="1:3" s="130" customFormat="1" x14ac:dyDescent="0.3">
      <c r="A198" s="237"/>
      <c r="B198" s="125"/>
      <c r="C198" s="127"/>
    </row>
    <row r="199" spans="1:3" s="130" customFormat="1" x14ac:dyDescent="0.3">
      <c r="A199" s="237"/>
      <c r="B199" s="125"/>
      <c r="C199" s="127"/>
    </row>
    <row r="200" spans="1:3" s="130" customFormat="1" x14ac:dyDescent="0.3">
      <c r="A200" s="237"/>
      <c r="B200" s="125"/>
      <c r="C200" s="127"/>
    </row>
    <row r="201" spans="1:3" s="130" customFormat="1" x14ac:dyDescent="0.3">
      <c r="A201" s="237"/>
      <c r="B201" s="125"/>
      <c r="C201" s="127"/>
    </row>
    <row r="202" spans="1:3" s="130" customFormat="1" x14ac:dyDescent="0.3">
      <c r="A202" s="237"/>
      <c r="B202" s="125"/>
      <c r="C202" s="127"/>
    </row>
    <row r="203" spans="1:3" s="130" customFormat="1" x14ac:dyDescent="0.3">
      <c r="A203" s="237"/>
      <c r="B203" s="125"/>
      <c r="C203" s="127"/>
    </row>
    <row r="204" spans="1:3" s="130" customFormat="1" x14ac:dyDescent="0.3">
      <c r="A204" s="237"/>
      <c r="B204" s="125"/>
      <c r="C204" s="127"/>
    </row>
    <row r="205" spans="1:3" s="130" customFormat="1" x14ac:dyDescent="0.3">
      <c r="A205" s="237"/>
      <c r="B205" s="125"/>
      <c r="C205" s="127"/>
    </row>
    <row r="206" spans="1:3" s="130" customFormat="1" x14ac:dyDescent="0.3">
      <c r="A206" s="237"/>
      <c r="B206" s="125"/>
      <c r="C206" s="127"/>
    </row>
    <row r="207" spans="1:3" s="130" customFormat="1" x14ac:dyDescent="0.3">
      <c r="A207" s="237"/>
      <c r="B207" s="125"/>
      <c r="C207" s="127"/>
    </row>
    <row r="208" spans="1:3" s="130" customFormat="1" x14ac:dyDescent="0.3">
      <c r="A208" s="237"/>
      <c r="B208" s="125"/>
      <c r="C208" s="127"/>
    </row>
    <row r="209" spans="1:3" s="130" customFormat="1" x14ac:dyDescent="0.3">
      <c r="A209" s="237"/>
      <c r="B209" s="125"/>
      <c r="C209" s="127"/>
    </row>
    <row r="210" spans="1:3" s="130" customFormat="1" x14ac:dyDescent="0.3">
      <c r="A210" s="237"/>
      <c r="B210" s="125"/>
      <c r="C210" s="127"/>
    </row>
    <row r="211" spans="1:3" s="130" customFormat="1" x14ac:dyDescent="0.3">
      <c r="A211" s="237"/>
      <c r="B211" s="125"/>
      <c r="C211" s="127"/>
    </row>
    <row r="212" spans="1:3" s="130" customFormat="1" x14ac:dyDescent="0.3">
      <c r="A212" s="237"/>
      <c r="B212" s="125"/>
      <c r="C212" s="127"/>
    </row>
    <row r="213" spans="1:3" s="130" customFormat="1" x14ac:dyDescent="0.3">
      <c r="A213" s="237"/>
      <c r="B213" s="125"/>
      <c r="C213" s="127"/>
    </row>
    <row r="214" spans="1:3" s="130" customFormat="1" x14ac:dyDescent="0.3">
      <c r="A214" s="237"/>
      <c r="B214" s="125"/>
      <c r="C214" s="127"/>
    </row>
    <row r="215" spans="1:3" s="130" customFormat="1" x14ac:dyDescent="0.3">
      <c r="A215" s="237"/>
      <c r="B215" s="125"/>
      <c r="C215" s="127"/>
    </row>
    <row r="216" spans="1:3" s="130" customFormat="1" x14ac:dyDescent="0.3">
      <c r="A216" s="237"/>
      <c r="B216" s="125"/>
      <c r="C216" s="127"/>
    </row>
    <row r="217" spans="1:3" s="130" customFormat="1" x14ac:dyDescent="0.3">
      <c r="A217" s="237"/>
      <c r="B217" s="125"/>
      <c r="C217" s="127"/>
    </row>
    <row r="218" spans="1:3" s="130" customFormat="1" x14ac:dyDescent="0.3">
      <c r="A218" s="237"/>
      <c r="B218" s="125"/>
      <c r="C218" s="127"/>
    </row>
    <row r="219" spans="1:3" s="130" customFormat="1" x14ac:dyDescent="0.3">
      <c r="A219" s="237"/>
      <c r="B219" s="125"/>
      <c r="C219" s="127"/>
    </row>
    <row r="220" spans="1:3" s="130" customFormat="1" x14ac:dyDescent="0.3">
      <c r="A220" s="237"/>
      <c r="B220" s="125"/>
      <c r="C220" s="127"/>
    </row>
    <row r="221" spans="1:3" s="130" customFormat="1" x14ac:dyDescent="0.3">
      <c r="A221" s="237"/>
      <c r="B221" s="125"/>
      <c r="C221" s="127"/>
    </row>
    <row r="222" spans="1:3" s="130" customFormat="1" x14ac:dyDescent="0.3">
      <c r="A222" s="237"/>
      <c r="B222" s="125"/>
      <c r="C222" s="127"/>
    </row>
    <row r="223" spans="1:3" s="130" customFormat="1" x14ac:dyDescent="0.3">
      <c r="A223" s="237"/>
      <c r="B223" s="125"/>
      <c r="C223" s="127"/>
    </row>
    <row r="224" spans="1:3" s="130" customFormat="1" x14ac:dyDescent="0.3">
      <c r="A224" s="237"/>
      <c r="B224" s="125"/>
      <c r="C224" s="127"/>
    </row>
    <row r="225" spans="1:3" s="130" customFormat="1" x14ac:dyDescent="0.3">
      <c r="A225" s="237"/>
      <c r="B225" s="125"/>
      <c r="C225" s="127"/>
    </row>
    <row r="226" spans="1:3" s="130" customFormat="1" x14ac:dyDescent="0.3">
      <c r="A226" s="237"/>
      <c r="B226" s="125"/>
      <c r="C226" s="127"/>
    </row>
    <row r="227" spans="1:3" s="130" customFormat="1" x14ac:dyDescent="0.3">
      <c r="A227" s="237"/>
      <c r="B227" s="125"/>
      <c r="C227" s="127"/>
    </row>
    <row r="228" spans="1:3" s="130" customFormat="1" x14ac:dyDescent="0.3">
      <c r="A228" s="237"/>
      <c r="B228" s="125"/>
      <c r="C228" s="127"/>
    </row>
    <row r="229" spans="1:3" s="130" customFormat="1" x14ac:dyDescent="0.3">
      <c r="A229" s="237"/>
      <c r="B229" s="125"/>
      <c r="C229" s="127"/>
    </row>
    <row r="230" spans="1:3" s="130" customFormat="1" x14ac:dyDescent="0.3">
      <c r="A230" s="237"/>
      <c r="B230" s="125"/>
      <c r="C230" s="127"/>
    </row>
    <row r="231" spans="1:3" s="130" customFormat="1" x14ac:dyDescent="0.3">
      <c r="A231" s="237"/>
      <c r="B231" s="125"/>
      <c r="C231" s="127"/>
    </row>
    <row r="232" spans="1:3" s="130" customFormat="1" x14ac:dyDescent="0.3">
      <c r="A232" s="237"/>
      <c r="B232" s="125"/>
      <c r="C232" s="127"/>
    </row>
    <row r="233" spans="1:3" s="130" customFormat="1" x14ac:dyDescent="0.3">
      <c r="A233" s="237"/>
      <c r="B233" s="125"/>
      <c r="C233" s="127"/>
    </row>
    <row r="234" spans="1:3" s="130" customFormat="1" x14ac:dyDescent="0.3">
      <c r="A234" s="237"/>
      <c r="B234" s="125"/>
      <c r="C234" s="127"/>
    </row>
    <row r="235" spans="1:3" s="130" customFormat="1" x14ac:dyDescent="0.3">
      <c r="A235" s="237"/>
      <c r="B235" s="125"/>
      <c r="C235" s="127"/>
    </row>
    <row r="236" spans="1:3" s="130" customFormat="1" x14ac:dyDescent="0.3">
      <c r="A236" s="237"/>
      <c r="B236" s="125"/>
      <c r="C236" s="127"/>
    </row>
    <row r="237" spans="1:3" s="130" customFormat="1" x14ac:dyDescent="0.3">
      <c r="A237" s="237"/>
      <c r="B237" s="125"/>
      <c r="C237" s="127"/>
    </row>
    <row r="238" spans="1:3" s="130" customFormat="1" x14ac:dyDescent="0.3">
      <c r="A238" s="237"/>
      <c r="B238" s="125"/>
      <c r="C238" s="127"/>
    </row>
    <row r="239" spans="1:3" s="130" customFormat="1" x14ac:dyDescent="0.3">
      <c r="A239" s="237"/>
      <c r="B239" s="125"/>
      <c r="C239" s="127"/>
    </row>
    <row r="240" spans="1:3" s="130" customFormat="1" x14ac:dyDescent="0.3">
      <c r="A240" s="237"/>
      <c r="B240" s="125"/>
      <c r="C240" s="127"/>
    </row>
    <row r="241" spans="1:3" s="130" customFormat="1" x14ac:dyDescent="0.3">
      <c r="A241" s="237"/>
      <c r="B241" s="125"/>
      <c r="C241" s="127"/>
    </row>
    <row r="242" spans="1:3" s="130" customFormat="1" x14ac:dyDescent="0.3">
      <c r="A242" s="237"/>
      <c r="B242" s="125"/>
      <c r="C242" s="127"/>
    </row>
    <row r="243" spans="1:3" s="130" customFormat="1" x14ac:dyDescent="0.3">
      <c r="A243" s="237"/>
      <c r="B243" s="125"/>
      <c r="C243" s="127"/>
    </row>
    <row r="244" spans="1:3" s="130" customFormat="1" x14ac:dyDescent="0.3">
      <c r="A244" s="237"/>
      <c r="B244" s="125"/>
      <c r="C244" s="127"/>
    </row>
    <row r="245" spans="1:3" s="130" customFormat="1" x14ac:dyDescent="0.3">
      <c r="A245" s="237"/>
      <c r="B245" s="125"/>
      <c r="C245" s="127"/>
    </row>
    <row r="246" spans="1:3" s="130" customFormat="1" x14ac:dyDescent="0.3">
      <c r="A246" s="237"/>
      <c r="B246" s="125"/>
      <c r="C246" s="127"/>
    </row>
    <row r="247" spans="1:3" s="130" customFormat="1" x14ac:dyDescent="0.3">
      <c r="A247" s="237"/>
      <c r="B247" s="125"/>
      <c r="C247" s="127"/>
    </row>
    <row r="248" spans="1:3" s="130" customFormat="1" x14ac:dyDescent="0.3">
      <c r="A248" s="237"/>
      <c r="B248" s="125"/>
      <c r="C248" s="127"/>
    </row>
    <row r="249" spans="1:3" s="130" customFormat="1" x14ac:dyDescent="0.3">
      <c r="A249" s="237"/>
      <c r="B249" s="125"/>
      <c r="C249" s="127"/>
    </row>
    <row r="250" spans="1:3" s="130" customFormat="1" x14ac:dyDescent="0.3">
      <c r="A250" s="237"/>
      <c r="B250" s="125"/>
      <c r="C250" s="127"/>
    </row>
    <row r="251" spans="1:3" s="130" customFormat="1" x14ac:dyDescent="0.3">
      <c r="A251" s="237"/>
      <c r="B251" s="125"/>
      <c r="C251" s="127"/>
    </row>
    <row r="252" spans="1:3" s="130" customFormat="1" x14ac:dyDescent="0.3">
      <c r="A252" s="237"/>
      <c r="B252" s="125"/>
      <c r="C252" s="127"/>
    </row>
    <row r="253" spans="1:3" s="130" customFormat="1" x14ac:dyDescent="0.3">
      <c r="A253" s="237"/>
      <c r="B253" s="125"/>
      <c r="C253" s="127"/>
    </row>
    <row r="254" spans="1:3" s="130" customFormat="1" x14ac:dyDescent="0.3">
      <c r="A254" s="237"/>
      <c r="B254" s="125"/>
      <c r="C254" s="127"/>
    </row>
    <row r="255" spans="1:3" s="130" customFormat="1" x14ac:dyDescent="0.3">
      <c r="A255" s="237"/>
      <c r="B255" s="125"/>
      <c r="C255" s="127"/>
    </row>
    <row r="256" spans="1:3" s="130" customFormat="1" x14ac:dyDescent="0.3">
      <c r="A256" s="237"/>
      <c r="B256" s="125"/>
      <c r="C256" s="127"/>
    </row>
    <row r="257" spans="1:3" s="130" customFormat="1" x14ac:dyDescent="0.3">
      <c r="A257" s="237"/>
      <c r="B257" s="125"/>
      <c r="C257" s="127"/>
    </row>
    <row r="258" spans="1:3" s="130" customFormat="1" x14ac:dyDescent="0.3">
      <c r="A258" s="237"/>
      <c r="B258" s="125"/>
      <c r="C258" s="127"/>
    </row>
    <row r="259" spans="1:3" s="130" customFormat="1" x14ac:dyDescent="0.3">
      <c r="A259" s="237"/>
      <c r="B259" s="125"/>
      <c r="C259" s="127"/>
    </row>
    <row r="260" spans="1:3" s="130" customFormat="1" x14ac:dyDescent="0.3">
      <c r="A260" s="237"/>
      <c r="B260" s="125"/>
      <c r="C260" s="127"/>
    </row>
    <row r="261" spans="1:3" s="130" customFormat="1" x14ac:dyDescent="0.3">
      <c r="A261" s="237"/>
      <c r="B261" s="125"/>
      <c r="C261" s="127"/>
    </row>
    <row r="262" spans="1:3" s="130" customFormat="1" x14ac:dyDescent="0.3">
      <c r="A262" s="237"/>
      <c r="B262" s="125"/>
      <c r="C262" s="127"/>
    </row>
    <row r="263" spans="1:3" s="130" customFormat="1" x14ac:dyDescent="0.3">
      <c r="A263" s="237"/>
      <c r="B263" s="125"/>
      <c r="C263" s="127"/>
    </row>
    <row r="264" spans="1:3" s="130" customFormat="1" x14ac:dyDescent="0.3">
      <c r="A264" s="237"/>
      <c r="B264" s="125"/>
      <c r="C264" s="127"/>
    </row>
    <row r="265" spans="1:3" s="130" customFormat="1" x14ac:dyDescent="0.3">
      <c r="A265" s="237"/>
      <c r="B265" s="125"/>
      <c r="C265" s="127"/>
    </row>
    <row r="266" spans="1:3" s="130" customFormat="1" x14ac:dyDescent="0.3">
      <c r="A266" s="237"/>
      <c r="B266" s="125"/>
      <c r="C266" s="127"/>
    </row>
    <row r="267" spans="1:3" s="130" customFormat="1" x14ac:dyDescent="0.3">
      <c r="A267" s="237"/>
      <c r="B267" s="125"/>
      <c r="C267" s="127"/>
    </row>
    <row r="268" spans="1:3" s="130" customFormat="1" x14ac:dyDescent="0.3">
      <c r="A268" s="237"/>
      <c r="B268" s="125"/>
      <c r="C268" s="127"/>
    </row>
    <row r="269" spans="1:3" s="130" customFormat="1" x14ac:dyDescent="0.3">
      <c r="A269" s="237"/>
      <c r="B269" s="125"/>
      <c r="C269" s="127"/>
    </row>
    <row r="270" spans="1:3" s="130" customFormat="1" x14ac:dyDescent="0.3">
      <c r="A270" s="237"/>
      <c r="B270" s="125"/>
      <c r="C270" s="127"/>
    </row>
    <row r="271" spans="1:3" s="130" customFormat="1" x14ac:dyDescent="0.3">
      <c r="A271" s="237"/>
      <c r="B271" s="125"/>
      <c r="C271" s="127"/>
    </row>
    <row r="272" spans="1:3" s="130" customFormat="1" x14ac:dyDescent="0.3">
      <c r="A272" s="237"/>
      <c r="B272" s="125"/>
      <c r="C272" s="127"/>
    </row>
    <row r="273" spans="1:3" s="130" customFormat="1" x14ac:dyDescent="0.3">
      <c r="A273" s="237"/>
      <c r="B273" s="125"/>
      <c r="C273" s="127"/>
    </row>
    <row r="274" spans="1:3" s="130" customFormat="1" x14ac:dyDescent="0.3">
      <c r="A274" s="237"/>
      <c r="B274" s="125"/>
      <c r="C274" s="127"/>
    </row>
    <row r="275" spans="1:3" s="130" customFormat="1" x14ac:dyDescent="0.3">
      <c r="A275" s="237"/>
      <c r="B275" s="125"/>
      <c r="C275" s="127"/>
    </row>
    <row r="276" spans="1:3" s="130" customFormat="1" x14ac:dyDescent="0.3">
      <c r="A276" s="237"/>
      <c r="B276" s="125"/>
      <c r="C276" s="127"/>
    </row>
    <row r="277" spans="1:3" s="130" customFormat="1" x14ac:dyDescent="0.3">
      <c r="A277" s="237"/>
      <c r="B277" s="125"/>
      <c r="C277" s="127"/>
    </row>
    <row r="278" spans="1:3" s="130" customFormat="1" x14ac:dyDescent="0.3">
      <c r="A278" s="237"/>
      <c r="B278" s="125"/>
      <c r="C278" s="127"/>
    </row>
    <row r="279" spans="1:3" s="130" customFormat="1" x14ac:dyDescent="0.3">
      <c r="A279" s="237"/>
      <c r="B279" s="125"/>
      <c r="C279" s="127"/>
    </row>
    <row r="280" spans="1:3" s="130" customFormat="1" x14ac:dyDescent="0.3">
      <c r="A280" s="237"/>
      <c r="B280" s="125"/>
      <c r="C280" s="127"/>
    </row>
    <row r="281" spans="1:3" s="130" customFormat="1" x14ac:dyDescent="0.3">
      <c r="A281" s="237"/>
      <c r="B281" s="125"/>
      <c r="C281" s="127"/>
    </row>
    <row r="282" spans="1:3" s="130" customFormat="1" x14ac:dyDescent="0.3">
      <c r="A282" s="237"/>
      <c r="B282" s="125"/>
      <c r="C282" s="127"/>
    </row>
    <row r="283" spans="1:3" s="130" customFormat="1" x14ac:dyDescent="0.3">
      <c r="A283" s="237"/>
      <c r="B283" s="125"/>
      <c r="C283" s="127"/>
    </row>
    <row r="284" spans="1:3" s="130" customFormat="1" x14ac:dyDescent="0.3">
      <c r="A284" s="237"/>
      <c r="B284" s="125"/>
      <c r="C284" s="127"/>
    </row>
    <row r="285" spans="1:3" s="130" customFormat="1" x14ac:dyDescent="0.3">
      <c r="A285" s="237"/>
      <c r="B285" s="125"/>
      <c r="C285" s="127"/>
    </row>
    <row r="286" spans="1:3" s="130" customFormat="1" x14ac:dyDescent="0.3">
      <c r="A286" s="237"/>
      <c r="B286" s="125"/>
      <c r="C286" s="127"/>
    </row>
    <row r="287" spans="1:3" s="130" customFormat="1" x14ac:dyDescent="0.3">
      <c r="A287" s="237"/>
      <c r="B287" s="125"/>
      <c r="C287" s="127"/>
    </row>
    <row r="288" spans="1:3" s="130" customFormat="1" x14ac:dyDescent="0.3">
      <c r="A288" s="237"/>
      <c r="B288" s="125"/>
      <c r="C288" s="127"/>
    </row>
    <row r="289" spans="1:3" s="130" customFormat="1" x14ac:dyDescent="0.3">
      <c r="A289" s="237"/>
      <c r="B289" s="125"/>
      <c r="C289" s="127"/>
    </row>
    <row r="290" spans="1:3" s="130" customFormat="1" x14ac:dyDescent="0.3">
      <c r="A290" s="237"/>
      <c r="B290" s="125"/>
      <c r="C290" s="127"/>
    </row>
    <row r="291" spans="1:3" s="130" customFormat="1" x14ac:dyDescent="0.3">
      <c r="A291" s="237"/>
      <c r="B291" s="125"/>
      <c r="C291" s="127"/>
    </row>
    <row r="292" spans="1:3" s="130" customFormat="1" x14ac:dyDescent="0.3">
      <c r="A292" s="237"/>
      <c r="B292" s="125"/>
      <c r="C292" s="127"/>
    </row>
    <row r="293" spans="1:3" s="130" customFormat="1" x14ac:dyDescent="0.3">
      <c r="A293" s="237"/>
      <c r="B293" s="125"/>
      <c r="C293" s="127"/>
    </row>
    <row r="294" spans="1:3" s="130" customFormat="1" x14ac:dyDescent="0.3">
      <c r="A294" s="237"/>
      <c r="B294" s="125"/>
      <c r="C294" s="127"/>
    </row>
    <row r="295" spans="1:3" s="130" customFormat="1" x14ac:dyDescent="0.3">
      <c r="A295" s="237"/>
      <c r="B295" s="125"/>
      <c r="C295" s="127"/>
    </row>
    <row r="296" spans="1:3" s="130" customFormat="1" x14ac:dyDescent="0.3">
      <c r="A296" s="237"/>
      <c r="B296" s="125"/>
      <c r="C296" s="127"/>
    </row>
    <row r="297" spans="1:3" s="130" customFormat="1" x14ac:dyDescent="0.3">
      <c r="A297" s="237"/>
      <c r="B297" s="125"/>
      <c r="C297" s="127"/>
    </row>
    <row r="298" spans="1:3" s="130" customFormat="1" x14ac:dyDescent="0.3">
      <c r="A298" s="237"/>
      <c r="B298" s="125"/>
      <c r="C298" s="127"/>
    </row>
    <row r="299" spans="1:3" s="130" customFormat="1" x14ac:dyDescent="0.3">
      <c r="A299" s="237"/>
      <c r="B299" s="125"/>
      <c r="C299" s="127"/>
    </row>
    <row r="300" spans="1:3" s="130" customFormat="1" x14ac:dyDescent="0.3">
      <c r="A300" s="237"/>
      <c r="B300" s="125"/>
      <c r="C300" s="127"/>
    </row>
    <row r="301" spans="1:3" s="130" customFormat="1" x14ac:dyDescent="0.3">
      <c r="A301" s="237"/>
      <c r="B301" s="125"/>
      <c r="C301" s="127"/>
    </row>
    <row r="302" spans="1:3" s="130" customFormat="1" x14ac:dyDescent="0.3">
      <c r="A302" s="237"/>
      <c r="B302" s="125"/>
      <c r="C302" s="127"/>
    </row>
    <row r="303" spans="1:3" s="130" customFormat="1" x14ac:dyDescent="0.3">
      <c r="A303" s="237"/>
      <c r="B303" s="125"/>
      <c r="C303" s="127"/>
    </row>
    <row r="304" spans="1:3" s="130" customFormat="1" x14ac:dyDescent="0.3">
      <c r="A304" s="237"/>
      <c r="B304" s="125"/>
      <c r="C304" s="127"/>
    </row>
    <row r="305" spans="1:3" s="130" customFormat="1" x14ac:dyDescent="0.3">
      <c r="A305" s="237"/>
      <c r="B305" s="125"/>
      <c r="C305" s="127"/>
    </row>
    <row r="306" spans="1:3" s="130" customFormat="1" x14ac:dyDescent="0.3">
      <c r="A306" s="237"/>
      <c r="B306" s="125"/>
      <c r="C306" s="127"/>
    </row>
    <row r="307" spans="1:3" s="130" customFormat="1" x14ac:dyDescent="0.3">
      <c r="A307" s="237"/>
      <c r="B307" s="125"/>
      <c r="C307" s="127"/>
    </row>
    <row r="308" spans="1:3" s="130" customFormat="1" x14ac:dyDescent="0.3">
      <c r="A308" s="237"/>
      <c r="B308" s="125"/>
      <c r="C308" s="127"/>
    </row>
    <row r="309" spans="1:3" s="130" customFormat="1" x14ac:dyDescent="0.3">
      <c r="A309" s="237"/>
      <c r="B309" s="125"/>
      <c r="C309" s="127"/>
    </row>
    <row r="310" spans="1:3" s="130" customFormat="1" x14ac:dyDescent="0.3">
      <c r="A310" s="237"/>
      <c r="B310" s="125"/>
      <c r="C310" s="127"/>
    </row>
    <row r="311" spans="1:3" s="130" customFormat="1" x14ac:dyDescent="0.3">
      <c r="A311" s="237"/>
      <c r="B311" s="125"/>
      <c r="C311" s="127"/>
    </row>
    <row r="312" spans="1:3" s="130" customFormat="1" x14ac:dyDescent="0.3">
      <c r="A312" s="237"/>
      <c r="B312" s="125"/>
      <c r="C312" s="127"/>
    </row>
    <row r="313" spans="1:3" s="130" customFormat="1" x14ac:dyDescent="0.3">
      <c r="A313" s="237"/>
      <c r="B313" s="125"/>
      <c r="C313" s="127"/>
    </row>
    <row r="314" spans="1:3" s="130" customFormat="1" x14ac:dyDescent="0.3">
      <c r="A314" s="237"/>
      <c r="B314" s="125"/>
      <c r="C314" s="127"/>
    </row>
    <row r="315" spans="1:3" s="130" customFormat="1" x14ac:dyDescent="0.3">
      <c r="A315" s="237"/>
      <c r="B315" s="125"/>
      <c r="C315" s="127"/>
    </row>
    <row r="316" spans="1:3" s="130" customFormat="1" x14ac:dyDescent="0.3">
      <c r="A316" s="237"/>
      <c r="B316" s="125"/>
      <c r="C316" s="127"/>
    </row>
    <row r="317" spans="1:3" s="130" customFormat="1" x14ac:dyDescent="0.3">
      <c r="A317" s="237"/>
      <c r="B317" s="125"/>
      <c r="C317" s="127"/>
    </row>
    <row r="318" spans="1:3" s="130" customFormat="1" x14ac:dyDescent="0.3">
      <c r="A318" s="237"/>
      <c r="B318" s="125"/>
      <c r="C318" s="127"/>
    </row>
    <row r="319" spans="1:3" s="130" customFormat="1" x14ac:dyDescent="0.3">
      <c r="A319" s="237"/>
      <c r="B319" s="125"/>
      <c r="C319" s="127"/>
    </row>
    <row r="320" spans="1:3" s="130" customFormat="1" x14ac:dyDescent="0.3">
      <c r="A320" s="237"/>
      <c r="B320" s="125"/>
      <c r="C320" s="127"/>
    </row>
    <row r="321" spans="1:3" s="130" customFormat="1" x14ac:dyDescent="0.3">
      <c r="A321" s="237"/>
      <c r="B321" s="125"/>
      <c r="C321" s="127"/>
    </row>
    <row r="322" spans="1:3" s="130" customFormat="1" x14ac:dyDescent="0.3">
      <c r="A322" s="237"/>
      <c r="B322" s="125"/>
      <c r="C322" s="127"/>
    </row>
    <row r="323" spans="1:3" s="130" customFormat="1" x14ac:dyDescent="0.3">
      <c r="A323" s="237"/>
      <c r="B323" s="125"/>
      <c r="C323" s="127"/>
    </row>
    <row r="324" spans="1:3" s="130" customFormat="1" x14ac:dyDescent="0.3">
      <c r="A324" s="237"/>
      <c r="B324" s="125"/>
      <c r="C324" s="127"/>
    </row>
    <row r="325" spans="1:3" s="130" customFormat="1" x14ac:dyDescent="0.3">
      <c r="A325" s="237"/>
      <c r="B325" s="125"/>
      <c r="C325" s="127"/>
    </row>
    <row r="326" spans="1:3" s="130" customFormat="1" x14ac:dyDescent="0.3">
      <c r="A326" s="237"/>
      <c r="B326" s="125"/>
      <c r="C326" s="127"/>
    </row>
    <row r="327" spans="1:3" s="130" customFormat="1" x14ac:dyDescent="0.3">
      <c r="A327" s="237"/>
      <c r="B327" s="125"/>
      <c r="C327" s="127"/>
    </row>
    <row r="328" spans="1:3" s="130" customFormat="1" x14ac:dyDescent="0.3">
      <c r="A328" s="237"/>
      <c r="B328" s="125"/>
      <c r="C328" s="127"/>
    </row>
    <row r="329" spans="1:3" s="130" customFormat="1" x14ac:dyDescent="0.3">
      <c r="A329" s="237"/>
      <c r="B329" s="125"/>
      <c r="C329" s="127"/>
    </row>
    <row r="330" spans="1:3" s="130" customFormat="1" x14ac:dyDescent="0.3">
      <c r="A330" s="237"/>
      <c r="B330" s="125"/>
      <c r="C330" s="127"/>
    </row>
    <row r="331" spans="1:3" s="130" customFormat="1" x14ac:dyDescent="0.3">
      <c r="A331" s="237"/>
      <c r="B331" s="125"/>
      <c r="C331" s="127"/>
    </row>
    <row r="332" spans="1:3" s="130" customFormat="1" x14ac:dyDescent="0.3">
      <c r="A332" s="237"/>
      <c r="B332" s="125"/>
      <c r="C332" s="127"/>
    </row>
    <row r="333" spans="1:3" s="130" customFormat="1" x14ac:dyDescent="0.3">
      <c r="A333" s="237"/>
      <c r="B333" s="125"/>
      <c r="C333" s="127"/>
    </row>
    <row r="334" spans="1:3" s="130" customFormat="1" x14ac:dyDescent="0.3">
      <c r="A334" s="237"/>
      <c r="B334" s="125"/>
      <c r="C334" s="127"/>
    </row>
    <row r="335" spans="1:3" s="130" customFormat="1" x14ac:dyDescent="0.3">
      <c r="A335" s="237"/>
      <c r="B335" s="125"/>
      <c r="C335" s="127"/>
    </row>
    <row r="336" spans="1:3" s="130" customFormat="1" x14ac:dyDescent="0.3">
      <c r="A336" s="237"/>
      <c r="B336" s="125"/>
      <c r="C336" s="127"/>
    </row>
    <row r="337" spans="1:3" s="130" customFormat="1" x14ac:dyDescent="0.3">
      <c r="A337" s="237"/>
      <c r="B337" s="125"/>
      <c r="C337" s="127"/>
    </row>
    <row r="338" spans="1:3" s="130" customFormat="1" x14ac:dyDescent="0.3">
      <c r="A338" s="237"/>
      <c r="B338" s="125"/>
      <c r="C338" s="127"/>
    </row>
    <row r="339" spans="1:3" s="130" customFormat="1" x14ac:dyDescent="0.3">
      <c r="A339" s="237"/>
      <c r="B339" s="125"/>
      <c r="C339" s="127"/>
    </row>
    <row r="340" spans="1:3" s="130" customFormat="1" x14ac:dyDescent="0.3">
      <c r="A340" s="237"/>
      <c r="B340" s="125"/>
      <c r="C340" s="127"/>
    </row>
    <row r="341" spans="1:3" s="130" customFormat="1" x14ac:dyDescent="0.3">
      <c r="A341" s="237"/>
      <c r="B341" s="125"/>
      <c r="C341" s="127"/>
    </row>
    <row r="342" spans="1:3" s="130" customFormat="1" x14ac:dyDescent="0.3">
      <c r="A342" s="237"/>
      <c r="B342" s="125"/>
      <c r="C342" s="127"/>
    </row>
    <row r="343" spans="1:3" s="130" customFormat="1" x14ac:dyDescent="0.3">
      <c r="A343" s="237"/>
      <c r="B343" s="125"/>
      <c r="C343" s="127"/>
    </row>
    <row r="344" spans="1:3" s="130" customFormat="1" x14ac:dyDescent="0.3">
      <c r="A344" s="237"/>
      <c r="B344" s="125"/>
      <c r="C344" s="127"/>
    </row>
    <row r="345" spans="1:3" s="130" customFormat="1" x14ac:dyDescent="0.3">
      <c r="A345" s="237"/>
      <c r="B345" s="125"/>
      <c r="C345" s="127"/>
    </row>
    <row r="346" spans="1:3" s="130" customFormat="1" x14ac:dyDescent="0.3">
      <c r="A346" s="237"/>
      <c r="B346" s="125"/>
      <c r="C346" s="127"/>
    </row>
    <row r="347" spans="1:3" s="130" customFormat="1" x14ac:dyDescent="0.3">
      <c r="A347" s="237"/>
      <c r="B347" s="125"/>
      <c r="C347" s="127"/>
    </row>
    <row r="348" spans="1:3" s="130" customFormat="1" x14ac:dyDescent="0.3">
      <c r="A348" s="237"/>
      <c r="B348" s="125"/>
      <c r="C348" s="127"/>
    </row>
    <row r="349" spans="1:3" s="130" customFormat="1" x14ac:dyDescent="0.3">
      <c r="A349" s="237"/>
      <c r="B349" s="125"/>
      <c r="C349" s="127"/>
    </row>
    <row r="350" spans="1:3" s="130" customFormat="1" x14ac:dyDescent="0.3">
      <c r="A350" s="237"/>
      <c r="B350" s="125"/>
      <c r="C350" s="127"/>
    </row>
    <row r="351" spans="1:3" s="130" customFormat="1" x14ac:dyDescent="0.3">
      <c r="A351" s="237"/>
      <c r="B351" s="125"/>
      <c r="C351" s="127"/>
    </row>
    <row r="352" spans="1:3" s="130" customFormat="1" x14ac:dyDescent="0.3">
      <c r="A352" s="237"/>
      <c r="B352" s="125"/>
      <c r="C352" s="127"/>
    </row>
    <row r="353" spans="1:3" s="130" customFormat="1" x14ac:dyDescent="0.3">
      <c r="A353" s="237"/>
      <c r="B353" s="125"/>
      <c r="C353" s="127"/>
    </row>
    <row r="354" spans="1:3" s="130" customFormat="1" x14ac:dyDescent="0.3">
      <c r="A354" s="237"/>
      <c r="B354" s="125"/>
      <c r="C354" s="127"/>
    </row>
    <row r="355" spans="1:3" s="130" customFormat="1" x14ac:dyDescent="0.3">
      <c r="A355" s="237"/>
      <c r="B355" s="125"/>
      <c r="C355" s="127"/>
    </row>
    <row r="356" spans="1:3" s="130" customFormat="1" x14ac:dyDescent="0.3">
      <c r="A356" s="237"/>
      <c r="B356" s="125"/>
      <c r="C356" s="127"/>
    </row>
    <row r="357" spans="1:3" s="130" customFormat="1" x14ac:dyDescent="0.3">
      <c r="A357" s="237"/>
      <c r="B357" s="125"/>
      <c r="C357" s="127"/>
    </row>
    <row r="358" spans="1:3" s="130" customFormat="1" x14ac:dyDescent="0.3">
      <c r="A358" s="237"/>
      <c r="B358" s="125"/>
      <c r="C358" s="127"/>
    </row>
    <row r="359" spans="1:3" s="130" customFormat="1" x14ac:dyDescent="0.3">
      <c r="A359" s="237"/>
      <c r="B359" s="125"/>
      <c r="C359" s="127"/>
    </row>
    <row r="360" spans="1:3" s="130" customFormat="1" x14ac:dyDescent="0.3">
      <c r="A360" s="237"/>
      <c r="B360" s="125"/>
      <c r="C360" s="127"/>
    </row>
    <row r="361" spans="1:3" s="130" customFormat="1" x14ac:dyDescent="0.3">
      <c r="A361" s="237"/>
      <c r="B361" s="125"/>
      <c r="C361" s="127"/>
    </row>
    <row r="362" spans="1:3" s="130" customFormat="1" x14ac:dyDescent="0.3">
      <c r="A362" s="237"/>
      <c r="B362" s="125"/>
      <c r="C362" s="127"/>
    </row>
    <row r="363" spans="1:3" s="130" customFormat="1" x14ac:dyDescent="0.3">
      <c r="A363" s="237"/>
      <c r="B363" s="125"/>
      <c r="C363" s="127"/>
    </row>
    <row r="364" spans="1:3" s="130" customFormat="1" x14ac:dyDescent="0.3">
      <c r="A364" s="237"/>
      <c r="B364" s="125"/>
      <c r="C364" s="127"/>
    </row>
    <row r="365" spans="1:3" s="130" customFormat="1" x14ac:dyDescent="0.3">
      <c r="A365" s="237"/>
      <c r="B365" s="125"/>
      <c r="C365" s="127"/>
    </row>
    <row r="366" spans="1:3" s="130" customFormat="1" x14ac:dyDescent="0.3">
      <c r="A366" s="237"/>
      <c r="B366" s="125"/>
      <c r="C366" s="127"/>
    </row>
    <row r="367" spans="1:3" s="130" customFormat="1" x14ac:dyDescent="0.3">
      <c r="A367" s="237"/>
      <c r="B367" s="125"/>
      <c r="C367" s="127"/>
    </row>
    <row r="368" spans="1:3" s="130" customFormat="1" x14ac:dyDescent="0.3">
      <c r="A368" s="237"/>
      <c r="B368" s="125"/>
      <c r="C368" s="127"/>
    </row>
    <row r="369" spans="1:3" s="130" customFormat="1" x14ac:dyDescent="0.3">
      <c r="A369" s="237"/>
      <c r="B369" s="125"/>
      <c r="C369" s="127"/>
    </row>
    <row r="370" spans="1:3" s="130" customFormat="1" x14ac:dyDescent="0.3">
      <c r="A370" s="237"/>
      <c r="B370" s="125"/>
      <c r="C370" s="127"/>
    </row>
    <row r="371" spans="1:3" s="130" customFormat="1" x14ac:dyDescent="0.3">
      <c r="A371" s="237"/>
      <c r="B371" s="125"/>
      <c r="C371" s="127"/>
    </row>
    <row r="372" spans="1:3" s="130" customFormat="1" x14ac:dyDescent="0.3">
      <c r="A372" s="237"/>
      <c r="B372" s="125"/>
      <c r="C372" s="127"/>
    </row>
    <row r="373" spans="1:3" s="130" customFormat="1" x14ac:dyDescent="0.3">
      <c r="A373" s="237"/>
      <c r="B373" s="125"/>
      <c r="C373" s="127"/>
    </row>
    <row r="374" spans="1:3" s="130" customFormat="1" x14ac:dyDescent="0.3">
      <c r="A374" s="237"/>
      <c r="B374" s="125"/>
      <c r="C374" s="127"/>
    </row>
    <row r="375" spans="1:3" s="130" customFormat="1" x14ac:dyDescent="0.3">
      <c r="A375" s="237"/>
      <c r="B375" s="125"/>
      <c r="C375" s="127"/>
    </row>
    <row r="376" spans="1:3" s="130" customFormat="1" x14ac:dyDescent="0.3">
      <c r="A376" s="237"/>
      <c r="B376" s="125"/>
      <c r="C376" s="127"/>
    </row>
    <row r="377" spans="1:3" s="130" customFormat="1" x14ac:dyDescent="0.3">
      <c r="A377" s="237"/>
      <c r="B377" s="125"/>
      <c r="C377" s="127"/>
    </row>
    <row r="378" spans="1:3" s="130" customFormat="1" x14ac:dyDescent="0.3">
      <c r="A378" s="237"/>
      <c r="B378" s="125"/>
      <c r="C378" s="127"/>
    </row>
    <row r="379" spans="1:3" s="130" customFormat="1" x14ac:dyDescent="0.3">
      <c r="A379" s="237"/>
      <c r="B379" s="125"/>
      <c r="C379" s="127"/>
    </row>
    <row r="380" spans="1:3" s="130" customFormat="1" x14ac:dyDescent="0.3">
      <c r="A380" s="237"/>
      <c r="B380" s="125"/>
      <c r="C380" s="127"/>
    </row>
    <row r="381" spans="1:3" s="130" customFormat="1" x14ac:dyDescent="0.3">
      <c r="A381" s="237"/>
      <c r="B381" s="125"/>
      <c r="C381" s="127"/>
    </row>
    <row r="382" spans="1:3" s="130" customFormat="1" x14ac:dyDescent="0.3">
      <c r="A382" s="237"/>
      <c r="B382" s="125"/>
      <c r="C382" s="127"/>
    </row>
    <row r="383" spans="1:3" s="130" customFormat="1" x14ac:dyDescent="0.3">
      <c r="A383" s="237"/>
      <c r="B383" s="125"/>
      <c r="C383" s="127"/>
    </row>
    <row r="384" spans="1:3" s="130" customFormat="1" x14ac:dyDescent="0.3">
      <c r="A384" s="237"/>
      <c r="B384" s="125"/>
      <c r="C384" s="127"/>
    </row>
    <row r="385" spans="1:3" s="130" customFormat="1" x14ac:dyDescent="0.3">
      <c r="A385" s="237"/>
      <c r="B385" s="125"/>
      <c r="C385" s="127"/>
    </row>
    <row r="386" spans="1:3" s="130" customFormat="1" x14ac:dyDescent="0.3">
      <c r="A386" s="237"/>
      <c r="B386" s="125"/>
      <c r="C386" s="127"/>
    </row>
    <row r="387" spans="1:3" s="130" customFormat="1" x14ac:dyDescent="0.3">
      <c r="A387" s="237"/>
      <c r="B387" s="125"/>
      <c r="C387" s="127"/>
    </row>
    <row r="388" spans="1:3" s="130" customFormat="1" x14ac:dyDescent="0.3">
      <c r="A388" s="237"/>
      <c r="B388" s="125"/>
      <c r="C388" s="127"/>
    </row>
    <row r="389" spans="1:3" s="130" customFormat="1" x14ac:dyDescent="0.3">
      <c r="A389" s="237"/>
      <c r="B389" s="125"/>
      <c r="C389" s="127"/>
    </row>
    <row r="390" spans="1:3" s="130" customFormat="1" x14ac:dyDescent="0.3">
      <c r="A390" s="237"/>
      <c r="B390" s="125"/>
      <c r="C390" s="127"/>
    </row>
    <row r="391" spans="1:3" s="130" customFormat="1" x14ac:dyDescent="0.3">
      <c r="A391" s="237"/>
      <c r="B391" s="125"/>
      <c r="C391" s="127"/>
    </row>
    <row r="392" spans="1:3" s="130" customFormat="1" x14ac:dyDescent="0.3">
      <c r="A392" s="237"/>
      <c r="B392" s="125"/>
      <c r="C392" s="127"/>
    </row>
    <row r="393" spans="1:3" s="130" customFormat="1" x14ac:dyDescent="0.3">
      <c r="A393" s="237"/>
      <c r="B393" s="125"/>
      <c r="C393" s="127"/>
    </row>
    <row r="394" spans="1:3" s="130" customFormat="1" x14ac:dyDescent="0.3">
      <c r="A394" s="237"/>
      <c r="B394" s="125"/>
      <c r="C394" s="127"/>
    </row>
    <row r="395" spans="1:3" s="130" customFormat="1" x14ac:dyDescent="0.3">
      <c r="A395" s="237"/>
      <c r="B395" s="125"/>
      <c r="C395" s="127"/>
    </row>
    <row r="396" spans="1:3" s="130" customFormat="1" x14ac:dyDescent="0.3">
      <c r="A396" s="237"/>
      <c r="B396" s="125"/>
      <c r="C396" s="127"/>
    </row>
    <row r="397" spans="1:3" s="130" customFormat="1" x14ac:dyDescent="0.3">
      <c r="A397" s="237"/>
      <c r="B397" s="125"/>
      <c r="C397" s="127"/>
    </row>
    <row r="398" spans="1:3" s="130" customFormat="1" x14ac:dyDescent="0.3">
      <c r="A398" s="237"/>
      <c r="B398" s="125"/>
      <c r="C398" s="127"/>
    </row>
    <row r="399" spans="1:3" s="130" customFormat="1" x14ac:dyDescent="0.3">
      <c r="A399" s="237"/>
      <c r="B399" s="125"/>
      <c r="C399" s="127"/>
    </row>
    <row r="400" spans="1:3" s="130" customFormat="1" x14ac:dyDescent="0.3">
      <c r="A400" s="237"/>
      <c r="B400" s="125"/>
      <c r="C400" s="127"/>
    </row>
    <row r="401" spans="1:3" s="130" customFormat="1" x14ac:dyDescent="0.3">
      <c r="A401" s="237"/>
      <c r="B401" s="125"/>
      <c r="C401" s="127"/>
    </row>
    <row r="402" spans="1:3" s="130" customFormat="1" x14ac:dyDescent="0.3">
      <c r="A402" s="237"/>
      <c r="B402" s="125"/>
      <c r="C402" s="127"/>
    </row>
    <row r="403" spans="1:3" s="130" customFormat="1" x14ac:dyDescent="0.3">
      <c r="A403" s="237"/>
      <c r="B403" s="125"/>
      <c r="C403" s="127"/>
    </row>
    <row r="404" spans="1:3" s="130" customFormat="1" x14ac:dyDescent="0.3">
      <c r="A404" s="237"/>
      <c r="B404" s="125"/>
      <c r="C404" s="127"/>
    </row>
    <row r="405" spans="1:3" s="130" customFormat="1" x14ac:dyDescent="0.3">
      <c r="A405" s="237"/>
      <c r="B405" s="125"/>
      <c r="C405" s="127"/>
    </row>
    <row r="406" spans="1:3" s="130" customFormat="1" x14ac:dyDescent="0.3">
      <c r="A406" s="237"/>
      <c r="B406" s="125"/>
      <c r="C406" s="127"/>
    </row>
    <row r="407" spans="1:3" s="130" customFormat="1" x14ac:dyDescent="0.3">
      <c r="A407" s="237"/>
      <c r="B407" s="125"/>
      <c r="C407" s="127"/>
    </row>
    <row r="408" spans="1:3" s="130" customFormat="1" x14ac:dyDescent="0.3">
      <c r="A408" s="237"/>
      <c r="B408" s="125"/>
      <c r="C408" s="127"/>
    </row>
    <row r="409" spans="1:3" s="130" customFormat="1" x14ac:dyDescent="0.3">
      <c r="A409" s="237"/>
      <c r="B409" s="125"/>
      <c r="C409" s="127"/>
    </row>
    <row r="410" spans="1:3" s="130" customFormat="1" x14ac:dyDescent="0.3">
      <c r="A410" s="237"/>
      <c r="B410" s="125"/>
      <c r="C410" s="127"/>
    </row>
    <row r="411" spans="1:3" s="130" customFormat="1" x14ac:dyDescent="0.3">
      <c r="A411" s="237"/>
      <c r="B411" s="125"/>
      <c r="C411" s="127"/>
    </row>
    <row r="412" spans="1:3" s="130" customFormat="1" x14ac:dyDescent="0.3">
      <c r="A412" s="237"/>
      <c r="B412" s="125"/>
      <c r="C412" s="127"/>
    </row>
    <row r="413" spans="1:3" s="130" customFormat="1" x14ac:dyDescent="0.3">
      <c r="A413" s="237"/>
      <c r="B413" s="125"/>
      <c r="C413" s="127"/>
    </row>
    <row r="414" spans="1:3" s="130" customFormat="1" x14ac:dyDescent="0.3">
      <c r="A414" s="237"/>
      <c r="B414" s="125"/>
      <c r="C414" s="127"/>
    </row>
    <row r="415" spans="1:3" s="130" customFormat="1" x14ac:dyDescent="0.3">
      <c r="A415" s="237"/>
      <c r="B415" s="125"/>
      <c r="C415" s="127"/>
    </row>
    <row r="416" spans="1:3" s="130" customFormat="1" x14ac:dyDescent="0.3">
      <c r="A416" s="237"/>
      <c r="B416" s="125"/>
      <c r="C416" s="127"/>
    </row>
    <row r="417" spans="1:3" s="130" customFormat="1" x14ac:dyDescent="0.3">
      <c r="A417" s="237"/>
      <c r="B417" s="125"/>
      <c r="C417" s="127"/>
    </row>
    <row r="418" spans="1:3" s="130" customFormat="1" x14ac:dyDescent="0.3">
      <c r="A418" s="237"/>
      <c r="B418" s="125"/>
      <c r="C418" s="127"/>
    </row>
    <row r="419" spans="1:3" s="130" customFormat="1" x14ac:dyDescent="0.3">
      <c r="A419" s="237"/>
      <c r="B419" s="125"/>
      <c r="C419" s="127"/>
    </row>
    <row r="420" spans="1:3" s="130" customFormat="1" x14ac:dyDescent="0.3">
      <c r="A420" s="237"/>
      <c r="B420" s="125"/>
      <c r="C420" s="127"/>
    </row>
    <row r="421" spans="1:3" s="130" customFormat="1" x14ac:dyDescent="0.3">
      <c r="A421" s="237"/>
      <c r="B421" s="125"/>
      <c r="C421" s="127"/>
    </row>
    <row r="422" spans="1:3" s="130" customFormat="1" x14ac:dyDescent="0.3">
      <c r="A422" s="237"/>
      <c r="B422" s="125"/>
      <c r="C422" s="127"/>
    </row>
    <row r="423" spans="1:3" s="130" customFormat="1" x14ac:dyDescent="0.3">
      <c r="A423" s="237"/>
      <c r="B423" s="125"/>
      <c r="C423" s="127"/>
    </row>
    <row r="424" spans="1:3" s="130" customFormat="1" x14ac:dyDescent="0.3">
      <c r="A424" s="237"/>
      <c r="B424" s="125"/>
      <c r="C424" s="127"/>
    </row>
    <row r="425" spans="1:3" s="130" customFormat="1" x14ac:dyDescent="0.3">
      <c r="A425" s="237"/>
      <c r="B425" s="125"/>
      <c r="C425" s="127"/>
    </row>
    <row r="426" spans="1:3" s="130" customFormat="1" x14ac:dyDescent="0.3">
      <c r="A426" s="237"/>
      <c r="B426" s="125"/>
      <c r="C426" s="127"/>
    </row>
    <row r="427" spans="1:3" s="130" customFormat="1" x14ac:dyDescent="0.3">
      <c r="A427" s="237"/>
      <c r="B427" s="125"/>
      <c r="C427" s="127"/>
    </row>
    <row r="428" spans="1:3" s="130" customFormat="1" x14ac:dyDescent="0.3">
      <c r="A428" s="237"/>
      <c r="B428" s="125"/>
      <c r="C428" s="127"/>
    </row>
    <row r="429" spans="1:3" s="130" customFormat="1" x14ac:dyDescent="0.3">
      <c r="A429" s="237"/>
      <c r="B429" s="125"/>
      <c r="C429" s="127"/>
    </row>
    <row r="430" spans="1:3" s="130" customFormat="1" x14ac:dyDescent="0.3">
      <c r="A430" s="237"/>
      <c r="B430" s="125"/>
      <c r="C430" s="127"/>
    </row>
    <row r="431" spans="1:3" s="130" customFormat="1" x14ac:dyDescent="0.3">
      <c r="A431" s="237"/>
      <c r="B431" s="125"/>
      <c r="C431" s="127"/>
    </row>
    <row r="432" spans="1:3" s="130" customFormat="1" x14ac:dyDescent="0.3">
      <c r="A432" s="237"/>
      <c r="B432" s="125"/>
      <c r="C432" s="127"/>
    </row>
    <row r="433" spans="1:3" s="130" customFormat="1" x14ac:dyDescent="0.3">
      <c r="A433" s="237"/>
      <c r="B433" s="125"/>
      <c r="C433" s="127"/>
    </row>
    <row r="434" spans="1:3" s="130" customFormat="1" x14ac:dyDescent="0.3">
      <c r="A434" s="237"/>
      <c r="B434" s="125"/>
      <c r="C434" s="127"/>
    </row>
    <row r="435" spans="1:3" s="130" customFormat="1" x14ac:dyDescent="0.3">
      <c r="A435" s="237"/>
      <c r="B435" s="125"/>
      <c r="C435" s="127"/>
    </row>
    <row r="436" spans="1:3" s="130" customFormat="1" x14ac:dyDescent="0.3">
      <c r="A436" s="237"/>
      <c r="B436" s="125"/>
      <c r="C436" s="127"/>
    </row>
    <row r="437" spans="1:3" s="130" customFormat="1" x14ac:dyDescent="0.3">
      <c r="A437" s="237"/>
      <c r="B437" s="125"/>
      <c r="C437" s="127"/>
    </row>
    <row r="438" spans="1:3" s="130" customFormat="1" x14ac:dyDescent="0.3">
      <c r="A438" s="237"/>
      <c r="B438" s="125"/>
      <c r="C438" s="127"/>
    </row>
    <row r="439" spans="1:3" s="130" customFormat="1" x14ac:dyDescent="0.3">
      <c r="A439" s="237"/>
      <c r="B439" s="125"/>
      <c r="C439" s="127"/>
    </row>
    <row r="440" spans="1:3" s="130" customFormat="1" x14ac:dyDescent="0.3">
      <c r="A440" s="237"/>
      <c r="B440" s="125"/>
      <c r="C440" s="127"/>
    </row>
    <row r="441" spans="1:3" s="130" customFormat="1" x14ac:dyDescent="0.3">
      <c r="A441" s="237"/>
      <c r="B441" s="125"/>
      <c r="C441" s="127"/>
    </row>
    <row r="442" spans="1:3" s="130" customFormat="1" x14ac:dyDescent="0.3">
      <c r="A442" s="237"/>
      <c r="B442" s="125"/>
      <c r="C442" s="127"/>
    </row>
    <row r="443" spans="1:3" s="130" customFormat="1" x14ac:dyDescent="0.3">
      <c r="A443" s="237"/>
      <c r="B443" s="125"/>
      <c r="C443" s="127"/>
    </row>
    <row r="444" spans="1:3" s="130" customFormat="1" x14ac:dyDescent="0.3">
      <c r="A444" s="237"/>
      <c r="B444" s="125"/>
      <c r="C444" s="127"/>
    </row>
    <row r="445" spans="1:3" s="130" customFormat="1" x14ac:dyDescent="0.3">
      <c r="A445" s="237"/>
      <c r="B445" s="125"/>
      <c r="C445" s="127"/>
    </row>
    <row r="446" spans="1:3" s="130" customFormat="1" x14ac:dyDescent="0.3">
      <c r="A446" s="237"/>
      <c r="B446" s="125"/>
      <c r="C446" s="127"/>
    </row>
    <row r="447" spans="1:3" s="130" customFormat="1" x14ac:dyDescent="0.3">
      <c r="A447" s="237"/>
      <c r="B447" s="125"/>
      <c r="C447" s="127"/>
    </row>
    <row r="448" spans="1:3" s="130" customFormat="1" x14ac:dyDescent="0.3">
      <c r="A448" s="237"/>
      <c r="B448" s="125"/>
      <c r="C448" s="127"/>
    </row>
    <row r="449" spans="1:3" s="130" customFormat="1" x14ac:dyDescent="0.3">
      <c r="A449" s="237"/>
      <c r="B449" s="125"/>
      <c r="C449" s="127"/>
    </row>
    <row r="450" spans="1:3" s="130" customFormat="1" x14ac:dyDescent="0.3">
      <c r="A450" s="237"/>
      <c r="B450" s="125"/>
      <c r="C450" s="127"/>
    </row>
    <row r="451" spans="1:3" s="130" customFormat="1" x14ac:dyDescent="0.3">
      <c r="A451" s="237"/>
      <c r="B451" s="125"/>
      <c r="C451" s="127"/>
    </row>
    <row r="452" spans="1:3" s="130" customFormat="1" x14ac:dyDescent="0.3">
      <c r="A452" s="237"/>
      <c r="B452" s="125"/>
      <c r="C452" s="127"/>
    </row>
    <row r="453" spans="1:3" s="130" customFormat="1" x14ac:dyDescent="0.3">
      <c r="A453" s="237"/>
      <c r="B453" s="125"/>
      <c r="C453" s="127"/>
    </row>
    <row r="454" spans="1:3" s="130" customFormat="1" x14ac:dyDescent="0.3">
      <c r="A454" s="237"/>
      <c r="B454" s="125"/>
      <c r="C454" s="127"/>
    </row>
    <row r="455" spans="1:3" s="130" customFormat="1" x14ac:dyDescent="0.3">
      <c r="A455" s="237"/>
      <c r="B455" s="125"/>
      <c r="C455" s="127"/>
    </row>
    <row r="456" spans="1:3" s="130" customFormat="1" x14ac:dyDescent="0.3">
      <c r="A456" s="237"/>
      <c r="B456" s="125"/>
      <c r="C456" s="127"/>
    </row>
    <row r="457" spans="1:3" s="130" customFormat="1" x14ac:dyDescent="0.3">
      <c r="A457" s="237"/>
      <c r="B457" s="125"/>
      <c r="C457" s="127"/>
    </row>
    <row r="458" spans="1:3" s="130" customFormat="1" x14ac:dyDescent="0.3">
      <c r="A458" s="237"/>
      <c r="B458" s="125"/>
      <c r="C458" s="127"/>
    </row>
    <row r="459" spans="1:3" s="130" customFormat="1" x14ac:dyDescent="0.3">
      <c r="A459" s="237"/>
      <c r="B459" s="125"/>
      <c r="C459" s="127"/>
    </row>
    <row r="460" spans="1:3" s="130" customFormat="1" x14ac:dyDescent="0.3">
      <c r="A460" s="237"/>
      <c r="B460" s="125"/>
      <c r="C460" s="127"/>
    </row>
    <row r="461" spans="1:3" s="130" customFormat="1" x14ac:dyDescent="0.3">
      <c r="A461" s="237"/>
      <c r="B461" s="125"/>
      <c r="C461" s="127"/>
    </row>
    <row r="462" spans="1:3" s="130" customFormat="1" x14ac:dyDescent="0.3">
      <c r="A462" s="237"/>
      <c r="B462" s="125"/>
      <c r="C462" s="127"/>
    </row>
    <row r="463" spans="1:3" s="130" customFormat="1" x14ac:dyDescent="0.3">
      <c r="A463" s="237"/>
      <c r="B463" s="125"/>
      <c r="C463" s="127"/>
    </row>
    <row r="464" spans="1:3" s="130" customFormat="1" x14ac:dyDescent="0.3">
      <c r="A464" s="237"/>
      <c r="B464" s="125"/>
      <c r="C464" s="127"/>
    </row>
    <row r="465" spans="1:3" s="130" customFormat="1" x14ac:dyDescent="0.3">
      <c r="A465" s="237"/>
      <c r="B465" s="125"/>
      <c r="C465" s="127"/>
    </row>
    <row r="466" spans="1:3" s="130" customFormat="1" x14ac:dyDescent="0.3">
      <c r="A466" s="237"/>
      <c r="B466" s="125"/>
      <c r="C466" s="127"/>
    </row>
    <row r="467" spans="1:3" s="130" customFormat="1" x14ac:dyDescent="0.3">
      <c r="A467" s="237"/>
      <c r="B467" s="125"/>
      <c r="C467" s="127"/>
    </row>
    <row r="468" spans="1:3" s="130" customFormat="1" x14ac:dyDescent="0.3">
      <c r="A468" s="237"/>
      <c r="B468" s="125"/>
      <c r="C468" s="127"/>
    </row>
    <row r="469" spans="1:3" s="130" customFormat="1" x14ac:dyDescent="0.3">
      <c r="A469" s="237"/>
      <c r="B469" s="125"/>
      <c r="C469" s="127"/>
    </row>
    <row r="470" spans="1:3" s="130" customFormat="1" x14ac:dyDescent="0.3">
      <c r="A470" s="237"/>
      <c r="B470" s="125"/>
      <c r="C470" s="127"/>
    </row>
    <row r="471" spans="1:3" s="130" customFormat="1" x14ac:dyDescent="0.3">
      <c r="A471" s="237"/>
      <c r="B471" s="125"/>
      <c r="C471" s="127"/>
    </row>
    <row r="472" spans="1:3" s="130" customFormat="1" x14ac:dyDescent="0.3">
      <c r="A472" s="237"/>
      <c r="B472" s="125"/>
      <c r="C472" s="127"/>
    </row>
    <row r="473" spans="1:3" s="130" customFormat="1" x14ac:dyDescent="0.3">
      <c r="A473" s="237"/>
      <c r="B473" s="125"/>
      <c r="C473" s="127"/>
    </row>
    <row r="474" spans="1:3" s="130" customFormat="1" x14ac:dyDescent="0.3">
      <c r="A474" s="237"/>
      <c r="B474" s="125"/>
      <c r="C474" s="127"/>
    </row>
    <row r="475" spans="1:3" s="130" customFormat="1" x14ac:dyDescent="0.3">
      <c r="A475" s="237"/>
      <c r="B475" s="125"/>
      <c r="C475" s="127"/>
    </row>
    <row r="476" spans="1:3" s="130" customFormat="1" x14ac:dyDescent="0.3">
      <c r="A476" s="237"/>
      <c r="B476" s="125"/>
      <c r="C476" s="127"/>
    </row>
    <row r="477" spans="1:3" s="130" customFormat="1" x14ac:dyDescent="0.3">
      <c r="A477" s="237"/>
      <c r="B477" s="125"/>
      <c r="C477" s="127"/>
    </row>
    <row r="478" spans="1:3" s="130" customFormat="1" x14ac:dyDescent="0.3">
      <c r="A478" s="237"/>
      <c r="B478" s="125"/>
      <c r="C478" s="127"/>
    </row>
    <row r="479" spans="1:3" s="130" customFormat="1" x14ac:dyDescent="0.3">
      <c r="A479" s="237"/>
      <c r="B479" s="125"/>
      <c r="C479" s="127"/>
    </row>
    <row r="480" spans="1:3" s="130" customFormat="1" x14ac:dyDescent="0.3">
      <c r="A480" s="237"/>
      <c r="B480" s="125"/>
      <c r="C480" s="127"/>
    </row>
    <row r="481" spans="1:3" s="130" customFormat="1" x14ac:dyDescent="0.3">
      <c r="A481" s="237"/>
      <c r="B481" s="125"/>
      <c r="C481" s="127"/>
    </row>
    <row r="482" spans="1:3" s="130" customFormat="1" x14ac:dyDescent="0.3">
      <c r="A482" s="237"/>
      <c r="B482" s="125"/>
      <c r="C482" s="127"/>
    </row>
    <row r="483" spans="1:3" s="130" customFormat="1" x14ac:dyDescent="0.3">
      <c r="A483" s="237"/>
      <c r="B483" s="125"/>
      <c r="C483" s="127"/>
    </row>
    <row r="484" spans="1:3" s="130" customFormat="1" x14ac:dyDescent="0.3">
      <c r="A484" s="237"/>
      <c r="B484" s="125"/>
      <c r="C484" s="127"/>
    </row>
    <row r="485" spans="1:3" s="130" customFormat="1" x14ac:dyDescent="0.3">
      <c r="A485" s="237"/>
      <c r="B485" s="125"/>
      <c r="C485" s="127"/>
    </row>
    <row r="486" spans="1:3" s="130" customFormat="1" x14ac:dyDescent="0.3">
      <c r="A486" s="237"/>
      <c r="B486" s="125"/>
      <c r="C486" s="127"/>
    </row>
    <row r="487" spans="1:3" s="130" customFormat="1" x14ac:dyDescent="0.3">
      <c r="A487" s="237"/>
      <c r="B487" s="125"/>
      <c r="C487" s="127"/>
    </row>
    <row r="488" spans="1:3" s="130" customFormat="1" x14ac:dyDescent="0.3">
      <c r="A488" s="237"/>
      <c r="B488" s="125"/>
      <c r="C488" s="127"/>
    </row>
    <row r="489" spans="1:3" s="130" customFormat="1" x14ac:dyDescent="0.3">
      <c r="A489" s="237"/>
      <c r="B489" s="125"/>
      <c r="C489" s="127"/>
    </row>
    <row r="490" spans="1:3" s="130" customFormat="1" x14ac:dyDescent="0.3">
      <c r="A490" s="237"/>
      <c r="B490" s="125"/>
      <c r="C490" s="127"/>
    </row>
    <row r="491" spans="1:3" s="130" customFormat="1" x14ac:dyDescent="0.3">
      <c r="A491" s="237"/>
      <c r="B491" s="125"/>
      <c r="C491" s="127"/>
    </row>
    <row r="492" spans="1:3" s="130" customFormat="1" x14ac:dyDescent="0.3">
      <c r="A492" s="237"/>
      <c r="B492" s="125"/>
      <c r="C492" s="127"/>
    </row>
    <row r="493" spans="1:3" s="130" customFormat="1" x14ac:dyDescent="0.3">
      <c r="A493" s="237"/>
      <c r="B493" s="125"/>
      <c r="C493" s="127"/>
    </row>
    <row r="494" spans="1:3" s="130" customFormat="1" x14ac:dyDescent="0.3">
      <c r="A494" s="237"/>
      <c r="B494" s="125"/>
      <c r="C494" s="127"/>
    </row>
    <row r="495" spans="1:3" s="130" customFormat="1" x14ac:dyDescent="0.3">
      <c r="A495" s="237"/>
      <c r="B495" s="125"/>
      <c r="C495" s="127"/>
    </row>
    <row r="496" spans="1:3" s="130" customFormat="1" x14ac:dyDescent="0.3">
      <c r="A496" s="237"/>
      <c r="B496" s="125"/>
      <c r="C496" s="127"/>
    </row>
    <row r="497" spans="1:3" s="130" customFormat="1" x14ac:dyDescent="0.3">
      <c r="A497" s="237"/>
      <c r="B497" s="125"/>
      <c r="C497" s="127"/>
    </row>
    <row r="498" spans="1:3" s="130" customFormat="1" x14ac:dyDescent="0.3">
      <c r="A498" s="237"/>
      <c r="B498" s="125"/>
      <c r="C498" s="127"/>
    </row>
    <row r="499" spans="1:3" s="130" customFormat="1" x14ac:dyDescent="0.3">
      <c r="A499" s="237"/>
      <c r="B499" s="125"/>
      <c r="C499" s="127"/>
    </row>
    <row r="500" spans="1:3" s="130" customFormat="1" x14ac:dyDescent="0.3">
      <c r="A500" s="237"/>
      <c r="B500" s="125"/>
      <c r="C500" s="127"/>
    </row>
    <row r="501" spans="1:3" s="130" customFormat="1" x14ac:dyDescent="0.3">
      <c r="A501" s="237"/>
      <c r="B501" s="125"/>
      <c r="C501" s="127"/>
    </row>
    <row r="502" spans="1:3" s="130" customFormat="1" x14ac:dyDescent="0.3">
      <c r="A502" s="237"/>
      <c r="B502" s="125"/>
      <c r="C502" s="127"/>
    </row>
    <row r="503" spans="1:3" s="130" customFormat="1" x14ac:dyDescent="0.3">
      <c r="A503" s="237"/>
      <c r="B503" s="125"/>
      <c r="C503" s="127"/>
    </row>
    <row r="504" spans="1:3" s="130" customFormat="1" x14ac:dyDescent="0.3">
      <c r="A504" s="237"/>
      <c r="B504" s="125"/>
      <c r="C504" s="127"/>
    </row>
    <row r="505" spans="1:3" s="130" customFormat="1" x14ac:dyDescent="0.3">
      <c r="A505" s="237"/>
      <c r="B505" s="125"/>
      <c r="C505" s="127"/>
    </row>
    <row r="506" spans="1:3" s="130" customFormat="1" x14ac:dyDescent="0.3">
      <c r="A506" s="237"/>
      <c r="B506" s="125"/>
      <c r="C506" s="127"/>
    </row>
    <row r="507" spans="1:3" s="130" customFormat="1" x14ac:dyDescent="0.3">
      <c r="A507" s="237"/>
      <c r="B507" s="125"/>
      <c r="C507" s="127"/>
    </row>
    <row r="508" spans="1:3" s="130" customFormat="1" x14ac:dyDescent="0.3">
      <c r="A508" s="237"/>
      <c r="B508" s="125"/>
      <c r="C508" s="127"/>
    </row>
    <row r="509" spans="1:3" s="130" customFormat="1" x14ac:dyDescent="0.3">
      <c r="A509" s="237"/>
      <c r="B509" s="125"/>
      <c r="C509" s="127"/>
    </row>
    <row r="510" spans="1:3" s="130" customFormat="1" x14ac:dyDescent="0.3">
      <c r="A510" s="237"/>
      <c r="B510" s="125"/>
      <c r="C510" s="127"/>
    </row>
    <row r="511" spans="1:3" s="130" customFormat="1" x14ac:dyDescent="0.3">
      <c r="A511" s="237"/>
      <c r="B511" s="125"/>
      <c r="C511" s="127"/>
    </row>
    <row r="512" spans="1:3" s="130" customFormat="1" x14ac:dyDescent="0.3">
      <c r="A512" s="237"/>
      <c r="B512" s="125"/>
      <c r="C512" s="127"/>
    </row>
    <row r="513" spans="1:3" s="130" customFormat="1" x14ac:dyDescent="0.3">
      <c r="A513" s="237"/>
      <c r="B513" s="125"/>
      <c r="C513" s="127"/>
    </row>
    <row r="514" spans="1:3" s="130" customFormat="1" x14ac:dyDescent="0.3">
      <c r="A514" s="237"/>
      <c r="B514" s="125"/>
      <c r="C514" s="127"/>
    </row>
    <row r="515" spans="1:3" s="130" customFormat="1" x14ac:dyDescent="0.3">
      <c r="A515" s="237"/>
      <c r="B515" s="125"/>
      <c r="C515" s="127"/>
    </row>
    <row r="516" spans="1:3" s="130" customFormat="1" x14ac:dyDescent="0.3">
      <c r="A516" s="237"/>
      <c r="B516" s="125"/>
      <c r="C516" s="127"/>
    </row>
    <row r="517" spans="1:3" s="130" customFormat="1" x14ac:dyDescent="0.3">
      <c r="A517" s="237"/>
      <c r="B517" s="125"/>
      <c r="C517" s="127"/>
    </row>
    <row r="518" spans="1:3" s="130" customFormat="1" x14ac:dyDescent="0.3">
      <c r="A518" s="237"/>
      <c r="B518" s="125"/>
      <c r="C518" s="127"/>
    </row>
    <row r="519" spans="1:3" s="130" customFormat="1" x14ac:dyDescent="0.3">
      <c r="A519" s="237"/>
      <c r="B519" s="125"/>
      <c r="C519" s="127"/>
    </row>
    <row r="520" spans="1:3" s="130" customFormat="1" x14ac:dyDescent="0.3">
      <c r="A520" s="237"/>
      <c r="B520" s="125"/>
      <c r="C520" s="127"/>
    </row>
    <row r="521" spans="1:3" s="130" customFormat="1" x14ac:dyDescent="0.3">
      <c r="A521" s="237"/>
      <c r="B521" s="125"/>
      <c r="C521" s="127"/>
    </row>
    <row r="522" spans="1:3" s="130" customFormat="1" x14ac:dyDescent="0.3">
      <c r="A522" s="237"/>
      <c r="B522" s="125"/>
      <c r="C522" s="127"/>
    </row>
    <row r="523" spans="1:3" s="130" customFormat="1" x14ac:dyDescent="0.3">
      <c r="A523" s="237"/>
      <c r="B523" s="125"/>
      <c r="C523" s="127"/>
    </row>
    <row r="524" spans="1:3" s="130" customFormat="1" x14ac:dyDescent="0.3">
      <c r="A524" s="237"/>
      <c r="B524" s="125"/>
      <c r="C524" s="127"/>
    </row>
    <row r="525" spans="1:3" s="130" customFormat="1" x14ac:dyDescent="0.3">
      <c r="A525" s="237"/>
      <c r="B525" s="125"/>
      <c r="C525" s="127"/>
    </row>
    <row r="526" spans="1:3" s="130" customFormat="1" x14ac:dyDescent="0.3">
      <c r="A526" s="237"/>
      <c r="B526" s="125"/>
      <c r="C526" s="127"/>
    </row>
    <row r="527" spans="1:3" s="130" customFormat="1" x14ac:dyDescent="0.3">
      <c r="A527" s="237"/>
      <c r="B527" s="125"/>
      <c r="C527" s="127"/>
    </row>
    <row r="528" spans="1:3" s="130" customFormat="1" x14ac:dyDescent="0.3">
      <c r="A528" s="237"/>
      <c r="B528" s="125"/>
      <c r="C528" s="127"/>
    </row>
    <row r="529" spans="1:3" s="130" customFormat="1" x14ac:dyDescent="0.3">
      <c r="A529" s="237"/>
      <c r="B529" s="125"/>
      <c r="C529" s="127"/>
    </row>
    <row r="530" spans="1:3" s="130" customFormat="1" x14ac:dyDescent="0.3">
      <c r="A530" s="237"/>
      <c r="B530" s="125"/>
      <c r="C530" s="127"/>
    </row>
    <row r="531" spans="1:3" s="130" customFormat="1" x14ac:dyDescent="0.3">
      <c r="A531" s="237"/>
      <c r="B531" s="125"/>
      <c r="C531" s="127"/>
    </row>
    <row r="532" spans="1:3" s="130" customFormat="1" x14ac:dyDescent="0.3">
      <c r="A532" s="237"/>
      <c r="B532" s="125"/>
      <c r="C532" s="127"/>
    </row>
    <row r="533" spans="1:3" s="130" customFormat="1" x14ac:dyDescent="0.3">
      <c r="A533" s="237"/>
      <c r="B533" s="125"/>
      <c r="C533" s="127"/>
    </row>
    <row r="534" spans="1:3" s="130" customFormat="1" x14ac:dyDescent="0.3">
      <c r="A534" s="237"/>
      <c r="B534" s="125"/>
      <c r="C534" s="127"/>
    </row>
    <row r="535" spans="1:3" s="130" customFormat="1" x14ac:dyDescent="0.3">
      <c r="A535" s="237"/>
      <c r="B535" s="125"/>
      <c r="C535" s="127"/>
    </row>
    <row r="536" spans="1:3" s="130" customFormat="1" x14ac:dyDescent="0.3">
      <c r="A536" s="237"/>
      <c r="B536" s="125"/>
      <c r="C536" s="127"/>
    </row>
    <row r="537" spans="1:3" s="130" customFormat="1" x14ac:dyDescent="0.3">
      <c r="A537" s="237"/>
      <c r="B537" s="125"/>
      <c r="C537" s="127"/>
    </row>
    <row r="538" spans="1:3" s="130" customFormat="1" x14ac:dyDescent="0.3">
      <c r="A538" s="237"/>
      <c r="B538" s="125"/>
      <c r="C538" s="127"/>
    </row>
    <row r="539" spans="1:3" s="130" customFormat="1" x14ac:dyDescent="0.3">
      <c r="A539" s="237"/>
      <c r="B539" s="125"/>
      <c r="C539" s="127"/>
    </row>
    <row r="540" spans="1:3" s="130" customFormat="1" x14ac:dyDescent="0.3">
      <c r="A540" s="237"/>
      <c r="B540" s="125"/>
      <c r="C540" s="127"/>
    </row>
    <row r="541" spans="1:3" s="130" customFormat="1" x14ac:dyDescent="0.3">
      <c r="A541" s="237"/>
      <c r="B541" s="125"/>
      <c r="C541" s="127"/>
    </row>
    <row r="542" spans="1:3" s="130" customFormat="1" x14ac:dyDescent="0.3">
      <c r="A542" s="237"/>
      <c r="B542" s="125"/>
      <c r="C542" s="127"/>
    </row>
    <row r="543" spans="1:3" s="130" customFormat="1" x14ac:dyDescent="0.3">
      <c r="A543" s="237"/>
      <c r="B543" s="125"/>
      <c r="C543" s="127"/>
    </row>
    <row r="544" spans="1:3" s="130" customFormat="1" x14ac:dyDescent="0.3">
      <c r="A544" s="237"/>
      <c r="B544" s="125"/>
      <c r="C544" s="127"/>
    </row>
    <row r="545" spans="1:3" s="130" customFormat="1" x14ac:dyDescent="0.3">
      <c r="A545" s="237"/>
      <c r="B545" s="125"/>
      <c r="C545" s="127"/>
    </row>
    <row r="546" spans="1:3" s="130" customFormat="1" x14ac:dyDescent="0.3">
      <c r="A546" s="237"/>
      <c r="B546" s="125"/>
      <c r="C546" s="127"/>
    </row>
    <row r="547" spans="1:3" s="130" customFormat="1" x14ac:dyDescent="0.3">
      <c r="A547" s="237"/>
      <c r="B547" s="125"/>
      <c r="C547" s="127"/>
    </row>
    <row r="548" spans="1:3" s="130" customFormat="1" x14ac:dyDescent="0.3">
      <c r="A548" s="237"/>
      <c r="B548" s="125"/>
      <c r="C548" s="127"/>
    </row>
    <row r="549" spans="1:3" s="130" customFormat="1" x14ac:dyDescent="0.3">
      <c r="A549" s="237"/>
      <c r="B549" s="125"/>
      <c r="C549" s="127"/>
    </row>
    <row r="550" spans="1:3" s="130" customFormat="1" x14ac:dyDescent="0.3">
      <c r="A550" s="237"/>
      <c r="B550" s="125"/>
      <c r="C550" s="127"/>
    </row>
    <row r="551" spans="1:3" s="130" customFormat="1" x14ac:dyDescent="0.3">
      <c r="A551" s="237"/>
      <c r="B551" s="125"/>
      <c r="C551" s="127"/>
    </row>
    <row r="552" spans="1:3" s="130" customFormat="1" x14ac:dyDescent="0.3">
      <c r="A552" s="237"/>
      <c r="B552" s="125"/>
      <c r="C552" s="127"/>
    </row>
    <row r="553" spans="1:3" s="130" customFormat="1" x14ac:dyDescent="0.3">
      <c r="A553" s="237"/>
      <c r="B553" s="125"/>
      <c r="C553" s="127"/>
    </row>
    <row r="554" spans="1:3" s="130" customFormat="1" x14ac:dyDescent="0.3">
      <c r="A554" s="237"/>
      <c r="B554" s="125"/>
      <c r="C554" s="127"/>
    </row>
    <row r="555" spans="1:3" s="130" customFormat="1" x14ac:dyDescent="0.3">
      <c r="A555" s="237"/>
      <c r="B555" s="125"/>
      <c r="C555" s="127"/>
    </row>
    <row r="556" spans="1:3" s="130" customFormat="1" x14ac:dyDescent="0.3">
      <c r="A556" s="237"/>
      <c r="B556" s="125"/>
      <c r="C556" s="127"/>
    </row>
    <row r="557" spans="1:3" s="130" customFormat="1" x14ac:dyDescent="0.3">
      <c r="A557" s="237"/>
      <c r="B557" s="125"/>
      <c r="C557" s="127"/>
    </row>
    <row r="558" spans="1:3" s="130" customFormat="1" x14ac:dyDescent="0.3">
      <c r="A558" s="237"/>
      <c r="B558" s="125"/>
      <c r="C558" s="127"/>
    </row>
    <row r="559" spans="1:3" s="130" customFormat="1" x14ac:dyDescent="0.3">
      <c r="A559" s="237"/>
      <c r="B559" s="125"/>
      <c r="C559" s="127"/>
    </row>
    <row r="560" spans="1:3" s="130" customFormat="1" x14ac:dyDescent="0.3">
      <c r="A560" s="237"/>
      <c r="B560" s="125"/>
      <c r="C560" s="127"/>
    </row>
    <row r="561" spans="1:3" s="130" customFormat="1" x14ac:dyDescent="0.3">
      <c r="A561" s="237"/>
      <c r="B561" s="125"/>
      <c r="C561" s="127"/>
    </row>
    <row r="562" spans="1:3" s="130" customFormat="1" x14ac:dyDescent="0.3">
      <c r="A562" s="237"/>
      <c r="B562" s="125"/>
      <c r="C562" s="127"/>
    </row>
    <row r="563" spans="1:3" s="130" customFormat="1" x14ac:dyDescent="0.3">
      <c r="A563" s="237"/>
      <c r="B563" s="125"/>
      <c r="C563" s="127"/>
    </row>
    <row r="564" spans="1:3" s="130" customFormat="1" x14ac:dyDescent="0.3">
      <c r="A564" s="237"/>
      <c r="B564" s="125"/>
      <c r="C564" s="127"/>
    </row>
    <row r="565" spans="1:3" s="130" customFormat="1" x14ac:dyDescent="0.3">
      <c r="A565" s="237"/>
      <c r="B565" s="125"/>
      <c r="C565" s="127"/>
    </row>
    <row r="566" spans="1:3" s="130" customFormat="1" x14ac:dyDescent="0.3">
      <c r="A566" s="237"/>
      <c r="B566" s="125"/>
      <c r="C566" s="127"/>
    </row>
    <row r="567" spans="1:3" s="130" customFormat="1" x14ac:dyDescent="0.3">
      <c r="A567" s="237"/>
      <c r="B567" s="125"/>
      <c r="C567" s="127"/>
    </row>
    <row r="568" spans="1:3" s="130" customFormat="1" x14ac:dyDescent="0.3">
      <c r="A568" s="237"/>
      <c r="B568" s="125"/>
      <c r="C568" s="127"/>
    </row>
    <row r="569" spans="1:3" s="130" customFormat="1" x14ac:dyDescent="0.3">
      <c r="A569" s="237"/>
      <c r="B569" s="125"/>
      <c r="C569" s="127"/>
    </row>
    <row r="570" spans="1:3" s="130" customFormat="1" x14ac:dyDescent="0.3">
      <c r="A570" s="237"/>
      <c r="B570" s="125"/>
      <c r="C570" s="127"/>
    </row>
    <row r="571" spans="1:3" s="130" customFormat="1" x14ac:dyDescent="0.3">
      <c r="A571" s="237"/>
      <c r="B571" s="125"/>
      <c r="C571" s="127"/>
    </row>
    <row r="572" spans="1:3" s="130" customFormat="1" x14ac:dyDescent="0.3">
      <c r="A572" s="237"/>
      <c r="B572" s="125"/>
      <c r="C572" s="127"/>
    </row>
    <row r="573" spans="1:3" s="130" customFormat="1" x14ac:dyDescent="0.3">
      <c r="A573" s="237"/>
      <c r="B573" s="125"/>
      <c r="C573" s="127"/>
    </row>
    <row r="574" spans="1:3" s="130" customFormat="1" x14ac:dyDescent="0.3">
      <c r="A574" s="237"/>
      <c r="B574" s="125"/>
      <c r="C574" s="127"/>
    </row>
    <row r="575" spans="1:3" s="130" customFormat="1" x14ac:dyDescent="0.3">
      <c r="A575" s="237"/>
      <c r="B575" s="125"/>
      <c r="C575" s="127"/>
    </row>
    <row r="576" spans="1:3" s="130" customFormat="1" x14ac:dyDescent="0.3">
      <c r="A576" s="237"/>
      <c r="B576" s="125"/>
      <c r="C576" s="127"/>
    </row>
    <row r="577" spans="1:3" s="130" customFormat="1" x14ac:dyDescent="0.3">
      <c r="A577" s="237"/>
      <c r="B577" s="125"/>
      <c r="C577" s="127"/>
    </row>
    <row r="578" spans="1:3" s="130" customFormat="1" x14ac:dyDescent="0.3">
      <c r="A578" s="237"/>
      <c r="B578" s="125"/>
      <c r="C578" s="127"/>
    </row>
    <row r="579" spans="1:3" s="130" customFormat="1" x14ac:dyDescent="0.3">
      <c r="A579" s="237"/>
      <c r="B579" s="125"/>
      <c r="C579" s="127"/>
    </row>
    <row r="580" spans="1:3" s="130" customFormat="1" x14ac:dyDescent="0.3">
      <c r="A580" s="237"/>
      <c r="B580" s="125"/>
      <c r="C580" s="127"/>
    </row>
    <row r="581" spans="1:3" s="130" customFormat="1" x14ac:dyDescent="0.3">
      <c r="A581" s="237"/>
      <c r="B581" s="125"/>
      <c r="C581" s="127"/>
    </row>
    <row r="582" spans="1:3" s="130" customFormat="1" x14ac:dyDescent="0.3">
      <c r="A582" s="237"/>
      <c r="B582" s="125"/>
      <c r="C582" s="127"/>
    </row>
    <row r="583" spans="1:3" s="130" customFormat="1" x14ac:dyDescent="0.3">
      <c r="A583" s="237"/>
      <c r="B583" s="125"/>
      <c r="C583" s="127"/>
    </row>
    <row r="584" spans="1:3" s="130" customFormat="1" x14ac:dyDescent="0.3">
      <c r="A584" s="237"/>
      <c r="B584" s="125"/>
      <c r="C584" s="127"/>
    </row>
    <row r="585" spans="1:3" s="130" customFormat="1" x14ac:dyDescent="0.3">
      <c r="A585" s="237"/>
      <c r="B585" s="125"/>
      <c r="C585" s="127"/>
    </row>
    <row r="586" spans="1:3" s="130" customFormat="1" x14ac:dyDescent="0.3">
      <c r="A586" s="237"/>
      <c r="B586" s="125"/>
      <c r="C586" s="127"/>
    </row>
    <row r="587" spans="1:3" s="130" customFormat="1" x14ac:dyDescent="0.3">
      <c r="A587" s="237"/>
      <c r="B587" s="125"/>
      <c r="C587" s="127"/>
    </row>
    <row r="588" spans="1:3" s="130" customFormat="1" x14ac:dyDescent="0.3">
      <c r="A588" s="237"/>
      <c r="B588" s="125"/>
      <c r="C588" s="127"/>
    </row>
    <row r="589" spans="1:3" s="130" customFormat="1" x14ac:dyDescent="0.3">
      <c r="A589" s="237"/>
      <c r="B589" s="125"/>
      <c r="C589" s="127"/>
    </row>
    <row r="590" spans="1:3" s="130" customFormat="1" x14ac:dyDescent="0.3">
      <c r="A590" s="237"/>
      <c r="B590" s="125"/>
      <c r="C590" s="127"/>
    </row>
    <row r="591" spans="1:3" s="130" customFormat="1" x14ac:dyDescent="0.3">
      <c r="A591" s="237"/>
      <c r="B591" s="125"/>
      <c r="C591" s="127"/>
    </row>
    <row r="592" spans="1:3" s="130" customFormat="1" x14ac:dyDescent="0.3">
      <c r="A592" s="237"/>
      <c r="B592" s="125"/>
      <c r="C592" s="127"/>
    </row>
    <row r="593" spans="1:3" s="130" customFormat="1" x14ac:dyDescent="0.3">
      <c r="A593" s="237"/>
      <c r="B593" s="125"/>
      <c r="C593" s="127"/>
    </row>
    <row r="594" spans="1:3" s="130" customFormat="1" x14ac:dyDescent="0.3">
      <c r="A594" s="237"/>
      <c r="B594" s="125"/>
      <c r="C594" s="127"/>
    </row>
    <row r="595" spans="1:3" s="130" customFormat="1" x14ac:dyDescent="0.3">
      <c r="A595" s="237"/>
      <c r="B595" s="125"/>
      <c r="C595" s="127"/>
    </row>
    <row r="596" spans="1:3" s="130" customFormat="1" x14ac:dyDescent="0.3">
      <c r="A596" s="237"/>
      <c r="B596" s="125"/>
      <c r="C596" s="127"/>
    </row>
    <row r="597" spans="1:3" s="130" customFormat="1" x14ac:dyDescent="0.3">
      <c r="A597" s="237"/>
      <c r="B597" s="125"/>
      <c r="C597" s="127"/>
    </row>
    <row r="598" spans="1:3" s="130" customFormat="1" x14ac:dyDescent="0.3">
      <c r="A598" s="237"/>
      <c r="B598" s="125"/>
      <c r="C598" s="127"/>
    </row>
    <row r="599" spans="1:3" s="130" customFormat="1" x14ac:dyDescent="0.3">
      <c r="A599" s="237"/>
      <c r="B599" s="125"/>
      <c r="C599" s="127"/>
    </row>
    <row r="600" spans="1:3" s="130" customFormat="1" x14ac:dyDescent="0.3">
      <c r="A600" s="237"/>
      <c r="B600" s="125"/>
      <c r="C600" s="127"/>
    </row>
    <row r="601" spans="1:3" s="130" customFormat="1" x14ac:dyDescent="0.3">
      <c r="A601" s="237"/>
      <c r="B601" s="125"/>
      <c r="C601" s="127"/>
    </row>
    <row r="602" spans="1:3" s="130" customFormat="1" x14ac:dyDescent="0.3">
      <c r="A602" s="237"/>
      <c r="B602" s="125"/>
      <c r="C602" s="127"/>
    </row>
    <row r="603" spans="1:3" s="130" customFormat="1" x14ac:dyDescent="0.3">
      <c r="A603" s="237"/>
      <c r="B603" s="125"/>
      <c r="C603" s="127"/>
    </row>
    <row r="604" spans="1:3" s="130" customFormat="1" x14ac:dyDescent="0.3">
      <c r="A604" s="237"/>
      <c r="B604" s="125"/>
      <c r="C604" s="127"/>
    </row>
    <row r="605" spans="1:3" s="130" customFormat="1" x14ac:dyDescent="0.3">
      <c r="A605" s="237"/>
      <c r="B605" s="125"/>
      <c r="C605" s="127"/>
    </row>
    <row r="606" spans="1:3" s="130" customFormat="1" x14ac:dyDescent="0.3">
      <c r="A606" s="237"/>
      <c r="B606" s="125"/>
      <c r="C606" s="127"/>
    </row>
    <row r="607" spans="1:3" s="130" customFormat="1" x14ac:dyDescent="0.3">
      <c r="A607" s="237"/>
      <c r="B607" s="125"/>
      <c r="C607" s="127"/>
    </row>
    <row r="608" spans="1:3" s="130" customFormat="1" x14ac:dyDescent="0.3">
      <c r="A608" s="237"/>
      <c r="B608" s="125"/>
      <c r="C608" s="127"/>
    </row>
    <row r="609" spans="1:3" s="130" customFormat="1" x14ac:dyDescent="0.3">
      <c r="A609" s="237"/>
      <c r="B609" s="125"/>
      <c r="C609" s="127"/>
    </row>
    <row r="610" spans="1:3" s="130" customFormat="1" x14ac:dyDescent="0.3">
      <c r="A610" s="237"/>
      <c r="B610" s="125"/>
      <c r="C610" s="127"/>
    </row>
    <row r="611" spans="1:3" s="130" customFormat="1" x14ac:dyDescent="0.3">
      <c r="A611" s="237"/>
      <c r="B611" s="125"/>
      <c r="C611" s="127"/>
    </row>
    <row r="612" spans="1:3" s="130" customFormat="1" x14ac:dyDescent="0.3">
      <c r="A612" s="237"/>
      <c r="B612" s="125"/>
      <c r="C612" s="127"/>
    </row>
    <row r="613" spans="1:3" s="130" customFormat="1" x14ac:dyDescent="0.3">
      <c r="A613" s="237"/>
      <c r="B613" s="125"/>
      <c r="C613" s="127"/>
    </row>
    <row r="614" spans="1:3" s="130" customFormat="1" x14ac:dyDescent="0.3">
      <c r="A614" s="237"/>
      <c r="B614" s="125"/>
      <c r="C614" s="127"/>
    </row>
    <row r="615" spans="1:3" s="130" customFormat="1" x14ac:dyDescent="0.3">
      <c r="A615" s="237"/>
      <c r="B615" s="125"/>
      <c r="C615" s="127"/>
    </row>
    <row r="616" spans="1:3" s="130" customFormat="1" x14ac:dyDescent="0.3">
      <c r="A616" s="237"/>
      <c r="B616" s="125"/>
      <c r="C616" s="127"/>
    </row>
    <row r="617" spans="1:3" s="130" customFormat="1" x14ac:dyDescent="0.3">
      <c r="A617" s="237"/>
      <c r="B617" s="125"/>
      <c r="C617" s="127"/>
    </row>
    <row r="618" spans="1:3" s="130" customFormat="1" x14ac:dyDescent="0.3">
      <c r="A618" s="237"/>
      <c r="B618" s="125"/>
      <c r="C618" s="127"/>
    </row>
  </sheetData>
  <pageMargins left="0.5" right="0.25" top="0.5" bottom="0.5" header="0.3" footer="0.3"/>
  <pageSetup orientation="landscape"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4"/>
  <sheetViews>
    <sheetView workbookViewId="0"/>
  </sheetViews>
  <sheetFormatPr defaultColWidth="8.81640625" defaultRowHeight="14" x14ac:dyDescent="0.3"/>
  <cols>
    <col min="1" max="1" width="37.7265625" style="685" customWidth="1"/>
    <col min="2" max="3" width="11" style="685" bestFit="1" customWidth="1"/>
    <col min="4" max="4" width="11.1796875" style="685" bestFit="1" customWidth="1"/>
    <col min="5" max="5" width="12.54296875" style="685" customWidth="1"/>
    <col min="6" max="6" width="20.26953125" style="685" customWidth="1"/>
    <col min="7" max="7" width="11.7265625" style="685" customWidth="1"/>
    <col min="8" max="8" width="14" style="685" customWidth="1"/>
    <col min="9" max="9" width="17.81640625" style="685" customWidth="1"/>
    <col min="10" max="11" width="8.81640625" style="685"/>
    <col min="12" max="12" width="13.54296875" style="685" customWidth="1"/>
    <col min="13" max="16384" width="8.81640625" style="685"/>
  </cols>
  <sheetData>
    <row r="1" spans="1:6" x14ac:dyDescent="0.3">
      <c r="A1" s="693" t="s">
        <v>804</v>
      </c>
      <c r="B1" s="687"/>
    </row>
    <row r="2" spans="1:6" x14ac:dyDescent="0.3">
      <c r="B2" s="687"/>
    </row>
    <row r="3" spans="1:6" x14ac:dyDescent="0.3">
      <c r="A3" s="693" t="s">
        <v>332</v>
      </c>
      <c r="B3" s="687"/>
    </row>
    <row r="4" spans="1:6" x14ac:dyDescent="0.3">
      <c r="A4" s="789" t="s">
        <v>720</v>
      </c>
      <c r="B4" s="687">
        <f>'Inc Stmnt 12 mo 8.1.18  7.31.19'!N21</f>
        <v>3000</v>
      </c>
    </row>
    <row r="5" spans="1:6" x14ac:dyDescent="0.3">
      <c r="A5" s="685" t="s">
        <v>90</v>
      </c>
      <c r="B5" s="687">
        <f>'Inc Stmnt 12 mo 8.1.18  7.31.19'!N22</f>
        <v>13724</v>
      </c>
    </row>
    <row r="6" spans="1:6" x14ac:dyDescent="0.3">
      <c r="A6" s="685" t="s">
        <v>334</v>
      </c>
      <c r="B6" s="688">
        <f>'Inc Stmnt 12 mo 8.1.18  7.31.19'!N23</f>
        <v>10800</v>
      </c>
    </row>
    <row r="7" spans="1:6" x14ac:dyDescent="0.3">
      <c r="B7" s="687">
        <f>SUM(B4:B6)</f>
        <v>27524</v>
      </c>
    </row>
    <row r="8" spans="1:6" x14ac:dyDescent="0.3">
      <c r="A8" s="758" t="s">
        <v>506</v>
      </c>
      <c r="B8" s="697"/>
      <c r="D8" s="696"/>
      <c r="E8" s="696"/>
      <c r="F8" s="696"/>
    </row>
    <row r="9" spans="1:6" x14ac:dyDescent="0.3">
      <c r="A9" s="696" t="s">
        <v>683</v>
      </c>
      <c r="B9" s="697">
        <f>'Inc Stmnt 12 mo 8.1.18  7.31.19'!N56+'Inc Stmnt 12 mo 8.1.18  7.31.19'!N57+'Inc Stmnt 12 mo 8.1.18  7.31.19'!N58+'Inc Stmnt 12 mo 8.1.18  7.31.19'!N64</f>
        <v>6875.75</v>
      </c>
      <c r="C9" s="685" t="s">
        <v>833</v>
      </c>
      <c r="D9" s="696"/>
      <c r="E9" s="696"/>
      <c r="F9" s="696"/>
    </row>
    <row r="10" spans="1:6" x14ac:dyDescent="0.3">
      <c r="A10" s="696" t="s">
        <v>684</v>
      </c>
      <c r="B10" s="790">
        <f>F64</f>
        <v>694.61892508948779</v>
      </c>
      <c r="C10" s="685" t="s">
        <v>834</v>
      </c>
      <c r="D10" s="696"/>
      <c r="E10" s="696"/>
      <c r="F10" s="696"/>
    </row>
    <row r="11" spans="1:6" x14ac:dyDescent="0.3">
      <c r="A11" s="696" t="s">
        <v>729</v>
      </c>
      <c r="B11" s="790">
        <f>'Inc Stmnt 12 mo 8.1.18  7.31.19'!N97</f>
        <v>327.17999999999995</v>
      </c>
      <c r="C11" s="685" t="s">
        <v>833</v>
      </c>
      <c r="D11" s="696"/>
      <c r="E11" s="696"/>
      <c r="F11" s="696"/>
    </row>
    <row r="12" spans="1:6" x14ac:dyDescent="0.3">
      <c r="A12" s="696" t="s">
        <v>734</v>
      </c>
      <c r="B12" s="698">
        <f>E56</f>
        <v>841.5</v>
      </c>
      <c r="C12" s="685" t="s">
        <v>835</v>
      </c>
      <c r="D12" s="696"/>
      <c r="E12" s="696"/>
      <c r="F12" s="696"/>
    </row>
    <row r="13" spans="1:6" x14ac:dyDescent="0.3">
      <c r="A13" s="696"/>
      <c r="B13" s="697">
        <f>SUM(B9:B12)</f>
        <v>8739.048925089488</v>
      </c>
      <c r="C13" s="696"/>
      <c r="D13" s="696"/>
      <c r="E13" s="696"/>
      <c r="F13" s="696"/>
    </row>
    <row r="14" spans="1:6" x14ac:dyDescent="0.3">
      <c r="A14" s="696"/>
      <c r="B14" s="697"/>
      <c r="C14" s="696"/>
      <c r="D14" s="696"/>
      <c r="E14" s="696"/>
      <c r="F14" s="696"/>
    </row>
    <row r="15" spans="1:6" ht="14.5" thickBot="1" x14ac:dyDescent="0.35">
      <c r="A15" s="696" t="s">
        <v>685</v>
      </c>
      <c r="B15" s="759">
        <f>B7-B13</f>
        <v>18784.95107491051</v>
      </c>
      <c r="C15" s="696"/>
      <c r="D15" s="696"/>
      <c r="E15" s="696"/>
      <c r="F15" s="696"/>
    </row>
    <row r="16" spans="1:6" ht="14.5" thickTop="1" x14ac:dyDescent="0.3">
      <c r="A16" s="696"/>
      <c r="B16" s="697"/>
      <c r="C16" s="696"/>
      <c r="D16" s="696"/>
      <c r="E16" s="696"/>
      <c r="F16" s="696"/>
    </row>
    <row r="17" spans="1:8" x14ac:dyDescent="0.3">
      <c r="A17" s="696" t="s">
        <v>840</v>
      </c>
      <c r="B17" s="696"/>
      <c r="C17" s="696"/>
      <c r="D17" s="696"/>
      <c r="E17" s="696"/>
      <c r="F17" s="696"/>
    </row>
    <row r="18" spans="1:8" x14ac:dyDescent="0.3">
      <c r="A18" s="696"/>
      <c r="B18" s="696"/>
      <c r="C18" s="696"/>
      <c r="D18" s="696"/>
      <c r="E18" s="696"/>
      <c r="F18" s="696"/>
    </row>
    <row r="19" spans="1:8" x14ac:dyDescent="0.3">
      <c r="A19" s="696"/>
      <c r="B19" s="696"/>
      <c r="C19" s="696"/>
      <c r="D19" s="696"/>
      <c r="E19" s="696"/>
      <c r="F19" s="696"/>
    </row>
    <row r="20" spans="1:8" x14ac:dyDescent="0.3">
      <c r="A20" s="760" t="s">
        <v>805</v>
      </c>
      <c r="B20" s="761"/>
      <c r="C20" s="761"/>
      <c r="D20" s="761"/>
      <c r="E20" s="761"/>
      <c r="F20" s="761"/>
    </row>
    <row r="21" spans="1:8" x14ac:dyDescent="0.3">
      <c r="A21" s="762"/>
      <c r="B21" s="763" t="s">
        <v>676</v>
      </c>
      <c r="C21" s="764" t="s">
        <v>677</v>
      </c>
      <c r="D21" s="764" t="s">
        <v>677</v>
      </c>
      <c r="E21" s="764" t="s">
        <v>332</v>
      </c>
      <c r="F21" s="765" t="s">
        <v>331</v>
      </c>
      <c r="G21" s="694"/>
    </row>
    <row r="22" spans="1:8" ht="14.5" thickBot="1" x14ac:dyDescent="0.35">
      <c r="A22" s="766" t="s">
        <v>678</v>
      </c>
      <c r="B22" s="767" t="s">
        <v>679</v>
      </c>
      <c r="C22" s="768" t="s">
        <v>680</v>
      </c>
      <c r="D22" s="768" t="s">
        <v>681</v>
      </c>
      <c r="E22" s="768" t="s">
        <v>720</v>
      </c>
      <c r="F22" s="769" t="s">
        <v>682</v>
      </c>
      <c r="G22" s="695" t="s">
        <v>331</v>
      </c>
    </row>
    <row r="23" spans="1:8" x14ac:dyDescent="0.3">
      <c r="A23" s="748" t="s">
        <v>694</v>
      </c>
      <c r="B23" s="749">
        <v>43315</v>
      </c>
      <c r="C23" s="750"/>
      <c r="D23" s="750">
        <v>1100</v>
      </c>
      <c r="E23" s="750"/>
      <c r="F23" s="751">
        <v>2</v>
      </c>
      <c r="G23" s="752">
        <f>C23+D23+E23</f>
        <v>1100</v>
      </c>
    </row>
    <row r="24" spans="1:8" x14ac:dyDescent="0.3">
      <c r="A24" s="748" t="s">
        <v>722</v>
      </c>
      <c r="B24" s="749">
        <v>43336</v>
      </c>
      <c r="C24" s="750"/>
      <c r="D24" s="750">
        <v>950</v>
      </c>
      <c r="E24" s="750"/>
      <c r="F24" s="751">
        <v>2</v>
      </c>
      <c r="G24" s="752">
        <f t="shared" ref="G24:G48" si="0">C24+D24+E24</f>
        <v>950</v>
      </c>
    </row>
    <row r="25" spans="1:8" x14ac:dyDescent="0.3">
      <c r="A25" s="748" t="s">
        <v>723</v>
      </c>
      <c r="B25" s="749">
        <v>43351</v>
      </c>
      <c r="C25" s="750"/>
      <c r="D25" s="750">
        <v>950</v>
      </c>
      <c r="E25" s="750"/>
      <c r="F25" s="751">
        <v>2</v>
      </c>
      <c r="G25" s="752">
        <f t="shared" si="0"/>
        <v>950</v>
      </c>
    </row>
    <row r="26" spans="1:8" x14ac:dyDescent="0.3">
      <c r="A26" s="748" t="s">
        <v>724</v>
      </c>
      <c r="B26" s="749">
        <v>43355</v>
      </c>
      <c r="C26" s="750"/>
      <c r="D26" s="750"/>
      <c r="E26" s="750">
        <v>3000</v>
      </c>
      <c r="F26" s="751">
        <v>3</v>
      </c>
      <c r="G26" s="752">
        <f t="shared" si="0"/>
        <v>3000</v>
      </c>
    </row>
    <row r="27" spans="1:8" x14ac:dyDescent="0.3">
      <c r="A27" s="748" t="s">
        <v>725</v>
      </c>
      <c r="B27" s="749">
        <v>43371</v>
      </c>
      <c r="C27" s="750">
        <v>800</v>
      </c>
      <c r="D27" s="750"/>
      <c r="E27" s="750"/>
      <c r="F27" s="751">
        <v>2</v>
      </c>
      <c r="G27" s="752">
        <f t="shared" si="0"/>
        <v>800</v>
      </c>
    </row>
    <row r="28" spans="1:8" x14ac:dyDescent="0.3">
      <c r="A28" s="748" t="s">
        <v>721</v>
      </c>
      <c r="B28" s="749">
        <v>43384</v>
      </c>
      <c r="C28" s="750">
        <v>900</v>
      </c>
      <c r="D28" s="750"/>
      <c r="E28" s="750"/>
      <c r="F28" s="751">
        <v>2</v>
      </c>
      <c r="G28" s="752">
        <f t="shared" si="0"/>
        <v>900</v>
      </c>
    </row>
    <row r="29" spans="1:8" x14ac:dyDescent="0.3">
      <c r="A29" s="748" t="s">
        <v>726</v>
      </c>
      <c r="B29" s="749">
        <v>43389</v>
      </c>
      <c r="C29" s="750">
        <v>800</v>
      </c>
      <c r="D29" s="750"/>
      <c r="E29" s="750"/>
      <c r="F29" s="751">
        <v>2</v>
      </c>
      <c r="G29" s="752">
        <f t="shared" si="0"/>
        <v>800</v>
      </c>
    </row>
    <row r="30" spans="1:8" x14ac:dyDescent="0.3">
      <c r="A30" s="748" t="s">
        <v>727</v>
      </c>
      <c r="B30" s="749">
        <v>43396</v>
      </c>
      <c r="C30" s="750">
        <v>600</v>
      </c>
      <c r="D30" s="750"/>
      <c r="E30" s="750"/>
      <c r="F30" s="751">
        <v>1</v>
      </c>
      <c r="G30" s="752">
        <f t="shared" si="0"/>
        <v>600</v>
      </c>
      <c r="H30" s="704"/>
    </row>
    <row r="31" spans="1:8" x14ac:dyDescent="0.3">
      <c r="A31" s="748" t="s">
        <v>807</v>
      </c>
      <c r="B31" s="749">
        <v>43614</v>
      </c>
      <c r="C31" s="750">
        <v>800</v>
      </c>
      <c r="D31" s="750"/>
      <c r="E31" s="750"/>
      <c r="F31" s="751">
        <v>2</v>
      </c>
      <c r="G31" s="752">
        <f t="shared" si="0"/>
        <v>800</v>
      </c>
      <c r="H31" s="704"/>
    </row>
    <row r="32" spans="1:8" x14ac:dyDescent="0.3">
      <c r="A32" s="748" t="s">
        <v>817</v>
      </c>
      <c r="B32" s="749">
        <v>43616</v>
      </c>
      <c r="C32" s="750"/>
      <c r="D32" s="750">
        <v>1100</v>
      </c>
      <c r="E32" s="750"/>
      <c r="F32" s="751">
        <v>2</v>
      </c>
      <c r="G32" s="752">
        <f t="shared" si="0"/>
        <v>1100</v>
      </c>
      <c r="H32" s="704"/>
    </row>
    <row r="33" spans="1:9" x14ac:dyDescent="0.3">
      <c r="A33" s="748" t="s">
        <v>818</v>
      </c>
      <c r="B33" s="749">
        <v>43617</v>
      </c>
      <c r="C33" s="750">
        <v>1050</v>
      </c>
      <c r="D33" s="750"/>
      <c r="E33" s="750"/>
      <c r="F33" s="751">
        <v>2.5</v>
      </c>
      <c r="G33" s="752">
        <f t="shared" si="0"/>
        <v>1050</v>
      </c>
      <c r="H33" s="704"/>
      <c r="I33" s="687"/>
    </row>
    <row r="34" spans="1:9" x14ac:dyDescent="0.3">
      <c r="A34" s="748" t="s">
        <v>808</v>
      </c>
      <c r="B34" s="749">
        <v>43617</v>
      </c>
      <c r="C34" s="750">
        <v>800</v>
      </c>
      <c r="D34" s="750"/>
      <c r="E34" s="750"/>
      <c r="F34" s="751">
        <v>2</v>
      </c>
      <c r="G34" s="752">
        <f t="shared" si="0"/>
        <v>800</v>
      </c>
      <c r="H34" s="704"/>
      <c r="I34" s="687"/>
    </row>
    <row r="35" spans="1:9" x14ac:dyDescent="0.3">
      <c r="A35" s="748" t="s">
        <v>809</v>
      </c>
      <c r="B35" s="749">
        <v>43618</v>
      </c>
      <c r="C35" s="750">
        <v>800</v>
      </c>
      <c r="D35" s="750"/>
      <c r="E35" s="750"/>
      <c r="F35" s="751">
        <v>2</v>
      </c>
      <c r="G35" s="752">
        <f t="shared" si="0"/>
        <v>800</v>
      </c>
      <c r="H35" s="704"/>
      <c r="I35" s="687"/>
    </row>
    <row r="36" spans="1:9" x14ac:dyDescent="0.3">
      <c r="A36" s="748" t="s">
        <v>810</v>
      </c>
      <c r="B36" s="749">
        <v>43619</v>
      </c>
      <c r="C36" s="750"/>
      <c r="D36" s="750">
        <v>1125</v>
      </c>
      <c r="E36" s="750"/>
      <c r="F36" s="751">
        <v>2.5</v>
      </c>
      <c r="G36" s="752">
        <f t="shared" si="0"/>
        <v>1125</v>
      </c>
      <c r="H36" s="704"/>
      <c r="I36" s="687"/>
    </row>
    <row r="37" spans="1:9" x14ac:dyDescent="0.3">
      <c r="A37" s="748" t="s">
        <v>811</v>
      </c>
      <c r="B37" s="749">
        <v>43619</v>
      </c>
      <c r="C37" s="750">
        <v>800</v>
      </c>
      <c r="D37" s="750"/>
      <c r="E37" s="750"/>
      <c r="F37" s="751">
        <v>2</v>
      </c>
      <c r="G37" s="752">
        <f t="shared" si="0"/>
        <v>800</v>
      </c>
      <c r="H37" s="704"/>
      <c r="I37" s="687"/>
    </row>
    <row r="38" spans="1:9" x14ac:dyDescent="0.3">
      <c r="A38" s="748" t="s">
        <v>812</v>
      </c>
      <c r="B38" s="749">
        <v>43620</v>
      </c>
      <c r="C38" s="750">
        <v>800</v>
      </c>
      <c r="D38" s="750"/>
      <c r="E38" s="750"/>
      <c r="F38" s="751">
        <v>2</v>
      </c>
      <c r="G38" s="752">
        <f t="shared" si="0"/>
        <v>800</v>
      </c>
      <c r="H38" s="704"/>
    </row>
    <row r="39" spans="1:9" x14ac:dyDescent="0.3">
      <c r="A39" s="748" t="s">
        <v>813</v>
      </c>
      <c r="B39" s="749">
        <v>43621</v>
      </c>
      <c r="C39" s="750"/>
      <c r="D39" s="750">
        <v>950</v>
      </c>
      <c r="E39" s="750"/>
      <c r="F39" s="751">
        <v>2</v>
      </c>
      <c r="G39" s="752">
        <f t="shared" si="0"/>
        <v>950</v>
      </c>
      <c r="H39" s="704"/>
    </row>
    <row r="40" spans="1:9" x14ac:dyDescent="0.3">
      <c r="A40" s="748" t="s">
        <v>814</v>
      </c>
      <c r="B40" s="749">
        <v>43623</v>
      </c>
      <c r="D40" s="750">
        <v>950</v>
      </c>
      <c r="E40" s="750"/>
      <c r="F40" s="751">
        <v>2</v>
      </c>
      <c r="G40" s="752">
        <f t="shared" si="0"/>
        <v>950</v>
      </c>
      <c r="H40" s="704"/>
    </row>
    <row r="41" spans="1:9" x14ac:dyDescent="0.3">
      <c r="A41" s="748" t="s">
        <v>815</v>
      </c>
      <c r="B41" s="749">
        <v>43625</v>
      </c>
      <c r="C41" s="750">
        <v>800</v>
      </c>
      <c r="D41" s="750"/>
      <c r="E41" s="750"/>
      <c r="F41" s="751">
        <v>2</v>
      </c>
      <c r="G41" s="752">
        <f t="shared" si="0"/>
        <v>800</v>
      </c>
      <c r="H41" s="704"/>
    </row>
    <row r="42" spans="1:9" x14ac:dyDescent="0.3">
      <c r="A42" s="748" t="s">
        <v>816</v>
      </c>
      <c r="B42" s="749">
        <v>43626</v>
      </c>
      <c r="C42" s="750">
        <v>800</v>
      </c>
      <c r="D42" s="750"/>
      <c r="E42" s="750"/>
      <c r="F42" s="751">
        <v>2</v>
      </c>
      <c r="G42" s="752">
        <f t="shared" si="0"/>
        <v>800</v>
      </c>
      <c r="H42" s="704"/>
    </row>
    <row r="43" spans="1:9" x14ac:dyDescent="0.3">
      <c r="A43" s="748" t="s">
        <v>819</v>
      </c>
      <c r="B43" s="749">
        <v>43637</v>
      </c>
      <c r="D43" s="750">
        <v>1100</v>
      </c>
      <c r="E43" s="750"/>
      <c r="F43" s="751">
        <v>2</v>
      </c>
      <c r="G43" s="752">
        <f t="shared" si="0"/>
        <v>1100</v>
      </c>
      <c r="H43" s="704"/>
    </row>
    <row r="44" spans="1:9" x14ac:dyDescent="0.3">
      <c r="A44" s="748" t="s">
        <v>820</v>
      </c>
      <c r="B44" s="749">
        <v>43644</v>
      </c>
      <c r="D44" s="750">
        <v>1100</v>
      </c>
      <c r="E44" s="750"/>
      <c r="F44" s="751">
        <v>2</v>
      </c>
      <c r="G44" s="752">
        <f t="shared" si="0"/>
        <v>1100</v>
      </c>
      <c r="H44" s="704"/>
    </row>
    <row r="45" spans="1:9" x14ac:dyDescent="0.3">
      <c r="A45" s="748" t="s">
        <v>821</v>
      </c>
      <c r="B45" s="749">
        <v>43650</v>
      </c>
      <c r="C45" s="687">
        <v>2199</v>
      </c>
      <c r="D45" s="750"/>
      <c r="E45" s="750"/>
      <c r="F45" s="751">
        <v>3</v>
      </c>
      <c r="G45" s="752">
        <f t="shared" si="0"/>
        <v>2199</v>
      </c>
      <c r="H45" s="704"/>
    </row>
    <row r="46" spans="1:9" x14ac:dyDescent="0.3">
      <c r="A46" s="748" t="s">
        <v>823</v>
      </c>
      <c r="B46" s="749">
        <v>43672</v>
      </c>
      <c r="D46" s="750">
        <v>1100</v>
      </c>
      <c r="E46" s="750"/>
      <c r="F46" s="751">
        <v>2</v>
      </c>
      <c r="G46" s="752">
        <f t="shared" si="0"/>
        <v>1100</v>
      </c>
      <c r="H46" s="704"/>
    </row>
    <row r="47" spans="1:9" x14ac:dyDescent="0.3">
      <c r="A47" s="748" t="s">
        <v>822</v>
      </c>
      <c r="B47" s="749">
        <v>43673</v>
      </c>
      <c r="D47" s="750">
        <v>1100</v>
      </c>
      <c r="E47" s="750"/>
      <c r="F47" s="751">
        <v>2</v>
      </c>
      <c r="G47" s="752">
        <f t="shared" si="0"/>
        <v>1100</v>
      </c>
      <c r="H47" s="704"/>
    </row>
    <row r="48" spans="1:9" x14ac:dyDescent="0.3">
      <c r="A48" s="748" t="s">
        <v>839</v>
      </c>
      <c r="B48" s="749">
        <v>43667</v>
      </c>
      <c r="C48" s="753">
        <v>1050</v>
      </c>
      <c r="D48" s="753"/>
      <c r="E48" s="753"/>
      <c r="F48" s="754">
        <v>2.5</v>
      </c>
      <c r="G48" s="755">
        <f t="shared" si="0"/>
        <v>1050</v>
      </c>
      <c r="H48" s="704"/>
    </row>
    <row r="49" spans="1:8" ht="14.5" thickBot="1" x14ac:dyDescent="0.35">
      <c r="A49" s="748"/>
      <c r="B49" s="682"/>
      <c r="C49" s="699">
        <f>SUM(C23:C48)</f>
        <v>12999</v>
      </c>
      <c r="D49" s="699">
        <f t="shared" ref="D49:G49" si="1">SUM(D23:D48)</f>
        <v>11525</v>
      </c>
      <c r="E49" s="699">
        <f t="shared" si="1"/>
        <v>3000</v>
      </c>
      <c r="F49" s="699">
        <f>SUM(F23:F48)</f>
        <v>54.5</v>
      </c>
      <c r="G49" s="699">
        <f t="shared" si="1"/>
        <v>27524</v>
      </c>
      <c r="H49" s="704"/>
    </row>
    <row r="50" spans="1:8" ht="14.5" thickBot="1" x14ac:dyDescent="0.35">
      <c r="A50" s="680"/>
      <c r="B50" s="683"/>
      <c r="C50" s="684"/>
      <c r="D50" s="684"/>
      <c r="E50" s="684"/>
      <c r="F50" s="990" t="s">
        <v>336</v>
      </c>
      <c r="G50" s="681"/>
      <c r="H50" s="704"/>
    </row>
    <row r="51" spans="1:8" x14ac:dyDescent="0.3">
      <c r="A51" s="680"/>
      <c r="B51" s="683"/>
      <c r="C51" s="684"/>
      <c r="D51" s="684"/>
      <c r="E51" s="684"/>
      <c r="F51" s="991"/>
      <c r="G51" s="681"/>
      <c r="H51" s="704"/>
    </row>
    <row r="52" spans="1:8" x14ac:dyDescent="0.3">
      <c r="A52" s="696"/>
      <c r="B52" s="696"/>
      <c r="C52" s="696"/>
      <c r="D52" s="791" t="s">
        <v>733</v>
      </c>
      <c r="E52" s="696"/>
      <c r="F52" s="696"/>
      <c r="H52" s="704"/>
    </row>
    <row r="53" spans="1:8" x14ac:dyDescent="0.3">
      <c r="A53" s="788" t="s">
        <v>730</v>
      </c>
      <c r="B53" s="696" t="s">
        <v>731</v>
      </c>
      <c r="C53" s="696">
        <v>1</v>
      </c>
      <c r="D53" s="697">
        <v>25.5</v>
      </c>
      <c r="E53" s="697">
        <f>SUM(C53*D53)</f>
        <v>25.5</v>
      </c>
      <c r="F53" s="696"/>
      <c r="H53" s="704"/>
    </row>
    <row r="54" spans="1:8" x14ac:dyDescent="0.3">
      <c r="A54" s="788"/>
      <c r="B54" s="696" t="s">
        <v>732</v>
      </c>
      <c r="C54" s="696">
        <v>12</v>
      </c>
      <c r="D54" s="697">
        <v>25.5</v>
      </c>
      <c r="E54" s="697">
        <f t="shared" ref="E54:E55" si="2">SUM(C54*D54)</f>
        <v>306</v>
      </c>
      <c r="F54" s="696"/>
      <c r="H54" s="704"/>
    </row>
    <row r="55" spans="1:8" x14ac:dyDescent="0.3">
      <c r="A55" s="788"/>
      <c r="B55" s="696" t="s">
        <v>340</v>
      </c>
      <c r="C55" s="696">
        <v>12</v>
      </c>
      <c r="D55" s="697">
        <v>42.5</v>
      </c>
      <c r="E55" s="698">
        <f t="shared" si="2"/>
        <v>510</v>
      </c>
      <c r="F55" s="696"/>
      <c r="H55" s="704"/>
    </row>
    <row r="56" spans="1:8" ht="14.5" thickBot="1" x14ac:dyDescent="0.35">
      <c r="A56" s="696"/>
      <c r="B56" s="696"/>
      <c r="C56" s="696"/>
      <c r="D56" s="792" t="s">
        <v>735</v>
      </c>
      <c r="E56" s="759">
        <f>SUM(E53:E55)</f>
        <v>841.5</v>
      </c>
      <c r="F56" s="696"/>
    </row>
    <row r="57" spans="1:8" ht="14.5" thickTop="1" x14ac:dyDescent="0.3">
      <c r="A57" s="696"/>
      <c r="B57" s="696"/>
      <c r="C57" s="696"/>
      <c r="D57" s="697"/>
      <c r="E57" s="697"/>
      <c r="F57" s="696"/>
    </row>
    <row r="58" spans="1:8" x14ac:dyDescent="0.3">
      <c r="A58" s="788" t="s">
        <v>686</v>
      </c>
      <c r="B58" s="770"/>
      <c r="C58" s="771"/>
      <c r="D58" s="770"/>
      <c r="E58" s="770"/>
      <c r="F58" s="772"/>
      <c r="G58" s="689"/>
    </row>
    <row r="59" spans="1:8" x14ac:dyDescent="0.3">
      <c r="A59" s="773" t="s">
        <v>728</v>
      </c>
      <c r="B59" s="773"/>
      <c r="C59" s="774"/>
      <c r="D59" s="773"/>
      <c r="E59" s="773"/>
      <c r="F59" s="775"/>
      <c r="G59" s="690"/>
    </row>
    <row r="60" spans="1:8" x14ac:dyDescent="0.3">
      <c r="A60" s="773"/>
      <c r="B60" s="773"/>
      <c r="C60" s="774"/>
      <c r="D60" s="773"/>
      <c r="E60" s="773"/>
      <c r="F60" s="775"/>
      <c r="G60" s="690"/>
    </row>
    <row r="61" spans="1:8" x14ac:dyDescent="0.3">
      <c r="A61" s="773"/>
      <c r="B61" s="776" t="s">
        <v>806</v>
      </c>
      <c r="C61" s="777"/>
      <c r="D61" s="778" t="s">
        <v>687</v>
      </c>
      <c r="E61" s="776"/>
      <c r="F61" s="773"/>
      <c r="G61" s="686"/>
    </row>
    <row r="62" spans="1:8" x14ac:dyDescent="0.3">
      <c r="A62" s="773"/>
      <c r="B62" s="779" t="s">
        <v>243</v>
      </c>
      <c r="C62" s="776" t="s">
        <v>688</v>
      </c>
      <c r="D62" s="778" t="s">
        <v>689</v>
      </c>
      <c r="E62" s="776" t="s">
        <v>44</v>
      </c>
      <c r="F62" s="773"/>
      <c r="G62" s="691"/>
    </row>
    <row r="63" spans="1:8" x14ac:dyDescent="0.3">
      <c r="A63" s="780"/>
      <c r="B63" s="781" t="s">
        <v>690</v>
      </c>
      <c r="C63" s="782" t="s">
        <v>336</v>
      </c>
      <c r="D63" s="783" t="s">
        <v>691</v>
      </c>
      <c r="E63" s="782" t="s">
        <v>239</v>
      </c>
      <c r="F63" s="783" t="s">
        <v>692</v>
      </c>
      <c r="G63" s="692"/>
    </row>
    <row r="64" spans="1:8" ht="14.5" thickBot="1" x14ac:dyDescent="0.35">
      <c r="A64" s="773"/>
      <c r="B64" s="784">
        <f>'Fuel Purchases'!D32</f>
        <v>2.5490602755577534</v>
      </c>
      <c r="C64" s="785">
        <f>F49</f>
        <v>54.5</v>
      </c>
      <c r="D64" s="778" t="s">
        <v>693</v>
      </c>
      <c r="E64" s="775">
        <f>SUM(C64*D64)</f>
        <v>272.5</v>
      </c>
      <c r="F64" s="786">
        <f>SUM(E64*B64)</f>
        <v>694.61892508948779</v>
      </c>
      <c r="G64" s="692"/>
    </row>
    <row r="65" spans="1:9" ht="14.5" thickTop="1" x14ac:dyDescent="0.3">
      <c r="A65" s="773"/>
      <c r="B65" s="993"/>
      <c r="C65" s="774"/>
      <c r="D65" s="773"/>
      <c r="E65" s="773"/>
      <c r="F65" s="773"/>
      <c r="G65" s="692"/>
    </row>
    <row r="66" spans="1:9" x14ac:dyDescent="0.3">
      <c r="A66" s="773"/>
      <c r="B66" s="993" t="s">
        <v>828</v>
      </c>
      <c r="C66" s="774" t="s">
        <v>827</v>
      </c>
      <c r="D66" s="773" t="s">
        <v>331</v>
      </c>
      <c r="E66" s="773"/>
      <c r="F66" s="773"/>
      <c r="G66" s="692"/>
    </row>
    <row r="67" spans="1:9" x14ac:dyDescent="0.3">
      <c r="A67" s="773"/>
      <c r="B67" s="994" t="s">
        <v>829</v>
      </c>
      <c r="C67" s="995" t="s">
        <v>830</v>
      </c>
      <c r="D67" s="996" t="s">
        <v>827</v>
      </c>
      <c r="E67" s="996"/>
      <c r="F67" s="773"/>
      <c r="G67" s="692"/>
    </row>
    <row r="68" spans="1:9" ht="14.5" thickBot="1" x14ac:dyDescent="0.35">
      <c r="A68" s="992" t="s">
        <v>67</v>
      </c>
      <c r="B68" s="1176" t="s">
        <v>202</v>
      </c>
      <c r="C68" s="1177" t="s">
        <v>831</v>
      </c>
      <c r="D68" s="1178" t="s">
        <v>336</v>
      </c>
      <c r="E68" s="996"/>
      <c r="F68" s="773"/>
      <c r="G68" s="692"/>
    </row>
    <row r="69" spans="1:9" x14ac:dyDescent="0.3">
      <c r="A69" s="773" t="s">
        <v>824</v>
      </c>
      <c r="B69" s="997">
        <f>'2020 Sailing Schedule Changes'!J36+'2020 Sailing Schedule Changes'!J38</f>
        <v>239</v>
      </c>
      <c r="C69" s="997">
        <v>8</v>
      </c>
      <c r="D69" s="997">
        <f>SUM(B69*C69)</f>
        <v>1912</v>
      </c>
      <c r="E69" s="997"/>
      <c r="F69" s="997"/>
      <c r="G69" s="692"/>
    </row>
    <row r="70" spans="1:9" x14ac:dyDescent="0.3">
      <c r="A70" s="773" t="s">
        <v>825</v>
      </c>
      <c r="B70" s="998">
        <f>'2020 Sailing Schedule Changes'!J37</f>
        <v>168</v>
      </c>
      <c r="C70" s="998">
        <v>11.5</v>
      </c>
      <c r="D70" s="998">
        <f>SUM(B70*C70)</f>
        <v>1932</v>
      </c>
      <c r="E70" s="997"/>
      <c r="F70" s="997"/>
      <c r="G70" s="692"/>
    </row>
    <row r="71" spans="1:9" x14ac:dyDescent="0.3">
      <c r="A71" s="773" t="s">
        <v>826</v>
      </c>
      <c r="B71" s="997">
        <f>SUM(B69:B70)</f>
        <v>407</v>
      </c>
      <c r="C71" s="997"/>
      <c r="D71" s="997">
        <f>SUM(D69:D70)</f>
        <v>3844</v>
      </c>
      <c r="E71" s="997"/>
      <c r="F71" s="997"/>
      <c r="G71" s="692"/>
    </row>
    <row r="72" spans="1:9" x14ac:dyDescent="0.3">
      <c r="A72" s="773"/>
      <c r="B72" s="997"/>
      <c r="C72" s="997"/>
      <c r="D72" s="997"/>
      <c r="E72" s="997"/>
      <c r="F72" s="997"/>
      <c r="G72" s="692"/>
    </row>
    <row r="73" spans="1:9" x14ac:dyDescent="0.3">
      <c r="A73" s="773" t="s">
        <v>832</v>
      </c>
      <c r="B73" s="997"/>
      <c r="C73" s="997"/>
      <c r="D73" s="999">
        <f>F49/D71</f>
        <v>1.4177939646201874E-2</v>
      </c>
      <c r="E73" s="997"/>
      <c r="F73" s="997"/>
      <c r="G73" s="692"/>
    </row>
    <row r="74" spans="1:9" s="757" customFormat="1" x14ac:dyDescent="0.3">
      <c r="A74" s="773"/>
      <c r="B74" s="997"/>
      <c r="C74" s="997"/>
      <c r="D74" s="997"/>
      <c r="E74" s="997"/>
      <c r="F74" s="997"/>
      <c r="G74" s="692"/>
      <c r="H74" s="685"/>
      <c r="I74" s="685"/>
    </row>
    <row r="75" spans="1:9" x14ac:dyDescent="0.3">
      <c r="A75" s="773"/>
      <c r="B75" s="997"/>
      <c r="C75" s="997"/>
      <c r="D75" s="997"/>
      <c r="E75" s="997"/>
      <c r="F75" s="997"/>
      <c r="G75" s="692"/>
    </row>
    <row r="76" spans="1:9" x14ac:dyDescent="0.3">
      <c r="A76" s="773"/>
      <c r="B76" s="997"/>
      <c r="C76" s="997"/>
      <c r="D76" s="997"/>
      <c r="E76" s="997"/>
      <c r="F76" s="997"/>
      <c r="G76" s="692"/>
    </row>
    <row r="77" spans="1:9" x14ac:dyDescent="0.3">
      <c r="A77" s="773"/>
      <c r="B77" s="997"/>
      <c r="C77" s="997"/>
      <c r="D77" s="997"/>
      <c r="E77" s="997"/>
      <c r="F77" s="997"/>
      <c r="G77" s="692"/>
    </row>
    <row r="78" spans="1:9" x14ac:dyDescent="0.3">
      <c r="A78" s="773"/>
      <c r="B78" s="993"/>
      <c r="C78" s="993"/>
      <c r="D78" s="993"/>
      <c r="E78" s="993"/>
      <c r="F78" s="993"/>
      <c r="G78" s="692"/>
    </row>
    <row r="79" spans="1:9" x14ac:dyDescent="0.3">
      <c r="A79" s="773"/>
      <c r="B79" s="993"/>
      <c r="C79" s="993"/>
      <c r="D79" s="993"/>
      <c r="E79" s="993"/>
      <c r="F79" s="993"/>
      <c r="G79" s="692"/>
    </row>
    <row r="80" spans="1:9" x14ac:dyDescent="0.3">
      <c r="A80" s="773"/>
      <c r="B80" s="993"/>
      <c r="C80" s="993"/>
      <c r="D80" s="993"/>
      <c r="E80" s="993"/>
      <c r="F80" s="993"/>
      <c r="G80" s="692"/>
    </row>
    <row r="81" spans="1:7" x14ac:dyDescent="0.3">
      <c r="A81" s="773"/>
      <c r="B81" s="993"/>
      <c r="C81" s="993"/>
      <c r="D81" s="993"/>
      <c r="E81" s="993"/>
      <c r="F81" s="993"/>
      <c r="G81" s="692"/>
    </row>
    <row r="82" spans="1:7" x14ac:dyDescent="0.3">
      <c r="A82" s="773"/>
      <c r="B82" s="993"/>
      <c r="C82" s="993"/>
      <c r="D82" s="993"/>
      <c r="E82" s="993"/>
      <c r="F82" s="993"/>
      <c r="G82" s="692"/>
    </row>
    <row r="83" spans="1:7" x14ac:dyDescent="0.3">
      <c r="A83" s="773"/>
      <c r="B83" s="993"/>
      <c r="C83" s="993"/>
      <c r="D83" s="993"/>
      <c r="E83" s="993"/>
      <c r="F83" s="993"/>
      <c r="G83" s="692"/>
    </row>
    <row r="84" spans="1:7" x14ac:dyDescent="0.3">
      <c r="A84" s="773"/>
      <c r="B84" s="773"/>
      <c r="C84" s="774"/>
      <c r="D84" s="773"/>
      <c r="E84" s="773"/>
      <c r="F84" s="773"/>
      <c r="G84" s="692"/>
    </row>
    <row r="85" spans="1:7" x14ac:dyDescent="0.3">
      <c r="A85" s="773"/>
      <c r="B85" s="773"/>
      <c r="C85" s="774"/>
      <c r="D85" s="773"/>
      <c r="E85" s="773"/>
      <c r="F85" s="773"/>
      <c r="G85" s="692"/>
    </row>
    <row r="86" spans="1:7" x14ac:dyDescent="0.3">
      <c r="A86" s="773"/>
      <c r="B86" s="773"/>
      <c r="C86" s="774"/>
      <c r="D86" s="773"/>
      <c r="E86" s="773"/>
      <c r="F86" s="773"/>
      <c r="G86" s="692"/>
    </row>
    <row r="87" spans="1:7" x14ac:dyDescent="0.3">
      <c r="A87" s="773"/>
      <c r="B87" s="773"/>
      <c r="C87" s="774"/>
      <c r="D87" s="773"/>
      <c r="E87" s="773"/>
      <c r="F87" s="773"/>
      <c r="G87" s="692"/>
    </row>
    <row r="88" spans="1:7" x14ac:dyDescent="0.3">
      <c r="A88" s="773"/>
      <c r="B88" s="773"/>
      <c r="C88" s="774"/>
      <c r="D88" s="773"/>
      <c r="E88" s="773"/>
      <c r="F88" s="773"/>
      <c r="G88" s="692"/>
    </row>
    <row r="89" spans="1:7" x14ac:dyDescent="0.3">
      <c r="A89" s="773"/>
      <c r="B89" s="773"/>
      <c r="C89" s="774"/>
      <c r="D89" s="773"/>
      <c r="E89" s="773"/>
      <c r="F89" s="773"/>
      <c r="G89" s="692"/>
    </row>
    <row r="90" spans="1:7" x14ac:dyDescent="0.3">
      <c r="A90" s="773"/>
      <c r="B90" s="773"/>
      <c r="C90" s="774"/>
      <c r="D90" s="773"/>
      <c r="E90" s="773"/>
      <c r="F90" s="773"/>
      <c r="G90" s="692"/>
    </row>
    <row r="91" spans="1:7" x14ac:dyDescent="0.3">
      <c r="A91" s="773"/>
      <c r="B91" s="773"/>
      <c r="C91" s="774"/>
      <c r="D91" s="773"/>
      <c r="E91" s="773"/>
      <c r="F91" s="773"/>
      <c r="G91" s="692"/>
    </row>
    <row r="92" spans="1:7" x14ac:dyDescent="0.3">
      <c r="A92" s="773"/>
      <c r="B92" s="773"/>
      <c r="C92" s="774"/>
      <c r="D92" s="773"/>
      <c r="E92" s="773"/>
      <c r="F92" s="773"/>
      <c r="G92" s="692"/>
    </row>
    <row r="93" spans="1:7" x14ac:dyDescent="0.3">
      <c r="A93" s="773"/>
      <c r="B93" s="773"/>
      <c r="C93" s="774"/>
      <c r="D93" s="773"/>
      <c r="E93" s="773"/>
      <c r="F93" s="773"/>
      <c r="G93" s="692"/>
    </row>
    <row r="94" spans="1:7" x14ac:dyDescent="0.3">
      <c r="A94" s="773"/>
      <c r="B94" s="773"/>
      <c r="C94" s="774"/>
      <c r="D94" s="773"/>
      <c r="E94" s="773"/>
      <c r="F94" s="773"/>
      <c r="G94" s="692"/>
    </row>
    <row r="95" spans="1:7" x14ac:dyDescent="0.3">
      <c r="A95" s="773"/>
      <c r="B95" s="773"/>
      <c r="C95" s="774"/>
      <c r="D95" s="773"/>
      <c r="E95" s="773"/>
      <c r="F95" s="773"/>
      <c r="G95" s="692"/>
    </row>
    <row r="96" spans="1:7" x14ac:dyDescent="0.3">
      <c r="A96" s="773"/>
      <c r="B96" s="773"/>
      <c r="C96" s="774"/>
      <c r="D96" s="773"/>
      <c r="E96" s="773"/>
      <c r="F96" s="773"/>
      <c r="G96" s="692"/>
    </row>
    <row r="97" spans="1:9" x14ac:dyDescent="0.3">
      <c r="A97" s="773"/>
      <c r="B97" s="773"/>
      <c r="C97" s="774"/>
      <c r="D97" s="773"/>
      <c r="E97" s="773"/>
      <c r="F97" s="773"/>
      <c r="G97" s="692"/>
    </row>
    <row r="98" spans="1:9" x14ac:dyDescent="0.3">
      <c r="A98" s="773"/>
      <c r="B98" s="773"/>
      <c r="C98" s="774"/>
      <c r="D98" s="773"/>
      <c r="E98" s="773"/>
      <c r="F98" s="773"/>
      <c r="G98" s="692"/>
    </row>
    <row r="99" spans="1:9" x14ac:dyDescent="0.3">
      <c r="A99" s="773"/>
      <c r="B99" s="773"/>
      <c r="C99" s="774"/>
      <c r="D99" s="773"/>
      <c r="E99" s="773"/>
      <c r="F99" s="773"/>
      <c r="G99" s="692"/>
    </row>
    <row r="100" spans="1:9" x14ac:dyDescent="0.3">
      <c r="A100" s="773"/>
      <c r="B100" s="773"/>
      <c r="C100" s="774"/>
      <c r="D100" s="773"/>
      <c r="E100" s="773"/>
      <c r="F100" s="773"/>
      <c r="G100" s="692"/>
    </row>
    <row r="101" spans="1:9" x14ac:dyDescent="0.3">
      <c r="A101" s="773"/>
      <c r="B101" s="773"/>
      <c r="C101" s="774"/>
      <c r="D101" s="773"/>
      <c r="E101" s="773"/>
      <c r="F101" s="773"/>
      <c r="G101" s="692"/>
    </row>
    <row r="102" spans="1:9" x14ac:dyDescent="0.3">
      <c r="A102" s="773"/>
      <c r="B102" s="773"/>
      <c r="C102" s="774"/>
      <c r="D102" s="773"/>
      <c r="E102" s="773"/>
      <c r="F102" s="773"/>
      <c r="G102" s="692"/>
    </row>
    <row r="103" spans="1:9" x14ac:dyDescent="0.3">
      <c r="A103" s="773"/>
      <c r="B103" s="773"/>
      <c r="C103" s="774"/>
      <c r="D103" s="773"/>
      <c r="E103" s="773"/>
      <c r="F103" s="773"/>
      <c r="G103" s="692"/>
    </row>
    <row r="104" spans="1:9" x14ac:dyDescent="0.3">
      <c r="A104" s="773"/>
      <c r="B104" s="773"/>
      <c r="C104" s="774"/>
      <c r="D104" s="773"/>
      <c r="E104" s="773"/>
      <c r="F104" s="773"/>
      <c r="G104" s="692"/>
    </row>
    <row r="105" spans="1:9" s="757" customFormat="1" x14ac:dyDescent="0.3">
      <c r="A105" s="773"/>
      <c r="B105" s="773"/>
      <c r="C105" s="774"/>
      <c r="D105" s="773"/>
      <c r="E105" s="773"/>
      <c r="F105" s="773"/>
      <c r="G105" s="692"/>
      <c r="H105" s="685"/>
      <c r="I105" s="685"/>
    </row>
    <row r="106" spans="1:9" x14ac:dyDescent="0.3">
      <c r="A106" s="773"/>
      <c r="B106" s="773"/>
      <c r="C106" s="774"/>
      <c r="D106" s="773"/>
      <c r="E106" s="773"/>
      <c r="F106" s="773"/>
      <c r="G106" s="692"/>
    </row>
    <row r="107" spans="1:9" x14ac:dyDescent="0.3">
      <c r="A107" s="773"/>
      <c r="B107" s="773"/>
      <c r="C107" s="774"/>
      <c r="D107" s="773"/>
      <c r="E107" s="773"/>
      <c r="F107" s="773"/>
      <c r="G107" s="692"/>
    </row>
    <row r="108" spans="1:9" x14ac:dyDescent="0.3">
      <c r="A108" s="773"/>
      <c r="B108" s="773"/>
      <c r="C108" s="774"/>
      <c r="D108" s="773"/>
      <c r="E108" s="773"/>
      <c r="F108" s="773"/>
      <c r="G108" s="692"/>
    </row>
    <row r="109" spans="1:9" x14ac:dyDescent="0.3">
      <c r="A109" s="773"/>
      <c r="B109" s="773"/>
      <c r="C109" s="774"/>
      <c r="D109" s="773"/>
      <c r="E109" s="773"/>
      <c r="F109" s="773"/>
      <c r="G109" s="692"/>
    </row>
    <row r="110" spans="1:9" x14ac:dyDescent="0.3">
      <c r="A110" s="773"/>
      <c r="B110" s="773"/>
      <c r="C110" s="774"/>
      <c r="D110" s="773"/>
      <c r="E110" s="773"/>
      <c r="F110" s="773"/>
      <c r="G110" s="692"/>
    </row>
    <row r="111" spans="1:9" x14ac:dyDescent="0.3">
      <c r="A111" s="773"/>
      <c r="B111" s="773"/>
      <c r="C111" s="774"/>
      <c r="D111" s="773"/>
      <c r="E111" s="773"/>
      <c r="F111" s="773"/>
      <c r="G111" s="692"/>
    </row>
    <row r="112" spans="1:9" x14ac:dyDescent="0.3">
      <c r="A112" s="773"/>
      <c r="B112" s="773"/>
      <c r="C112" s="774"/>
      <c r="D112" s="773"/>
      <c r="E112" s="773"/>
      <c r="F112" s="773"/>
      <c r="G112" s="692"/>
    </row>
    <row r="113" spans="1:7" x14ac:dyDescent="0.3">
      <c r="A113" s="773"/>
      <c r="B113" s="773"/>
      <c r="C113" s="774"/>
      <c r="D113" s="773"/>
      <c r="E113" s="773"/>
      <c r="F113" s="773"/>
      <c r="G113" s="692"/>
    </row>
    <row r="114" spans="1:7" x14ac:dyDescent="0.3">
      <c r="A114" s="773"/>
      <c r="B114" s="773"/>
      <c r="C114" s="774"/>
      <c r="D114" s="773"/>
      <c r="E114" s="773"/>
      <c r="F114" s="773"/>
      <c r="G114" s="692"/>
    </row>
    <row r="115" spans="1:7" x14ac:dyDescent="0.3">
      <c r="A115" s="773"/>
      <c r="B115" s="773"/>
      <c r="C115" s="774"/>
      <c r="D115" s="773"/>
      <c r="E115" s="773"/>
      <c r="F115" s="773"/>
      <c r="G115" s="692"/>
    </row>
    <row r="116" spans="1:7" x14ac:dyDescent="0.3">
      <c r="A116" s="773"/>
      <c r="B116" s="773"/>
      <c r="C116" s="774"/>
      <c r="D116" s="773"/>
      <c r="E116" s="773"/>
      <c r="F116" s="773"/>
      <c r="G116" s="692"/>
    </row>
    <row r="117" spans="1:7" x14ac:dyDescent="0.3">
      <c r="A117" s="773"/>
      <c r="B117" s="773"/>
      <c r="C117" s="774"/>
      <c r="D117" s="773"/>
      <c r="E117" s="773"/>
      <c r="F117" s="773"/>
      <c r="G117" s="692"/>
    </row>
    <row r="118" spans="1:7" x14ac:dyDescent="0.3">
      <c r="A118" s="773"/>
      <c r="B118" s="773"/>
      <c r="C118" s="774"/>
      <c r="D118" s="773"/>
      <c r="E118" s="773"/>
      <c r="F118" s="773"/>
      <c r="G118" s="692"/>
    </row>
    <row r="119" spans="1:7" x14ac:dyDescent="0.3">
      <c r="A119" s="773"/>
      <c r="B119" s="773"/>
      <c r="C119" s="774"/>
      <c r="D119" s="773"/>
      <c r="E119" s="773"/>
      <c r="F119" s="773"/>
      <c r="G119" s="692"/>
    </row>
    <row r="120" spans="1:7" x14ac:dyDescent="0.3">
      <c r="A120" s="773"/>
      <c r="B120" s="773"/>
      <c r="C120" s="774"/>
      <c r="D120" s="773"/>
      <c r="E120" s="773"/>
      <c r="F120" s="773"/>
      <c r="G120" s="692"/>
    </row>
    <row r="121" spans="1:7" x14ac:dyDescent="0.3">
      <c r="A121" s="773"/>
      <c r="B121" s="773"/>
      <c r="C121" s="774"/>
      <c r="D121" s="773"/>
      <c r="E121" s="773"/>
      <c r="F121" s="773"/>
      <c r="G121" s="692"/>
    </row>
    <row r="122" spans="1:7" x14ac:dyDescent="0.3">
      <c r="A122" s="773"/>
      <c r="B122" s="773"/>
      <c r="C122" s="774"/>
      <c r="D122" s="773"/>
      <c r="E122" s="773"/>
      <c r="F122" s="773"/>
      <c r="G122" s="692"/>
    </row>
    <row r="123" spans="1:7" x14ac:dyDescent="0.3">
      <c r="A123" s="773"/>
      <c r="B123" s="773"/>
      <c r="C123" s="774"/>
      <c r="D123" s="773"/>
      <c r="E123" s="773"/>
      <c r="F123" s="773"/>
      <c r="G123" s="692"/>
    </row>
    <row r="124" spans="1:7" x14ac:dyDescent="0.3">
      <c r="A124" s="773"/>
      <c r="B124" s="773"/>
      <c r="C124" s="774"/>
      <c r="D124" s="773"/>
      <c r="E124" s="773"/>
      <c r="F124" s="773"/>
      <c r="G124" s="692"/>
    </row>
    <row r="125" spans="1:7" x14ac:dyDescent="0.3">
      <c r="A125" s="773"/>
      <c r="B125" s="773"/>
      <c r="C125" s="774"/>
      <c r="D125" s="773"/>
      <c r="E125" s="773"/>
      <c r="F125" s="773"/>
      <c r="G125" s="692"/>
    </row>
    <row r="126" spans="1:7" x14ac:dyDescent="0.3">
      <c r="A126" s="773"/>
      <c r="B126" s="773"/>
      <c r="C126" s="774"/>
      <c r="D126" s="773"/>
      <c r="E126" s="773"/>
      <c r="F126" s="773"/>
      <c r="G126" s="692"/>
    </row>
    <row r="127" spans="1:7" x14ac:dyDescent="0.3">
      <c r="A127" s="773"/>
      <c r="B127" s="773"/>
      <c r="C127" s="774"/>
      <c r="D127" s="773"/>
      <c r="E127" s="773"/>
      <c r="F127" s="773"/>
      <c r="G127" s="692"/>
    </row>
    <row r="128" spans="1:7" x14ac:dyDescent="0.3">
      <c r="A128" s="773"/>
      <c r="B128" s="773"/>
      <c r="C128" s="774"/>
      <c r="D128" s="773"/>
      <c r="E128" s="773"/>
      <c r="F128" s="773"/>
      <c r="G128" s="692"/>
    </row>
    <row r="129" spans="1:9" x14ac:dyDescent="0.3">
      <c r="A129" s="773"/>
      <c r="B129" s="773"/>
      <c r="C129" s="774"/>
      <c r="D129" s="773"/>
      <c r="E129" s="773"/>
      <c r="F129" s="773"/>
      <c r="G129" s="692"/>
    </row>
    <row r="130" spans="1:9" x14ac:dyDescent="0.3">
      <c r="A130" s="773"/>
      <c r="B130" s="773"/>
      <c r="C130" s="774"/>
      <c r="D130" s="773"/>
      <c r="E130" s="773"/>
      <c r="F130" s="773"/>
      <c r="G130" s="692"/>
    </row>
    <row r="131" spans="1:9" x14ac:dyDescent="0.3">
      <c r="A131" s="773"/>
      <c r="B131" s="773"/>
      <c r="C131" s="774"/>
      <c r="D131" s="773"/>
      <c r="E131" s="773"/>
      <c r="F131" s="773"/>
      <c r="G131" s="692"/>
    </row>
    <row r="132" spans="1:9" x14ac:dyDescent="0.3">
      <c r="A132" s="773"/>
      <c r="B132" s="773"/>
      <c r="C132" s="774"/>
      <c r="D132" s="773"/>
      <c r="E132" s="773"/>
      <c r="F132" s="773"/>
      <c r="G132" s="692"/>
    </row>
    <row r="133" spans="1:9" x14ac:dyDescent="0.3">
      <c r="A133" s="773"/>
      <c r="B133" s="773"/>
      <c r="C133" s="774"/>
      <c r="D133" s="773"/>
      <c r="E133" s="773"/>
      <c r="F133" s="773"/>
      <c r="G133" s="692"/>
    </row>
    <row r="134" spans="1:9" x14ac:dyDescent="0.3">
      <c r="A134" s="773"/>
      <c r="B134" s="773"/>
      <c r="C134" s="774"/>
      <c r="D134" s="773"/>
      <c r="E134" s="773"/>
      <c r="F134" s="773"/>
      <c r="G134" s="692"/>
    </row>
    <row r="135" spans="1:9" x14ac:dyDescent="0.3">
      <c r="A135" s="773"/>
      <c r="B135" s="773"/>
      <c r="C135" s="774"/>
      <c r="D135" s="773"/>
      <c r="E135" s="773"/>
      <c r="F135" s="773"/>
      <c r="G135" s="692"/>
    </row>
    <row r="136" spans="1:9" s="756" customFormat="1" x14ac:dyDescent="0.3">
      <c r="A136" s="773"/>
      <c r="B136" s="773"/>
      <c r="C136" s="774"/>
      <c r="D136" s="773"/>
      <c r="E136" s="773"/>
      <c r="F136" s="773"/>
      <c r="G136" s="692"/>
      <c r="H136" s="685"/>
      <c r="I136" s="685"/>
    </row>
    <row r="137" spans="1:9" x14ac:dyDescent="0.3">
      <c r="A137" s="773"/>
      <c r="B137" s="773"/>
      <c r="C137" s="774"/>
      <c r="D137" s="773"/>
      <c r="E137" s="773"/>
      <c r="F137" s="773"/>
      <c r="G137" s="692"/>
    </row>
    <row r="138" spans="1:9" x14ac:dyDescent="0.3">
      <c r="A138" s="773"/>
      <c r="B138" s="773"/>
      <c r="C138" s="774"/>
      <c r="D138" s="773"/>
      <c r="E138" s="773"/>
      <c r="F138" s="773"/>
      <c r="G138" s="692"/>
    </row>
    <row r="139" spans="1:9" x14ac:dyDescent="0.3">
      <c r="A139" s="773"/>
      <c r="B139" s="773"/>
      <c r="C139" s="774"/>
      <c r="D139" s="773"/>
      <c r="E139" s="773"/>
      <c r="F139" s="773"/>
      <c r="G139" s="692"/>
    </row>
    <row r="140" spans="1:9" x14ac:dyDescent="0.3">
      <c r="A140" s="773"/>
      <c r="B140" s="773"/>
      <c r="C140" s="774"/>
      <c r="D140" s="773"/>
      <c r="E140" s="773"/>
      <c r="F140" s="773"/>
      <c r="G140" s="692"/>
    </row>
    <row r="141" spans="1:9" x14ac:dyDescent="0.3">
      <c r="A141" s="773"/>
      <c r="B141" s="773"/>
      <c r="C141" s="774"/>
      <c r="D141" s="773"/>
      <c r="E141" s="773"/>
      <c r="F141" s="773"/>
      <c r="G141" s="692"/>
    </row>
    <row r="142" spans="1:9" x14ac:dyDescent="0.3">
      <c r="A142" s="773"/>
      <c r="B142" s="773"/>
      <c r="C142" s="774"/>
      <c r="D142" s="773"/>
      <c r="E142" s="773"/>
      <c r="F142" s="773"/>
      <c r="G142" s="692"/>
    </row>
    <row r="143" spans="1:9" x14ac:dyDescent="0.3">
      <c r="A143" s="773"/>
      <c r="B143" s="773"/>
      <c r="C143" s="774"/>
      <c r="D143" s="773"/>
      <c r="E143" s="773"/>
      <c r="F143" s="773"/>
      <c r="G143" s="692"/>
    </row>
    <row r="144" spans="1:9" x14ac:dyDescent="0.3">
      <c r="A144" s="773"/>
      <c r="B144" s="773"/>
      <c r="C144" s="774"/>
      <c r="D144" s="773"/>
      <c r="E144" s="773"/>
      <c r="F144" s="773"/>
      <c r="G144" s="692"/>
    </row>
    <row r="145" spans="1:7" x14ac:dyDescent="0.3">
      <c r="A145" s="773"/>
      <c r="B145" s="773"/>
      <c r="C145" s="774"/>
      <c r="D145" s="773"/>
      <c r="E145" s="773"/>
      <c r="F145" s="773"/>
      <c r="G145" s="692"/>
    </row>
    <row r="146" spans="1:7" x14ac:dyDescent="0.3">
      <c r="A146" s="773"/>
      <c r="B146" s="773"/>
      <c r="C146" s="774"/>
      <c r="D146" s="773"/>
      <c r="E146" s="773"/>
      <c r="F146" s="773"/>
      <c r="G146" s="692"/>
    </row>
    <row r="147" spans="1:7" x14ac:dyDescent="0.3">
      <c r="A147" s="773"/>
      <c r="B147" s="773"/>
      <c r="C147" s="774"/>
      <c r="D147" s="773"/>
      <c r="E147" s="773"/>
      <c r="F147" s="773"/>
      <c r="G147" s="692"/>
    </row>
    <row r="148" spans="1:7" x14ac:dyDescent="0.3">
      <c r="A148" s="773"/>
      <c r="B148" s="773"/>
      <c r="C148" s="774"/>
      <c r="D148" s="773"/>
      <c r="E148" s="773"/>
      <c r="F148" s="773"/>
      <c r="G148" s="692"/>
    </row>
    <row r="149" spans="1:7" x14ac:dyDescent="0.3">
      <c r="A149" s="773"/>
      <c r="B149" s="773"/>
      <c r="C149" s="774"/>
      <c r="D149" s="773"/>
      <c r="E149" s="773"/>
      <c r="F149" s="773"/>
      <c r="G149" s="692"/>
    </row>
    <row r="150" spans="1:7" x14ac:dyDescent="0.3">
      <c r="A150" s="773"/>
      <c r="B150" s="773"/>
      <c r="C150" s="774"/>
      <c r="D150" s="773"/>
      <c r="E150" s="773"/>
      <c r="F150" s="773"/>
      <c r="G150" s="692"/>
    </row>
    <row r="151" spans="1:7" x14ac:dyDescent="0.3">
      <c r="A151" s="773"/>
      <c r="B151" s="773"/>
      <c r="C151" s="774"/>
      <c r="D151" s="773"/>
      <c r="E151" s="773"/>
      <c r="F151" s="773"/>
      <c r="G151" s="692"/>
    </row>
    <row r="152" spans="1:7" x14ac:dyDescent="0.3">
      <c r="A152" s="773"/>
      <c r="B152" s="773"/>
      <c r="C152" s="774"/>
      <c r="D152" s="773"/>
      <c r="E152" s="773"/>
      <c r="F152" s="773"/>
      <c r="G152" s="692"/>
    </row>
    <row r="153" spans="1:7" x14ac:dyDescent="0.3">
      <c r="A153" s="773"/>
      <c r="B153" s="773"/>
      <c r="C153" s="774"/>
      <c r="D153" s="773"/>
      <c r="E153" s="773"/>
      <c r="F153" s="773"/>
      <c r="G153" s="692"/>
    </row>
    <row r="154" spans="1:7" x14ac:dyDescent="0.3">
      <c r="A154" s="773"/>
      <c r="B154" s="773"/>
      <c r="C154" s="774"/>
      <c r="D154" s="773"/>
      <c r="E154" s="773"/>
      <c r="F154" s="773"/>
      <c r="G154" s="692"/>
    </row>
    <row r="155" spans="1:7" x14ac:dyDescent="0.3">
      <c r="A155" s="773"/>
      <c r="B155" s="773"/>
      <c r="C155" s="774"/>
      <c r="D155" s="773"/>
      <c r="E155" s="773"/>
      <c r="F155" s="773"/>
      <c r="G155" s="692"/>
    </row>
    <row r="156" spans="1:7" x14ac:dyDescent="0.3">
      <c r="A156" s="773"/>
      <c r="B156" s="773"/>
      <c r="C156" s="774"/>
      <c r="D156" s="773"/>
      <c r="E156" s="773"/>
      <c r="F156" s="773"/>
      <c r="G156" s="692"/>
    </row>
    <row r="157" spans="1:7" x14ac:dyDescent="0.3">
      <c r="A157" s="773"/>
      <c r="B157" s="773"/>
      <c r="C157" s="774"/>
      <c r="D157" s="773"/>
      <c r="E157" s="773"/>
      <c r="F157" s="773"/>
      <c r="G157" s="692"/>
    </row>
    <row r="158" spans="1:7" x14ac:dyDescent="0.3">
      <c r="A158" s="773"/>
      <c r="B158" s="773"/>
      <c r="C158" s="774"/>
      <c r="D158" s="773"/>
      <c r="E158" s="773"/>
      <c r="F158" s="773"/>
      <c r="G158" s="692"/>
    </row>
    <row r="159" spans="1:7" x14ac:dyDescent="0.3">
      <c r="A159" s="773"/>
      <c r="B159" s="773"/>
      <c r="C159" s="774"/>
      <c r="D159" s="773"/>
      <c r="E159" s="773"/>
      <c r="F159" s="773"/>
      <c r="G159" s="692"/>
    </row>
    <row r="160" spans="1:7" x14ac:dyDescent="0.3">
      <c r="A160" s="773"/>
      <c r="B160" s="773"/>
      <c r="C160" s="774"/>
      <c r="D160" s="773"/>
      <c r="E160" s="773"/>
      <c r="F160" s="773"/>
      <c r="G160" s="692"/>
    </row>
    <row r="161" spans="1:9" x14ac:dyDescent="0.3">
      <c r="A161" s="773"/>
      <c r="B161" s="773"/>
      <c r="C161" s="774"/>
      <c r="D161" s="773"/>
      <c r="E161" s="773"/>
      <c r="F161" s="773"/>
      <c r="G161" s="692"/>
    </row>
    <row r="162" spans="1:9" x14ac:dyDescent="0.3">
      <c r="A162" s="773"/>
      <c r="B162" s="773"/>
      <c r="C162" s="774"/>
      <c r="D162" s="773"/>
      <c r="E162" s="773"/>
      <c r="F162" s="773"/>
      <c r="G162" s="692"/>
    </row>
    <row r="163" spans="1:9" x14ac:dyDescent="0.3">
      <c r="A163" s="773"/>
      <c r="B163" s="773"/>
      <c r="C163" s="774"/>
      <c r="D163" s="773"/>
      <c r="E163" s="773"/>
      <c r="F163" s="773"/>
      <c r="G163" s="692"/>
    </row>
    <row r="164" spans="1:9" x14ac:dyDescent="0.3">
      <c r="A164" s="773"/>
      <c r="B164" s="773"/>
      <c r="C164" s="774"/>
      <c r="D164" s="773"/>
      <c r="E164" s="773"/>
      <c r="F164" s="773"/>
      <c r="G164" s="692"/>
    </row>
    <row r="165" spans="1:9" x14ac:dyDescent="0.3">
      <c r="A165" s="773"/>
      <c r="B165" s="773"/>
      <c r="C165" s="774"/>
      <c r="D165" s="773"/>
      <c r="E165" s="773"/>
      <c r="F165" s="773"/>
      <c r="G165" s="692"/>
    </row>
    <row r="166" spans="1:9" x14ac:dyDescent="0.3">
      <c r="A166" s="773"/>
      <c r="B166" s="773"/>
      <c r="C166" s="774"/>
      <c r="D166" s="773"/>
      <c r="E166" s="773"/>
      <c r="F166" s="773"/>
      <c r="G166" s="692"/>
    </row>
    <row r="167" spans="1:9" x14ac:dyDescent="0.3">
      <c r="A167" s="773"/>
      <c r="B167" s="773"/>
      <c r="C167" s="774"/>
      <c r="D167" s="773"/>
      <c r="E167" s="773"/>
      <c r="F167" s="773"/>
      <c r="G167" s="692"/>
    </row>
    <row r="168" spans="1:9" x14ac:dyDescent="0.3">
      <c r="A168" s="773"/>
      <c r="B168" s="773"/>
      <c r="C168" s="774"/>
      <c r="D168" s="773"/>
      <c r="E168" s="773"/>
      <c r="F168" s="773"/>
      <c r="G168" s="692"/>
    </row>
    <row r="169" spans="1:9" x14ac:dyDescent="0.3">
      <c r="A169" s="773"/>
      <c r="B169" s="773"/>
      <c r="C169" s="774"/>
      <c r="D169" s="773"/>
      <c r="E169" s="773"/>
      <c r="F169" s="773"/>
      <c r="G169" s="692"/>
    </row>
    <row r="170" spans="1:9" s="757" customFormat="1" x14ac:dyDescent="0.3">
      <c r="A170" s="773"/>
      <c r="B170" s="773"/>
      <c r="C170" s="774"/>
      <c r="D170" s="773"/>
      <c r="E170" s="773"/>
      <c r="F170" s="773"/>
      <c r="G170" s="692"/>
      <c r="H170" s="685"/>
      <c r="I170" s="685"/>
    </row>
    <row r="171" spans="1:9" x14ac:dyDescent="0.3">
      <c r="A171" s="773"/>
      <c r="B171" s="773"/>
      <c r="C171" s="774"/>
      <c r="D171" s="773"/>
      <c r="E171" s="773"/>
      <c r="F171" s="773"/>
      <c r="G171" s="692"/>
    </row>
    <row r="172" spans="1:9" x14ac:dyDescent="0.3">
      <c r="A172" s="773"/>
      <c r="B172" s="773"/>
      <c r="C172" s="774"/>
      <c r="D172" s="773"/>
      <c r="E172" s="773"/>
      <c r="F172" s="773"/>
      <c r="G172" s="692"/>
    </row>
    <row r="173" spans="1:9" x14ac:dyDescent="0.3">
      <c r="A173" s="773"/>
      <c r="B173" s="773"/>
      <c r="C173" s="774"/>
      <c r="D173" s="773"/>
      <c r="E173" s="773"/>
      <c r="F173" s="773"/>
      <c r="G173" s="692"/>
    </row>
    <row r="174" spans="1:9" x14ac:dyDescent="0.3">
      <c r="A174" s="773"/>
      <c r="B174" s="773"/>
      <c r="C174" s="774"/>
      <c r="D174" s="773"/>
      <c r="E174" s="773"/>
      <c r="F174" s="773"/>
      <c r="G174" s="692"/>
    </row>
    <row r="175" spans="1:9" x14ac:dyDescent="0.3">
      <c r="A175" s="773"/>
      <c r="B175" s="773"/>
      <c r="C175" s="774"/>
      <c r="D175" s="773"/>
      <c r="E175" s="773"/>
      <c r="F175" s="773"/>
      <c r="G175" s="692"/>
    </row>
    <row r="176" spans="1:9" x14ac:dyDescent="0.3">
      <c r="A176" s="773"/>
      <c r="B176" s="773"/>
      <c r="C176" s="774"/>
      <c r="D176" s="773"/>
      <c r="E176" s="773"/>
      <c r="F176" s="773"/>
      <c r="G176" s="692"/>
    </row>
    <row r="177" spans="1:7" x14ac:dyDescent="0.3">
      <c r="A177" s="773"/>
      <c r="B177" s="773"/>
      <c r="C177" s="774"/>
      <c r="D177" s="773"/>
      <c r="E177" s="773"/>
      <c r="F177" s="773"/>
      <c r="G177" s="692"/>
    </row>
    <row r="178" spans="1:7" x14ac:dyDescent="0.3">
      <c r="A178" s="773"/>
      <c r="B178" s="773"/>
      <c r="C178" s="774"/>
      <c r="D178" s="773"/>
      <c r="E178" s="773"/>
      <c r="F178" s="773"/>
      <c r="G178" s="692"/>
    </row>
    <row r="179" spans="1:7" x14ac:dyDescent="0.3">
      <c r="A179" s="773"/>
      <c r="B179" s="773"/>
      <c r="C179" s="774"/>
      <c r="D179" s="773"/>
      <c r="E179" s="773"/>
      <c r="F179" s="773"/>
      <c r="G179" s="692"/>
    </row>
    <row r="180" spans="1:7" x14ac:dyDescent="0.3">
      <c r="A180" s="773"/>
      <c r="B180" s="773"/>
      <c r="C180" s="774"/>
      <c r="D180" s="773"/>
      <c r="E180" s="773"/>
      <c r="F180" s="773"/>
      <c r="G180" s="692"/>
    </row>
    <row r="181" spans="1:7" x14ac:dyDescent="0.3">
      <c r="A181" s="773"/>
      <c r="B181" s="773"/>
      <c r="C181" s="774"/>
      <c r="D181" s="773"/>
      <c r="E181" s="773"/>
      <c r="F181" s="773"/>
      <c r="G181" s="692"/>
    </row>
    <row r="182" spans="1:7" x14ac:dyDescent="0.3">
      <c r="A182" s="773"/>
      <c r="B182" s="773"/>
      <c r="C182" s="774"/>
      <c r="D182" s="773"/>
      <c r="E182" s="773"/>
      <c r="F182" s="773"/>
      <c r="G182" s="692"/>
    </row>
    <row r="183" spans="1:7" x14ac:dyDescent="0.3">
      <c r="A183" s="773"/>
      <c r="B183" s="773"/>
      <c r="C183" s="774"/>
      <c r="D183" s="773"/>
      <c r="E183" s="773"/>
      <c r="F183" s="773"/>
      <c r="G183" s="692"/>
    </row>
    <row r="184" spans="1:7" x14ac:dyDescent="0.3">
      <c r="A184" s="773"/>
      <c r="B184" s="773"/>
      <c r="C184" s="774"/>
      <c r="D184" s="773"/>
      <c r="E184" s="773"/>
      <c r="F184" s="773"/>
      <c r="G184" s="692"/>
    </row>
    <row r="185" spans="1:7" x14ac:dyDescent="0.3">
      <c r="A185" s="773"/>
      <c r="B185" s="773"/>
      <c r="C185" s="774"/>
      <c r="D185" s="773"/>
      <c r="E185" s="773"/>
      <c r="F185" s="773"/>
      <c r="G185" s="692"/>
    </row>
    <row r="186" spans="1:7" x14ac:dyDescent="0.3">
      <c r="A186" s="773"/>
      <c r="B186" s="773"/>
      <c r="C186" s="774"/>
      <c r="D186" s="773"/>
      <c r="E186" s="773"/>
      <c r="F186" s="773"/>
      <c r="G186" s="692"/>
    </row>
    <row r="187" spans="1:7" x14ac:dyDescent="0.3">
      <c r="A187" s="773"/>
      <c r="B187" s="773"/>
      <c r="C187" s="774"/>
      <c r="D187" s="773"/>
      <c r="E187" s="773"/>
      <c r="F187" s="773"/>
      <c r="G187" s="692"/>
    </row>
    <row r="188" spans="1:7" x14ac:dyDescent="0.3">
      <c r="A188" s="773"/>
      <c r="B188" s="773"/>
      <c r="C188" s="774"/>
      <c r="D188" s="773"/>
      <c r="E188" s="773"/>
      <c r="F188" s="773"/>
      <c r="G188" s="692"/>
    </row>
    <row r="189" spans="1:7" x14ac:dyDescent="0.3">
      <c r="A189" s="773"/>
      <c r="B189" s="773"/>
      <c r="C189" s="774"/>
      <c r="D189" s="773"/>
      <c r="E189" s="773"/>
      <c r="F189" s="773"/>
      <c r="G189" s="692"/>
    </row>
    <row r="190" spans="1:7" x14ac:dyDescent="0.3">
      <c r="A190" s="773"/>
      <c r="B190" s="773"/>
      <c r="C190" s="774"/>
      <c r="D190" s="773"/>
      <c r="E190" s="773"/>
      <c r="F190" s="773"/>
      <c r="G190" s="692"/>
    </row>
    <row r="191" spans="1:7" x14ac:dyDescent="0.3">
      <c r="A191" s="773"/>
      <c r="B191" s="773"/>
      <c r="C191" s="774"/>
      <c r="D191" s="773"/>
      <c r="E191" s="773"/>
      <c r="F191" s="773"/>
      <c r="G191" s="692"/>
    </row>
    <row r="192" spans="1:7" x14ac:dyDescent="0.3">
      <c r="A192" s="773"/>
      <c r="B192" s="773"/>
      <c r="C192" s="774"/>
      <c r="D192" s="773"/>
      <c r="E192" s="773"/>
      <c r="F192" s="773"/>
      <c r="G192" s="692"/>
    </row>
    <row r="193" spans="1:7" x14ac:dyDescent="0.3">
      <c r="A193" s="773"/>
      <c r="B193" s="773"/>
      <c r="C193" s="774"/>
      <c r="D193" s="773"/>
      <c r="E193" s="773"/>
      <c r="F193" s="773"/>
      <c r="G193" s="692"/>
    </row>
    <row r="194" spans="1:7" x14ac:dyDescent="0.3">
      <c r="A194" s="773"/>
      <c r="B194" s="773"/>
      <c r="C194" s="774"/>
      <c r="D194" s="773"/>
      <c r="E194" s="773"/>
      <c r="F194" s="773"/>
      <c r="G194" s="692"/>
    </row>
    <row r="195" spans="1:7" x14ac:dyDescent="0.3">
      <c r="A195" s="773"/>
      <c r="B195" s="773"/>
      <c r="C195" s="774"/>
      <c r="D195" s="773"/>
      <c r="E195" s="773"/>
      <c r="F195" s="773"/>
      <c r="G195" s="692"/>
    </row>
    <row r="196" spans="1:7" x14ac:dyDescent="0.3">
      <c r="A196" s="773"/>
      <c r="B196" s="773"/>
      <c r="C196" s="774"/>
      <c r="D196" s="773"/>
      <c r="E196" s="773"/>
      <c r="F196" s="773"/>
      <c r="G196" s="692"/>
    </row>
    <row r="197" spans="1:7" x14ac:dyDescent="0.3">
      <c r="A197" s="773"/>
      <c r="B197" s="773"/>
      <c r="C197" s="774"/>
      <c r="D197" s="773"/>
      <c r="E197" s="773"/>
      <c r="F197" s="773"/>
      <c r="G197" s="692"/>
    </row>
    <row r="198" spans="1:7" x14ac:dyDescent="0.3">
      <c r="A198" s="773"/>
      <c r="B198" s="773"/>
      <c r="C198" s="774"/>
      <c r="D198" s="773"/>
      <c r="E198" s="773"/>
      <c r="F198" s="773"/>
      <c r="G198" s="692"/>
    </row>
    <row r="199" spans="1:7" x14ac:dyDescent="0.3">
      <c r="A199" s="773"/>
      <c r="B199" s="773"/>
      <c r="C199" s="774"/>
      <c r="D199" s="773"/>
      <c r="E199" s="773"/>
      <c r="F199" s="773"/>
      <c r="G199" s="692"/>
    </row>
    <row r="200" spans="1:7" x14ac:dyDescent="0.3">
      <c r="A200" s="773"/>
      <c r="B200" s="773"/>
      <c r="C200" s="774"/>
      <c r="D200" s="773"/>
      <c r="E200" s="773"/>
      <c r="F200" s="773"/>
      <c r="G200" s="692"/>
    </row>
    <row r="201" spans="1:7" x14ac:dyDescent="0.3">
      <c r="A201" s="773"/>
      <c r="B201" s="773"/>
      <c r="C201" s="774"/>
      <c r="D201" s="773"/>
      <c r="E201" s="773"/>
      <c r="F201" s="773"/>
      <c r="G201" s="692"/>
    </row>
    <row r="202" spans="1:7" x14ac:dyDescent="0.3">
      <c r="A202" s="773"/>
      <c r="B202" s="773"/>
      <c r="C202" s="774"/>
      <c r="D202" s="773"/>
      <c r="E202" s="773"/>
      <c r="F202" s="773"/>
      <c r="G202" s="692"/>
    </row>
    <row r="203" spans="1:7" x14ac:dyDescent="0.3">
      <c r="A203" s="773"/>
      <c r="B203" s="773"/>
      <c r="C203" s="774"/>
      <c r="D203" s="773"/>
      <c r="E203" s="773"/>
      <c r="F203" s="773"/>
      <c r="G203" s="692"/>
    </row>
    <row r="204" spans="1:7" x14ac:dyDescent="0.3">
      <c r="A204" s="773"/>
      <c r="B204" s="773"/>
      <c r="C204" s="774"/>
      <c r="D204" s="773"/>
      <c r="E204" s="773"/>
      <c r="F204" s="773"/>
      <c r="G204" s="692"/>
    </row>
    <row r="205" spans="1:7" x14ac:dyDescent="0.3">
      <c r="A205" s="773"/>
      <c r="B205" s="773"/>
      <c r="C205" s="774"/>
      <c r="D205" s="773"/>
      <c r="E205" s="773"/>
      <c r="F205" s="773"/>
      <c r="G205" s="692"/>
    </row>
    <row r="206" spans="1:7" x14ac:dyDescent="0.3">
      <c r="A206" s="773"/>
      <c r="B206" s="773"/>
      <c r="C206" s="774"/>
      <c r="D206" s="773"/>
      <c r="E206" s="773"/>
      <c r="F206" s="773"/>
      <c r="G206" s="692"/>
    </row>
    <row r="207" spans="1:7" x14ac:dyDescent="0.3">
      <c r="A207" s="773"/>
      <c r="B207" s="773"/>
      <c r="C207" s="774"/>
      <c r="D207" s="773"/>
      <c r="E207" s="773"/>
      <c r="F207" s="773"/>
      <c r="G207" s="692"/>
    </row>
    <row r="208" spans="1:7" x14ac:dyDescent="0.3">
      <c r="A208" s="773"/>
      <c r="B208" s="773"/>
      <c r="C208" s="774"/>
      <c r="D208" s="773"/>
      <c r="E208" s="773"/>
      <c r="F208" s="773"/>
      <c r="G208" s="692"/>
    </row>
    <row r="209" spans="1:7" x14ac:dyDescent="0.3">
      <c r="A209" s="773"/>
      <c r="B209" s="773"/>
      <c r="C209" s="774"/>
      <c r="D209" s="773"/>
      <c r="E209" s="773"/>
      <c r="F209" s="773"/>
      <c r="G209" s="692"/>
    </row>
    <row r="210" spans="1:7" x14ac:dyDescent="0.3">
      <c r="A210" s="773"/>
      <c r="B210" s="773"/>
      <c r="C210" s="774"/>
      <c r="D210" s="773"/>
      <c r="E210" s="773"/>
      <c r="F210" s="773"/>
      <c r="G210" s="692"/>
    </row>
    <row r="211" spans="1:7" x14ac:dyDescent="0.3">
      <c r="A211" s="773"/>
      <c r="B211" s="773"/>
      <c r="C211" s="774"/>
      <c r="D211" s="773"/>
      <c r="E211" s="773"/>
      <c r="F211" s="773"/>
      <c r="G211" s="692"/>
    </row>
    <row r="212" spans="1:7" x14ac:dyDescent="0.3">
      <c r="A212" s="773"/>
      <c r="B212" s="773"/>
      <c r="C212" s="774"/>
      <c r="D212" s="773"/>
      <c r="E212" s="773"/>
      <c r="F212" s="773"/>
      <c r="G212" s="692"/>
    </row>
    <row r="213" spans="1:7" x14ac:dyDescent="0.3">
      <c r="A213" s="773"/>
      <c r="B213" s="773"/>
      <c r="C213" s="774"/>
      <c r="D213" s="773"/>
      <c r="E213" s="773"/>
      <c r="F213" s="773"/>
      <c r="G213" s="692"/>
    </row>
    <row r="214" spans="1:7" x14ac:dyDescent="0.3">
      <c r="A214" s="773"/>
      <c r="B214" s="773"/>
      <c r="C214" s="774"/>
      <c r="D214" s="773"/>
      <c r="E214" s="773"/>
      <c r="F214" s="773"/>
      <c r="G214" s="692"/>
    </row>
    <row r="215" spans="1:7" x14ac:dyDescent="0.3">
      <c r="A215" s="773"/>
      <c r="B215" s="773"/>
      <c r="C215" s="774"/>
      <c r="D215" s="773"/>
      <c r="E215" s="773"/>
      <c r="F215" s="773"/>
      <c r="G215" s="692"/>
    </row>
    <row r="216" spans="1:7" x14ac:dyDescent="0.3">
      <c r="A216" s="773"/>
      <c r="B216" s="773"/>
      <c r="C216" s="774"/>
      <c r="D216" s="773"/>
      <c r="E216" s="773"/>
      <c r="F216" s="773"/>
      <c r="G216" s="692"/>
    </row>
    <row r="217" spans="1:7" x14ac:dyDescent="0.3">
      <c r="A217" s="773"/>
      <c r="B217" s="773"/>
      <c r="C217" s="774"/>
      <c r="D217" s="773"/>
      <c r="E217" s="773"/>
      <c r="F217" s="773"/>
      <c r="G217" s="692"/>
    </row>
    <row r="218" spans="1:7" x14ac:dyDescent="0.3">
      <c r="A218" s="773"/>
      <c r="B218" s="773"/>
      <c r="C218" s="774"/>
      <c r="D218" s="773"/>
      <c r="E218" s="773"/>
      <c r="F218" s="773"/>
      <c r="G218" s="692"/>
    </row>
    <row r="219" spans="1:7" x14ac:dyDescent="0.3">
      <c r="A219" s="773"/>
      <c r="B219" s="773"/>
      <c r="C219" s="774"/>
      <c r="D219" s="773"/>
      <c r="E219" s="773"/>
      <c r="F219" s="773"/>
      <c r="G219" s="692"/>
    </row>
    <row r="220" spans="1:7" x14ac:dyDescent="0.3">
      <c r="A220" s="773"/>
      <c r="B220" s="773"/>
      <c r="C220" s="774"/>
      <c r="D220" s="773"/>
      <c r="E220" s="773"/>
      <c r="F220" s="773"/>
      <c r="G220" s="692"/>
    </row>
    <row r="221" spans="1:7" x14ac:dyDescent="0.3">
      <c r="A221" s="773"/>
      <c r="B221" s="773"/>
      <c r="C221" s="774"/>
      <c r="D221" s="773"/>
      <c r="E221" s="773"/>
      <c r="F221" s="773"/>
      <c r="G221" s="692"/>
    </row>
    <row r="222" spans="1:7" x14ac:dyDescent="0.3">
      <c r="A222" s="773"/>
      <c r="B222" s="773"/>
      <c r="C222" s="774"/>
      <c r="D222" s="773"/>
      <c r="E222" s="773"/>
      <c r="F222" s="773"/>
      <c r="G222" s="692"/>
    </row>
    <row r="223" spans="1:7" x14ac:dyDescent="0.3">
      <c r="A223" s="773"/>
      <c r="B223" s="773"/>
      <c r="C223" s="774"/>
      <c r="D223" s="773"/>
      <c r="E223" s="773"/>
      <c r="F223" s="773"/>
      <c r="G223" s="692"/>
    </row>
    <row r="224" spans="1:7" x14ac:dyDescent="0.3">
      <c r="A224" s="773"/>
      <c r="B224" s="773"/>
      <c r="C224" s="774"/>
      <c r="D224" s="773"/>
      <c r="E224" s="773"/>
      <c r="F224" s="773"/>
      <c r="G224" s="692"/>
    </row>
    <row r="225" spans="1:7" x14ac:dyDescent="0.3">
      <c r="A225" s="773"/>
      <c r="B225" s="773"/>
      <c r="C225" s="774"/>
      <c r="D225" s="773"/>
      <c r="E225" s="773"/>
      <c r="F225" s="773"/>
      <c r="G225" s="692"/>
    </row>
    <row r="226" spans="1:7" x14ac:dyDescent="0.3">
      <c r="A226" s="773"/>
      <c r="B226" s="773"/>
      <c r="C226" s="774"/>
      <c r="D226" s="773"/>
      <c r="E226" s="773"/>
      <c r="F226" s="773"/>
      <c r="G226" s="692"/>
    </row>
    <row r="227" spans="1:7" x14ac:dyDescent="0.3">
      <c r="A227" s="773"/>
      <c r="B227" s="773"/>
      <c r="C227" s="774"/>
      <c r="D227" s="773"/>
      <c r="E227" s="773"/>
      <c r="F227" s="773"/>
      <c r="G227" s="692"/>
    </row>
    <row r="228" spans="1:7" x14ac:dyDescent="0.3">
      <c r="A228" s="773"/>
      <c r="B228" s="773"/>
      <c r="C228" s="774"/>
      <c r="D228" s="773"/>
      <c r="E228" s="773"/>
      <c r="F228" s="773"/>
      <c r="G228" s="692"/>
    </row>
    <row r="229" spans="1:7" x14ac:dyDescent="0.3">
      <c r="A229" s="773"/>
      <c r="B229" s="773"/>
      <c r="C229" s="774"/>
      <c r="D229" s="773"/>
      <c r="E229" s="773"/>
      <c r="F229" s="773"/>
      <c r="G229" s="692"/>
    </row>
    <row r="230" spans="1:7" x14ac:dyDescent="0.3">
      <c r="A230" s="773"/>
      <c r="B230" s="773"/>
      <c r="C230" s="774"/>
      <c r="D230" s="773"/>
      <c r="E230" s="773"/>
      <c r="F230" s="773"/>
      <c r="G230" s="692"/>
    </row>
    <row r="231" spans="1:7" x14ac:dyDescent="0.3">
      <c r="A231" s="773"/>
      <c r="B231" s="773"/>
      <c r="C231" s="774"/>
      <c r="D231" s="773"/>
      <c r="E231" s="773"/>
      <c r="F231" s="773"/>
      <c r="G231" s="692"/>
    </row>
    <row r="232" spans="1:7" x14ac:dyDescent="0.3">
      <c r="A232" s="773"/>
      <c r="B232" s="773"/>
      <c r="C232" s="774"/>
      <c r="D232" s="773"/>
      <c r="E232" s="773"/>
      <c r="F232" s="773"/>
      <c r="G232" s="692"/>
    </row>
    <row r="233" spans="1:7" x14ac:dyDescent="0.3">
      <c r="A233" s="773"/>
      <c r="B233" s="773"/>
      <c r="C233" s="774"/>
      <c r="D233" s="773"/>
      <c r="E233" s="773"/>
      <c r="F233" s="773"/>
      <c r="G233" s="692"/>
    </row>
    <row r="234" spans="1:7" x14ac:dyDescent="0.3">
      <c r="A234" s="773"/>
      <c r="B234" s="773"/>
      <c r="C234" s="774"/>
      <c r="D234" s="773"/>
      <c r="E234" s="773"/>
      <c r="F234" s="773"/>
      <c r="G234" s="692"/>
    </row>
    <row r="235" spans="1:7" x14ac:dyDescent="0.3">
      <c r="A235" s="773"/>
      <c r="B235" s="773"/>
      <c r="C235" s="774"/>
      <c r="D235" s="773"/>
      <c r="E235" s="773"/>
      <c r="F235" s="773"/>
      <c r="G235" s="692"/>
    </row>
    <row r="236" spans="1:7" x14ac:dyDescent="0.3">
      <c r="A236" s="773"/>
      <c r="B236" s="773"/>
      <c r="C236" s="774"/>
      <c r="D236" s="773"/>
      <c r="E236" s="773"/>
      <c r="F236" s="773"/>
      <c r="G236" s="692"/>
    </row>
    <row r="237" spans="1:7" x14ac:dyDescent="0.3">
      <c r="A237" s="773"/>
      <c r="B237" s="773"/>
      <c r="C237" s="774"/>
      <c r="D237" s="773"/>
      <c r="E237" s="773"/>
      <c r="F237" s="773"/>
      <c r="G237" s="692"/>
    </row>
    <row r="238" spans="1:7" x14ac:dyDescent="0.3">
      <c r="A238" s="773"/>
      <c r="B238" s="773"/>
      <c r="C238" s="774"/>
      <c r="D238" s="773"/>
      <c r="E238" s="773"/>
      <c r="F238" s="773"/>
      <c r="G238" s="692"/>
    </row>
    <row r="239" spans="1:7" x14ac:dyDescent="0.3">
      <c r="A239" s="773"/>
      <c r="B239" s="773"/>
      <c r="C239" s="774"/>
      <c r="D239" s="773"/>
      <c r="E239" s="773"/>
      <c r="F239" s="773"/>
      <c r="G239" s="692"/>
    </row>
    <row r="240" spans="1:7" x14ac:dyDescent="0.3">
      <c r="A240" s="773"/>
      <c r="B240" s="773"/>
      <c r="C240" s="774"/>
      <c r="D240" s="773"/>
      <c r="E240" s="773"/>
      <c r="F240" s="773"/>
      <c r="G240" s="692"/>
    </row>
    <row r="241" spans="1:7" x14ac:dyDescent="0.3">
      <c r="A241" s="773"/>
      <c r="B241" s="773"/>
      <c r="C241" s="774"/>
      <c r="D241" s="773"/>
      <c r="E241" s="773"/>
      <c r="F241" s="773"/>
      <c r="G241" s="692"/>
    </row>
    <row r="242" spans="1:7" x14ac:dyDescent="0.3">
      <c r="A242" s="773"/>
      <c r="B242" s="773"/>
      <c r="C242" s="774"/>
      <c r="D242" s="773"/>
      <c r="E242" s="773"/>
      <c r="F242" s="773"/>
      <c r="G242" s="692"/>
    </row>
    <row r="243" spans="1:7" x14ac:dyDescent="0.3">
      <c r="A243" s="773"/>
      <c r="B243" s="773"/>
      <c r="C243" s="774"/>
      <c r="D243" s="773"/>
      <c r="E243" s="773"/>
      <c r="F243" s="773"/>
      <c r="G243" s="692"/>
    </row>
    <row r="244" spans="1:7" x14ac:dyDescent="0.3">
      <c r="A244" s="773"/>
      <c r="B244" s="773"/>
      <c r="C244" s="774"/>
      <c r="D244" s="773"/>
      <c r="E244" s="773"/>
      <c r="F244" s="773"/>
      <c r="G244" s="692"/>
    </row>
    <row r="245" spans="1:7" x14ac:dyDescent="0.3">
      <c r="A245" s="773"/>
      <c r="B245" s="773"/>
      <c r="C245" s="774"/>
      <c r="D245" s="773"/>
      <c r="E245" s="773"/>
      <c r="F245" s="773"/>
      <c r="G245" s="692"/>
    </row>
    <row r="246" spans="1:7" x14ac:dyDescent="0.3">
      <c r="A246" s="773"/>
      <c r="B246" s="773"/>
      <c r="C246" s="774"/>
      <c r="D246" s="773"/>
      <c r="E246" s="773"/>
      <c r="F246" s="773"/>
      <c r="G246" s="692"/>
    </row>
    <row r="247" spans="1:7" x14ac:dyDescent="0.3">
      <c r="A247" s="773"/>
      <c r="B247" s="773"/>
      <c r="C247" s="774"/>
      <c r="D247" s="773"/>
      <c r="E247" s="773"/>
      <c r="F247" s="773"/>
      <c r="G247" s="692"/>
    </row>
    <row r="248" spans="1:7" x14ac:dyDescent="0.3">
      <c r="E248" s="687"/>
    </row>
    <row r="249" spans="1:7" x14ac:dyDescent="0.3">
      <c r="E249" s="687"/>
    </row>
    <row r="250" spans="1:7" x14ac:dyDescent="0.3">
      <c r="E250" s="687"/>
    </row>
    <row r="251" spans="1:7" x14ac:dyDescent="0.3">
      <c r="E251" s="687"/>
    </row>
    <row r="252" spans="1:7" x14ac:dyDescent="0.3">
      <c r="E252" s="687"/>
    </row>
    <row r="253" spans="1:7" x14ac:dyDescent="0.3">
      <c r="E253" s="687"/>
    </row>
    <row r="254" spans="1:7" x14ac:dyDescent="0.3">
      <c r="E254" s="687"/>
    </row>
  </sheetData>
  <pageMargins left="0.7" right="0.7" top="0.75" bottom="0.75" header="0.3" footer="0.3"/>
  <pageSetup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69"/>
  <sheetViews>
    <sheetView workbookViewId="0"/>
  </sheetViews>
  <sheetFormatPr defaultColWidth="8.81640625" defaultRowHeight="12.5" x14ac:dyDescent="0.25"/>
  <cols>
    <col min="1" max="1" width="13.453125" style="1" customWidth="1"/>
    <col min="2" max="2" width="11.26953125" style="1" customWidth="1"/>
    <col min="3" max="3" width="8.1796875" style="277" bestFit="1" customWidth="1"/>
    <col min="4" max="4" width="6.26953125" style="277" bestFit="1" customWidth="1"/>
    <col min="5" max="5" width="7.1796875" style="277" customWidth="1"/>
    <col min="6" max="6" width="6.1796875" style="277" customWidth="1"/>
    <col min="7" max="7" width="7.1796875" style="277" customWidth="1"/>
    <col min="8" max="8" width="7.1796875" style="277" bestFit="1" customWidth="1"/>
    <col min="9" max="12" width="6.1796875" style="277" customWidth="1"/>
    <col min="13" max="13" width="0.54296875" style="1" hidden="1" customWidth="1"/>
    <col min="14" max="14" width="6.7265625" style="1" customWidth="1"/>
    <col min="15" max="15" width="13.54296875" style="1" customWidth="1"/>
    <col min="16" max="16" width="9.26953125" style="1" customWidth="1"/>
    <col min="17" max="17" width="10.54296875" style="1" customWidth="1"/>
    <col min="18" max="18" width="3.7265625" style="1" customWidth="1"/>
    <col min="19" max="20" width="8.81640625" style="1"/>
    <col min="21" max="21" width="16.54296875" style="1" customWidth="1"/>
    <col min="22" max="16384" width="8.81640625" style="1"/>
  </cols>
  <sheetData>
    <row r="2" spans="1:24" ht="18.5" thickBot="1" x14ac:dyDescent="0.45">
      <c r="A2" s="1000" t="s">
        <v>902</v>
      </c>
    </row>
    <row r="3" spans="1:24" ht="18" x14ac:dyDescent="0.4">
      <c r="A3" s="1101" t="s">
        <v>269</v>
      </c>
      <c r="B3" s="1102"/>
      <c r="C3" s="1103"/>
      <c r="D3" s="1104"/>
      <c r="E3" s="1105"/>
      <c r="F3" s="1105"/>
      <c r="G3" s="1105"/>
      <c r="H3" s="1105"/>
      <c r="I3" s="1105"/>
      <c r="J3" s="1105"/>
      <c r="K3" s="1105"/>
      <c r="L3" s="1105"/>
      <c r="M3" s="1106"/>
      <c r="N3" s="1107"/>
    </row>
    <row r="4" spans="1:24" s="112" customFormat="1" ht="17.5" x14ac:dyDescent="0.35">
      <c r="A4" s="1108" t="s">
        <v>838</v>
      </c>
      <c r="B4" s="1109"/>
      <c r="C4" s="1110"/>
      <c r="D4" s="1110"/>
      <c r="E4" s="1110"/>
      <c r="F4" s="1110"/>
      <c r="G4" s="1110"/>
      <c r="H4" s="1110"/>
      <c r="I4" s="1110"/>
      <c r="J4" s="1110"/>
      <c r="K4" s="1110"/>
      <c r="L4" s="1110"/>
      <c r="M4" s="1109"/>
      <c r="N4" s="1111"/>
      <c r="Q4" s="1"/>
    </row>
    <row r="5" spans="1:24" ht="13" x14ac:dyDescent="0.3">
      <c r="A5" s="1112" t="s">
        <v>271</v>
      </c>
      <c r="B5" s="1113"/>
      <c r="C5" s="1113"/>
      <c r="D5" s="1113"/>
      <c r="E5" s="1113"/>
      <c r="F5" s="1114"/>
      <c r="G5" s="1113"/>
      <c r="H5" s="1113"/>
      <c r="I5" s="1114"/>
      <c r="J5" s="1113"/>
      <c r="K5" s="1113"/>
      <c r="L5" s="1113"/>
      <c r="M5" s="1115"/>
      <c r="N5" s="1116"/>
    </row>
    <row r="6" spans="1:24" ht="40" x14ac:dyDescent="0.35">
      <c r="A6" s="1173">
        <f>1+B6</f>
        <v>1.1351585622341198</v>
      </c>
      <c r="B6" s="1118">
        <f>B30</f>
        <v>0.13515856223411993</v>
      </c>
      <c r="C6" s="1119" t="s">
        <v>272</v>
      </c>
      <c r="D6" s="1119" t="s">
        <v>274</v>
      </c>
      <c r="E6" s="1119" t="s">
        <v>244</v>
      </c>
      <c r="F6" s="1119"/>
      <c r="G6" s="1119"/>
      <c r="H6" s="1119"/>
      <c r="I6" s="1119"/>
      <c r="J6" s="1119"/>
      <c r="K6" s="1119"/>
      <c r="L6" s="1120"/>
      <c r="M6" s="1115"/>
      <c r="N6" s="1116"/>
      <c r="O6" s="112"/>
      <c r="P6" s="112"/>
      <c r="R6" s="112"/>
      <c r="S6" s="112"/>
      <c r="T6" s="112"/>
      <c r="U6" s="112"/>
      <c r="V6" s="112"/>
    </row>
    <row r="7" spans="1:24" x14ac:dyDescent="0.25">
      <c r="A7" s="1121"/>
      <c r="B7" s="1115"/>
      <c r="C7" s="1122"/>
      <c r="D7" s="1122"/>
      <c r="E7" s="1122"/>
      <c r="F7" s="1119"/>
      <c r="G7" s="1119"/>
      <c r="H7" s="1119"/>
      <c r="I7" s="1119"/>
      <c r="J7" s="1119"/>
      <c r="K7" s="1119"/>
      <c r="L7" s="1120"/>
      <c r="M7" s="1115"/>
      <c r="N7" s="1116"/>
      <c r="W7" s="793"/>
    </row>
    <row r="8" spans="1:24" ht="13.15" hidden="1" customHeight="1" x14ac:dyDescent="0.35">
      <c r="A8" s="1121" t="s">
        <v>244</v>
      </c>
      <c r="B8" s="1115" t="s">
        <v>281</v>
      </c>
      <c r="C8" s="1123" t="e">
        <f>ROUND(#REF!/0.25,0)*0.25</f>
        <v>#REF!</v>
      </c>
      <c r="D8" s="1123" t="e">
        <f>ROUND(#REF!/0.25,0)*0.25</f>
        <v>#REF!</v>
      </c>
      <c r="E8" s="1124" t="s">
        <v>297</v>
      </c>
      <c r="F8" s="1119"/>
      <c r="G8" s="1119"/>
      <c r="H8" s="1119"/>
      <c r="I8" s="1119"/>
      <c r="J8" s="1119"/>
      <c r="K8" s="1119"/>
      <c r="L8" s="1120"/>
      <c r="M8" s="1115"/>
      <c r="N8" s="1116"/>
      <c r="O8" s="112"/>
      <c r="P8" s="112"/>
      <c r="R8" s="112"/>
      <c r="W8" s="793"/>
    </row>
    <row r="9" spans="1:24" ht="13.15" hidden="1" customHeight="1" x14ac:dyDescent="0.25">
      <c r="A9" s="1121"/>
      <c r="B9" s="1115" t="s">
        <v>283</v>
      </c>
      <c r="C9" s="1123" t="e">
        <f>ROUND(#REF!/0.25,0)*0.25</f>
        <v>#REF!</v>
      </c>
      <c r="D9" s="1123" t="e">
        <f>ROUND(#REF!/0.25,0)*0.25</f>
        <v>#REF!</v>
      </c>
      <c r="E9" s="1124" t="s">
        <v>297</v>
      </c>
      <c r="F9" s="1119"/>
      <c r="G9" s="1119"/>
      <c r="H9" s="1119"/>
      <c r="I9" s="1119"/>
      <c r="J9" s="1119"/>
      <c r="K9" s="1119"/>
      <c r="L9" s="1120"/>
      <c r="M9" s="1115"/>
      <c r="N9" s="1116"/>
      <c r="W9" s="793"/>
    </row>
    <row r="10" spans="1:24" ht="17.5" x14ac:dyDescent="0.35">
      <c r="A10" s="1121" t="s">
        <v>244</v>
      </c>
      <c r="B10" s="1115" t="s">
        <v>281</v>
      </c>
      <c r="C10" s="1210">
        <f>MROUND(C34,"0.25")</f>
        <v>25.25</v>
      </c>
      <c r="D10" s="1210">
        <f>MROUND(D34,"0.25")</f>
        <v>25.25</v>
      </c>
      <c r="E10" s="1124" t="s">
        <v>297</v>
      </c>
      <c r="F10" s="1119"/>
      <c r="G10" s="1119"/>
      <c r="H10" s="1119"/>
      <c r="I10" s="1119"/>
      <c r="J10" s="1119"/>
      <c r="K10" s="1119"/>
      <c r="L10" s="1120"/>
      <c r="M10" s="1115"/>
      <c r="N10" s="1116"/>
      <c r="O10" s="112"/>
      <c r="P10" s="112"/>
      <c r="R10" s="112"/>
      <c r="W10" s="793"/>
    </row>
    <row r="11" spans="1:24" ht="17.5" x14ac:dyDescent="0.35">
      <c r="A11" s="1121"/>
      <c r="B11" s="1115" t="s">
        <v>283</v>
      </c>
      <c r="C11" s="1210">
        <f t="shared" ref="C11:D11" si="0">MROUND(C35,"0.25")</f>
        <v>40.5</v>
      </c>
      <c r="D11" s="1210">
        <f t="shared" si="0"/>
        <v>40.5</v>
      </c>
      <c r="E11" s="1124" t="s">
        <v>297</v>
      </c>
      <c r="F11" s="1119"/>
      <c r="G11" s="1119"/>
      <c r="H11" s="1119"/>
      <c r="I11" s="1119"/>
      <c r="J11" s="1119"/>
      <c r="K11" s="1119"/>
      <c r="L11" s="1120"/>
      <c r="M11" s="1115"/>
      <c r="N11" s="1116"/>
      <c r="O11" s="112"/>
      <c r="P11" s="112"/>
      <c r="R11" s="112"/>
      <c r="W11" s="793"/>
    </row>
    <row r="12" spans="1:24" ht="17.5" x14ac:dyDescent="0.35">
      <c r="A12" s="1121" t="s">
        <v>245</v>
      </c>
      <c r="B12" s="1115" t="s">
        <v>281</v>
      </c>
      <c r="C12" s="1210">
        <f t="shared" ref="C12:D12" si="1">MROUND(C36,"0.25")</f>
        <v>27.25</v>
      </c>
      <c r="D12" s="1210">
        <f t="shared" si="1"/>
        <v>27.25</v>
      </c>
      <c r="E12" s="1124" t="s">
        <v>297</v>
      </c>
      <c r="F12" s="1119"/>
      <c r="G12" s="1119"/>
      <c r="H12" s="1119"/>
      <c r="I12" s="1119"/>
      <c r="J12" s="1119"/>
      <c r="K12" s="1119"/>
      <c r="L12" s="1120"/>
      <c r="M12" s="1115"/>
      <c r="N12" s="1116"/>
      <c r="O12" s="112"/>
      <c r="P12" s="112"/>
      <c r="R12" s="112"/>
      <c r="W12" s="793"/>
    </row>
    <row r="13" spans="1:24" ht="18" thickBot="1" x14ac:dyDescent="0.4">
      <c r="A13" s="1125"/>
      <c r="B13" s="1126" t="s">
        <v>283</v>
      </c>
      <c r="C13" s="1211">
        <f t="shared" ref="C13:D13" si="2">MROUND(C37,"0.25")</f>
        <v>46</v>
      </c>
      <c r="D13" s="1211">
        <f t="shared" si="2"/>
        <v>46</v>
      </c>
      <c r="E13" s="1127">
        <f>C13-C11</f>
        <v>5.5</v>
      </c>
      <c r="F13" s="1128"/>
      <c r="G13" s="1128"/>
      <c r="H13" s="1128"/>
      <c r="I13" s="1128"/>
      <c r="J13" s="1128"/>
      <c r="K13" s="1128"/>
      <c r="L13" s="1129"/>
      <c r="M13" s="1115"/>
      <c r="N13" s="1116"/>
      <c r="O13" s="112"/>
      <c r="P13" s="112"/>
      <c r="R13" s="112"/>
      <c r="W13" s="793"/>
    </row>
    <row r="14" spans="1:24" ht="13" thickBot="1" x14ac:dyDescent="0.3">
      <c r="A14" s="1125"/>
      <c r="B14" s="1126"/>
      <c r="C14" s="1127"/>
      <c r="D14" s="1127"/>
      <c r="E14" s="1127"/>
      <c r="F14" s="1128"/>
      <c r="G14" s="1128"/>
      <c r="H14" s="1128"/>
      <c r="I14" s="1128"/>
      <c r="J14" s="1128"/>
      <c r="K14" s="1128"/>
      <c r="L14" s="1129"/>
      <c r="M14" s="1115"/>
      <c r="N14" s="1130"/>
      <c r="O14" s="716"/>
      <c r="P14" s="716"/>
      <c r="W14" s="793"/>
    </row>
    <row r="15" spans="1:24" ht="18" x14ac:dyDescent="0.4">
      <c r="A15" s="1138" t="s">
        <v>836</v>
      </c>
      <c r="B15" s="1139"/>
      <c r="C15" s="1140"/>
      <c r="D15" s="1141"/>
      <c r="E15" s="1142"/>
      <c r="F15" s="1142"/>
      <c r="G15" s="1142"/>
      <c r="H15" s="1142"/>
      <c r="I15" s="1142"/>
      <c r="J15" s="1142"/>
      <c r="K15" s="1142"/>
      <c r="L15" s="1142"/>
      <c r="M15" s="1143"/>
      <c r="N15" s="1144"/>
      <c r="W15" s="793"/>
    </row>
    <row r="16" spans="1:24" s="112" customFormat="1" ht="17.5" x14ac:dyDescent="0.35">
      <c r="A16" s="1145" t="s">
        <v>838</v>
      </c>
      <c r="B16" s="1146"/>
      <c r="C16" s="1147"/>
      <c r="D16" s="1147"/>
      <c r="E16" s="1147"/>
      <c r="F16" s="1147"/>
      <c r="G16" s="1147"/>
      <c r="H16" s="1147"/>
      <c r="I16" s="1147"/>
      <c r="J16" s="1147"/>
      <c r="K16" s="1147"/>
      <c r="L16" s="1148"/>
      <c r="M16" s="1149"/>
      <c r="N16" s="1150"/>
      <c r="S16" s="1"/>
      <c r="T16" s="1"/>
      <c r="U16" s="1"/>
      <c r="V16" s="1"/>
      <c r="W16" s="793"/>
      <c r="X16" s="1"/>
    </row>
    <row r="17" spans="1:23" ht="13" x14ac:dyDescent="0.3">
      <c r="A17" s="1151" t="s">
        <v>271</v>
      </c>
      <c r="B17" s="1152"/>
      <c r="C17" s="1152"/>
      <c r="D17" s="1152"/>
      <c r="E17" s="1152"/>
      <c r="F17" s="1153"/>
      <c r="G17" s="1152"/>
      <c r="H17" s="1152"/>
      <c r="I17" s="1153"/>
      <c r="J17" s="1152"/>
      <c r="K17" s="1152"/>
      <c r="L17" s="1152"/>
      <c r="M17" s="1154"/>
      <c r="N17" s="1155"/>
      <c r="W17" s="793"/>
    </row>
    <row r="18" spans="1:23" ht="40" x14ac:dyDescent="0.25">
      <c r="A18" s="1174">
        <f>A6</f>
        <v>1.1351585622341198</v>
      </c>
      <c r="B18" s="1175">
        <f>B6</f>
        <v>0.13515856223411993</v>
      </c>
      <c r="C18" s="1158" t="s">
        <v>272</v>
      </c>
      <c r="D18" s="1158" t="s">
        <v>274</v>
      </c>
      <c r="E18" s="1158" t="s">
        <v>244</v>
      </c>
      <c r="F18" s="1158"/>
      <c r="G18" s="1158"/>
      <c r="H18" s="1158"/>
      <c r="I18" s="1158"/>
      <c r="J18" s="1158"/>
      <c r="K18" s="1158"/>
      <c r="L18" s="1159"/>
      <c r="M18" s="1160"/>
      <c r="N18" s="1161"/>
    </row>
    <row r="19" spans="1:23" ht="13" x14ac:dyDescent="0.3">
      <c r="A19" s="1162"/>
      <c r="B19" s="1154"/>
      <c r="C19" s="1163"/>
      <c r="D19" s="1163"/>
      <c r="E19" s="1163"/>
      <c r="F19" s="1158"/>
      <c r="G19" s="1158"/>
      <c r="H19" s="1158"/>
      <c r="I19" s="1158"/>
      <c r="J19" s="1158"/>
      <c r="K19" s="1158"/>
      <c r="L19" s="1159"/>
      <c r="M19" s="1154"/>
      <c r="N19" s="1164"/>
    </row>
    <row r="20" spans="1:23" x14ac:dyDescent="0.25">
      <c r="A20" s="1162" t="s">
        <v>244</v>
      </c>
      <c r="B20" s="1154" t="s">
        <v>281</v>
      </c>
      <c r="C20" s="1208">
        <f>MROUND(C44,"0.25")</f>
        <v>39.25</v>
      </c>
      <c r="D20" s="1208">
        <f>MROUND(D44,"0.25")</f>
        <v>39.25</v>
      </c>
      <c r="E20" s="1166" t="s">
        <v>297</v>
      </c>
      <c r="F20" s="1158"/>
      <c r="G20" s="1158"/>
      <c r="H20" s="1158"/>
      <c r="I20" s="1158"/>
      <c r="J20" s="1158"/>
      <c r="K20" s="1158"/>
      <c r="L20" s="1159"/>
      <c r="M20" s="1154"/>
      <c r="N20" s="1155"/>
    </row>
    <row r="21" spans="1:23" x14ac:dyDescent="0.25">
      <c r="A21" s="1162"/>
      <c r="B21" s="1154" t="s">
        <v>283</v>
      </c>
      <c r="C21" s="1208">
        <f t="shared" ref="C21:D21" si="3">MROUND(C45,"0.25")</f>
        <v>65.75</v>
      </c>
      <c r="D21" s="1208">
        <f t="shared" si="3"/>
        <v>65.75</v>
      </c>
      <c r="E21" s="1166" t="s">
        <v>297</v>
      </c>
      <c r="F21" s="1207" t="s">
        <v>901</v>
      </c>
      <c r="G21" s="1158"/>
      <c r="H21" s="1158"/>
      <c r="I21" s="1158"/>
      <c r="J21" s="1158"/>
      <c r="K21" s="1158"/>
      <c r="L21" s="1159"/>
      <c r="M21" s="1154"/>
      <c r="N21" s="1155"/>
    </row>
    <row r="22" spans="1:23" x14ac:dyDescent="0.25">
      <c r="A22" s="1162" t="s">
        <v>245</v>
      </c>
      <c r="B22" s="1154" t="s">
        <v>281</v>
      </c>
      <c r="C22" s="1208">
        <f t="shared" ref="C22:D22" si="4">MROUND(C46,"0.25")</f>
        <v>42</v>
      </c>
      <c r="D22" s="1208">
        <f t="shared" si="4"/>
        <v>42</v>
      </c>
      <c r="E22" s="1166" t="s">
        <v>297</v>
      </c>
      <c r="F22" s="1158"/>
      <c r="G22" s="1158"/>
      <c r="H22" s="1158"/>
      <c r="I22" s="1158"/>
      <c r="J22" s="1158"/>
      <c r="K22" s="1158"/>
      <c r="L22" s="1159"/>
      <c r="M22" s="1154"/>
      <c r="N22" s="1155"/>
    </row>
    <row r="23" spans="1:23" ht="13" thickBot="1" x14ac:dyDescent="0.3">
      <c r="A23" s="1167"/>
      <c r="B23" s="1168" t="s">
        <v>283</v>
      </c>
      <c r="C23" s="1209">
        <f t="shared" ref="C23:D23" si="5">MROUND(C47,"0.25")</f>
        <v>69.25</v>
      </c>
      <c r="D23" s="1209">
        <f t="shared" si="5"/>
        <v>69.25</v>
      </c>
      <c r="E23" s="1170" t="s">
        <v>297</v>
      </c>
      <c r="F23" s="1170"/>
      <c r="G23" s="1170"/>
      <c r="H23" s="1170"/>
      <c r="I23" s="1170"/>
      <c r="J23" s="1170"/>
      <c r="K23" s="1170"/>
      <c r="L23" s="1171"/>
      <c r="M23" s="1168"/>
      <c r="N23" s="1172"/>
    </row>
    <row r="24" spans="1:23" ht="18" x14ac:dyDescent="0.4">
      <c r="A24" s="1000"/>
    </row>
    <row r="25" spans="1:23" ht="18" x14ac:dyDescent="0.4">
      <c r="A25" s="1000"/>
    </row>
    <row r="26" spans="1:23" ht="18.5" thickBot="1" x14ac:dyDescent="0.45">
      <c r="A26" s="1000" t="s">
        <v>903</v>
      </c>
    </row>
    <row r="27" spans="1:23" ht="18" x14ac:dyDescent="0.4">
      <c r="A27" s="1101" t="s">
        <v>269</v>
      </c>
      <c r="B27" s="1102"/>
      <c r="C27" s="1103"/>
      <c r="D27" s="1104"/>
      <c r="E27" s="1105"/>
      <c r="F27" s="1105"/>
      <c r="G27" s="1105"/>
      <c r="H27" s="1105"/>
      <c r="I27" s="1105"/>
      <c r="J27" s="1105"/>
      <c r="K27" s="1105"/>
      <c r="L27" s="1105"/>
      <c r="M27" s="1106"/>
      <c r="N27" s="1107"/>
    </row>
    <row r="28" spans="1:23" s="112" customFormat="1" ht="17.5" x14ac:dyDescent="0.35">
      <c r="A28" s="1108" t="s">
        <v>900</v>
      </c>
      <c r="B28" s="1109"/>
      <c r="C28" s="1110"/>
      <c r="D28" s="1110"/>
      <c r="E28" s="1110"/>
      <c r="F28" s="1110"/>
      <c r="G28" s="1110"/>
      <c r="H28" s="1110"/>
      <c r="I28" s="1110"/>
      <c r="J28" s="1110"/>
      <c r="K28" s="1110"/>
      <c r="L28" s="1110"/>
      <c r="M28" s="1109"/>
      <c r="N28" s="1111"/>
      <c r="Q28" s="1"/>
    </row>
    <row r="29" spans="1:23" ht="13" x14ac:dyDescent="0.3">
      <c r="A29" s="1112" t="s">
        <v>271</v>
      </c>
      <c r="B29" s="1113"/>
      <c r="C29" s="1113"/>
      <c r="D29" s="1113"/>
      <c r="E29" s="1113"/>
      <c r="F29" s="1114"/>
      <c r="G29" s="1113"/>
      <c r="H29" s="1113"/>
      <c r="I29" s="1114"/>
      <c r="J29" s="1113"/>
      <c r="K29" s="1113"/>
      <c r="L29" s="1113"/>
      <c r="M29" s="1115"/>
      <c r="N29" s="1116"/>
    </row>
    <row r="30" spans="1:23" ht="40" x14ac:dyDescent="0.35">
      <c r="A30" s="1173">
        <f>1+B30</f>
        <v>1.1351585622341198</v>
      </c>
      <c r="B30" s="1118">
        <f>'2020 Pro Forma Income State'!O71</f>
        <v>0.13515856223411993</v>
      </c>
      <c r="C30" s="1119" t="s">
        <v>272</v>
      </c>
      <c r="D30" s="1119" t="s">
        <v>274</v>
      </c>
      <c r="E30" s="1119" t="s">
        <v>244</v>
      </c>
      <c r="F30" s="1119"/>
      <c r="G30" s="1119"/>
      <c r="H30" s="1119"/>
      <c r="I30" s="1119"/>
      <c r="J30" s="1119"/>
      <c r="K30" s="1119"/>
      <c r="L30" s="1120"/>
      <c r="M30" s="1115"/>
      <c r="N30" s="1116"/>
      <c r="O30" s="112"/>
      <c r="P30" s="112"/>
      <c r="R30" s="112"/>
      <c r="S30" s="112"/>
      <c r="T30" s="112"/>
      <c r="U30" s="112"/>
      <c r="V30" s="112"/>
    </row>
    <row r="31" spans="1:23" x14ac:dyDescent="0.25">
      <c r="A31" s="1121"/>
      <c r="B31" s="1115"/>
      <c r="C31" s="1122"/>
      <c r="D31" s="1122"/>
      <c r="E31" s="1122"/>
      <c r="F31" s="1119"/>
      <c r="G31" s="1119"/>
      <c r="H31" s="1119"/>
      <c r="I31" s="1119"/>
      <c r="J31" s="1119"/>
      <c r="K31" s="1119"/>
      <c r="L31" s="1120"/>
      <c r="M31" s="1115"/>
      <c r="N31" s="1116"/>
      <c r="W31" s="793"/>
    </row>
    <row r="32" spans="1:23" ht="13.15" hidden="1" customHeight="1" x14ac:dyDescent="0.35">
      <c r="A32" s="1121" t="s">
        <v>244</v>
      </c>
      <c r="B32" s="1115" t="s">
        <v>281</v>
      </c>
      <c r="C32" s="1123" t="e">
        <f>ROUND(#REF!/0.25,0)*0.25</f>
        <v>#REF!</v>
      </c>
      <c r="D32" s="1123" t="e">
        <f>ROUND(#REF!/0.25,0)*0.25</f>
        <v>#REF!</v>
      </c>
      <c r="E32" s="1124" t="s">
        <v>297</v>
      </c>
      <c r="F32" s="1119"/>
      <c r="G32" s="1119"/>
      <c r="H32" s="1119"/>
      <c r="I32" s="1119"/>
      <c r="J32" s="1119"/>
      <c r="K32" s="1119"/>
      <c r="L32" s="1120"/>
      <c r="M32" s="1115"/>
      <c r="N32" s="1116"/>
      <c r="O32" s="112"/>
      <c r="P32" s="112"/>
      <c r="R32" s="112"/>
      <c r="W32" s="793"/>
    </row>
    <row r="33" spans="1:24" ht="13.15" hidden="1" customHeight="1" x14ac:dyDescent="0.25">
      <c r="A33" s="1121"/>
      <c r="B33" s="1115" t="s">
        <v>283</v>
      </c>
      <c r="C33" s="1123" t="e">
        <f>ROUND(#REF!/0.25,0)*0.25</f>
        <v>#REF!</v>
      </c>
      <c r="D33" s="1123" t="e">
        <f>ROUND(#REF!/0.25,0)*0.25</f>
        <v>#REF!</v>
      </c>
      <c r="E33" s="1124" t="s">
        <v>297</v>
      </c>
      <c r="F33" s="1119"/>
      <c r="G33" s="1119"/>
      <c r="H33" s="1119"/>
      <c r="I33" s="1119"/>
      <c r="J33" s="1119"/>
      <c r="K33" s="1119"/>
      <c r="L33" s="1120"/>
      <c r="M33" s="1115"/>
      <c r="N33" s="1116"/>
      <c r="W33" s="793"/>
    </row>
    <row r="34" spans="1:24" ht="17.5" x14ac:dyDescent="0.35">
      <c r="A34" s="1121" t="s">
        <v>244</v>
      </c>
      <c r="B34" s="1115" t="s">
        <v>281</v>
      </c>
      <c r="C34" s="1123">
        <f>SUM(C56*(1+$B$30))</f>
        <v>25.257278009709164</v>
      </c>
      <c r="D34" s="1123">
        <f>SUM(D56*(1+$B$30))</f>
        <v>25.257278009709164</v>
      </c>
      <c r="E34" s="1124" t="s">
        <v>297</v>
      </c>
      <c r="F34" s="1119"/>
      <c r="G34" s="1119"/>
      <c r="H34" s="1119"/>
      <c r="I34" s="1119"/>
      <c r="J34" s="1119"/>
      <c r="K34" s="1119"/>
      <c r="L34" s="1120"/>
      <c r="M34" s="1115"/>
      <c r="N34" s="1116"/>
      <c r="O34" s="112"/>
      <c r="P34" s="112"/>
      <c r="R34" s="112"/>
      <c r="W34" s="793"/>
    </row>
    <row r="35" spans="1:24" ht="17.5" x14ac:dyDescent="0.35">
      <c r="A35" s="1121"/>
      <c r="B35" s="1115" t="s">
        <v>283</v>
      </c>
      <c r="C35" s="1123">
        <f t="shared" ref="C35:D35" si="6">SUM(C57*(1+$B$30))</f>
        <v>40.58191859986978</v>
      </c>
      <c r="D35" s="1123">
        <f t="shared" si="6"/>
        <v>40.58191859986978</v>
      </c>
      <c r="E35" s="1124" t="s">
        <v>297</v>
      </c>
      <c r="F35" s="1119"/>
      <c r="G35" s="1119"/>
      <c r="H35" s="1119"/>
      <c r="I35" s="1119"/>
      <c r="J35" s="1119"/>
      <c r="K35" s="1119"/>
      <c r="L35" s="1120"/>
      <c r="M35" s="1115"/>
      <c r="N35" s="1116"/>
      <c r="O35" s="112"/>
      <c r="P35" s="112"/>
      <c r="R35" s="112"/>
      <c r="W35" s="793"/>
    </row>
    <row r="36" spans="1:24" ht="17.5" x14ac:dyDescent="0.35">
      <c r="A36" s="1121" t="s">
        <v>245</v>
      </c>
      <c r="B36" s="1115" t="s">
        <v>281</v>
      </c>
      <c r="C36" s="1123">
        <f>SUM(C58*(1+$B$30))</f>
        <v>27.243805493618876</v>
      </c>
      <c r="D36" s="1123">
        <f>SUM(D58*(1+$B$30))</f>
        <v>27.243805493618876</v>
      </c>
      <c r="E36" s="1124" t="s">
        <v>297</v>
      </c>
      <c r="F36" s="1119"/>
      <c r="G36" s="1119"/>
      <c r="H36" s="1119"/>
      <c r="I36" s="1119"/>
      <c r="J36" s="1119"/>
      <c r="K36" s="1119"/>
      <c r="L36" s="1120"/>
      <c r="M36" s="1115"/>
      <c r="N36" s="1116"/>
      <c r="O36" s="112"/>
      <c r="P36" s="112"/>
      <c r="R36" s="112"/>
      <c r="W36" s="793"/>
    </row>
    <row r="37" spans="1:24" ht="18" thickBot="1" x14ac:dyDescent="0.4">
      <c r="A37" s="1125"/>
      <c r="B37" s="1126" t="s">
        <v>283</v>
      </c>
      <c r="C37" s="1127">
        <f>SUM(C59*(1+$B$30))</f>
        <v>45.973921770481851</v>
      </c>
      <c r="D37" s="1127">
        <f>SUM(D59*(1+$B$30))</f>
        <v>45.973921770481851</v>
      </c>
      <c r="E37" s="1127">
        <f>C37-C35</f>
        <v>5.392003170612071</v>
      </c>
      <c r="F37" s="1128"/>
      <c r="G37" s="1128"/>
      <c r="H37" s="1128"/>
      <c r="I37" s="1128"/>
      <c r="J37" s="1128"/>
      <c r="K37" s="1128"/>
      <c r="L37" s="1129"/>
      <c r="M37" s="1115"/>
      <c r="N37" s="1116"/>
      <c r="O37" s="112"/>
      <c r="P37" s="112"/>
      <c r="Q37" s="112"/>
      <c r="R37" s="112"/>
      <c r="W37" s="793"/>
    </row>
    <row r="38" spans="1:24" ht="13" thickBot="1" x14ac:dyDescent="0.3">
      <c r="A38" s="1125"/>
      <c r="B38" s="1126"/>
      <c r="C38" s="1127"/>
      <c r="D38" s="1127"/>
      <c r="E38" s="1127"/>
      <c r="F38" s="1128"/>
      <c r="G38" s="1128"/>
      <c r="H38" s="1128"/>
      <c r="I38" s="1128"/>
      <c r="J38" s="1128"/>
      <c r="K38" s="1128"/>
      <c r="L38" s="1129"/>
      <c r="M38" s="1115"/>
      <c r="N38" s="1130"/>
      <c r="O38" s="716"/>
      <c r="P38" s="716"/>
      <c r="W38" s="793"/>
    </row>
    <row r="39" spans="1:24" ht="18" x14ac:dyDescent="0.4">
      <c r="A39" s="1138" t="s">
        <v>836</v>
      </c>
      <c r="B39" s="1139"/>
      <c r="C39" s="1140"/>
      <c r="D39" s="1141"/>
      <c r="E39" s="1142"/>
      <c r="F39" s="1142"/>
      <c r="G39" s="1142"/>
      <c r="H39" s="1142"/>
      <c r="I39" s="1142"/>
      <c r="J39" s="1142"/>
      <c r="K39" s="1142"/>
      <c r="L39" s="1142"/>
      <c r="M39" s="1143"/>
      <c r="N39" s="1144"/>
      <c r="W39" s="793"/>
    </row>
    <row r="40" spans="1:24" s="112" customFormat="1" ht="17.5" x14ac:dyDescent="0.35">
      <c r="A40" s="1145" t="s">
        <v>900</v>
      </c>
      <c r="B40" s="1146"/>
      <c r="C40" s="1147"/>
      <c r="D40" s="1147"/>
      <c r="E40" s="1147"/>
      <c r="F40" s="1147"/>
      <c r="G40" s="1147"/>
      <c r="H40" s="1147"/>
      <c r="I40" s="1147"/>
      <c r="J40" s="1147"/>
      <c r="K40" s="1147"/>
      <c r="L40" s="1148"/>
      <c r="M40" s="1149"/>
      <c r="N40" s="1150"/>
      <c r="S40" s="1"/>
      <c r="T40" s="1"/>
      <c r="U40" s="1"/>
      <c r="V40" s="1"/>
      <c r="W40" s="793"/>
      <c r="X40" s="1"/>
    </row>
    <row r="41" spans="1:24" ht="13" x14ac:dyDescent="0.3">
      <c r="A41" s="1151" t="s">
        <v>271</v>
      </c>
      <c r="B41" s="1152"/>
      <c r="C41" s="1152"/>
      <c r="D41" s="1152"/>
      <c r="E41" s="1152"/>
      <c r="F41" s="1153"/>
      <c r="G41" s="1152"/>
      <c r="H41" s="1152"/>
      <c r="I41" s="1153"/>
      <c r="J41" s="1152"/>
      <c r="K41" s="1152"/>
      <c r="L41" s="1152"/>
      <c r="M41" s="1154"/>
      <c r="N41" s="1155"/>
      <c r="W41" s="793"/>
    </row>
    <row r="42" spans="1:24" ht="40" x14ac:dyDescent="0.25">
      <c r="A42" s="1174">
        <f>A30</f>
        <v>1.1351585622341198</v>
      </c>
      <c r="B42" s="1175">
        <f>B30</f>
        <v>0.13515856223411993</v>
      </c>
      <c r="C42" s="1158" t="s">
        <v>272</v>
      </c>
      <c r="D42" s="1158" t="s">
        <v>274</v>
      </c>
      <c r="E42" s="1158" t="s">
        <v>244</v>
      </c>
      <c r="F42" s="1158"/>
      <c r="G42" s="1158"/>
      <c r="H42" s="1158"/>
      <c r="I42" s="1158"/>
      <c r="J42" s="1158"/>
      <c r="K42" s="1158"/>
      <c r="L42" s="1159"/>
      <c r="M42" s="1160"/>
      <c r="N42" s="1161"/>
    </row>
    <row r="43" spans="1:24" ht="13" x14ac:dyDescent="0.3">
      <c r="A43" s="1162"/>
      <c r="B43" s="1154"/>
      <c r="C43" s="1163"/>
      <c r="D43" s="1163"/>
      <c r="E43" s="1163"/>
      <c r="F43" s="1158"/>
      <c r="G43" s="1158"/>
      <c r="H43" s="1158"/>
      <c r="I43" s="1158"/>
      <c r="J43" s="1158"/>
      <c r="K43" s="1158"/>
      <c r="L43" s="1159"/>
      <c r="M43" s="1154"/>
      <c r="N43" s="1164"/>
    </row>
    <row r="44" spans="1:24" x14ac:dyDescent="0.25">
      <c r="A44" s="1162" t="s">
        <v>244</v>
      </c>
      <c r="B44" s="1154" t="s">
        <v>281</v>
      </c>
      <c r="C44" s="1165">
        <f>SUM(C66*(1+$B$30))</f>
        <v>39.162970397077132</v>
      </c>
      <c r="D44" s="1165">
        <f>SUM(D66*(1+$B$30))</f>
        <v>39.162970397077132</v>
      </c>
      <c r="E44" s="1166" t="s">
        <v>297</v>
      </c>
      <c r="F44" s="1158"/>
      <c r="G44" s="1158"/>
      <c r="H44" s="1158"/>
      <c r="I44" s="1158"/>
      <c r="J44" s="1158"/>
      <c r="K44" s="1158"/>
      <c r="L44" s="1159"/>
      <c r="M44" s="1154"/>
      <c r="N44" s="1155"/>
    </row>
    <row r="45" spans="1:24" x14ac:dyDescent="0.25">
      <c r="A45" s="1162"/>
      <c r="B45" s="1154" t="s">
        <v>283</v>
      </c>
      <c r="C45" s="1165">
        <f t="shared" ref="C45:D47" si="7">SUM(C67*(1+$B$30))</f>
        <v>65.839196609578948</v>
      </c>
      <c r="D45" s="1165">
        <f t="shared" si="7"/>
        <v>65.839196609578948</v>
      </c>
      <c r="E45" s="1166" t="s">
        <v>297</v>
      </c>
      <c r="F45" s="1158"/>
      <c r="G45" s="1158"/>
      <c r="H45" s="1158"/>
      <c r="I45" s="1158"/>
      <c r="J45" s="1158"/>
      <c r="K45" s="1158"/>
      <c r="L45" s="1159"/>
      <c r="M45" s="1154"/>
      <c r="N45" s="1155"/>
    </row>
    <row r="46" spans="1:24" x14ac:dyDescent="0.25">
      <c r="A46" s="1162" t="s">
        <v>245</v>
      </c>
      <c r="B46" s="1154" t="s">
        <v>281</v>
      </c>
      <c r="C46" s="1165">
        <f t="shared" si="7"/>
        <v>42.000866802662436</v>
      </c>
      <c r="D46" s="1165">
        <f t="shared" si="7"/>
        <v>42.000866802662436</v>
      </c>
      <c r="E46" s="1166" t="s">
        <v>297</v>
      </c>
      <c r="F46" s="1158"/>
      <c r="G46" s="1158"/>
      <c r="H46" s="1158"/>
      <c r="I46" s="1158"/>
      <c r="J46" s="1158"/>
      <c r="K46" s="1158"/>
      <c r="L46" s="1159"/>
      <c r="M46" s="1154"/>
      <c r="N46" s="1155"/>
    </row>
    <row r="47" spans="1:24" ht="13" thickBot="1" x14ac:dyDescent="0.3">
      <c r="A47" s="1167"/>
      <c r="B47" s="1168" t="s">
        <v>283</v>
      </c>
      <c r="C47" s="1169">
        <f t="shared" si="7"/>
        <v>69.244672296281308</v>
      </c>
      <c r="D47" s="1169">
        <f t="shared" si="7"/>
        <v>69.244672296281308</v>
      </c>
      <c r="E47" s="1170" t="s">
        <v>297</v>
      </c>
      <c r="F47" s="1170"/>
      <c r="G47" s="1170"/>
      <c r="H47" s="1170"/>
      <c r="I47" s="1170"/>
      <c r="J47" s="1170"/>
      <c r="K47" s="1170"/>
      <c r="L47" s="1171"/>
      <c r="M47" s="1168"/>
      <c r="N47" s="1172"/>
    </row>
    <row r="50" spans="1:14" ht="18.5" thickBot="1" x14ac:dyDescent="0.45">
      <c r="A50" s="1000" t="s">
        <v>837</v>
      </c>
    </row>
    <row r="51" spans="1:14" ht="18" x14ac:dyDescent="0.4">
      <c r="A51" s="1101" t="s">
        <v>269</v>
      </c>
      <c r="B51" s="1102"/>
      <c r="C51" s="1103"/>
      <c r="D51" s="1104"/>
      <c r="E51" s="1105"/>
      <c r="F51" s="1105"/>
      <c r="G51" s="1105"/>
      <c r="H51" s="1105"/>
      <c r="I51" s="1105"/>
      <c r="J51" s="1105"/>
      <c r="K51" s="1105"/>
      <c r="L51" s="1105"/>
      <c r="M51" s="1106"/>
      <c r="N51" s="1107"/>
    </row>
    <row r="52" spans="1:14" ht="17.5" x14ac:dyDescent="0.35">
      <c r="A52" s="1108" t="s">
        <v>838</v>
      </c>
      <c r="B52" s="1135"/>
      <c r="C52" s="1136"/>
      <c r="D52" s="1136"/>
      <c r="E52" s="1136"/>
      <c r="F52" s="1136"/>
      <c r="G52" s="1136"/>
      <c r="H52" s="1136"/>
      <c r="I52" s="1136"/>
      <c r="J52" s="1136"/>
      <c r="K52" s="1136"/>
      <c r="L52" s="1110"/>
      <c r="M52" s="1109"/>
      <c r="N52" s="1111"/>
    </row>
    <row r="53" spans="1:14" ht="13" x14ac:dyDescent="0.3">
      <c r="A53" s="1112" t="s">
        <v>271</v>
      </c>
      <c r="B53" s="1113"/>
      <c r="C53" s="1113"/>
      <c r="D53" s="1113"/>
      <c r="E53" s="1113"/>
      <c r="F53" s="1114"/>
      <c r="G53" s="1113"/>
      <c r="H53" s="1113"/>
      <c r="I53" s="1114"/>
      <c r="J53" s="1113"/>
      <c r="K53" s="1113"/>
      <c r="L53" s="1113"/>
      <c r="M53" s="1115"/>
      <c r="N53" s="1116"/>
    </row>
    <row r="54" spans="1:14" ht="40" x14ac:dyDescent="0.25">
      <c r="A54" s="1117"/>
      <c r="B54" s="1137"/>
      <c r="C54" s="1119" t="s">
        <v>272</v>
      </c>
      <c r="D54" s="1119" t="s">
        <v>274</v>
      </c>
      <c r="E54" s="1119" t="s">
        <v>244</v>
      </c>
      <c r="F54" s="1119"/>
      <c r="G54" s="1119"/>
      <c r="H54" s="1119"/>
      <c r="I54" s="1119"/>
      <c r="J54" s="1119"/>
      <c r="K54" s="1119"/>
      <c r="L54" s="1120"/>
      <c r="M54" s="1115"/>
      <c r="N54" s="1116"/>
    </row>
    <row r="55" spans="1:14" x14ac:dyDescent="0.25">
      <c r="A55" s="1121"/>
      <c r="B55" s="1115"/>
      <c r="C55" s="1122"/>
      <c r="D55" s="1122"/>
      <c r="E55" s="1122"/>
      <c r="F55" s="1119"/>
      <c r="G55" s="1119"/>
      <c r="H55" s="1119"/>
      <c r="I55" s="1119"/>
      <c r="J55" s="1119"/>
      <c r="K55" s="1119"/>
      <c r="L55" s="1120"/>
      <c r="M55" s="1115"/>
      <c r="N55" s="1116"/>
    </row>
    <row r="56" spans="1:14" x14ac:dyDescent="0.25">
      <c r="A56" s="1121" t="s">
        <v>244</v>
      </c>
      <c r="B56" s="1115" t="s">
        <v>281</v>
      </c>
      <c r="C56" s="1123">
        <v>22.25</v>
      </c>
      <c r="D56" s="1123">
        <v>22.25</v>
      </c>
      <c r="E56" s="1124" t="s">
        <v>297</v>
      </c>
      <c r="F56" s="1119"/>
      <c r="G56" s="1119"/>
      <c r="H56" s="1119"/>
      <c r="I56" s="1119"/>
      <c r="J56" s="1119"/>
      <c r="K56" s="1119"/>
      <c r="L56" s="1120"/>
      <c r="M56" s="1115"/>
      <c r="N56" s="1116"/>
    </row>
    <row r="57" spans="1:14" x14ac:dyDescent="0.25">
      <c r="A57" s="1121"/>
      <c r="B57" s="1115" t="s">
        <v>283</v>
      </c>
      <c r="C57" s="1123">
        <v>35.75</v>
      </c>
      <c r="D57" s="1123">
        <v>35.75</v>
      </c>
      <c r="E57" s="1124" t="s">
        <v>297</v>
      </c>
      <c r="F57" s="1119"/>
      <c r="G57" s="1119"/>
      <c r="H57" s="1119"/>
      <c r="I57" s="1119"/>
      <c r="J57" s="1119"/>
      <c r="K57" s="1119"/>
      <c r="L57" s="1120"/>
      <c r="M57" s="1115"/>
      <c r="N57" s="1116"/>
    </row>
    <row r="58" spans="1:14" x14ac:dyDescent="0.25">
      <c r="A58" s="1121" t="s">
        <v>245</v>
      </c>
      <c r="B58" s="1115" t="s">
        <v>281</v>
      </c>
      <c r="C58" s="1123">
        <v>24</v>
      </c>
      <c r="D58" s="1123">
        <v>24</v>
      </c>
      <c r="E58" s="1123">
        <v>8.75</v>
      </c>
      <c r="F58" s="1119"/>
      <c r="G58" s="1119"/>
      <c r="H58" s="1119"/>
      <c r="I58" s="1119"/>
      <c r="J58" s="1119"/>
      <c r="K58" s="1119"/>
      <c r="L58" s="1120"/>
      <c r="M58" s="1115"/>
      <c r="N58" s="1116"/>
    </row>
    <row r="59" spans="1:14" ht="13" thickBot="1" x14ac:dyDescent="0.3">
      <c r="A59" s="1125"/>
      <c r="B59" s="1126" t="s">
        <v>283</v>
      </c>
      <c r="C59" s="1127">
        <v>40.5</v>
      </c>
      <c r="D59" s="1127">
        <v>40.5</v>
      </c>
      <c r="E59" s="1127">
        <v>12.5</v>
      </c>
      <c r="F59" s="1128"/>
      <c r="G59" s="1128"/>
      <c r="H59" s="1128"/>
      <c r="I59" s="1128"/>
      <c r="J59" s="1128"/>
      <c r="K59" s="1128"/>
      <c r="L59" s="1129"/>
      <c r="M59" s="1115"/>
      <c r="N59" s="1130"/>
    </row>
    <row r="60" spans="1:14" ht="16" thickBot="1" x14ac:dyDescent="0.4">
      <c r="A60" s="1121"/>
      <c r="B60" s="1131"/>
      <c r="C60" s="1132"/>
      <c r="D60" s="1132"/>
      <c r="E60" s="1132"/>
      <c r="F60" s="1133"/>
      <c r="G60" s="1133"/>
      <c r="H60" s="1133"/>
      <c r="I60" s="1133"/>
      <c r="J60" s="1133"/>
      <c r="K60" s="1113"/>
      <c r="L60" s="1134"/>
      <c r="M60" s="1115"/>
      <c r="N60" s="1130"/>
    </row>
    <row r="61" spans="1:14" ht="18" x14ac:dyDescent="0.4">
      <c r="A61" s="1138" t="s">
        <v>836</v>
      </c>
      <c r="B61" s="1139"/>
      <c r="C61" s="1140"/>
      <c r="D61" s="1141"/>
      <c r="E61" s="1142"/>
      <c r="F61" s="1142"/>
      <c r="G61" s="1142"/>
      <c r="H61" s="1142"/>
      <c r="I61" s="1142"/>
      <c r="J61" s="1142"/>
      <c r="K61" s="1142"/>
      <c r="L61" s="1142"/>
      <c r="M61" s="1143"/>
      <c r="N61" s="1144"/>
    </row>
    <row r="62" spans="1:14" ht="17.5" x14ac:dyDescent="0.35">
      <c r="A62" s="1145" t="s">
        <v>838</v>
      </c>
      <c r="B62" s="1146"/>
      <c r="C62" s="1147"/>
      <c r="D62" s="1147"/>
      <c r="E62" s="1147"/>
      <c r="F62" s="1147"/>
      <c r="G62" s="1147"/>
      <c r="H62" s="1147"/>
      <c r="I62" s="1147"/>
      <c r="J62" s="1147"/>
      <c r="K62" s="1147"/>
      <c r="L62" s="1148"/>
      <c r="M62" s="1149"/>
      <c r="N62" s="1150"/>
    </row>
    <row r="63" spans="1:14" ht="13" x14ac:dyDescent="0.3">
      <c r="A63" s="1151" t="s">
        <v>271</v>
      </c>
      <c r="B63" s="1152"/>
      <c r="C63" s="1152"/>
      <c r="D63" s="1152"/>
      <c r="E63" s="1152"/>
      <c r="F63" s="1153"/>
      <c r="G63" s="1152"/>
      <c r="H63" s="1152"/>
      <c r="I63" s="1153"/>
      <c r="J63" s="1152"/>
      <c r="K63" s="1152"/>
      <c r="L63" s="1152"/>
      <c r="M63" s="1154"/>
      <c r="N63" s="1155"/>
    </row>
    <row r="64" spans="1:14" ht="40" x14ac:dyDescent="0.25">
      <c r="A64" s="1156"/>
      <c r="B64" s="1157"/>
      <c r="C64" s="1158" t="s">
        <v>272</v>
      </c>
      <c r="D64" s="1158" t="s">
        <v>274</v>
      </c>
      <c r="E64" s="1158" t="s">
        <v>244</v>
      </c>
      <c r="F64" s="1158"/>
      <c r="G64" s="1158"/>
      <c r="H64" s="1158"/>
      <c r="I64" s="1158"/>
      <c r="J64" s="1158"/>
      <c r="K64" s="1158"/>
      <c r="L64" s="1159"/>
      <c r="M64" s="1160"/>
      <c r="N64" s="1161"/>
    </row>
    <row r="65" spans="1:14" ht="13" x14ac:dyDescent="0.3">
      <c r="A65" s="1162"/>
      <c r="B65" s="1154"/>
      <c r="C65" s="1163"/>
      <c r="D65" s="1163"/>
      <c r="E65" s="1163"/>
      <c r="F65" s="1158"/>
      <c r="G65" s="1158"/>
      <c r="H65" s="1158"/>
      <c r="I65" s="1158"/>
      <c r="J65" s="1158"/>
      <c r="K65" s="1158"/>
      <c r="L65" s="1159"/>
      <c r="M65" s="1154"/>
      <c r="N65" s="1164"/>
    </row>
    <row r="66" spans="1:14" x14ac:dyDescent="0.25">
      <c r="A66" s="1162" t="s">
        <v>244</v>
      </c>
      <c r="B66" s="1154" t="s">
        <v>281</v>
      </c>
      <c r="C66" s="1165">
        <v>34.5</v>
      </c>
      <c r="D66" s="1165">
        <v>34.5</v>
      </c>
      <c r="E66" s="1166" t="s">
        <v>297</v>
      </c>
      <c r="F66" s="1158"/>
      <c r="G66" s="1158"/>
      <c r="H66" s="1158"/>
      <c r="I66" s="1158"/>
      <c r="J66" s="1158"/>
      <c r="K66" s="1158"/>
      <c r="L66" s="1159"/>
      <c r="M66" s="1154"/>
      <c r="N66" s="1155"/>
    </row>
    <row r="67" spans="1:14" x14ac:dyDescent="0.25">
      <c r="A67" s="1162"/>
      <c r="B67" s="1154" t="s">
        <v>283</v>
      </c>
      <c r="C67" s="1165">
        <v>58</v>
      </c>
      <c r="D67" s="1165">
        <v>58</v>
      </c>
      <c r="E67" s="1166" t="s">
        <v>297</v>
      </c>
      <c r="F67" s="1158"/>
      <c r="G67" s="1158"/>
      <c r="H67" s="1158"/>
      <c r="I67" s="1158"/>
      <c r="J67" s="1158"/>
      <c r="K67" s="1158"/>
      <c r="L67" s="1159"/>
      <c r="M67" s="1154"/>
      <c r="N67" s="1155"/>
    </row>
    <row r="68" spans="1:14" x14ac:dyDescent="0.25">
      <c r="A68" s="1162" t="s">
        <v>245</v>
      </c>
      <c r="B68" s="1154" t="s">
        <v>281</v>
      </c>
      <c r="C68" s="1165">
        <v>37</v>
      </c>
      <c r="D68" s="1165">
        <v>37</v>
      </c>
      <c r="E68" s="1166" t="s">
        <v>297</v>
      </c>
      <c r="F68" s="1158"/>
      <c r="G68" s="1158"/>
      <c r="H68" s="1158"/>
      <c r="I68" s="1158"/>
      <c r="J68" s="1158"/>
      <c r="K68" s="1158"/>
      <c r="L68" s="1159"/>
      <c r="M68" s="1154"/>
      <c r="N68" s="1155"/>
    </row>
    <row r="69" spans="1:14" ht="13" thickBot="1" x14ac:dyDescent="0.3">
      <c r="A69" s="1167"/>
      <c r="B69" s="1168" t="s">
        <v>283</v>
      </c>
      <c r="C69" s="1169">
        <v>61</v>
      </c>
      <c r="D69" s="1169">
        <v>61</v>
      </c>
      <c r="E69" s="1170" t="s">
        <v>297</v>
      </c>
      <c r="F69" s="1170"/>
      <c r="G69" s="1170"/>
      <c r="H69" s="1170"/>
      <c r="I69" s="1170"/>
      <c r="J69" s="1170"/>
      <c r="K69" s="1170"/>
      <c r="L69" s="1171"/>
      <c r="M69" s="1168"/>
      <c r="N69" s="1172"/>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N38"/>
  <sheetViews>
    <sheetView workbookViewId="0"/>
  </sheetViews>
  <sheetFormatPr defaultColWidth="8.81640625" defaultRowHeight="12.5" x14ac:dyDescent="0.25"/>
  <cols>
    <col min="1" max="1" width="13.453125" style="704" customWidth="1"/>
    <col min="2" max="2" width="9.81640625" style="704" customWidth="1"/>
    <col min="3" max="3" width="8.1796875" style="117" bestFit="1" customWidth="1"/>
    <col min="4" max="5" width="6.1796875" style="117" bestFit="1" customWidth="1"/>
    <col min="6" max="6" width="6.1796875" style="117" customWidth="1"/>
    <col min="7" max="7" width="7.1796875" style="117" customWidth="1"/>
    <col min="8" max="8" width="7.1796875" style="117" bestFit="1" customWidth="1"/>
    <col min="9" max="12" width="6.1796875" style="117" customWidth="1"/>
    <col min="13" max="13" width="0.54296875" style="704" hidden="1" customWidth="1"/>
    <col min="14" max="14" width="6.7265625" style="704" customWidth="1"/>
    <col min="15" max="15" width="13.54296875" style="704" customWidth="1"/>
    <col min="16" max="16" width="9.26953125" style="704" customWidth="1"/>
    <col min="17" max="17" width="10.54296875" style="704" customWidth="1"/>
    <col min="18" max="16384" width="8.81640625" style="704"/>
  </cols>
  <sheetData>
    <row r="1" spans="1:14" ht="18" x14ac:dyDescent="0.4">
      <c r="A1" s="1009" t="s">
        <v>269</v>
      </c>
      <c r="B1" s="1010"/>
      <c r="C1" s="1011"/>
      <c r="D1" s="1012"/>
      <c r="E1" s="1013"/>
      <c r="F1" s="1013"/>
      <c r="G1" s="1013"/>
      <c r="H1" s="1013"/>
      <c r="I1" s="1013"/>
      <c r="J1" s="1013"/>
      <c r="K1" s="1013"/>
      <c r="L1" s="1013"/>
      <c r="M1" s="1003"/>
      <c r="N1" s="1004"/>
    </row>
    <row r="2" spans="1:14" ht="18" x14ac:dyDescent="0.4">
      <c r="A2" s="1014" t="s">
        <v>612</v>
      </c>
      <c r="B2" s="1015"/>
      <c r="C2" s="1016"/>
      <c r="D2" s="1016"/>
      <c r="E2" s="1016"/>
      <c r="F2" s="1016"/>
      <c r="G2" s="1016"/>
      <c r="H2" s="1016"/>
      <c r="I2" s="1016"/>
      <c r="J2" s="1016"/>
      <c r="K2" s="1016"/>
      <c r="L2" s="1016"/>
      <c r="M2" s="1017"/>
      <c r="N2" s="1018"/>
    </row>
    <row r="3" spans="1:14" ht="13" x14ac:dyDescent="0.3">
      <c r="A3" s="1019" t="s">
        <v>271</v>
      </c>
      <c r="B3" s="1020"/>
      <c r="C3" s="1020"/>
      <c r="D3" s="1020"/>
      <c r="E3" s="1020"/>
      <c r="F3" s="1021"/>
      <c r="G3" s="1020"/>
      <c r="H3" s="1020"/>
      <c r="I3" s="1021"/>
      <c r="J3" s="1020"/>
      <c r="K3" s="1020"/>
      <c r="L3" s="1020"/>
      <c r="M3" s="1002"/>
      <c r="N3" s="1006"/>
    </row>
    <row r="4" spans="1:14" ht="51.5" x14ac:dyDescent="0.25">
      <c r="A4" s="1022"/>
      <c r="B4" s="1023"/>
      <c r="C4" s="1024" t="s">
        <v>272</v>
      </c>
      <c r="D4" s="1025" t="s">
        <v>273</v>
      </c>
      <c r="E4" s="1024" t="s">
        <v>274</v>
      </c>
      <c r="F4" s="1025" t="s">
        <v>275</v>
      </c>
      <c r="G4" s="1025" t="s">
        <v>276</v>
      </c>
      <c r="H4" s="1025" t="s">
        <v>277</v>
      </c>
      <c r="I4" s="1025" t="s">
        <v>278</v>
      </c>
      <c r="J4" s="1025" t="s">
        <v>279</v>
      </c>
      <c r="K4" s="1024" t="s">
        <v>244</v>
      </c>
      <c r="L4" s="1026" t="s">
        <v>280</v>
      </c>
      <c r="M4" s="1002"/>
      <c r="N4" s="1006"/>
    </row>
    <row r="5" spans="1:14" x14ac:dyDescent="0.25">
      <c r="A5" s="1005"/>
      <c r="B5" s="1002"/>
      <c r="C5" s="1027"/>
      <c r="D5" s="1027"/>
      <c r="E5" s="1027"/>
      <c r="F5" s="1027"/>
      <c r="G5" s="1027"/>
      <c r="H5" s="1027"/>
      <c r="I5" s="1027"/>
      <c r="J5" s="1027"/>
      <c r="K5" s="1027"/>
      <c r="L5" s="1028"/>
      <c r="M5" s="1002"/>
      <c r="N5" s="1006"/>
    </row>
    <row r="6" spans="1:14" x14ac:dyDescent="0.25">
      <c r="A6" s="1029" t="s">
        <v>273</v>
      </c>
      <c r="B6" s="1002" t="s">
        <v>281</v>
      </c>
      <c r="C6" s="1087">
        <v>13.25</v>
      </c>
      <c r="D6" s="1027"/>
      <c r="E6" s="1030"/>
      <c r="F6" s="1030"/>
      <c r="G6" s="1030"/>
      <c r="H6" s="1030"/>
      <c r="I6" s="1031" t="s">
        <v>282</v>
      </c>
      <c r="J6" s="1031"/>
      <c r="K6" s="1032"/>
      <c r="L6" s="1033"/>
      <c r="M6" s="1002"/>
      <c r="N6" s="1006"/>
    </row>
    <row r="7" spans="1:14" x14ac:dyDescent="0.25">
      <c r="A7" s="1029"/>
      <c r="B7" s="1002" t="s">
        <v>283</v>
      </c>
      <c r="C7" s="1087">
        <v>21.25</v>
      </c>
      <c r="D7" s="1027"/>
      <c r="E7" s="1030"/>
      <c r="F7" s="1030"/>
      <c r="G7" s="1030"/>
      <c r="H7" s="1030"/>
      <c r="I7" s="1030" t="s">
        <v>284</v>
      </c>
      <c r="J7" s="1030"/>
      <c r="K7" s="1030"/>
      <c r="L7" s="1033"/>
      <c r="M7" s="1002"/>
      <c r="N7" s="1006"/>
    </row>
    <row r="8" spans="1:14" ht="13" x14ac:dyDescent="0.3">
      <c r="A8" s="1034" t="s">
        <v>274</v>
      </c>
      <c r="B8" s="1002" t="s">
        <v>281</v>
      </c>
      <c r="C8" s="1032">
        <v>13.25</v>
      </c>
      <c r="D8" s="1087">
        <v>13.25</v>
      </c>
      <c r="E8" s="1030"/>
      <c r="F8" s="1030"/>
      <c r="G8" s="1035"/>
      <c r="H8" s="1030"/>
      <c r="I8" s="1030"/>
      <c r="J8" s="1030"/>
      <c r="K8" s="1030"/>
      <c r="L8" s="1033"/>
      <c r="M8" s="1002"/>
      <c r="N8" s="1006"/>
    </row>
    <row r="9" spans="1:14" x14ac:dyDescent="0.25">
      <c r="A9" s="1034"/>
      <c r="B9" s="1002" t="s">
        <v>283</v>
      </c>
      <c r="C9" s="1032">
        <v>21.25</v>
      </c>
      <c r="D9" s="1087">
        <v>21.25</v>
      </c>
      <c r="E9" s="1030"/>
      <c r="F9" s="1030"/>
      <c r="G9" s="1030"/>
      <c r="H9" s="1030"/>
      <c r="I9" s="1030"/>
      <c r="J9" s="1030"/>
      <c r="K9" s="1030"/>
      <c r="L9" s="1033"/>
      <c r="M9" s="1002"/>
      <c r="N9" s="1006"/>
    </row>
    <row r="10" spans="1:14" x14ac:dyDescent="0.25">
      <c r="A10" s="1029" t="s">
        <v>285</v>
      </c>
      <c r="B10" s="1002" t="s">
        <v>281</v>
      </c>
      <c r="C10" s="1036">
        <v>19.25</v>
      </c>
      <c r="D10" s="1036">
        <v>19.25</v>
      </c>
      <c r="E10" s="1091">
        <v>16</v>
      </c>
      <c r="F10" s="1030"/>
      <c r="G10" s="1030"/>
      <c r="H10" s="1030"/>
      <c r="I10" s="1030"/>
      <c r="J10" s="1030"/>
      <c r="K10" s="1030"/>
      <c r="L10" s="1033"/>
      <c r="M10" s="1002"/>
      <c r="N10" s="1006"/>
    </row>
    <row r="11" spans="1:14" x14ac:dyDescent="0.25">
      <c r="A11" s="1029"/>
      <c r="B11" s="1002" t="s">
        <v>283</v>
      </c>
      <c r="C11" s="1036">
        <v>27.75</v>
      </c>
      <c r="D11" s="1036">
        <v>27.75</v>
      </c>
      <c r="E11" s="1091">
        <v>23.75</v>
      </c>
      <c r="F11" s="1030"/>
      <c r="G11" s="1030"/>
      <c r="H11" s="1030"/>
      <c r="I11" s="1030"/>
      <c r="J11" s="1030"/>
      <c r="K11" s="1030"/>
      <c r="L11" s="1033"/>
      <c r="M11" s="1002"/>
      <c r="N11" s="1006"/>
    </row>
    <row r="12" spans="1:14" x14ac:dyDescent="0.25">
      <c r="A12" s="1029" t="s">
        <v>286</v>
      </c>
      <c r="B12" s="1002" t="s">
        <v>281</v>
      </c>
      <c r="C12" s="1036">
        <v>19.25</v>
      </c>
      <c r="D12" s="1036">
        <v>19.25</v>
      </c>
      <c r="E12" s="1036">
        <v>19.25</v>
      </c>
      <c r="F12" s="1091">
        <v>16</v>
      </c>
      <c r="G12" s="1030"/>
      <c r="H12" s="1030"/>
      <c r="I12" s="1030"/>
      <c r="J12" s="1030"/>
      <c r="K12" s="1030"/>
      <c r="L12" s="1033"/>
      <c r="M12" s="1002"/>
      <c r="N12" s="1006"/>
    </row>
    <row r="13" spans="1:14" x14ac:dyDescent="0.25">
      <c r="A13" s="1029"/>
      <c r="B13" s="1002" t="s">
        <v>283</v>
      </c>
      <c r="C13" s="1036">
        <v>27.75</v>
      </c>
      <c r="D13" s="1036">
        <v>27.75</v>
      </c>
      <c r="E13" s="1036">
        <v>27.75</v>
      </c>
      <c r="F13" s="1091">
        <v>23.75</v>
      </c>
      <c r="G13" s="1030"/>
      <c r="H13" s="1030"/>
      <c r="I13" s="1030"/>
      <c r="J13" s="1030"/>
      <c r="K13" s="1030"/>
      <c r="L13" s="1033"/>
      <c r="M13" s="1002"/>
      <c r="N13" s="1006"/>
    </row>
    <row r="14" spans="1:14" x14ac:dyDescent="0.25">
      <c r="A14" s="1029" t="s">
        <v>277</v>
      </c>
      <c r="B14" s="1002" t="s">
        <v>281</v>
      </c>
      <c r="C14" s="1086">
        <v>22.25</v>
      </c>
      <c r="D14" s="1086">
        <v>22.25</v>
      </c>
      <c r="E14" s="1086">
        <v>22.25</v>
      </c>
      <c r="F14" s="1086">
        <v>22.25</v>
      </c>
      <c r="G14" s="1086">
        <v>22.25</v>
      </c>
      <c r="H14" s="1030"/>
      <c r="I14" s="1030"/>
      <c r="J14" s="1030"/>
      <c r="K14" s="1030"/>
      <c r="L14" s="1033"/>
      <c r="M14" s="1002"/>
      <c r="N14" s="1006"/>
    </row>
    <row r="15" spans="1:14" x14ac:dyDescent="0.25">
      <c r="A15" s="1029"/>
      <c r="B15" s="1002" t="s">
        <v>283</v>
      </c>
      <c r="C15" s="1086">
        <v>35.75</v>
      </c>
      <c r="D15" s="1086">
        <v>35.75</v>
      </c>
      <c r="E15" s="1086">
        <v>35.75</v>
      </c>
      <c r="F15" s="1086">
        <v>35.75</v>
      </c>
      <c r="G15" s="1086">
        <v>35.75</v>
      </c>
      <c r="H15" s="1030"/>
      <c r="I15" s="1030"/>
      <c r="J15" s="1030"/>
      <c r="K15" s="1030"/>
      <c r="L15" s="1033"/>
      <c r="M15" s="1002"/>
      <c r="N15" s="1006"/>
    </row>
    <row r="16" spans="1:14" x14ac:dyDescent="0.25">
      <c r="A16" s="1029" t="s">
        <v>278</v>
      </c>
      <c r="B16" s="1002" t="s">
        <v>281</v>
      </c>
      <c r="C16" s="1086">
        <v>22.25</v>
      </c>
      <c r="D16" s="1086">
        <v>22.25</v>
      </c>
      <c r="E16" s="1086">
        <v>22.25</v>
      </c>
      <c r="F16" s="1086">
        <v>22.25</v>
      </c>
      <c r="G16" s="1086">
        <v>22.25</v>
      </c>
      <c r="H16" s="1091">
        <v>16</v>
      </c>
      <c r="I16" s="1030"/>
      <c r="J16" s="1030"/>
      <c r="K16" s="1030"/>
      <c r="L16" s="1033"/>
      <c r="M16" s="1002"/>
      <c r="N16" s="1006"/>
    </row>
    <row r="17" spans="1:14" x14ac:dyDescent="0.25">
      <c r="A17" s="1029"/>
      <c r="B17" s="1002" t="s">
        <v>283</v>
      </c>
      <c r="C17" s="1086">
        <v>35.75</v>
      </c>
      <c r="D17" s="1086">
        <v>35.75</v>
      </c>
      <c r="E17" s="1086">
        <v>35.75</v>
      </c>
      <c r="F17" s="1086">
        <v>35.75</v>
      </c>
      <c r="G17" s="1086">
        <v>35.75</v>
      </c>
      <c r="H17" s="1091">
        <v>23.75</v>
      </c>
      <c r="I17" s="1030"/>
      <c r="J17" s="1030"/>
      <c r="K17" s="1030"/>
      <c r="L17" s="1033"/>
      <c r="M17" s="1002"/>
      <c r="N17" s="1006"/>
    </row>
    <row r="18" spans="1:14" ht="13" x14ac:dyDescent="0.3">
      <c r="A18" s="1029" t="s">
        <v>279</v>
      </c>
      <c r="B18" s="1002" t="s">
        <v>281</v>
      </c>
      <c r="C18" s="1086">
        <v>22.25</v>
      </c>
      <c r="D18" s="1086">
        <v>22.25</v>
      </c>
      <c r="E18" s="1086">
        <v>22.25</v>
      </c>
      <c r="F18" s="1086">
        <v>22.25</v>
      </c>
      <c r="G18" s="1086">
        <v>22.25</v>
      </c>
      <c r="H18" s="1091">
        <v>16</v>
      </c>
      <c r="I18" s="1091">
        <v>16</v>
      </c>
      <c r="J18" s="1030"/>
      <c r="K18" s="1030"/>
      <c r="L18" s="1033"/>
      <c r="M18" s="1002"/>
      <c r="N18" s="1037"/>
    </row>
    <row r="19" spans="1:14" x14ac:dyDescent="0.25">
      <c r="A19" s="1029"/>
      <c r="B19" s="1002" t="s">
        <v>283</v>
      </c>
      <c r="C19" s="1086">
        <v>35.75</v>
      </c>
      <c r="D19" s="1086">
        <v>35.75</v>
      </c>
      <c r="E19" s="1086">
        <v>35.75</v>
      </c>
      <c r="F19" s="1086">
        <v>35.75</v>
      </c>
      <c r="G19" s="1086">
        <v>35.75</v>
      </c>
      <c r="H19" s="1091">
        <v>23.75</v>
      </c>
      <c r="I19" s="1091">
        <v>23.75</v>
      </c>
      <c r="J19" s="1030"/>
      <c r="K19" s="1030"/>
      <c r="L19" s="1033"/>
      <c r="M19" s="1002"/>
      <c r="N19" s="1006"/>
    </row>
    <row r="20" spans="1:14" x14ac:dyDescent="0.25">
      <c r="A20" s="1038" t="s">
        <v>244</v>
      </c>
      <c r="B20" s="1002" t="s">
        <v>281</v>
      </c>
      <c r="C20" s="1099">
        <v>22.25</v>
      </c>
      <c r="D20" s="1086">
        <v>22.25</v>
      </c>
      <c r="E20" s="1099">
        <v>22.25</v>
      </c>
      <c r="F20" s="1086">
        <v>22.25</v>
      </c>
      <c r="G20" s="1086">
        <v>22.25</v>
      </c>
      <c r="H20" s="1091">
        <v>16</v>
      </c>
      <c r="I20" s="1091">
        <v>16</v>
      </c>
      <c r="J20" s="1091">
        <v>16</v>
      </c>
      <c r="K20" s="1030"/>
      <c r="L20" s="1033"/>
      <c r="M20" s="1002"/>
      <c r="N20" s="1006"/>
    </row>
    <row r="21" spans="1:14" x14ac:dyDescent="0.25">
      <c r="A21" s="1034"/>
      <c r="B21" s="1002" t="s">
        <v>283</v>
      </c>
      <c r="C21" s="1099">
        <v>35.75</v>
      </c>
      <c r="D21" s="1086">
        <v>35.75</v>
      </c>
      <c r="E21" s="1099">
        <v>35.75</v>
      </c>
      <c r="F21" s="1086">
        <v>35.75</v>
      </c>
      <c r="G21" s="1086">
        <v>35.75</v>
      </c>
      <c r="H21" s="1091">
        <v>23.75</v>
      </c>
      <c r="I21" s="1091">
        <v>23.75</v>
      </c>
      <c r="J21" s="1091">
        <v>23.75</v>
      </c>
      <c r="K21" s="1030"/>
      <c r="L21" s="1033"/>
      <c r="M21" s="1002"/>
      <c r="N21" s="1006"/>
    </row>
    <row r="22" spans="1:14" x14ac:dyDescent="0.25">
      <c r="A22" s="1029" t="s">
        <v>287</v>
      </c>
      <c r="B22" s="1002" t="s">
        <v>281</v>
      </c>
      <c r="C22" s="1039">
        <v>24</v>
      </c>
      <c r="D22" s="1039">
        <v>24</v>
      </c>
      <c r="E22" s="1039">
        <v>24</v>
      </c>
      <c r="F22" s="1039">
        <v>24</v>
      </c>
      <c r="G22" s="1039">
        <v>24</v>
      </c>
      <c r="H22" s="1036">
        <v>19.25</v>
      </c>
      <c r="I22" s="1091">
        <v>16</v>
      </c>
      <c r="J22" s="1091">
        <v>16</v>
      </c>
      <c r="K22" s="1087">
        <v>13.25</v>
      </c>
      <c r="L22" s="1033"/>
      <c r="M22" s="1002"/>
      <c r="N22" s="1006"/>
    </row>
    <row r="23" spans="1:14" x14ac:dyDescent="0.25">
      <c r="A23" s="1029"/>
      <c r="B23" s="1002" t="s">
        <v>283</v>
      </c>
      <c r="C23" s="1039">
        <v>40.5</v>
      </c>
      <c r="D23" s="1039">
        <v>40.5</v>
      </c>
      <c r="E23" s="1039">
        <v>40.5</v>
      </c>
      <c r="F23" s="1039">
        <v>40.5</v>
      </c>
      <c r="G23" s="1039">
        <v>40.5</v>
      </c>
      <c r="H23" s="1036">
        <v>27.75</v>
      </c>
      <c r="I23" s="1091">
        <v>23.75</v>
      </c>
      <c r="J23" s="1091">
        <v>23.75</v>
      </c>
      <c r="K23" s="1087">
        <v>21.25</v>
      </c>
      <c r="L23" s="1033"/>
      <c r="M23" s="1002"/>
      <c r="N23" s="1006"/>
    </row>
    <row r="24" spans="1:14" x14ac:dyDescent="0.25">
      <c r="A24" s="1034" t="s">
        <v>245</v>
      </c>
      <c r="B24" s="1002" t="s">
        <v>281</v>
      </c>
      <c r="C24" s="1099">
        <v>24</v>
      </c>
      <c r="D24" s="1039">
        <v>24</v>
      </c>
      <c r="E24" s="1099">
        <v>24</v>
      </c>
      <c r="F24" s="1039">
        <v>24</v>
      </c>
      <c r="G24" s="1039">
        <v>24</v>
      </c>
      <c r="H24" s="1036">
        <v>19.25</v>
      </c>
      <c r="I24" s="1091">
        <v>16</v>
      </c>
      <c r="J24" s="1091">
        <v>16</v>
      </c>
      <c r="K24" s="1099">
        <v>8.5</v>
      </c>
      <c r="L24" s="1087">
        <v>13.25</v>
      </c>
      <c r="M24" s="1002"/>
      <c r="N24" s="1041"/>
    </row>
    <row r="25" spans="1:14" x14ac:dyDescent="0.25">
      <c r="A25" s="1042"/>
      <c r="B25" s="1043" t="s">
        <v>283</v>
      </c>
      <c r="C25" s="1100">
        <v>40.5</v>
      </c>
      <c r="D25" s="1044">
        <v>40.5</v>
      </c>
      <c r="E25" s="1100">
        <v>40.5</v>
      </c>
      <c r="F25" s="1044">
        <v>40.5</v>
      </c>
      <c r="G25" s="1044">
        <v>40.5</v>
      </c>
      <c r="H25" s="1045">
        <v>27.75</v>
      </c>
      <c r="I25" s="1092">
        <v>23.75</v>
      </c>
      <c r="J25" s="1092">
        <v>23.75</v>
      </c>
      <c r="K25" s="1100">
        <v>12.75</v>
      </c>
      <c r="L25" s="1088">
        <v>21.25</v>
      </c>
      <c r="M25" s="1002"/>
      <c r="N25" s="1041"/>
    </row>
    <row r="26" spans="1:14" ht="32.5" x14ac:dyDescent="0.65">
      <c r="A26" s="1029"/>
      <c r="B26" s="1008"/>
      <c r="C26" s="1046"/>
      <c r="D26" s="1046"/>
      <c r="E26" s="1047"/>
      <c r="F26" s="1048" t="s">
        <v>288</v>
      </c>
      <c r="G26" s="1048"/>
      <c r="H26" s="1049" t="s">
        <v>289</v>
      </c>
      <c r="I26" s="1049" t="s">
        <v>290</v>
      </c>
      <c r="J26" s="1050"/>
      <c r="K26" s="1051"/>
      <c r="L26" s="1052"/>
      <c r="M26" s="1002"/>
      <c r="N26" s="1041"/>
    </row>
    <row r="27" spans="1:14" ht="13" x14ac:dyDescent="0.3">
      <c r="A27" s="1053" t="s">
        <v>291</v>
      </c>
      <c r="B27" s="1054"/>
      <c r="C27" s="1055"/>
      <c r="D27" s="1055"/>
      <c r="E27" s="1027"/>
      <c r="F27" s="1008" t="s">
        <v>292</v>
      </c>
      <c r="G27" s="1008"/>
      <c r="H27" s="1093">
        <v>162</v>
      </c>
      <c r="I27" s="1094">
        <v>16.2</v>
      </c>
      <c r="J27" s="1056"/>
      <c r="K27" s="1051"/>
      <c r="L27" s="1052"/>
      <c r="M27" s="1002"/>
      <c r="N27" s="1041"/>
    </row>
    <row r="28" spans="1:14" ht="13" x14ac:dyDescent="0.3">
      <c r="A28" s="1053"/>
      <c r="B28" s="1054" t="s">
        <v>293</v>
      </c>
      <c r="C28" s="1055"/>
      <c r="D28" s="1055"/>
      <c r="E28" s="1027"/>
      <c r="F28" s="1008" t="s">
        <v>294</v>
      </c>
      <c r="G28" s="1008"/>
      <c r="H28" s="1095">
        <v>143</v>
      </c>
      <c r="I28" s="1096">
        <v>14.3</v>
      </c>
      <c r="J28" s="1056"/>
      <c r="K28" s="1051"/>
      <c r="L28" s="1052"/>
      <c r="M28" s="1002"/>
      <c r="N28" s="1041"/>
    </row>
    <row r="29" spans="1:14" ht="15.5" x14ac:dyDescent="0.35">
      <c r="A29" s="1057"/>
      <c r="B29" s="1058"/>
      <c r="C29" s="1059"/>
      <c r="D29" s="1059"/>
      <c r="E29" s="1059"/>
      <c r="F29" s="1060" t="s">
        <v>295</v>
      </c>
      <c r="G29" s="1058"/>
      <c r="H29" s="1090">
        <v>51</v>
      </c>
      <c r="I29" s="1061">
        <v>5.0999999999999996</v>
      </c>
      <c r="J29" s="1059"/>
      <c r="K29" s="1062"/>
      <c r="L29" s="1063"/>
      <c r="M29" s="1002"/>
      <c r="N29" s="1041"/>
    </row>
    <row r="30" spans="1:14" ht="18" x14ac:dyDescent="0.4">
      <c r="A30" s="1064" t="s">
        <v>296</v>
      </c>
      <c r="B30" s="1065"/>
      <c r="C30" s="1066"/>
      <c r="D30" s="1067"/>
      <c r="E30" s="1068"/>
      <c r="F30" s="1068"/>
      <c r="G30" s="1068"/>
      <c r="H30" s="1068"/>
      <c r="I30" s="1068"/>
      <c r="J30" s="1068"/>
      <c r="K30" s="1068"/>
      <c r="L30" s="1069"/>
      <c r="M30" s="1002"/>
      <c r="N30" s="1041"/>
    </row>
    <row r="31" spans="1:14" ht="18" x14ac:dyDescent="0.4">
      <c r="A31" s="1014" t="s">
        <v>270</v>
      </c>
      <c r="B31" s="1015"/>
      <c r="C31" s="1016"/>
      <c r="D31" s="1016"/>
      <c r="E31" s="1016"/>
      <c r="F31" s="1016"/>
      <c r="G31" s="1016"/>
      <c r="H31" s="1016"/>
      <c r="I31" s="1016"/>
      <c r="J31" s="1016"/>
      <c r="K31" s="1016"/>
      <c r="L31" s="1016"/>
      <c r="M31" s="1017"/>
      <c r="N31" s="1070"/>
    </row>
    <row r="32" spans="1:14" ht="13" x14ac:dyDescent="0.3">
      <c r="A32" s="1019" t="s">
        <v>271</v>
      </c>
      <c r="B32" s="1020"/>
      <c r="C32" s="1020"/>
      <c r="D32" s="1020"/>
      <c r="E32" s="1020"/>
      <c r="F32" s="1021"/>
      <c r="G32" s="1020"/>
      <c r="H32" s="1020"/>
      <c r="I32" s="1021"/>
      <c r="J32" s="1020"/>
      <c r="K32" s="1020"/>
      <c r="L32" s="1071"/>
      <c r="M32" s="1001"/>
      <c r="N32" s="1041"/>
    </row>
    <row r="33" spans="1:14" ht="40" x14ac:dyDescent="0.25">
      <c r="A33" s="1072"/>
      <c r="B33" s="1073"/>
      <c r="C33" s="1074" t="s">
        <v>272</v>
      </c>
      <c r="D33" s="1074" t="s">
        <v>274</v>
      </c>
      <c r="E33" s="1074" t="s">
        <v>244</v>
      </c>
      <c r="F33" s="1074"/>
      <c r="G33" s="1074"/>
      <c r="H33" s="1074"/>
      <c r="I33" s="1074"/>
      <c r="J33" s="1074"/>
      <c r="K33" s="1074"/>
      <c r="L33" s="1075"/>
      <c r="M33" s="1001"/>
      <c r="N33" s="1041"/>
    </row>
    <row r="34" spans="1:14" ht="13" x14ac:dyDescent="0.3">
      <c r="A34" s="1005"/>
      <c r="B34" s="1002"/>
      <c r="C34" s="1027"/>
      <c r="D34" s="1027"/>
      <c r="E34" s="1027"/>
      <c r="F34" s="1076" t="s">
        <v>288</v>
      </c>
      <c r="G34" s="1076"/>
      <c r="H34" s="1049" t="s">
        <v>289</v>
      </c>
      <c r="I34" s="1049" t="s">
        <v>290</v>
      </c>
      <c r="J34" s="1046"/>
      <c r="K34" s="1051"/>
      <c r="L34" s="1052"/>
      <c r="M34" s="1002"/>
      <c r="N34" s="1077"/>
    </row>
    <row r="35" spans="1:14" x14ac:dyDescent="0.25">
      <c r="A35" s="1005" t="s">
        <v>244</v>
      </c>
      <c r="B35" s="1002" t="s">
        <v>281</v>
      </c>
      <c r="C35" s="1078">
        <v>34.5</v>
      </c>
      <c r="D35" s="1078">
        <v>34.5</v>
      </c>
      <c r="E35" s="1032" t="s">
        <v>297</v>
      </c>
      <c r="F35" s="1008" t="s">
        <v>292</v>
      </c>
      <c r="G35" s="1008"/>
      <c r="H35" s="1040">
        <v>244</v>
      </c>
      <c r="I35" s="1040">
        <v>24.4</v>
      </c>
      <c r="J35" s="1032"/>
      <c r="K35" s="1032"/>
      <c r="L35" s="1079"/>
      <c r="M35" s="1002"/>
      <c r="N35" s="1006"/>
    </row>
    <row r="36" spans="1:14" x14ac:dyDescent="0.25">
      <c r="A36" s="1005"/>
      <c r="B36" s="1002" t="s">
        <v>283</v>
      </c>
      <c r="C36" s="1078">
        <v>58</v>
      </c>
      <c r="D36" s="1078">
        <v>58</v>
      </c>
      <c r="E36" s="1032" t="s">
        <v>297</v>
      </c>
      <c r="F36" s="1008" t="s">
        <v>294</v>
      </c>
      <c r="G36" s="1008"/>
      <c r="H36" s="1097">
        <v>232</v>
      </c>
      <c r="I36" s="1097">
        <v>23.2</v>
      </c>
      <c r="J36" s="1032"/>
      <c r="K36" s="1032"/>
      <c r="L36" s="1079"/>
      <c r="M36" s="1002"/>
      <c r="N36" s="1006"/>
    </row>
    <row r="37" spans="1:14" x14ac:dyDescent="0.25">
      <c r="A37" s="1005" t="s">
        <v>245</v>
      </c>
      <c r="B37" s="1002" t="s">
        <v>281</v>
      </c>
      <c r="C37" s="1089">
        <v>37</v>
      </c>
      <c r="D37" s="1089">
        <v>37</v>
      </c>
      <c r="E37" s="1098">
        <v>16</v>
      </c>
      <c r="F37" s="1032" t="s">
        <v>295</v>
      </c>
      <c r="G37" s="1032"/>
      <c r="H37" s="1080">
        <v>108</v>
      </c>
      <c r="I37" s="1081">
        <v>10.8</v>
      </c>
      <c r="J37" s="1027"/>
      <c r="K37" s="1032"/>
      <c r="L37" s="1079"/>
      <c r="M37" s="1002"/>
      <c r="N37" s="1006"/>
    </row>
    <row r="38" spans="1:14" ht="13" thickBot="1" x14ac:dyDescent="0.3">
      <c r="A38" s="1082"/>
      <c r="B38" s="1007" t="s">
        <v>283</v>
      </c>
      <c r="C38" s="1089">
        <v>61</v>
      </c>
      <c r="D38" s="1089">
        <v>61</v>
      </c>
      <c r="E38" s="1098">
        <v>27</v>
      </c>
      <c r="F38" s="1083"/>
      <c r="G38" s="1083"/>
      <c r="H38" s="1083"/>
      <c r="I38" s="1083"/>
      <c r="J38" s="1083"/>
      <c r="K38" s="1083"/>
      <c r="L38" s="1084"/>
      <c r="M38" s="1007"/>
      <c r="N38" s="1085"/>
    </row>
  </sheetData>
  <printOptions gridLines="1"/>
  <pageMargins left="0.5" right="0.25" top="0.5" bottom="0.5" header="0.3" footer="0.3"/>
  <pageSetup orientation="portrait"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0"/>
  <sheetViews>
    <sheetView workbookViewId="0"/>
  </sheetViews>
  <sheetFormatPr defaultColWidth="8.81640625" defaultRowHeight="12.5" x14ac:dyDescent="0.25"/>
  <cols>
    <col min="1" max="34" width="5.1796875" style="704" customWidth="1"/>
    <col min="35" max="16384" width="8.81640625" style="704"/>
  </cols>
  <sheetData>
    <row r="1" spans="2:34" ht="13" x14ac:dyDescent="0.25">
      <c r="B1" s="824"/>
      <c r="C1" s="824"/>
      <c r="D1" s="824"/>
      <c r="E1" s="824"/>
      <c r="F1" s="824"/>
      <c r="G1" s="850"/>
      <c r="H1" s="850"/>
      <c r="I1" s="823"/>
      <c r="J1" s="850"/>
      <c r="K1" s="850"/>
      <c r="L1" s="824"/>
      <c r="M1" s="824"/>
      <c r="N1" s="824"/>
      <c r="O1" s="824"/>
      <c r="P1" s="824"/>
      <c r="Q1" s="824"/>
      <c r="R1" s="824"/>
      <c r="S1" s="824"/>
      <c r="T1" s="824"/>
      <c r="U1" s="824"/>
      <c r="V1" s="824"/>
      <c r="W1" s="824"/>
      <c r="X1" s="824"/>
      <c r="Y1" s="824"/>
      <c r="Z1" s="824"/>
      <c r="AA1" s="824"/>
      <c r="AB1" s="824"/>
      <c r="AC1" s="824"/>
      <c r="AD1" s="824"/>
      <c r="AE1" s="824"/>
      <c r="AF1" s="824"/>
      <c r="AG1" s="824"/>
      <c r="AH1" s="824"/>
    </row>
    <row r="2" spans="2:34" x14ac:dyDescent="0.25">
      <c r="B2" s="825"/>
      <c r="C2" s="850" t="s">
        <v>337</v>
      </c>
      <c r="D2" s="850"/>
      <c r="E2" s="850"/>
      <c r="F2" s="824"/>
      <c r="G2" s="824"/>
      <c r="H2" s="824"/>
      <c r="I2" s="824"/>
      <c r="J2" s="826"/>
      <c r="K2" s="850" t="s">
        <v>338</v>
      </c>
      <c r="L2" s="824"/>
      <c r="M2" s="824"/>
      <c r="N2" s="824"/>
      <c r="O2" s="824"/>
      <c r="P2" s="824"/>
      <c r="Q2" s="824"/>
      <c r="R2" s="824"/>
      <c r="S2" s="827"/>
      <c r="T2" s="850" t="s">
        <v>335</v>
      </c>
      <c r="U2" s="824"/>
      <c r="V2" s="824"/>
      <c r="W2" s="824"/>
      <c r="X2" s="828" t="s">
        <v>739</v>
      </c>
      <c r="Y2" s="828"/>
      <c r="Z2" s="828"/>
      <c r="AA2" s="828"/>
      <c r="AB2" s="828"/>
      <c r="AC2" s="824"/>
      <c r="AD2" s="824"/>
      <c r="AE2" s="824"/>
      <c r="AF2" s="824"/>
      <c r="AG2" s="824"/>
      <c r="AH2" s="824"/>
    </row>
    <row r="4" spans="2:34" ht="18" x14ac:dyDescent="0.4">
      <c r="B4" s="805" t="s">
        <v>740</v>
      </c>
      <c r="C4" s="806"/>
      <c r="D4" s="806"/>
      <c r="E4" s="806"/>
      <c r="F4" s="806"/>
      <c r="G4" s="806"/>
      <c r="H4" s="806"/>
      <c r="I4" s="807"/>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row>
    <row r="5" spans="2:34" x14ac:dyDescent="0.25">
      <c r="B5" s="1264">
        <v>2020</v>
      </c>
      <c r="C5" s="1264"/>
      <c r="D5" s="1264"/>
      <c r="E5" s="1264"/>
      <c r="F5" s="1264"/>
      <c r="G5" s="1264"/>
      <c r="H5" s="1264"/>
      <c r="I5" s="1264"/>
      <c r="J5" s="1264"/>
      <c r="K5" s="1264"/>
      <c r="L5" s="1264"/>
      <c r="M5" s="1264"/>
      <c r="N5" s="1264"/>
      <c r="O5" s="1264"/>
      <c r="P5" s="1264"/>
      <c r="Q5" s="1264"/>
      <c r="R5" s="1264"/>
      <c r="S5" s="1264"/>
      <c r="T5" s="1264"/>
      <c r="U5" s="1264"/>
      <c r="V5" s="1264"/>
      <c r="W5" s="1264"/>
      <c r="X5" s="1264"/>
      <c r="Y5" s="1264"/>
      <c r="Z5" s="1264"/>
      <c r="AA5" s="1264"/>
      <c r="AB5" s="1264"/>
      <c r="AC5" s="1264"/>
      <c r="AD5" s="1264"/>
      <c r="AE5" s="1264"/>
      <c r="AF5" s="1264"/>
      <c r="AG5" s="1264"/>
      <c r="AH5" s="1264"/>
    </row>
    <row r="6" spans="2:34" ht="13" thickBot="1" x14ac:dyDescent="0.3">
      <c r="B6" s="1265"/>
      <c r="C6" s="1265"/>
      <c r="D6" s="1265"/>
      <c r="E6" s="1265"/>
      <c r="F6" s="1265"/>
      <c r="G6" s="1265"/>
      <c r="H6" s="1265"/>
      <c r="I6" s="1265"/>
      <c r="J6" s="1265"/>
      <c r="K6" s="1265"/>
      <c r="L6" s="1265"/>
      <c r="M6" s="1265"/>
      <c r="N6" s="1265"/>
      <c r="O6" s="1265"/>
      <c r="P6" s="1265"/>
      <c r="Q6" s="1265"/>
      <c r="R6" s="1265"/>
      <c r="S6" s="1265"/>
      <c r="T6" s="1265"/>
      <c r="U6" s="1265"/>
      <c r="V6" s="1265"/>
      <c r="W6" s="1265"/>
      <c r="X6" s="1265"/>
      <c r="Y6" s="1265"/>
      <c r="Z6" s="1265"/>
      <c r="AA6" s="1265"/>
      <c r="AB6" s="1265"/>
      <c r="AC6" s="1265"/>
      <c r="AD6" s="1265"/>
      <c r="AE6" s="1265"/>
      <c r="AF6" s="1265"/>
      <c r="AG6" s="1265"/>
      <c r="AH6" s="1265"/>
    </row>
    <row r="7" spans="2:34" ht="13.5" thickTop="1" x14ac:dyDescent="0.3">
      <c r="B7" s="829"/>
      <c r="C7" s="830"/>
      <c r="D7" s="831">
        <v>18</v>
      </c>
      <c r="E7" s="830" t="s">
        <v>339</v>
      </c>
      <c r="F7" s="830" t="s">
        <v>741</v>
      </c>
      <c r="G7" s="830"/>
      <c r="H7" s="830"/>
      <c r="I7" s="830"/>
      <c r="J7" s="830"/>
      <c r="K7" s="830"/>
      <c r="L7" s="831">
        <v>21</v>
      </c>
      <c r="M7" s="830" t="s">
        <v>340</v>
      </c>
      <c r="N7" s="830" t="s">
        <v>741</v>
      </c>
      <c r="O7" s="830"/>
      <c r="P7" s="830"/>
      <c r="Q7" s="830"/>
      <c r="R7" s="830"/>
      <c r="S7" s="830"/>
      <c r="T7" s="831">
        <v>31</v>
      </c>
      <c r="U7" s="830" t="s">
        <v>339</v>
      </c>
      <c r="V7" s="819" t="s">
        <v>742</v>
      </c>
      <c r="W7" s="831">
        <v>31</v>
      </c>
      <c r="X7" s="830" t="s">
        <v>341</v>
      </c>
      <c r="Y7" s="819" t="s">
        <v>742</v>
      </c>
      <c r="Z7" s="830"/>
      <c r="AA7" s="830"/>
      <c r="AB7" s="831">
        <v>16</v>
      </c>
      <c r="AC7" s="830" t="s">
        <v>339</v>
      </c>
      <c r="AD7" s="830" t="s">
        <v>741</v>
      </c>
      <c r="AE7" s="831">
        <v>15</v>
      </c>
      <c r="AF7" s="830" t="s">
        <v>341</v>
      </c>
      <c r="AG7" s="819" t="s">
        <v>742</v>
      </c>
      <c r="AH7" s="832"/>
    </row>
    <row r="8" spans="2:34" ht="13" x14ac:dyDescent="0.3">
      <c r="B8" s="833"/>
      <c r="C8" s="1266">
        <v>43831</v>
      </c>
      <c r="D8" s="1267"/>
      <c r="E8" s="1267"/>
      <c r="F8" s="1267"/>
      <c r="G8" s="1267"/>
      <c r="H8" s="1267"/>
      <c r="I8" s="1267"/>
      <c r="J8" s="834"/>
      <c r="K8" s="1266">
        <v>43922</v>
      </c>
      <c r="L8" s="1267"/>
      <c r="M8" s="1267"/>
      <c r="N8" s="1267"/>
      <c r="O8" s="1267"/>
      <c r="P8" s="1267"/>
      <c r="Q8" s="1267"/>
      <c r="R8" s="834"/>
      <c r="S8" s="1266">
        <v>44013</v>
      </c>
      <c r="T8" s="1267"/>
      <c r="U8" s="1267"/>
      <c r="V8" s="1267"/>
      <c r="W8" s="1267"/>
      <c r="X8" s="1267"/>
      <c r="Y8" s="1267"/>
      <c r="Z8" s="834"/>
      <c r="AA8" s="1266">
        <v>44105</v>
      </c>
      <c r="AB8" s="1267"/>
      <c r="AC8" s="1267"/>
      <c r="AD8" s="1267"/>
      <c r="AE8" s="1267"/>
      <c r="AF8" s="1267"/>
      <c r="AG8" s="1267"/>
      <c r="AH8" s="835"/>
    </row>
    <row r="9" spans="2:34" x14ac:dyDescent="0.25">
      <c r="B9" s="833"/>
      <c r="C9" s="836" t="s">
        <v>342</v>
      </c>
      <c r="D9" s="837" t="s">
        <v>343</v>
      </c>
      <c r="E9" s="837" t="s">
        <v>344</v>
      </c>
      <c r="F9" s="837" t="s">
        <v>345</v>
      </c>
      <c r="G9" s="837" t="s">
        <v>344</v>
      </c>
      <c r="H9" s="837" t="s">
        <v>346</v>
      </c>
      <c r="I9" s="838" t="s">
        <v>342</v>
      </c>
      <c r="J9" s="834"/>
      <c r="K9" s="836" t="s">
        <v>342</v>
      </c>
      <c r="L9" s="837" t="s">
        <v>343</v>
      </c>
      <c r="M9" s="837" t="s">
        <v>344</v>
      </c>
      <c r="N9" s="837" t="s">
        <v>345</v>
      </c>
      <c r="O9" s="837" t="s">
        <v>344</v>
      </c>
      <c r="P9" s="837" t="s">
        <v>346</v>
      </c>
      <c r="Q9" s="838" t="s">
        <v>342</v>
      </c>
      <c r="R9" s="834"/>
      <c r="S9" s="836" t="s">
        <v>342</v>
      </c>
      <c r="T9" s="837" t="s">
        <v>343</v>
      </c>
      <c r="U9" s="837" t="s">
        <v>344</v>
      </c>
      <c r="V9" s="837" t="s">
        <v>345</v>
      </c>
      <c r="W9" s="837" t="s">
        <v>344</v>
      </c>
      <c r="X9" s="837" t="s">
        <v>346</v>
      </c>
      <c r="Y9" s="838" t="s">
        <v>342</v>
      </c>
      <c r="Z9" s="834"/>
      <c r="AA9" s="836" t="s">
        <v>342</v>
      </c>
      <c r="AB9" s="837" t="s">
        <v>343</v>
      </c>
      <c r="AC9" s="837" t="s">
        <v>344</v>
      </c>
      <c r="AD9" s="837" t="s">
        <v>345</v>
      </c>
      <c r="AE9" s="837" t="s">
        <v>344</v>
      </c>
      <c r="AF9" s="837" t="s">
        <v>346</v>
      </c>
      <c r="AG9" s="838" t="s">
        <v>342</v>
      </c>
      <c r="AH9" s="835"/>
    </row>
    <row r="10" spans="2:34" x14ac:dyDescent="0.25">
      <c r="B10" s="833"/>
      <c r="C10" s="808" t="s">
        <v>45</v>
      </c>
      <c r="D10" s="810"/>
      <c r="E10" s="808"/>
      <c r="F10" s="809">
        <v>1</v>
      </c>
      <c r="G10" s="808">
        <v>2</v>
      </c>
      <c r="H10" s="809">
        <v>3</v>
      </c>
      <c r="I10" s="808">
        <v>4</v>
      </c>
      <c r="J10" s="834"/>
      <c r="K10" s="810"/>
      <c r="L10" s="810"/>
      <c r="M10" s="810"/>
      <c r="N10" s="809">
        <v>1</v>
      </c>
      <c r="O10" s="810">
        <v>2</v>
      </c>
      <c r="P10" s="809">
        <v>3</v>
      </c>
      <c r="Q10" s="809">
        <v>4</v>
      </c>
      <c r="R10" s="834"/>
      <c r="S10" s="810"/>
      <c r="T10" s="810"/>
      <c r="U10" s="810"/>
      <c r="V10" s="811">
        <v>1</v>
      </c>
      <c r="W10" s="811">
        <v>2</v>
      </c>
      <c r="X10" s="811">
        <v>3</v>
      </c>
      <c r="Y10" s="811">
        <v>4</v>
      </c>
      <c r="Z10" s="834"/>
      <c r="AA10" s="810"/>
      <c r="AB10" s="810"/>
      <c r="AC10" s="810"/>
      <c r="AD10" s="810"/>
      <c r="AE10" s="812">
        <v>1</v>
      </c>
      <c r="AF10" s="812">
        <v>2</v>
      </c>
      <c r="AG10" s="812">
        <v>3</v>
      </c>
      <c r="AH10" s="835"/>
    </row>
    <row r="11" spans="2:34" x14ac:dyDescent="0.25">
      <c r="B11" s="833"/>
      <c r="C11" s="813">
        <v>5</v>
      </c>
      <c r="D11" s="814">
        <v>6</v>
      </c>
      <c r="E11" s="815">
        <v>7</v>
      </c>
      <c r="F11" s="814">
        <v>8</v>
      </c>
      <c r="G11" s="815">
        <v>9</v>
      </c>
      <c r="H11" s="814">
        <v>10</v>
      </c>
      <c r="I11" s="815">
        <v>11</v>
      </c>
      <c r="J11" s="834"/>
      <c r="K11" s="814">
        <v>5</v>
      </c>
      <c r="L11" s="814">
        <v>6</v>
      </c>
      <c r="M11" s="816">
        <v>7</v>
      </c>
      <c r="N11" s="814">
        <v>8</v>
      </c>
      <c r="O11" s="816">
        <v>9</v>
      </c>
      <c r="P11" s="814">
        <v>10</v>
      </c>
      <c r="Q11" s="814">
        <v>11</v>
      </c>
      <c r="R11" s="834"/>
      <c r="S11" s="817">
        <v>5</v>
      </c>
      <c r="T11" s="817">
        <v>6</v>
      </c>
      <c r="U11" s="817">
        <v>7</v>
      </c>
      <c r="V11" s="817">
        <v>8</v>
      </c>
      <c r="W11" s="817">
        <v>9</v>
      </c>
      <c r="X11" s="817">
        <v>10</v>
      </c>
      <c r="Y11" s="817">
        <v>11</v>
      </c>
      <c r="Z11" s="834"/>
      <c r="AA11" s="818">
        <v>4</v>
      </c>
      <c r="AB11" s="818">
        <v>5</v>
      </c>
      <c r="AC11" s="818">
        <v>6</v>
      </c>
      <c r="AD11" s="818">
        <v>7</v>
      </c>
      <c r="AE11" s="818">
        <v>8</v>
      </c>
      <c r="AF11" s="818">
        <v>9</v>
      </c>
      <c r="AG11" s="818">
        <v>10</v>
      </c>
      <c r="AH11" s="835"/>
    </row>
    <row r="12" spans="2:34" x14ac:dyDescent="0.25">
      <c r="B12" s="833"/>
      <c r="C12" s="813">
        <v>12</v>
      </c>
      <c r="D12" s="814">
        <v>13</v>
      </c>
      <c r="E12" s="815">
        <v>14</v>
      </c>
      <c r="F12" s="814">
        <v>15</v>
      </c>
      <c r="G12" s="815">
        <v>16</v>
      </c>
      <c r="H12" s="814">
        <v>17</v>
      </c>
      <c r="I12" s="815">
        <v>18</v>
      </c>
      <c r="J12" s="834"/>
      <c r="K12" s="814">
        <v>12</v>
      </c>
      <c r="L12" s="814">
        <v>13</v>
      </c>
      <c r="M12" s="816">
        <v>14</v>
      </c>
      <c r="N12" s="814">
        <v>15</v>
      </c>
      <c r="O12" s="816">
        <v>16</v>
      </c>
      <c r="P12" s="814">
        <v>17</v>
      </c>
      <c r="Q12" s="814">
        <v>18</v>
      </c>
      <c r="R12" s="834"/>
      <c r="S12" s="817">
        <v>12</v>
      </c>
      <c r="T12" s="817">
        <v>13</v>
      </c>
      <c r="U12" s="817">
        <v>14</v>
      </c>
      <c r="V12" s="817">
        <v>15</v>
      </c>
      <c r="W12" s="817">
        <v>16</v>
      </c>
      <c r="X12" s="817">
        <v>17</v>
      </c>
      <c r="Y12" s="817">
        <v>18</v>
      </c>
      <c r="Z12" s="834"/>
      <c r="AA12" s="818">
        <v>11</v>
      </c>
      <c r="AB12" s="818">
        <v>12</v>
      </c>
      <c r="AC12" s="818">
        <v>13</v>
      </c>
      <c r="AD12" s="818">
        <v>14</v>
      </c>
      <c r="AE12" s="818">
        <v>15</v>
      </c>
      <c r="AF12" s="814">
        <v>16</v>
      </c>
      <c r="AG12" s="814">
        <v>17</v>
      </c>
      <c r="AH12" s="835"/>
    </row>
    <row r="13" spans="2:34" x14ac:dyDescent="0.25">
      <c r="B13" s="833"/>
      <c r="C13" s="813">
        <v>19</v>
      </c>
      <c r="D13" s="814">
        <v>20</v>
      </c>
      <c r="E13" s="815">
        <v>21</v>
      </c>
      <c r="F13" s="814">
        <v>22</v>
      </c>
      <c r="G13" s="815">
        <v>23</v>
      </c>
      <c r="H13" s="814">
        <v>24</v>
      </c>
      <c r="I13" s="815">
        <v>25</v>
      </c>
      <c r="J13" s="834"/>
      <c r="K13" s="814">
        <v>19</v>
      </c>
      <c r="L13" s="814">
        <v>20</v>
      </c>
      <c r="M13" s="816">
        <v>21</v>
      </c>
      <c r="N13" s="814">
        <v>22</v>
      </c>
      <c r="O13" s="816">
        <v>23</v>
      </c>
      <c r="P13" s="814">
        <v>24</v>
      </c>
      <c r="Q13" s="814">
        <v>25</v>
      </c>
      <c r="R13" s="834"/>
      <c r="S13" s="817">
        <v>19</v>
      </c>
      <c r="T13" s="817">
        <v>20</v>
      </c>
      <c r="U13" s="817">
        <v>21</v>
      </c>
      <c r="V13" s="817">
        <v>22</v>
      </c>
      <c r="W13" s="817">
        <v>23</v>
      </c>
      <c r="X13" s="817">
        <v>24</v>
      </c>
      <c r="Y13" s="817">
        <v>25</v>
      </c>
      <c r="Z13" s="834"/>
      <c r="AA13" s="814">
        <v>18</v>
      </c>
      <c r="AB13" s="814">
        <v>19</v>
      </c>
      <c r="AC13" s="813">
        <v>20</v>
      </c>
      <c r="AD13" s="814">
        <v>21</v>
      </c>
      <c r="AE13" s="813">
        <v>22</v>
      </c>
      <c r="AF13" s="814">
        <v>23</v>
      </c>
      <c r="AG13" s="814">
        <v>24</v>
      </c>
      <c r="AH13" s="835"/>
    </row>
    <row r="14" spans="2:34" x14ac:dyDescent="0.25">
      <c r="B14" s="833"/>
      <c r="C14" s="813">
        <v>26</v>
      </c>
      <c r="D14" s="814">
        <v>27</v>
      </c>
      <c r="E14" s="815">
        <v>28</v>
      </c>
      <c r="F14" s="814">
        <v>29</v>
      </c>
      <c r="G14" s="815">
        <v>30</v>
      </c>
      <c r="H14" s="839">
        <v>31</v>
      </c>
      <c r="I14" s="815" t="s">
        <v>45</v>
      </c>
      <c r="J14" s="834"/>
      <c r="K14" s="814">
        <v>26</v>
      </c>
      <c r="L14" s="814">
        <v>27</v>
      </c>
      <c r="M14" s="816">
        <v>28</v>
      </c>
      <c r="N14" s="839">
        <v>29</v>
      </c>
      <c r="O14" s="815">
        <v>30</v>
      </c>
      <c r="P14" s="815" t="s">
        <v>45</v>
      </c>
      <c r="Q14" s="815" t="s">
        <v>45</v>
      </c>
      <c r="R14" s="834"/>
      <c r="S14" s="817">
        <v>26</v>
      </c>
      <c r="T14" s="817">
        <v>27</v>
      </c>
      <c r="U14" s="817">
        <v>28</v>
      </c>
      <c r="V14" s="817">
        <v>29</v>
      </c>
      <c r="W14" s="817">
        <v>30</v>
      </c>
      <c r="X14" s="817">
        <v>31</v>
      </c>
      <c r="Y14" s="815" t="s">
        <v>45</v>
      </c>
      <c r="Z14" s="834"/>
      <c r="AA14" s="814">
        <v>25</v>
      </c>
      <c r="AB14" s="814">
        <v>26</v>
      </c>
      <c r="AC14" s="813">
        <v>27</v>
      </c>
      <c r="AD14" s="814">
        <v>28</v>
      </c>
      <c r="AE14" s="813">
        <v>29</v>
      </c>
      <c r="AF14" s="814">
        <v>30</v>
      </c>
      <c r="AG14" s="814">
        <v>31</v>
      </c>
      <c r="AH14" s="835"/>
    </row>
    <row r="15" spans="2:34" ht="13" thickBot="1" x14ac:dyDescent="0.3">
      <c r="B15" s="833"/>
      <c r="C15" s="815" t="s">
        <v>45</v>
      </c>
      <c r="D15" s="815" t="s">
        <v>45</v>
      </c>
      <c r="E15" s="815" t="s">
        <v>45</v>
      </c>
      <c r="F15" s="815" t="s">
        <v>45</v>
      </c>
      <c r="G15" s="815" t="s">
        <v>45</v>
      </c>
      <c r="H15" s="815" t="s">
        <v>45</v>
      </c>
      <c r="I15" s="815" t="s">
        <v>45</v>
      </c>
      <c r="J15" s="834"/>
      <c r="K15" s="815" t="s">
        <v>45</v>
      </c>
      <c r="L15" s="815" t="s">
        <v>45</v>
      </c>
      <c r="M15" s="815" t="s">
        <v>45</v>
      </c>
      <c r="N15" s="815" t="s">
        <v>45</v>
      </c>
      <c r="O15" s="815" t="s">
        <v>45</v>
      </c>
      <c r="P15" s="815" t="s">
        <v>45</v>
      </c>
      <c r="Q15" s="815" t="s">
        <v>45</v>
      </c>
      <c r="R15" s="834"/>
      <c r="S15" s="815" t="s">
        <v>45</v>
      </c>
      <c r="T15" s="815" t="s">
        <v>45</v>
      </c>
      <c r="U15" s="815" t="s">
        <v>45</v>
      </c>
      <c r="V15" s="815" t="s">
        <v>45</v>
      </c>
      <c r="W15" s="815" t="s">
        <v>45</v>
      </c>
      <c r="X15" s="815" t="s">
        <v>45</v>
      </c>
      <c r="Y15" s="815" t="s">
        <v>45</v>
      </c>
      <c r="Z15" s="834"/>
      <c r="AA15" s="815" t="s">
        <v>45</v>
      </c>
      <c r="AB15" s="815" t="s">
        <v>45</v>
      </c>
      <c r="AC15" s="815" t="s">
        <v>45</v>
      </c>
      <c r="AD15" s="815" t="s">
        <v>45</v>
      </c>
      <c r="AE15" s="815" t="s">
        <v>45</v>
      </c>
      <c r="AF15" s="815" t="s">
        <v>45</v>
      </c>
      <c r="AG15" s="815" t="s">
        <v>45</v>
      </c>
      <c r="AH15" s="835"/>
    </row>
    <row r="16" spans="2:34" ht="13.5" thickTop="1" x14ac:dyDescent="0.3">
      <c r="B16" s="833"/>
      <c r="C16" s="819"/>
      <c r="D16" s="840">
        <v>16</v>
      </c>
      <c r="E16" s="819" t="s">
        <v>339</v>
      </c>
      <c r="F16" s="830" t="s">
        <v>741</v>
      </c>
      <c r="G16" s="819"/>
      <c r="H16" s="819"/>
      <c r="I16" s="819"/>
      <c r="J16" s="834"/>
      <c r="K16" s="819"/>
      <c r="L16" s="840">
        <v>4</v>
      </c>
      <c r="M16" s="819" t="s">
        <v>339</v>
      </c>
      <c r="N16" s="819" t="s">
        <v>742</v>
      </c>
      <c r="O16" s="840">
        <v>31</v>
      </c>
      <c r="P16" s="819" t="s">
        <v>341</v>
      </c>
      <c r="Q16" s="819" t="s">
        <v>742</v>
      </c>
      <c r="R16" s="834"/>
      <c r="S16" s="819"/>
      <c r="T16" s="840">
        <v>31</v>
      </c>
      <c r="U16" s="819" t="s">
        <v>339</v>
      </c>
      <c r="V16" s="819" t="s">
        <v>742</v>
      </c>
      <c r="W16" s="840">
        <v>31</v>
      </c>
      <c r="X16" s="819" t="s">
        <v>341</v>
      </c>
      <c r="Y16" s="819" t="s">
        <v>742</v>
      </c>
      <c r="Z16" s="834"/>
      <c r="AA16" s="819"/>
      <c r="AB16" s="840">
        <v>18</v>
      </c>
      <c r="AC16" s="819" t="s">
        <v>339</v>
      </c>
      <c r="AD16" s="830" t="s">
        <v>741</v>
      </c>
      <c r="AE16" s="819"/>
      <c r="AF16" s="819"/>
      <c r="AG16" s="819"/>
      <c r="AH16" s="835"/>
    </row>
    <row r="17" spans="2:34" ht="13" x14ac:dyDescent="0.3">
      <c r="B17" s="833"/>
      <c r="C17" s="1266">
        <v>43862</v>
      </c>
      <c r="D17" s="1267"/>
      <c r="E17" s="1267"/>
      <c r="F17" s="1267"/>
      <c r="G17" s="1267"/>
      <c r="H17" s="1267"/>
      <c r="I17" s="1267"/>
      <c r="J17" s="834"/>
      <c r="K17" s="1266">
        <v>43952</v>
      </c>
      <c r="L17" s="1267"/>
      <c r="M17" s="1267"/>
      <c r="N17" s="1267"/>
      <c r="O17" s="1267"/>
      <c r="P17" s="1267"/>
      <c r="Q17" s="1267"/>
      <c r="R17" s="834"/>
      <c r="S17" s="1266">
        <v>44044</v>
      </c>
      <c r="T17" s="1267"/>
      <c r="U17" s="1267"/>
      <c r="V17" s="1267"/>
      <c r="W17" s="1267"/>
      <c r="X17" s="1267"/>
      <c r="Y17" s="1267"/>
      <c r="Z17" s="834"/>
      <c r="AA17" s="1266">
        <v>44136</v>
      </c>
      <c r="AB17" s="1267"/>
      <c r="AC17" s="1267"/>
      <c r="AD17" s="1267"/>
      <c r="AE17" s="1267"/>
      <c r="AF17" s="1267"/>
      <c r="AG17" s="1267"/>
      <c r="AH17" s="835"/>
    </row>
    <row r="18" spans="2:34" x14ac:dyDescent="0.25">
      <c r="B18" s="833"/>
      <c r="C18" s="836" t="s">
        <v>342</v>
      </c>
      <c r="D18" s="837" t="s">
        <v>343</v>
      </c>
      <c r="E18" s="837" t="s">
        <v>344</v>
      </c>
      <c r="F18" s="837" t="s">
        <v>345</v>
      </c>
      <c r="G18" s="837" t="s">
        <v>344</v>
      </c>
      <c r="H18" s="837" t="s">
        <v>346</v>
      </c>
      <c r="I18" s="838" t="s">
        <v>342</v>
      </c>
      <c r="J18" s="834"/>
      <c r="K18" s="836" t="s">
        <v>342</v>
      </c>
      <c r="L18" s="837" t="s">
        <v>343</v>
      </c>
      <c r="M18" s="837" t="s">
        <v>344</v>
      </c>
      <c r="N18" s="837" t="s">
        <v>345</v>
      </c>
      <c r="O18" s="837" t="s">
        <v>344</v>
      </c>
      <c r="P18" s="837" t="s">
        <v>346</v>
      </c>
      <c r="Q18" s="838" t="s">
        <v>342</v>
      </c>
      <c r="R18" s="834"/>
      <c r="S18" s="836" t="s">
        <v>342</v>
      </c>
      <c r="T18" s="837" t="s">
        <v>343</v>
      </c>
      <c r="U18" s="837" t="s">
        <v>344</v>
      </c>
      <c r="V18" s="837" t="s">
        <v>345</v>
      </c>
      <c r="W18" s="837" t="s">
        <v>344</v>
      </c>
      <c r="X18" s="837" t="s">
        <v>346</v>
      </c>
      <c r="Y18" s="838" t="s">
        <v>342</v>
      </c>
      <c r="Z18" s="834"/>
      <c r="AA18" s="836" t="s">
        <v>342</v>
      </c>
      <c r="AB18" s="837" t="s">
        <v>343</v>
      </c>
      <c r="AC18" s="837" t="s">
        <v>344</v>
      </c>
      <c r="AD18" s="837" t="s">
        <v>345</v>
      </c>
      <c r="AE18" s="837" t="s">
        <v>344</v>
      </c>
      <c r="AF18" s="837" t="s">
        <v>346</v>
      </c>
      <c r="AG18" s="838" t="s">
        <v>342</v>
      </c>
      <c r="AH18" s="835"/>
    </row>
    <row r="19" spans="2:34" x14ac:dyDescent="0.25">
      <c r="B19" s="833"/>
      <c r="C19" s="808" t="s">
        <v>45</v>
      </c>
      <c r="D19" s="808" t="s">
        <v>45</v>
      </c>
      <c r="E19" s="808" t="s">
        <v>45</v>
      </c>
      <c r="F19" s="808" t="s">
        <v>45</v>
      </c>
      <c r="G19" s="808"/>
      <c r="H19" s="810"/>
      <c r="I19" s="808">
        <v>1</v>
      </c>
      <c r="J19" s="834"/>
      <c r="K19" s="808" t="s">
        <v>45</v>
      </c>
      <c r="L19" s="808" t="s">
        <v>45</v>
      </c>
      <c r="M19" s="810"/>
      <c r="N19" s="810"/>
      <c r="O19" s="810"/>
      <c r="P19" s="812">
        <v>1</v>
      </c>
      <c r="Q19" s="812">
        <v>2</v>
      </c>
      <c r="R19" s="834"/>
      <c r="S19" s="808" t="s">
        <v>45</v>
      </c>
      <c r="T19" s="808" t="s">
        <v>45</v>
      </c>
      <c r="U19" s="808" t="s">
        <v>45</v>
      </c>
      <c r="V19" s="810"/>
      <c r="W19" s="810"/>
      <c r="X19" s="810"/>
      <c r="Y19" s="811">
        <v>1</v>
      </c>
      <c r="Z19" s="834"/>
      <c r="AA19" s="809">
        <v>1</v>
      </c>
      <c r="AB19" s="809">
        <v>2</v>
      </c>
      <c r="AC19" s="808">
        <v>3</v>
      </c>
      <c r="AD19" s="809">
        <v>4</v>
      </c>
      <c r="AE19" s="808">
        <v>5</v>
      </c>
      <c r="AF19" s="809">
        <v>6</v>
      </c>
      <c r="AG19" s="808">
        <v>7</v>
      </c>
      <c r="AH19" s="835"/>
    </row>
    <row r="20" spans="2:34" x14ac:dyDescent="0.25">
      <c r="B20" s="833"/>
      <c r="C20" s="813">
        <v>2</v>
      </c>
      <c r="D20" s="814">
        <v>3</v>
      </c>
      <c r="E20" s="815">
        <v>4</v>
      </c>
      <c r="F20" s="814">
        <v>5</v>
      </c>
      <c r="G20" s="815">
        <v>6</v>
      </c>
      <c r="H20" s="814">
        <v>7</v>
      </c>
      <c r="I20" s="815">
        <v>8</v>
      </c>
      <c r="J20" s="834"/>
      <c r="K20" s="818">
        <v>3</v>
      </c>
      <c r="L20" s="818">
        <v>4</v>
      </c>
      <c r="M20" s="818">
        <v>5</v>
      </c>
      <c r="N20" s="818">
        <v>6</v>
      </c>
      <c r="O20" s="818">
        <v>7</v>
      </c>
      <c r="P20" s="818">
        <v>8</v>
      </c>
      <c r="Q20" s="818">
        <v>9</v>
      </c>
      <c r="R20" s="834"/>
      <c r="S20" s="817">
        <v>2</v>
      </c>
      <c r="T20" s="817">
        <v>3</v>
      </c>
      <c r="U20" s="817">
        <v>4</v>
      </c>
      <c r="V20" s="817">
        <v>5</v>
      </c>
      <c r="W20" s="817">
        <v>6</v>
      </c>
      <c r="X20" s="817">
        <v>7</v>
      </c>
      <c r="Y20" s="817">
        <v>8</v>
      </c>
      <c r="Z20" s="834"/>
      <c r="AA20" s="814">
        <v>8</v>
      </c>
      <c r="AB20" s="814">
        <v>9</v>
      </c>
      <c r="AC20" s="815">
        <v>10</v>
      </c>
      <c r="AD20" s="814">
        <v>11</v>
      </c>
      <c r="AE20" s="815">
        <v>12</v>
      </c>
      <c r="AF20" s="814">
        <v>13</v>
      </c>
      <c r="AG20" s="815">
        <v>14</v>
      </c>
      <c r="AH20" s="835"/>
    </row>
    <row r="21" spans="2:34" x14ac:dyDescent="0.25">
      <c r="B21" s="833"/>
      <c r="C21" s="813">
        <v>9</v>
      </c>
      <c r="D21" s="814">
        <v>10</v>
      </c>
      <c r="E21" s="815">
        <v>11</v>
      </c>
      <c r="F21" s="814">
        <v>12</v>
      </c>
      <c r="G21" s="815">
        <v>13</v>
      </c>
      <c r="H21" s="814">
        <v>14</v>
      </c>
      <c r="I21" s="815">
        <v>15</v>
      </c>
      <c r="J21" s="834"/>
      <c r="K21" s="818">
        <v>10</v>
      </c>
      <c r="L21" s="818">
        <v>11</v>
      </c>
      <c r="M21" s="818">
        <v>12</v>
      </c>
      <c r="N21" s="818">
        <v>13</v>
      </c>
      <c r="O21" s="818">
        <v>14</v>
      </c>
      <c r="P21" s="818">
        <v>15</v>
      </c>
      <c r="Q21" s="818">
        <v>16</v>
      </c>
      <c r="R21" s="834"/>
      <c r="S21" s="817">
        <v>9</v>
      </c>
      <c r="T21" s="817">
        <v>10</v>
      </c>
      <c r="U21" s="817">
        <v>11</v>
      </c>
      <c r="V21" s="817">
        <v>12</v>
      </c>
      <c r="W21" s="817">
        <v>13</v>
      </c>
      <c r="X21" s="817">
        <v>14</v>
      </c>
      <c r="Y21" s="817">
        <v>15</v>
      </c>
      <c r="Z21" s="834"/>
      <c r="AA21" s="814">
        <v>15</v>
      </c>
      <c r="AB21" s="814">
        <v>16</v>
      </c>
      <c r="AC21" s="815">
        <v>17</v>
      </c>
      <c r="AD21" s="814">
        <v>18</v>
      </c>
      <c r="AE21" s="815">
        <v>19</v>
      </c>
      <c r="AF21" s="814">
        <v>20</v>
      </c>
      <c r="AG21" s="815">
        <v>21</v>
      </c>
      <c r="AH21" s="835"/>
    </row>
    <row r="22" spans="2:34" x14ac:dyDescent="0.25">
      <c r="B22" s="833"/>
      <c r="C22" s="813">
        <v>16</v>
      </c>
      <c r="D22" s="814">
        <v>17</v>
      </c>
      <c r="E22" s="815">
        <v>18</v>
      </c>
      <c r="F22" s="814">
        <v>19</v>
      </c>
      <c r="G22" s="815">
        <v>20</v>
      </c>
      <c r="H22" s="814">
        <v>21</v>
      </c>
      <c r="I22" s="815">
        <v>22</v>
      </c>
      <c r="J22" s="834"/>
      <c r="K22" s="818">
        <v>17</v>
      </c>
      <c r="L22" s="818">
        <v>18</v>
      </c>
      <c r="M22" s="818">
        <v>19</v>
      </c>
      <c r="N22" s="818">
        <v>20</v>
      </c>
      <c r="O22" s="818">
        <v>21</v>
      </c>
      <c r="P22" s="813">
        <v>22</v>
      </c>
      <c r="Q22" s="817">
        <v>23</v>
      </c>
      <c r="R22" s="834"/>
      <c r="S22" s="817">
        <v>16</v>
      </c>
      <c r="T22" s="817">
        <v>17</v>
      </c>
      <c r="U22" s="817">
        <v>18</v>
      </c>
      <c r="V22" s="817">
        <v>19</v>
      </c>
      <c r="W22" s="817">
        <v>20</v>
      </c>
      <c r="X22" s="817">
        <v>21</v>
      </c>
      <c r="Y22" s="817">
        <v>22</v>
      </c>
      <c r="Z22" s="834"/>
      <c r="AA22" s="814">
        <v>22</v>
      </c>
      <c r="AB22" s="814">
        <v>23</v>
      </c>
      <c r="AC22" s="815">
        <v>24</v>
      </c>
      <c r="AD22" s="814">
        <v>25</v>
      </c>
      <c r="AE22" s="815">
        <v>26</v>
      </c>
      <c r="AF22" s="814">
        <v>27</v>
      </c>
      <c r="AG22" s="815">
        <v>28</v>
      </c>
      <c r="AH22" s="835"/>
    </row>
    <row r="23" spans="2:34" x14ac:dyDescent="0.25">
      <c r="B23" s="833"/>
      <c r="C23" s="813">
        <v>23</v>
      </c>
      <c r="D23" s="814">
        <v>24</v>
      </c>
      <c r="E23" s="815">
        <v>25</v>
      </c>
      <c r="F23" s="814">
        <v>26</v>
      </c>
      <c r="G23" s="815">
        <v>27</v>
      </c>
      <c r="H23" s="839">
        <v>28</v>
      </c>
      <c r="I23" s="815">
        <v>29</v>
      </c>
      <c r="J23" s="834"/>
      <c r="K23" s="817">
        <v>24</v>
      </c>
      <c r="L23" s="817">
        <v>25</v>
      </c>
      <c r="M23" s="818">
        <v>26</v>
      </c>
      <c r="N23" s="818">
        <v>27</v>
      </c>
      <c r="O23" s="818">
        <v>28</v>
      </c>
      <c r="P23" s="818">
        <v>29</v>
      </c>
      <c r="Q23" s="818">
        <v>30</v>
      </c>
      <c r="R23" s="834"/>
      <c r="S23" s="817">
        <v>23</v>
      </c>
      <c r="T23" s="817">
        <v>24</v>
      </c>
      <c r="U23" s="817">
        <v>25</v>
      </c>
      <c r="V23" s="817">
        <v>26</v>
      </c>
      <c r="W23" s="817">
        <v>27</v>
      </c>
      <c r="X23" s="817">
        <v>28</v>
      </c>
      <c r="Y23" s="817">
        <v>29</v>
      </c>
      <c r="Z23" s="834"/>
      <c r="AA23" s="814">
        <v>29</v>
      </c>
      <c r="AB23" s="814">
        <v>30</v>
      </c>
      <c r="AC23" s="816"/>
      <c r="AD23" s="816"/>
      <c r="AE23" s="816"/>
      <c r="AF23" s="816"/>
      <c r="AG23" s="816"/>
      <c r="AH23" s="835"/>
    </row>
    <row r="24" spans="2:34" ht="13" thickBot="1" x14ac:dyDescent="0.3">
      <c r="B24" s="833"/>
      <c r="C24" s="815" t="s">
        <v>45</v>
      </c>
      <c r="D24" s="815" t="s">
        <v>45</v>
      </c>
      <c r="E24" s="815" t="s">
        <v>45</v>
      </c>
      <c r="F24" s="815" t="s">
        <v>45</v>
      </c>
      <c r="G24" s="815" t="s">
        <v>45</v>
      </c>
      <c r="H24" s="815" t="s">
        <v>45</v>
      </c>
      <c r="I24" s="815" t="s">
        <v>45</v>
      </c>
      <c r="J24" s="834"/>
      <c r="K24" s="818">
        <v>31</v>
      </c>
      <c r="L24" s="815" t="s">
        <v>45</v>
      </c>
      <c r="M24" s="815" t="s">
        <v>45</v>
      </c>
      <c r="N24" s="815" t="s">
        <v>45</v>
      </c>
      <c r="O24" s="815" t="s">
        <v>45</v>
      </c>
      <c r="P24" s="815" t="s">
        <v>45</v>
      </c>
      <c r="Q24" s="815" t="s">
        <v>45</v>
      </c>
      <c r="R24" s="834"/>
      <c r="S24" s="817">
        <v>30</v>
      </c>
      <c r="T24" s="817">
        <v>31</v>
      </c>
      <c r="U24" s="815" t="s">
        <v>45</v>
      </c>
      <c r="V24" s="815" t="s">
        <v>45</v>
      </c>
      <c r="W24" s="815" t="s">
        <v>45</v>
      </c>
      <c r="X24" s="815" t="s">
        <v>45</v>
      </c>
      <c r="Y24" s="815" t="s">
        <v>45</v>
      </c>
      <c r="Z24" s="834"/>
      <c r="AA24" s="815" t="s">
        <v>45</v>
      </c>
      <c r="AB24" s="815" t="s">
        <v>45</v>
      </c>
      <c r="AC24" s="815" t="s">
        <v>45</v>
      </c>
      <c r="AD24" s="815" t="s">
        <v>45</v>
      </c>
      <c r="AE24" s="815" t="s">
        <v>45</v>
      </c>
      <c r="AF24" s="815" t="s">
        <v>45</v>
      </c>
      <c r="AG24" s="815" t="s">
        <v>45</v>
      </c>
      <c r="AH24" s="835"/>
    </row>
    <row r="25" spans="2:34" ht="13.5" thickTop="1" x14ac:dyDescent="0.3">
      <c r="B25" s="833"/>
      <c r="C25" s="819"/>
      <c r="D25" s="840">
        <v>18</v>
      </c>
      <c r="E25" s="819" t="s">
        <v>339</v>
      </c>
      <c r="F25" s="830" t="s">
        <v>741</v>
      </c>
      <c r="G25" s="819"/>
      <c r="H25" s="819"/>
      <c r="I25" s="819"/>
      <c r="J25" s="834"/>
      <c r="K25" s="819"/>
      <c r="L25" s="840">
        <v>20</v>
      </c>
      <c r="M25" s="819" t="s">
        <v>339</v>
      </c>
      <c r="N25" s="819" t="s">
        <v>742</v>
      </c>
      <c r="O25" s="840">
        <v>30</v>
      </c>
      <c r="P25" s="819" t="s">
        <v>341</v>
      </c>
      <c r="Q25" s="819" t="s">
        <v>742</v>
      </c>
      <c r="R25" s="834"/>
      <c r="S25" s="819"/>
      <c r="T25" s="840">
        <v>30</v>
      </c>
      <c r="U25" s="819" t="s">
        <v>339</v>
      </c>
      <c r="V25" s="819" t="s">
        <v>742</v>
      </c>
      <c r="W25" s="840">
        <v>30</v>
      </c>
      <c r="X25" s="819" t="s">
        <v>341</v>
      </c>
      <c r="Y25" s="819" t="s">
        <v>742</v>
      </c>
      <c r="Z25" s="834"/>
      <c r="AA25" s="819"/>
      <c r="AB25" s="840">
        <v>16</v>
      </c>
      <c r="AC25" s="819" t="s">
        <v>339</v>
      </c>
      <c r="AD25" s="830" t="s">
        <v>741</v>
      </c>
      <c r="AE25" s="819"/>
      <c r="AF25" s="819"/>
      <c r="AG25" s="819"/>
      <c r="AH25" s="835"/>
    </row>
    <row r="26" spans="2:34" ht="13" x14ac:dyDescent="0.3">
      <c r="B26" s="833"/>
      <c r="C26" s="1266">
        <v>43891</v>
      </c>
      <c r="D26" s="1267"/>
      <c r="E26" s="1267"/>
      <c r="F26" s="1267"/>
      <c r="G26" s="1267"/>
      <c r="H26" s="1267"/>
      <c r="I26" s="1267"/>
      <c r="J26" s="834"/>
      <c r="K26" s="1266">
        <v>43983</v>
      </c>
      <c r="L26" s="1267"/>
      <c r="M26" s="1267"/>
      <c r="N26" s="1267"/>
      <c r="O26" s="1267"/>
      <c r="P26" s="1267"/>
      <c r="Q26" s="1267"/>
      <c r="R26" s="834"/>
      <c r="S26" s="1266">
        <v>44075</v>
      </c>
      <c r="T26" s="1267"/>
      <c r="U26" s="1267"/>
      <c r="V26" s="1267"/>
      <c r="W26" s="1267"/>
      <c r="X26" s="1267"/>
      <c r="Y26" s="1267"/>
      <c r="Z26" s="834"/>
      <c r="AA26" s="1266">
        <v>44166</v>
      </c>
      <c r="AB26" s="1267"/>
      <c r="AC26" s="1267"/>
      <c r="AD26" s="1267"/>
      <c r="AE26" s="1267"/>
      <c r="AF26" s="1267"/>
      <c r="AG26" s="1267"/>
      <c r="AH26" s="835"/>
    </row>
    <row r="27" spans="2:34" x14ac:dyDescent="0.25">
      <c r="B27" s="833"/>
      <c r="C27" s="836" t="s">
        <v>342</v>
      </c>
      <c r="D27" s="837" t="s">
        <v>343</v>
      </c>
      <c r="E27" s="837" t="s">
        <v>344</v>
      </c>
      <c r="F27" s="837" t="s">
        <v>345</v>
      </c>
      <c r="G27" s="837" t="s">
        <v>344</v>
      </c>
      <c r="H27" s="837" t="s">
        <v>346</v>
      </c>
      <c r="I27" s="838" t="s">
        <v>342</v>
      </c>
      <c r="J27" s="834"/>
      <c r="K27" s="836" t="s">
        <v>342</v>
      </c>
      <c r="L27" s="837" t="s">
        <v>343</v>
      </c>
      <c r="M27" s="837" t="s">
        <v>344</v>
      </c>
      <c r="N27" s="837" t="s">
        <v>345</v>
      </c>
      <c r="O27" s="837" t="s">
        <v>344</v>
      </c>
      <c r="P27" s="837" t="s">
        <v>346</v>
      </c>
      <c r="Q27" s="838" t="s">
        <v>342</v>
      </c>
      <c r="R27" s="834"/>
      <c r="S27" s="836" t="s">
        <v>342</v>
      </c>
      <c r="T27" s="837" t="s">
        <v>343</v>
      </c>
      <c r="U27" s="837" t="s">
        <v>344</v>
      </c>
      <c r="V27" s="837" t="s">
        <v>345</v>
      </c>
      <c r="W27" s="837" t="s">
        <v>344</v>
      </c>
      <c r="X27" s="837" t="s">
        <v>346</v>
      </c>
      <c r="Y27" s="838" t="s">
        <v>342</v>
      </c>
      <c r="Z27" s="834"/>
      <c r="AA27" s="836" t="s">
        <v>342</v>
      </c>
      <c r="AB27" s="837" t="s">
        <v>343</v>
      </c>
      <c r="AC27" s="837" t="s">
        <v>344</v>
      </c>
      <c r="AD27" s="837" t="s">
        <v>345</v>
      </c>
      <c r="AE27" s="837" t="s">
        <v>344</v>
      </c>
      <c r="AF27" s="837" t="s">
        <v>346</v>
      </c>
      <c r="AG27" s="838" t="s">
        <v>342</v>
      </c>
      <c r="AH27" s="835"/>
    </row>
    <row r="28" spans="2:34" x14ac:dyDescent="0.25">
      <c r="B28" s="833"/>
      <c r="C28" s="820">
        <v>1</v>
      </c>
      <c r="D28" s="841">
        <v>2</v>
      </c>
      <c r="E28" s="808">
        <v>3</v>
      </c>
      <c r="F28" s="841">
        <v>4</v>
      </c>
      <c r="G28" s="808">
        <v>5</v>
      </c>
      <c r="H28" s="809">
        <v>6</v>
      </c>
      <c r="I28" s="808">
        <v>7</v>
      </c>
      <c r="J28" s="834"/>
      <c r="K28" s="808" t="s">
        <v>45</v>
      </c>
      <c r="L28" s="812">
        <v>1</v>
      </c>
      <c r="M28" s="812">
        <v>2</v>
      </c>
      <c r="N28" s="812">
        <v>3</v>
      </c>
      <c r="O28" s="812">
        <v>4</v>
      </c>
      <c r="P28" s="812">
        <v>5</v>
      </c>
      <c r="Q28" s="820">
        <v>6</v>
      </c>
      <c r="R28" s="834"/>
      <c r="S28" s="810" t="s">
        <v>45</v>
      </c>
      <c r="T28" s="810" t="s">
        <v>45</v>
      </c>
      <c r="U28" s="811">
        <v>1</v>
      </c>
      <c r="V28" s="811">
        <v>2</v>
      </c>
      <c r="W28" s="811">
        <v>3</v>
      </c>
      <c r="X28" s="811">
        <v>4</v>
      </c>
      <c r="Y28" s="811">
        <v>5</v>
      </c>
      <c r="Z28" s="834"/>
      <c r="AA28" s="810" t="s">
        <v>45</v>
      </c>
      <c r="AB28" s="810" t="s">
        <v>45</v>
      </c>
      <c r="AC28" s="810">
        <v>1</v>
      </c>
      <c r="AD28" s="809">
        <v>2</v>
      </c>
      <c r="AE28" s="810">
        <v>3</v>
      </c>
      <c r="AF28" s="809">
        <v>4</v>
      </c>
      <c r="AG28" s="808">
        <v>5</v>
      </c>
      <c r="AH28" s="835"/>
    </row>
    <row r="29" spans="2:34" x14ac:dyDescent="0.25">
      <c r="B29" s="833"/>
      <c r="C29" s="813">
        <v>8</v>
      </c>
      <c r="D29" s="814">
        <v>9</v>
      </c>
      <c r="E29" s="815">
        <v>10</v>
      </c>
      <c r="F29" s="814">
        <v>11</v>
      </c>
      <c r="G29" s="815">
        <v>12</v>
      </c>
      <c r="H29" s="814">
        <v>13</v>
      </c>
      <c r="I29" s="815">
        <v>14</v>
      </c>
      <c r="J29" s="834"/>
      <c r="K29" s="813">
        <v>7</v>
      </c>
      <c r="L29" s="818">
        <v>8</v>
      </c>
      <c r="M29" s="818">
        <v>9</v>
      </c>
      <c r="N29" s="818">
        <v>10</v>
      </c>
      <c r="O29" s="818">
        <v>11</v>
      </c>
      <c r="P29" s="818">
        <v>12</v>
      </c>
      <c r="Q29" s="813">
        <v>13</v>
      </c>
      <c r="R29" s="834"/>
      <c r="S29" s="817">
        <v>6</v>
      </c>
      <c r="T29" s="817">
        <v>7</v>
      </c>
      <c r="U29" s="817">
        <v>8</v>
      </c>
      <c r="V29" s="817">
        <v>9</v>
      </c>
      <c r="W29" s="817">
        <v>10</v>
      </c>
      <c r="X29" s="817">
        <v>11</v>
      </c>
      <c r="Y29" s="817">
        <v>12</v>
      </c>
      <c r="Z29" s="834"/>
      <c r="AA29" s="814">
        <v>6</v>
      </c>
      <c r="AB29" s="814">
        <v>7</v>
      </c>
      <c r="AC29" s="815">
        <v>8</v>
      </c>
      <c r="AD29" s="814">
        <v>9</v>
      </c>
      <c r="AE29" s="815">
        <v>10</v>
      </c>
      <c r="AF29" s="814">
        <v>11</v>
      </c>
      <c r="AG29" s="815">
        <v>12</v>
      </c>
      <c r="AH29" s="835"/>
    </row>
    <row r="30" spans="2:34" ht="13" thickBot="1" x14ac:dyDescent="0.3">
      <c r="B30" s="833"/>
      <c r="C30" s="813">
        <v>15</v>
      </c>
      <c r="D30" s="814">
        <v>16</v>
      </c>
      <c r="E30" s="815">
        <v>17</v>
      </c>
      <c r="F30" s="814">
        <v>18</v>
      </c>
      <c r="G30" s="815">
        <v>19</v>
      </c>
      <c r="H30" s="814">
        <v>20</v>
      </c>
      <c r="I30" s="815">
        <v>21</v>
      </c>
      <c r="J30" s="834"/>
      <c r="K30" s="813">
        <v>14</v>
      </c>
      <c r="L30" s="817">
        <v>15</v>
      </c>
      <c r="M30" s="817">
        <v>16</v>
      </c>
      <c r="N30" s="817">
        <v>17</v>
      </c>
      <c r="O30" s="817">
        <v>18</v>
      </c>
      <c r="P30" s="817">
        <v>19</v>
      </c>
      <c r="Q30" s="817">
        <v>20</v>
      </c>
      <c r="R30" s="834"/>
      <c r="S30" s="817">
        <v>13</v>
      </c>
      <c r="T30" s="817">
        <v>14</v>
      </c>
      <c r="U30" s="817">
        <v>15</v>
      </c>
      <c r="V30" s="817">
        <v>16</v>
      </c>
      <c r="W30" s="817">
        <v>17</v>
      </c>
      <c r="X30" s="817">
        <v>18</v>
      </c>
      <c r="Y30" s="817">
        <v>19</v>
      </c>
      <c r="Z30" s="834"/>
      <c r="AA30" s="814">
        <v>13</v>
      </c>
      <c r="AB30" s="814">
        <v>14</v>
      </c>
      <c r="AC30" s="815">
        <v>15</v>
      </c>
      <c r="AD30" s="814">
        <v>16</v>
      </c>
      <c r="AE30" s="815">
        <v>17</v>
      </c>
      <c r="AF30" s="842">
        <v>18</v>
      </c>
      <c r="AG30" s="815">
        <v>19</v>
      </c>
      <c r="AH30" s="835"/>
    </row>
    <row r="31" spans="2:34" ht="13" thickBot="1" x14ac:dyDescent="0.3">
      <c r="B31" s="833"/>
      <c r="C31" s="813">
        <v>22</v>
      </c>
      <c r="D31" s="814">
        <v>23</v>
      </c>
      <c r="E31" s="815">
        <v>24</v>
      </c>
      <c r="F31" s="814">
        <v>25</v>
      </c>
      <c r="G31" s="815">
        <v>26</v>
      </c>
      <c r="H31" s="814">
        <v>27</v>
      </c>
      <c r="I31" s="815">
        <v>28</v>
      </c>
      <c r="J31" s="834"/>
      <c r="K31" s="817">
        <v>21</v>
      </c>
      <c r="L31" s="817">
        <v>22</v>
      </c>
      <c r="M31" s="817">
        <v>23</v>
      </c>
      <c r="N31" s="817">
        <v>24</v>
      </c>
      <c r="O31" s="817">
        <v>25</v>
      </c>
      <c r="P31" s="817">
        <v>26</v>
      </c>
      <c r="Q31" s="817">
        <v>27</v>
      </c>
      <c r="R31" s="834"/>
      <c r="S31" s="817">
        <v>20</v>
      </c>
      <c r="T31" s="817">
        <v>21</v>
      </c>
      <c r="U31" s="817">
        <v>22</v>
      </c>
      <c r="V31" s="817">
        <v>23</v>
      </c>
      <c r="W31" s="813">
        <v>24</v>
      </c>
      <c r="X31" s="813">
        <v>25</v>
      </c>
      <c r="Y31" s="813">
        <v>26</v>
      </c>
      <c r="Z31" s="834"/>
      <c r="AA31" s="814">
        <v>20</v>
      </c>
      <c r="AB31" s="814">
        <v>21</v>
      </c>
      <c r="AC31" s="815">
        <v>22</v>
      </c>
      <c r="AD31" s="814">
        <v>23</v>
      </c>
      <c r="AE31" s="843">
        <v>24</v>
      </c>
      <c r="AF31" s="844">
        <v>25</v>
      </c>
      <c r="AG31" s="845">
        <v>26</v>
      </c>
      <c r="AH31" s="835"/>
    </row>
    <row r="32" spans="2:34" x14ac:dyDescent="0.25">
      <c r="B32" s="833"/>
      <c r="C32" s="813">
        <v>29</v>
      </c>
      <c r="D32" s="814">
        <v>30</v>
      </c>
      <c r="E32" s="815">
        <v>31</v>
      </c>
      <c r="F32" s="816"/>
      <c r="G32" s="816"/>
      <c r="H32" s="816"/>
      <c r="I32" s="815"/>
      <c r="J32" s="834"/>
      <c r="K32" s="817">
        <v>28</v>
      </c>
      <c r="L32" s="817">
        <v>29</v>
      </c>
      <c r="M32" s="817">
        <v>30</v>
      </c>
      <c r="N32" s="816"/>
      <c r="O32" s="816"/>
      <c r="P32" s="816"/>
      <c r="Q32" s="816"/>
      <c r="R32" s="834"/>
      <c r="S32" s="813">
        <v>27</v>
      </c>
      <c r="T32" s="813">
        <v>28</v>
      </c>
      <c r="U32" s="813">
        <v>29</v>
      </c>
      <c r="V32" s="813">
        <v>30</v>
      </c>
      <c r="W32" s="816"/>
      <c r="X32" s="816"/>
      <c r="Y32" s="816"/>
      <c r="Z32" s="834"/>
      <c r="AA32" s="814">
        <v>27</v>
      </c>
      <c r="AB32" s="814">
        <v>28</v>
      </c>
      <c r="AC32" s="815">
        <v>29</v>
      </c>
      <c r="AD32" s="814">
        <v>30</v>
      </c>
      <c r="AE32" s="815">
        <v>31</v>
      </c>
      <c r="AF32" s="810"/>
      <c r="AG32" s="815"/>
      <c r="AH32" s="835"/>
    </row>
    <row r="33" spans="2:34" x14ac:dyDescent="0.25">
      <c r="B33" s="833"/>
      <c r="C33" s="815" t="s">
        <v>45</v>
      </c>
      <c r="D33" s="815" t="s">
        <v>45</v>
      </c>
      <c r="E33" s="815" t="s">
        <v>45</v>
      </c>
      <c r="F33" s="815" t="s">
        <v>45</v>
      </c>
      <c r="G33" s="815" t="s">
        <v>45</v>
      </c>
      <c r="H33" s="815" t="s">
        <v>45</v>
      </c>
      <c r="I33" s="815" t="s">
        <v>45</v>
      </c>
      <c r="J33" s="846"/>
      <c r="K33" s="816" t="s">
        <v>45</v>
      </c>
      <c r="L33" s="815" t="s">
        <v>45</v>
      </c>
      <c r="M33" s="815" t="s">
        <v>45</v>
      </c>
      <c r="N33" s="815" t="s">
        <v>45</v>
      </c>
      <c r="O33" s="815" t="s">
        <v>45</v>
      </c>
      <c r="P33" s="815" t="s">
        <v>45</v>
      </c>
      <c r="Q33" s="815" t="s">
        <v>45</v>
      </c>
      <c r="R33" s="846"/>
      <c r="S33" s="816"/>
      <c r="T33" s="815" t="s">
        <v>45</v>
      </c>
      <c r="U33" s="815" t="s">
        <v>45</v>
      </c>
      <c r="V33" s="815" t="s">
        <v>45</v>
      </c>
      <c r="W33" s="815" t="s">
        <v>45</v>
      </c>
      <c r="X33" s="815" t="s">
        <v>45</v>
      </c>
      <c r="Y33" s="815" t="s">
        <v>45</v>
      </c>
      <c r="Z33" s="846"/>
      <c r="AA33" s="816"/>
      <c r="AB33" s="816"/>
      <c r="AC33" s="816"/>
      <c r="AD33" s="815" t="s">
        <v>45</v>
      </c>
      <c r="AE33" s="815" t="s">
        <v>45</v>
      </c>
      <c r="AF33" s="815" t="s">
        <v>45</v>
      </c>
      <c r="AG33" s="815" t="s">
        <v>45</v>
      </c>
      <c r="AH33" s="835"/>
    </row>
    <row r="34" spans="2:34" ht="13" thickBot="1" x14ac:dyDescent="0.3">
      <c r="B34" s="847"/>
      <c r="C34" s="822"/>
      <c r="D34" s="822"/>
      <c r="E34" s="822"/>
      <c r="F34" s="822"/>
      <c r="G34" s="822"/>
      <c r="H34" s="822"/>
      <c r="I34" s="822"/>
      <c r="J34" s="822"/>
      <c r="K34" s="822"/>
      <c r="L34" s="822"/>
      <c r="M34" s="822"/>
      <c r="N34" s="822"/>
      <c r="O34" s="822"/>
      <c r="P34" s="822"/>
      <c r="Q34" s="822"/>
      <c r="R34" s="822"/>
      <c r="S34" s="822"/>
      <c r="T34" s="822"/>
      <c r="U34" s="822"/>
      <c r="V34" s="822"/>
      <c r="W34" s="822"/>
      <c r="X34" s="822"/>
      <c r="Y34" s="822"/>
      <c r="Z34" s="822"/>
      <c r="AA34" s="822"/>
      <c r="AB34" s="822"/>
      <c r="AC34" s="822"/>
      <c r="AD34" s="822"/>
      <c r="AE34" s="822"/>
      <c r="AF34" s="822"/>
      <c r="AG34" s="822"/>
      <c r="AH34" s="848"/>
    </row>
    <row r="35" spans="2:34" ht="13.5" thickTop="1" thickBot="1" x14ac:dyDescent="0.3">
      <c r="B35" s="847"/>
      <c r="C35" s="822"/>
      <c r="D35" s="822"/>
      <c r="E35" s="822"/>
      <c r="F35" s="821" t="s">
        <v>333</v>
      </c>
      <c r="G35" s="822"/>
      <c r="H35" s="822"/>
      <c r="I35" s="822"/>
      <c r="J35" s="822"/>
      <c r="K35" s="822"/>
      <c r="L35" s="822"/>
      <c r="M35" s="822"/>
      <c r="N35" s="822"/>
      <c r="O35" s="822"/>
      <c r="P35" s="822"/>
      <c r="Q35" s="822"/>
      <c r="R35" s="822"/>
      <c r="S35" s="822"/>
      <c r="T35" s="822"/>
      <c r="U35" s="822"/>
      <c r="V35" s="822"/>
      <c r="W35" s="822"/>
      <c r="X35" s="822"/>
      <c r="Y35" s="822"/>
      <c r="Z35" s="822"/>
      <c r="AA35" s="822"/>
      <c r="AB35" s="822"/>
      <c r="AC35" s="822"/>
      <c r="AD35" s="822"/>
      <c r="AE35" s="822"/>
      <c r="AF35" s="822"/>
      <c r="AG35" s="822"/>
      <c r="AH35" s="848"/>
    </row>
    <row r="36" spans="2:34" ht="13.5" thickTop="1" thickBot="1" x14ac:dyDescent="0.3">
      <c r="B36" s="847"/>
      <c r="C36" s="822"/>
      <c r="D36" s="822"/>
      <c r="E36" s="822"/>
      <c r="F36" s="822" t="s">
        <v>743</v>
      </c>
      <c r="G36" s="822"/>
      <c r="H36" s="822"/>
      <c r="I36" s="822"/>
      <c r="J36" s="822">
        <f>L16+L25+T7+T16+T25</f>
        <v>116</v>
      </c>
      <c r="K36" s="822"/>
      <c r="L36" s="822"/>
      <c r="M36" s="822"/>
      <c r="N36" s="822"/>
      <c r="O36" s="822"/>
      <c r="P36" s="822"/>
      <c r="Q36" s="822"/>
      <c r="R36" s="822"/>
      <c r="S36" s="822"/>
      <c r="T36" s="822"/>
      <c r="U36" s="822"/>
      <c r="V36" s="822"/>
      <c r="W36" s="822"/>
      <c r="X36" s="822"/>
      <c r="Y36" s="822"/>
      <c r="Z36" s="822"/>
      <c r="AA36" s="822"/>
      <c r="AB36" s="822"/>
      <c r="AC36" s="822"/>
      <c r="AD36" s="822"/>
      <c r="AE36" s="822"/>
      <c r="AF36" s="822"/>
      <c r="AG36" s="822"/>
      <c r="AH36" s="848"/>
    </row>
    <row r="37" spans="2:34" ht="13.5" thickTop="1" thickBot="1" x14ac:dyDescent="0.3">
      <c r="B37" s="847"/>
      <c r="C37" s="822"/>
      <c r="D37" s="822"/>
      <c r="E37" s="822"/>
      <c r="F37" s="822" t="s">
        <v>744</v>
      </c>
      <c r="G37" s="822"/>
      <c r="H37" s="822"/>
      <c r="I37" s="822"/>
      <c r="J37" s="822">
        <f>O16+O25+W7+W16+W25+AE7</f>
        <v>168</v>
      </c>
      <c r="K37" s="822"/>
      <c r="L37" s="822"/>
      <c r="M37" s="822"/>
      <c r="N37" s="822"/>
      <c r="O37" s="822"/>
      <c r="P37" s="822"/>
      <c r="Q37" s="822"/>
      <c r="R37" s="822"/>
      <c r="S37" s="822"/>
      <c r="T37" s="822"/>
      <c r="U37" s="822"/>
      <c r="V37" s="822"/>
      <c r="W37" s="822"/>
      <c r="X37" s="822"/>
      <c r="Y37" s="822"/>
      <c r="Z37" s="822"/>
      <c r="AA37" s="822"/>
      <c r="AB37" s="822"/>
      <c r="AC37" s="822"/>
      <c r="AD37" s="822"/>
      <c r="AE37" s="822"/>
      <c r="AF37" s="822"/>
      <c r="AG37" s="822"/>
      <c r="AH37" s="848"/>
    </row>
    <row r="38" spans="2:34" ht="13.5" thickTop="1" thickBot="1" x14ac:dyDescent="0.3">
      <c r="B38" s="847"/>
      <c r="C38" s="822"/>
      <c r="D38" s="822"/>
      <c r="E38" s="822"/>
      <c r="F38" s="822" t="s">
        <v>745</v>
      </c>
      <c r="G38" s="822"/>
      <c r="H38" s="822"/>
      <c r="I38" s="822"/>
      <c r="J38" s="822">
        <f>D7+D16+D25+L7+AB7+AB16+AB25</f>
        <v>123</v>
      </c>
      <c r="K38" s="822"/>
      <c r="L38" s="822"/>
      <c r="M38" s="822"/>
      <c r="N38" s="822"/>
      <c r="O38" s="822"/>
      <c r="P38" s="822"/>
      <c r="Q38" s="822"/>
      <c r="R38" s="822"/>
      <c r="S38" s="822"/>
      <c r="T38" s="822"/>
      <c r="U38" s="822"/>
      <c r="V38" s="822"/>
      <c r="W38" s="822"/>
      <c r="X38" s="822"/>
      <c r="Y38" s="822"/>
      <c r="Z38" s="822"/>
      <c r="AA38" s="822"/>
      <c r="AB38" s="822"/>
      <c r="AC38" s="822"/>
      <c r="AD38" s="822"/>
      <c r="AE38" s="822"/>
      <c r="AF38" s="822"/>
      <c r="AG38" s="822"/>
      <c r="AH38" s="848"/>
    </row>
    <row r="39" spans="2:34" ht="13.5" thickTop="1" thickBot="1" x14ac:dyDescent="0.3">
      <c r="B39" s="847"/>
      <c r="C39" s="822"/>
      <c r="D39" s="822"/>
      <c r="E39" s="822"/>
      <c r="F39" s="822"/>
      <c r="G39" s="822"/>
      <c r="H39" s="822"/>
      <c r="I39" s="822"/>
      <c r="J39" s="849">
        <f>SUM(J36:J38)</f>
        <v>407</v>
      </c>
      <c r="K39" s="822" t="s">
        <v>347</v>
      </c>
      <c r="L39" s="822"/>
      <c r="M39" s="822"/>
      <c r="N39" s="822"/>
      <c r="O39" s="822"/>
      <c r="P39" s="822"/>
      <c r="Q39" s="822"/>
      <c r="R39" s="822"/>
      <c r="S39" s="822"/>
      <c r="T39" s="822"/>
      <c r="U39" s="822"/>
      <c r="V39" s="822"/>
      <c r="W39" s="822"/>
      <c r="X39" s="822"/>
      <c r="Y39" s="822"/>
      <c r="Z39" s="822"/>
      <c r="AA39" s="822"/>
      <c r="AB39" s="822"/>
      <c r="AC39" s="822"/>
      <c r="AD39" s="822"/>
      <c r="AE39" s="822"/>
      <c r="AF39" s="822"/>
      <c r="AG39" s="822"/>
      <c r="AH39" s="848"/>
    </row>
    <row r="40" spans="2:34" ht="13" thickTop="1" x14ac:dyDescent="0.25">
      <c r="B40" s="824"/>
      <c r="C40" s="824"/>
      <c r="D40" s="824"/>
      <c r="E40" s="824"/>
      <c r="F40" s="824"/>
      <c r="G40" s="824"/>
      <c r="H40" s="824"/>
      <c r="I40" s="824"/>
      <c r="J40" s="824"/>
      <c r="K40" s="824"/>
      <c r="L40" s="824"/>
      <c r="M40" s="824"/>
      <c r="N40" s="824"/>
      <c r="O40" s="824"/>
      <c r="P40" s="824"/>
      <c r="Q40" s="824"/>
      <c r="R40" s="824"/>
      <c r="S40" s="824"/>
      <c r="T40" s="824"/>
      <c r="U40" s="824"/>
      <c r="V40" s="824"/>
      <c r="W40" s="824"/>
      <c r="X40" s="824"/>
      <c r="Y40" s="824"/>
      <c r="Z40" s="824"/>
      <c r="AA40" s="824"/>
      <c r="AB40" s="824"/>
      <c r="AC40" s="824"/>
      <c r="AD40" s="824"/>
      <c r="AE40" s="824"/>
      <c r="AF40" s="824"/>
      <c r="AG40" s="824"/>
      <c r="AH40" s="824"/>
    </row>
  </sheetData>
  <mergeCells count="13">
    <mergeCell ref="C17:I17"/>
    <mergeCell ref="K17:Q17"/>
    <mergeCell ref="S17:Y17"/>
    <mergeCell ref="AA17:AG17"/>
    <mergeCell ref="C26:I26"/>
    <mergeCell ref="K26:Q26"/>
    <mergeCell ref="S26:Y26"/>
    <mergeCell ref="AA26:AG26"/>
    <mergeCell ref="B5:AH6"/>
    <mergeCell ref="C8:I8"/>
    <mergeCell ref="K8:Q8"/>
    <mergeCell ref="S8:Y8"/>
    <mergeCell ref="AA8:AG8"/>
  </mergeCells>
  <conditionalFormatting sqref="B50:AF75 B8:AF33">
    <cfRule type="containsErrors" dxfId="1" priority="3">
      <formula>ISERROR(B8)</formula>
    </cfRule>
    <cfRule type="containsBlanks" dxfId="0" priority="4">
      <formula>LEN(TRIM(B8))=0</formula>
    </cfRule>
  </conditionalFormatting>
  <dataValidations count="1">
    <dataValidation type="whole" allowBlank="1" showInputMessage="1" showErrorMessage="1" errorTitle="Invalid Year" error="Enter a year from 1900 to 9999, or use the scroll bar to find a year." sqref="A47:AG48 A5:AG6">
      <formula1>1900</formula1>
      <formula2>9999</formula2>
    </dataValidation>
  </dataValidations>
  <pageMargins left="0.5" right="0.25" top="0.5" bottom="0.5" header="0.3" footer="0.3"/>
  <pageSetup orientation="landscape"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workbookViewId="0"/>
  </sheetViews>
  <sheetFormatPr defaultColWidth="9.1796875" defaultRowHeight="12.5" x14ac:dyDescent="0.25"/>
  <cols>
    <col min="1" max="1" width="35.54296875" style="1" customWidth="1"/>
    <col min="2" max="2" width="28" style="1" customWidth="1"/>
    <col min="3" max="3" width="19.26953125" style="234" customWidth="1"/>
    <col min="4" max="4" width="22.54296875" style="1" customWidth="1"/>
    <col min="5" max="5" width="10" style="1" customWidth="1"/>
    <col min="6" max="6" width="10.81640625" style="1" bestFit="1" customWidth="1"/>
    <col min="7" max="8" width="9.1796875" style="1"/>
    <col min="9" max="9" width="14.26953125" style="1" customWidth="1"/>
    <col min="10" max="10" width="10.7265625" style="1" bestFit="1" customWidth="1"/>
    <col min="11" max="16384" width="9.1796875" style="1"/>
  </cols>
  <sheetData>
    <row r="1" spans="1:6" ht="13" x14ac:dyDescent="0.3">
      <c r="A1" s="121" t="s">
        <v>882</v>
      </c>
    </row>
    <row r="2" spans="1:6" x14ac:dyDescent="0.25">
      <c r="A2" s="411"/>
      <c r="D2" s="234"/>
    </row>
    <row r="3" spans="1:6" x14ac:dyDescent="0.25">
      <c r="B3" s="239" t="s">
        <v>881</v>
      </c>
      <c r="C3" s="240"/>
      <c r="D3" s="239"/>
      <c r="E3" s="239" t="s">
        <v>366</v>
      </c>
      <c r="F3" s="239" t="s">
        <v>332</v>
      </c>
    </row>
    <row r="4" spans="1:6" ht="13" x14ac:dyDescent="0.3">
      <c r="A4" s="1" t="s">
        <v>611</v>
      </c>
      <c r="B4" s="234">
        <f>SUM('Inc Stmnt 12 mo 8.1.18  7.31.19'!N12+'Inc Stmnt 12 mo 8.1.18  7.31.19'!N13)</f>
        <v>110684.20999999999</v>
      </c>
      <c r="C4" s="234">
        <v>0</v>
      </c>
      <c r="D4" s="234">
        <f>SUM(B4:C4)</f>
        <v>110684.20999999999</v>
      </c>
      <c r="E4" s="1195">
        <f>B11</f>
        <v>0.14814814814814814</v>
      </c>
      <c r="F4" s="265">
        <f>SUM(D4*E4)</f>
        <v>16397.660740740739</v>
      </c>
    </row>
    <row r="5" spans="1:6" ht="13" x14ac:dyDescent="0.3">
      <c r="A5" s="1" t="s">
        <v>370</v>
      </c>
      <c r="B5" s="235">
        <f>SUM('Inc Stmnt 12 mo 8.1.18  7.31.19'!N14:N15)</f>
        <v>79354.84</v>
      </c>
      <c r="C5" s="235"/>
      <c r="D5" s="235">
        <f t="shared" ref="D5" si="0">SUM(B5:C5)</f>
        <v>79354.84</v>
      </c>
      <c r="E5" s="43"/>
      <c r="F5" s="267">
        <v>0</v>
      </c>
    </row>
    <row r="6" spans="1:6" ht="13" thickBot="1" x14ac:dyDescent="0.3">
      <c r="B6" s="234">
        <f>SUM(B4:B5)</f>
        <v>190039.05</v>
      </c>
      <c r="C6" s="234" t="s">
        <v>842</v>
      </c>
      <c r="D6" s="234">
        <f>SUM(D4:D5)</f>
        <v>190039.05</v>
      </c>
      <c r="F6" s="1193">
        <f>F4+F5</f>
        <v>16397.660740740739</v>
      </c>
    </row>
    <row r="7" spans="1:6" x14ac:dyDescent="0.25">
      <c r="B7" s="234"/>
      <c r="F7" s="787" t="s">
        <v>878</v>
      </c>
    </row>
    <row r="8" spans="1:6" ht="13" x14ac:dyDescent="0.3">
      <c r="A8" s="121" t="s">
        <v>876</v>
      </c>
      <c r="C8" s="1"/>
      <c r="F8" s="787" t="s">
        <v>879</v>
      </c>
    </row>
    <row r="9" spans="1:6" ht="13" x14ac:dyDescent="0.3">
      <c r="A9" s="1" t="s">
        <v>874</v>
      </c>
      <c r="B9" s="413">
        <v>6.75</v>
      </c>
      <c r="E9" s="43"/>
      <c r="F9" s="787" t="s">
        <v>332</v>
      </c>
    </row>
    <row r="10" spans="1:6" ht="13" x14ac:dyDescent="0.3">
      <c r="A10" s="1" t="s">
        <v>875</v>
      </c>
      <c r="B10" s="413">
        <v>7.75</v>
      </c>
      <c r="C10" s="1"/>
      <c r="E10" s="43"/>
      <c r="F10" s="787" t="s">
        <v>880</v>
      </c>
    </row>
    <row r="11" spans="1:6" x14ac:dyDescent="0.25">
      <c r="A11" s="1" t="s">
        <v>877</v>
      </c>
      <c r="B11" s="1194">
        <f>B10/B9-1</f>
        <v>0.14814814814814814</v>
      </c>
      <c r="C11" s="412"/>
      <c r="D11" s="277"/>
      <c r="E11" s="234"/>
      <c r="F11" s="234"/>
    </row>
    <row r="12" spans="1:6" x14ac:dyDescent="0.25">
      <c r="D12" s="268"/>
      <c r="E12" s="234"/>
      <c r="F12" s="234"/>
    </row>
    <row r="14" spans="1:6" x14ac:dyDescent="0.25">
      <c r="A14" s="411"/>
      <c r="D14" s="234"/>
    </row>
    <row r="15" spans="1:6" x14ac:dyDescent="0.25">
      <c r="A15" s="727" t="s">
        <v>704</v>
      </c>
      <c r="D15" s="234"/>
    </row>
    <row r="16" spans="1:6" x14ac:dyDescent="0.25">
      <c r="A16" s="1" t="s">
        <v>702</v>
      </c>
    </row>
    <row r="17" spans="1:5" x14ac:dyDescent="0.25">
      <c r="A17" s="1" t="s">
        <v>703</v>
      </c>
    </row>
    <row r="18" spans="1:5" x14ac:dyDescent="0.25">
      <c r="A18" s="1" t="s">
        <v>705</v>
      </c>
    </row>
    <row r="20" spans="1:5" ht="15.5" x14ac:dyDescent="0.35">
      <c r="A20" s="1192" t="s">
        <v>883</v>
      </c>
      <c r="B20" s="704"/>
      <c r="C20" s="672"/>
      <c r="D20" s="672"/>
    </row>
    <row r="21" spans="1:5" x14ac:dyDescent="0.25">
      <c r="A21" s="672"/>
      <c r="B21" s="704"/>
      <c r="C21" s="672"/>
      <c r="D21" s="672"/>
    </row>
    <row r="22" spans="1:5" ht="14.5" x14ac:dyDescent="0.35">
      <c r="A22" s="672"/>
      <c r="B22" s="1188" t="s">
        <v>845</v>
      </c>
      <c r="C22" s="672"/>
      <c r="D22" s="672"/>
      <c r="E22" s="43" t="s">
        <v>905</v>
      </c>
    </row>
    <row r="23" spans="1:5" ht="14.5" x14ac:dyDescent="0.35">
      <c r="A23" s="672"/>
      <c r="B23" s="1189"/>
      <c r="C23" s="1190" t="s">
        <v>846</v>
      </c>
      <c r="D23" s="1191" t="s">
        <v>847</v>
      </c>
      <c r="E23" s="121" t="s">
        <v>906</v>
      </c>
    </row>
    <row r="24" spans="1:5" x14ac:dyDescent="0.25">
      <c r="A24" s="986" t="s">
        <v>848</v>
      </c>
      <c r="B24" s="704" t="s">
        <v>849</v>
      </c>
      <c r="C24" s="672" t="s">
        <v>850</v>
      </c>
      <c r="D24" s="672" t="s">
        <v>619</v>
      </c>
      <c r="E24" s="1213">
        <v>0.1</v>
      </c>
    </row>
    <row r="25" spans="1:5" x14ac:dyDescent="0.25">
      <c r="A25" s="986" t="s">
        <v>851</v>
      </c>
      <c r="B25" s="704" t="s">
        <v>852</v>
      </c>
      <c r="C25" s="672" t="s">
        <v>850</v>
      </c>
      <c r="D25" s="672" t="s">
        <v>619</v>
      </c>
      <c r="E25" s="1213">
        <v>0.1</v>
      </c>
    </row>
    <row r="26" spans="1:5" x14ac:dyDescent="0.25">
      <c r="A26" s="672"/>
      <c r="B26" s="704" t="s">
        <v>853</v>
      </c>
      <c r="C26" s="672" t="s">
        <v>854</v>
      </c>
      <c r="D26" s="672" t="s">
        <v>855</v>
      </c>
      <c r="E26" s="1213">
        <v>0.1</v>
      </c>
    </row>
    <row r="27" spans="1:5" x14ac:dyDescent="0.25">
      <c r="A27" s="672"/>
      <c r="B27" s="704"/>
      <c r="C27" s="672"/>
      <c r="D27" s="672"/>
      <c r="E27" s="1213"/>
    </row>
    <row r="28" spans="1:5" x14ac:dyDescent="0.25">
      <c r="A28" s="672"/>
      <c r="B28" s="704"/>
      <c r="C28" s="672"/>
      <c r="D28" s="672"/>
      <c r="E28" s="1213"/>
    </row>
    <row r="29" spans="1:5" ht="14.5" x14ac:dyDescent="0.35">
      <c r="A29" s="672"/>
      <c r="B29" s="1188" t="s">
        <v>856</v>
      </c>
      <c r="C29" s="672"/>
      <c r="D29" s="672"/>
      <c r="E29" s="1213"/>
    </row>
    <row r="30" spans="1:5" ht="14.5" x14ac:dyDescent="0.35">
      <c r="A30" s="672"/>
      <c r="B30" s="1189"/>
      <c r="C30" s="1190" t="s">
        <v>846</v>
      </c>
      <c r="D30" s="1191" t="s">
        <v>847</v>
      </c>
      <c r="E30" s="1213"/>
    </row>
    <row r="31" spans="1:5" x14ac:dyDescent="0.25">
      <c r="A31" s="672"/>
      <c r="B31" s="704" t="s">
        <v>857</v>
      </c>
      <c r="C31" s="672" t="s">
        <v>858</v>
      </c>
      <c r="D31" s="672" t="s">
        <v>619</v>
      </c>
      <c r="E31" s="1213">
        <v>0.25</v>
      </c>
    </row>
    <row r="32" spans="1:5" x14ac:dyDescent="0.25">
      <c r="A32" s="672"/>
      <c r="B32" s="704"/>
      <c r="C32" s="672" t="s">
        <v>859</v>
      </c>
      <c r="D32" s="672"/>
      <c r="E32" s="1213"/>
    </row>
    <row r="33" spans="1:5" x14ac:dyDescent="0.25">
      <c r="A33" s="672"/>
      <c r="B33" s="704"/>
      <c r="C33" s="672"/>
      <c r="D33" s="672"/>
      <c r="E33" s="1213"/>
    </row>
    <row r="34" spans="1:5" x14ac:dyDescent="0.25">
      <c r="A34" s="672"/>
      <c r="B34" s="704" t="s">
        <v>860</v>
      </c>
      <c r="C34" s="672"/>
      <c r="D34" s="672"/>
      <c r="E34" s="1213"/>
    </row>
    <row r="35" spans="1:5" x14ac:dyDescent="0.25">
      <c r="A35" s="672"/>
      <c r="B35" s="704"/>
      <c r="C35" s="672"/>
      <c r="D35" s="672"/>
      <c r="E35" s="1213"/>
    </row>
    <row r="36" spans="1:5" x14ac:dyDescent="0.25">
      <c r="A36" s="672"/>
      <c r="B36" s="704"/>
      <c r="C36" s="672"/>
      <c r="D36" s="672"/>
      <c r="E36" s="1213"/>
    </row>
    <row r="37" spans="1:5" ht="14.5" x14ac:dyDescent="0.35">
      <c r="A37" s="672"/>
      <c r="B37" s="1188" t="s">
        <v>861</v>
      </c>
      <c r="C37" s="672"/>
      <c r="D37" s="672"/>
      <c r="E37" s="1213"/>
    </row>
    <row r="38" spans="1:5" ht="14.5" x14ac:dyDescent="0.35">
      <c r="A38" s="672"/>
      <c r="B38" s="1189"/>
      <c r="C38" s="1190" t="s">
        <v>846</v>
      </c>
      <c r="D38" s="1191" t="s">
        <v>847</v>
      </c>
      <c r="E38" s="1213">
        <v>0.1</v>
      </c>
    </row>
    <row r="39" spans="1:5" x14ac:dyDescent="0.25">
      <c r="A39" s="672"/>
      <c r="B39" s="704" t="s">
        <v>857</v>
      </c>
      <c r="C39" s="113">
        <v>7.75</v>
      </c>
      <c r="D39" s="672" t="s">
        <v>619</v>
      </c>
      <c r="E39" s="1213"/>
    </row>
    <row r="40" spans="1:5" x14ac:dyDescent="0.25">
      <c r="A40" s="672"/>
      <c r="B40" s="704"/>
      <c r="C40" s="672" t="s">
        <v>862</v>
      </c>
      <c r="D40" s="672"/>
    </row>
    <row r="41" spans="1:5" x14ac:dyDescent="0.25">
      <c r="A41" s="672"/>
      <c r="B41" s="704"/>
      <c r="C41" s="672"/>
      <c r="D41" s="672"/>
    </row>
    <row r="42" spans="1:5" x14ac:dyDescent="0.25">
      <c r="A42" s="672"/>
      <c r="B42" s="704"/>
      <c r="C42" s="672"/>
      <c r="D42" s="672"/>
    </row>
    <row r="43" spans="1:5" ht="14.5" x14ac:dyDescent="0.35">
      <c r="A43" s="672"/>
      <c r="B43" s="1188"/>
      <c r="C43" s="241" t="s">
        <v>281</v>
      </c>
      <c r="D43" s="241"/>
    </row>
    <row r="44" spans="1:5" x14ac:dyDescent="0.25">
      <c r="A44" s="672"/>
      <c r="B44" s="1" t="s">
        <v>863</v>
      </c>
      <c r="C44" s="113">
        <v>15.5</v>
      </c>
      <c r="D44" s="787" t="s">
        <v>884</v>
      </c>
    </row>
    <row r="45" spans="1:5" x14ac:dyDescent="0.25">
      <c r="A45" s="672"/>
      <c r="B45" s="704" t="s">
        <v>864</v>
      </c>
      <c r="C45" s="113">
        <v>10</v>
      </c>
      <c r="D45" s="672" t="s">
        <v>865</v>
      </c>
    </row>
    <row r="46" spans="1:5" x14ac:dyDescent="0.25">
      <c r="A46" s="672"/>
      <c r="B46" s="704" t="s">
        <v>864</v>
      </c>
      <c r="C46" s="113">
        <v>15.5</v>
      </c>
      <c r="D46" s="672" t="s">
        <v>866</v>
      </c>
    </row>
    <row r="47" spans="1:5" x14ac:dyDescent="0.25">
      <c r="A47" s="672"/>
      <c r="B47" s="704" t="s">
        <v>867</v>
      </c>
      <c r="C47" s="113">
        <v>25</v>
      </c>
      <c r="D47" s="672" t="s">
        <v>868</v>
      </c>
    </row>
    <row r="48" spans="1:5" x14ac:dyDescent="0.25">
      <c r="A48" s="672"/>
      <c r="B48" s="1" t="s">
        <v>885</v>
      </c>
      <c r="C48" s="113">
        <v>25</v>
      </c>
      <c r="D48" s="672" t="s">
        <v>869</v>
      </c>
    </row>
    <row r="49" spans="1:10" x14ac:dyDescent="0.25">
      <c r="A49" s="672"/>
      <c r="B49" s="704" t="s">
        <v>870</v>
      </c>
      <c r="C49" s="113">
        <v>35</v>
      </c>
      <c r="D49" s="672" t="s">
        <v>871</v>
      </c>
    </row>
    <row r="50" spans="1:10" x14ac:dyDescent="0.25">
      <c r="A50" s="672"/>
      <c r="B50" s="704" t="s">
        <v>872</v>
      </c>
      <c r="C50" s="113">
        <v>35</v>
      </c>
      <c r="D50" s="672" t="s">
        <v>873</v>
      </c>
    </row>
    <row r="56" spans="1:10" ht="13" x14ac:dyDescent="0.3">
      <c r="G56" s="43"/>
      <c r="H56" s="43"/>
      <c r="I56" s="43"/>
    </row>
    <row r="57" spans="1:10" ht="13" x14ac:dyDescent="0.3">
      <c r="G57" s="43"/>
      <c r="H57" s="43"/>
      <c r="I57" s="43"/>
    </row>
    <row r="59" spans="1:10" x14ac:dyDescent="0.25">
      <c r="C59" s="1"/>
    </row>
    <row r="60" spans="1:10" x14ac:dyDescent="0.25">
      <c r="C60" s="1"/>
    </row>
    <row r="61" spans="1:10" x14ac:dyDescent="0.25">
      <c r="C61" s="1"/>
    </row>
    <row r="62" spans="1:10" x14ac:dyDescent="0.25">
      <c r="C62" s="1"/>
    </row>
    <row r="63" spans="1:10" x14ac:dyDescent="0.25">
      <c r="C63" s="1"/>
      <c r="J63" s="553"/>
    </row>
    <row r="64" spans="1:10" x14ac:dyDescent="0.25">
      <c r="C64" s="1"/>
    </row>
    <row r="65" spans="3:3" x14ac:dyDescent="0.25">
      <c r="C65" s="1"/>
    </row>
    <row r="66" spans="3:3" x14ac:dyDescent="0.25">
      <c r="C66" s="1"/>
    </row>
  </sheetData>
  <printOptions gridLines="1"/>
  <pageMargins left="0.25" right="0.25" top="0.75" bottom="0.75" header="0.3" footer="0.3"/>
  <pageSetup orientation="landscape" r:id="rId1"/>
  <headerFooter alignWithMargins="0">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7C019EEF712C14F9AA760FDD484F3AE" ma:contentTypeVersion="56" ma:contentTypeDescription="" ma:contentTypeScope="" ma:versionID="e21cd1a820edebba0002a5cb355680f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TS</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216</IndustryCode>
    <CaseStatus xmlns="dc463f71-b30c-4ab2-9473-d307f9d35888">Closed</CaseStatus>
    <OpenedDate xmlns="dc463f71-b30c-4ab2-9473-d307f9d35888">2019-12-06T08:00:00+00:00</OpenedDate>
    <SignificantOrder xmlns="dc463f71-b30c-4ab2-9473-d307f9d35888">false</SignificantOrder>
    <Date1 xmlns="dc463f71-b30c-4ab2-9473-d307f9d35888">2019-12-06T08:00:00+00:00</Date1>
    <IsDocumentOrder xmlns="dc463f71-b30c-4ab2-9473-d307f9d35888">false</IsDocumentOrder>
    <IsHighlyConfidential xmlns="dc463f71-b30c-4ab2-9473-d307f9d35888">false</IsHighlyConfidential>
    <CaseCompanyNames xmlns="dc463f71-b30c-4ab2-9473-d307f9d35888">Discover Lake Chelan LLC</CaseCompanyNames>
    <Nickname xmlns="http://schemas.microsoft.com/sharepoint/v3" xsi:nil="true"/>
    <DocketNumber xmlns="dc463f71-b30c-4ab2-9473-d307f9d35888">191009</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2675EC7-21F8-4B22-8C88-6AE5F05EDEAE}">
  <ds:schemaRefs>
    <ds:schemaRef ds:uri="http://schemas.microsoft.com/sharepoint/v3/contenttype/forms"/>
  </ds:schemaRefs>
</ds:datastoreItem>
</file>

<file path=customXml/itemProps2.xml><?xml version="1.0" encoding="utf-8"?>
<ds:datastoreItem xmlns:ds="http://schemas.openxmlformats.org/officeDocument/2006/customXml" ds:itemID="{C747EEBE-E9B3-495A-A164-81D65C991D86}"/>
</file>

<file path=customXml/itemProps3.xml><?xml version="1.0" encoding="utf-8"?>
<ds:datastoreItem xmlns:ds="http://schemas.openxmlformats.org/officeDocument/2006/customXml" ds:itemID="{592C1C10-D963-4605-B0F7-D4E6FEB44011}">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6a7bd91e-004b-490a-8704-e368d63d59a0"/>
    <ds:schemaRef ds:uri="http://www.w3.org/XML/1998/namespace"/>
    <ds:schemaRef ds:uri="http://purl.org/dc/dcmitype/"/>
  </ds:schemaRefs>
</ds:datastoreItem>
</file>

<file path=customXml/itemProps4.xml><?xml version="1.0" encoding="utf-8"?>
<ds:datastoreItem xmlns:ds="http://schemas.openxmlformats.org/officeDocument/2006/customXml" ds:itemID="{24FA41CE-00FF-42FD-BD37-4424C0BF14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2020 Pro Forma Income State</vt:lpstr>
      <vt:lpstr>Inc Stmnt 12 mo 8.1.18  7.31.19</vt:lpstr>
      <vt:lpstr>Proforma Company Adj</vt:lpstr>
      <vt:lpstr>Proforma Restating Adj</vt:lpstr>
      <vt:lpstr>Charters</vt:lpstr>
      <vt:lpstr>Pass Fares - 2020</vt:lpstr>
      <vt:lpstr>Pass Fares - OLD</vt:lpstr>
      <vt:lpstr>2020 Sailing Schedule Changes</vt:lpstr>
      <vt:lpstr>Freight Rate Calc</vt:lpstr>
      <vt:lpstr>Freight Rate comparables</vt:lpstr>
      <vt:lpstr>OLD WUTC Depn</vt:lpstr>
      <vt:lpstr>DLC LCBC Depn</vt:lpstr>
      <vt:lpstr>OLD LCRI LCBC Depn</vt:lpstr>
      <vt:lpstr>Fuel Purchases</vt:lpstr>
      <vt:lpstr>Passengers</vt:lpstr>
      <vt:lpstr>Minimum Wage</vt:lpstr>
      <vt:lpstr>'2020 Pro Forma Income State'!Print_Titles</vt:lpstr>
      <vt:lpstr>'Inc Stmnt 12 mo 8.1.18  7.31.19'!Print_Titles</vt:lpstr>
      <vt:lpstr>'OLD WUTC Depn'!Print_Titles</vt:lpstr>
      <vt:lpstr>'Proforma Company Adj'!Print_Titles</vt:lpstr>
      <vt:lpstr>TheYear</vt:lpstr>
    </vt:vector>
  </TitlesOfParts>
  <Company>Lake Chelan Recreation,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dc:creator>
  <cp:lastModifiedBy>Wyse, Lisa (UTC)</cp:lastModifiedBy>
  <cp:lastPrinted>2019-12-03T19:55:33Z</cp:lastPrinted>
  <dcterms:created xsi:type="dcterms:W3CDTF">2001-02-16T19:05:09Z</dcterms:created>
  <dcterms:modified xsi:type="dcterms:W3CDTF">2020-01-25T01:00:45Z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0x0101006E56B4D1795A2E4DB2F0B01679ED314A00B7C019EEF712C14F9AA760FDD484F3AE</vt:lpwstr>
  </property>
  <property fmtid="{D5CDD505-2E9C-101B-9397-08002B2CF9AE}" pid="3" name="_docset_NoMedatataSyncRequired">
    <vt:lpwstr>False</vt:lpwstr>
  </property>
  <property fmtid="{D5CDD505-2E9C-101B-9397-08002B2CF9AE}" pid="4" name="IsEFSEC">
    <vt:bool>false</vt:bool>
  </property>
</Properties>
</file>