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mc:AlternateContent xmlns:mc="http://schemas.openxmlformats.org/markup-compatibility/2006">
    <mc:Choice Requires="x15">
      <x15ac:absPath xmlns:x15ac="http://schemas.microsoft.com/office/spreadsheetml/2010/11/ac" url="G:\Dept\Rates\WA Rate Case 2019\Testimony\Myhrum\"/>
    </mc:Choice>
  </mc:AlternateContent>
  <bookViews>
    <workbookView xWindow="23880" yWindow="-120" windowWidth="19440" windowHeight="15600" tabRatio="1000"/>
  </bookViews>
  <sheets>
    <sheet name="IDM-2 Cover Page" sheetId="22" r:id="rId1"/>
    <sheet name="Exh IDM-2 - Revenue Summary" sheetId="1" r:id="rId2"/>
    <sheet name="IDM-3 Cover Page" sheetId="23" r:id="rId3"/>
    <sheet name="Exh IDM-3 - Revenue Adjustments" sheetId="21" r:id="rId4"/>
    <sheet name="IDM-4 Cover Page" sheetId="24" r:id="rId5"/>
    <sheet name="Exh IDM-4 -Revenue Distribution" sheetId="18" r:id="rId6"/>
    <sheet name="IDM-5 Cover Page" sheetId="25" r:id="rId7"/>
    <sheet name="Exh IDM-5 Decoup. Exhibit" sheetId="20" r:id="rId8"/>
    <sheet name="WORKPAPERS---&gt;" sheetId="11" r:id="rId9"/>
    <sheet name="Index" sheetId="26" r:id="rId10"/>
    <sheet name="1501 Summary" sheetId="13" r:id="rId11"/>
    <sheet name="Rev Recon Summary" sheetId="15" r:id="rId12"/>
    <sheet name="End of Period Calculations" sheetId="17" r:id="rId13"/>
    <sheet name="Allocation Report Summary" sheetId="4" r:id="rId14"/>
    <sheet name="Weather Normalization" sheetId="16" r:id="rId15"/>
    <sheet name="WACAP2018" sheetId="19" r:id="rId16"/>
  </sheets>
  <externalReferences>
    <externalReference r:id="rId17"/>
  </externalReferences>
  <definedNames>
    <definedName name="MONTANA_DAKOTA_UTILITIES_CO." localSheetId="10">#REF!</definedName>
    <definedName name="MONTANA_DAKOTA_UTILITIES_CO." localSheetId="2">#REF!</definedName>
    <definedName name="MONTANA_DAKOTA_UTILITIES_CO." localSheetId="4">#REF!</definedName>
    <definedName name="MONTANA_DAKOTA_UTILITIES_CO." localSheetId="6">#REF!</definedName>
    <definedName name="MONTANA_DAKOTA_UTILITIES_CO." localSheetId="11">#REF!</definedName>
    <definedName name="MONTANA_DAKOTA_UTILITIES_CO.">#REF!</definedName>
    <definedName name="_xlnm.Print_Area" localSheetId="10">'1501 Summary'!$A$1:$AE$464</definedName>
    <definedName name="_xlnm.Print_Area" localSheetId="13">'Allocation Report Summary'!$A$1:$P$29</definedName>
    <definedName name="_xlnm.Print_Area" localSheetId="1">'Exh IDM-2 - Revenue Summary'!$A$1:$Y$766</definedName>
    <definedName name="_xlnm.Print_Area" localSheetId="7">'Exh IDM-5 Decoup. Exhibit'!$A$1:$P$65</definedName>
    <definedName name="_xlnm.Print_Area" localSheetId="0">'IDM-2 Cover Page'!$A$1:$A$34</definedName>
    <definedName name="_xlnm.Print_Area" localSheetId="2">'IDM-3 Cover Page'!$A$1:$A$34</definedName>
    <definedName name="_xlnm.Print_Area" localSheetId="4">'IDM-4 Cover Page'!$A$1:$A$34</definedName>
    <definedName name="_xlnm.Print_Area" localSheetId="6">'IDM-5 Cover Page'!$A$1:$A$34</definedName>
    <definedName name="_xlnm.Print_Area" localSheetId="9">Index!$A$1:$G$21</definedName>
    <definedName name="_xlnm.Print_Area" localSheetId="15">WACAP2018!$A$1:$AL$171</definedName>
    <definedName name="_xlnm.Print_Titles" localSheetId="1">'Exh IDM-2 - Revenue Summary'!$1:$5</definedName>
    <definedName name="RATE" localSheetId="10">#REF!</definedName>
    <definedName name="RATE" localSheetId="2">#REF!</definedName>
    <definedName name="RATE" localSheetId="4">#REF!</definedName>
    <definedName name="RATE" localSheetId="6">#REF!</definedName>
    <definedName name="RATE" localSheetId="11">#REF!</definedName>
    <definedName name="RATE">#REF!</definedName>
    <definedName name="RATE_VARIANCE" localSheetId="10">#REF!</definedName>
    <definedName name="RATE_VARIANCE" localSheetId="2">#REF!</definedName>
    <definedName name="RATE_VARIANCE" localSheetId="4">#REF!</definedName>
    <definedName name="RATE_VARIANCE" localSheetId="6">#REF!</definedName>
    <definedName name="RATE_VARIANCE">#REF!</definedName>
    <definedName name="SUMMARY_CURRENT" localSheetId="10">#REF!</definedName>
    <definedName name="SUMMARY_CURRENT" localSheetId="2">#REF!</definedName>
    <definedName name="SUMMARY_CURRENT" localSheetId="4">#REF!</definedName>
    <definedName name="SUMMARY_CURRENT" localSheetId="6">#REF!</definedName>
    <definedName name="SUMMARY_CURRENT">#REF!</definedName>
    <definedName name="SUMMARY_PRIOR" localSheetId="10">#REF!</definedName>
    <definedName name="SUMMARY_PRIOR" localSheetId="2">#REF!</definedName>
    <definedName name="SUMMARY_PRIOR" localSheetId="4">#REF!</definedName>
    <definedName name="SUMMARY_PRIOR" localSheetId="6">#REF!</definedName>
    <definedName name="SUMMARY_PRIOR">#REF!</definedName>
    <definedName name="VOLUME" localSheetId="10">#REF!</definedName>
    <definedName name="VOLUME" localSheetId="2">#REF!</definedName>
    <definedName name="VOLUME" localSheetId="4">#REF!</definedName>
    <definedName name="VOLUME" localSheetId="6">#REF!</definedName>
    <definedName name="VOLUME">#REF!</definedName>
  </definedNames>
  <calcPr calcId="171027"/>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54" i="13" l="1"/>
  <c r="AD455" i="13"/>
  <c r="E760" i="1"/>
  <c r="I457" i="13"/>
  <c r="K457" i="13"/>
  <c r="M457" i="13"/>
  <c r="O457" i="13"/>
  <c r="Q457" i="13"/>
  <c r="S457" i="13"/>
  <c r="U457" i="13"/>
  <c r="W457" i="13"/>
  <c r="Y457" i="13"/>
  <c r="AA457" i="13"/>
  <c r="AC457" i="13"/>
  <c r="G457" i="13"/>
  <c r="I454" i="13"/>
  <c r="K454" i="13"/>
  <c r="M454" i="13"/>
  <c r="O454" i="13"/>
  <c r="Q454" i="13"/>
  <c r="S454" i="13"/>
  <c r="U454" i="13"/>
  <c r="W454" i="13"/>
  <c r="Y454" i="13"/>
  <c r="AA454" i="13"/>
  <c r="AC454" i="13"/>
  <c r="G454" i="13"/>
  <c r="I436" i="13"/>
  <c r="K436" i="13"/>
  <c r="M436" i="13"/>
  <c r="O436" i="13"/>
  <c r="Q436" i="13"/>
  <c r="S436" i="13"/>
  <c r="U436" i="13"/>
  <c r="W436" i="13"/>
  <c r="Y436" i="13"/>
  <c r="AA436" i="13"/>
  <c r="AC436" i="13"/>
  <c r="G436" i="13"/>
  <c r="I433" i="13"/>
  <c r="K433" i="13"/>
  <c r="M433" i="13"/>
  <c r="O433" i="13"/>
  <c r="Q433" i="13"/>
  <c r="S433" i="13"/>
  <c r="U433" i="13"/>
  <c r="W433" i="13"/>
  <c r="Y433" i="13"/>
  <c r="AA433" i="13"/>
  <c r="AC433" i="13"/>
  <c r="G433" i="13"/>
  <c r="I420" i="13"/>
  <c r="K420" i="13"/>
  <c r="M420" i="13"/>
  <c r="O420" i="13"/>
  <c r="Q420" i="13"/>
  <c r="S420" i="13"/>
  <c r="U420" i="13"/>
  <c r="W420" i="13"/>
  <c r="Y420" i="13"/>
  <c r="AA420" i="13"/>
  <c r="AC420" i="13"/>
  <c r="G420" i="13"/>
  <c r="I412" i="13"/>
  <c r="K412" i="13"/>
  <c r="M412" i="13"/>
  <c r="O412" i="13"/>
  <c r="Q412" i="13"/>
  <c r="S412" i="13"/>
  <c r="U412" i="13"/>
  <c r="W412" i="13"/>
  <c r="Y412" i="13"/>
  <c r="AA412" i="13"/>
  <c r="AC412" i="13"/>
  <c r="G412" i="13"/>
  <c r="I409" i="13"/>
  <c r="K409" i="13"/>
  <c r="M409" i="13"/>
  <c r="O409" i="13"/>
  <c r="Q409" i="13"/>
  <c r="S409" i="13"/>
  <c r="U409" i="13"/>
  <c r="W409" i="13"/>
  <c r="Y409" i="13"/>
  <c r="AA409" i="13"/>
  <c r="AC409" i="13"/>
  <c r="G409" i="13"/>
  <c r="I397" i="13"/>
  <c r="K397" i="13"/>
  <c r="M397" i="13"/>
  <c r="O397" i="13"/>
  <c r="Q397" i="13"/>
  <c r="S397" i="13"/>
  <c r="U397" i="13"/>
  <c r="W397" i="13"/>
  <c r="Y397" i="13"/>
  <c r="AA397" i="13"/>
  <c r="AC397" i="13"/>
  <c r="G397" i="13"/>
  <c r="I394" i="13"/>
  <c r="K394" i="13"/>
  <c r="M394" i="13"/>
  <c r="O394" i="13"/>
  <c r="Q394" i="13"/>
  <c r="S394" i="13"/>
  <c r="U394" i="13"/>
  <c r="W394" i="13"/>
  <c r="Y394" i="13"/>
  <c r="AA394" i="13"/>
  <c r="AC394" i="13"/>
  <c r="G394" i="13"/>
  <c r="I383" i="13"/>
  <c r="K383" i="13"/>
  <c r="M383" i="13"/>
  <c r="O383" i="13"/>
  <c r="Q383" i="13"/>
  <c r="S383" i="13"/>
  <c r="U383" i="13"/>
  <c r="W383" i="13"/>
  <c r="Y383" i="13"/>
  <c r="AA383" i="13"/>
  <c r="AC383" i="13"/>
  <c r="G383" i="13"/>
  <c r="I380" i="13"/>
  <c r="K380" i="13"/>
  <c r="M380" i="13"/>
  <c r="O380" i="13"/>
  <c r="Q380" i="13"/>
  <c r="S380" i="13"/>
  <c r="U380" i="13"/>
  <c r="W380" i="13"/>
  <c r="Y380" i="13"/>
  <c r="AA380" i="13"/>
  <c r="AC380" i="13"/>
  <c r="G380" i="13"/>
  <c r="I356" i="13"/>
  <c r="K356" i="13"/>
  <c r="M356" i="13"/>
  <c r="O356" i="13"/>
  <c r="Q356" i="13"/>
  <c r="S356" i="13"/>
  <c r="U356" i="13"/>
  <c r="W356" i="13"/>
  <c r="Y356" i="13"/>
  <c r="AA356" i="13"/>
  <c r="AC356" i="13"/>
  <c r="G356" i="13"/>
  <c r="I353" i="13"/>
  <c r="K353" i="13"/>
  <c r="M353" i="13"/>
  <c r="O353" i="13"/>
  <c r="Q353" i="13"/>
  <c r="S353" i="13"/>
  <c r="U353" i="13"/>
  <c r="W353" i="13"/>
  <c r="Y353" i="13"/>
  <c r="AA353" i="13"/>
  <c r="AC353" i="13"/>
  <c r="G353" i="13"/>
  <c r="AD335" i="13"/>
  <c r="AD336" i="13"/>
  <c r="AD337" i="13"/>
  <c r="I334" i="13"/>
  <c r="K334" i="13"/>
  <c r="M334" i="13"/>
  <c r="O334" i="13"/>
  <c r="Q334" i="13"/>
  <c r="S334" i="13"/>
  <c r="U334" i="13"/>
  <c r="W334" i="13"/>
  <c r="Y334" i="13"/>
  <c r="AA334" i="13"/>
  <c r="AC334" i="13"/>
  <c r="G334" i="13"/>
  <c r="I317" i="13"/>
  <c r="K317" i="13"/>
  <c r="M317" i="13"/>
  <c r="O317" i="13"/>
  <c r="Q317" i="13"/>
  <c r="S317" i="13"/>
  <c r="U317" i="13"/>
  <c r="W317" i="13"/>
  <c r="Y317" i="13"/>
  <c r="AA317" i="13"/>
  <c r="AC317" i="13"/>
  <c r="G317" i="13"/>
  <c r="I314" i="13"/>
  <c r="K314" i="13"/>
  <c r="M314" i="13"/>
  <c r="O314" i="13"/>
  <c r="Q314" i="13"/>
  <c r="S314" i="13"/>
  <c r="U314" i="13"/>
  <c r="W314" i="13"/>
  <c r="Y314" i="13"/>
  <c r="AA314" i="13"/>
  <c r="AC314" i="13"/>
  <c r="G314" i="13"/>
  <c r="I303" i="13"/>
  <c r="K303" i="13"/>
  <c r="M303" i="13"/>
  <c r="O303" i="13"/>
  <c r="Q303" i="13"/>
  <c r="S303" i="13"/>
  <c r="U303" i="13"/>
  <c r="W303" i="13"/>
  <c r="Y303" i="13"/>
  <c r="AA303" i="13"/>
  <c r="AC303" i="13"/>
  <c r="G303" i="13"/>
  <c r="I300" i="13"/>
  <c r="K300" i="13"/>
  <c r="M300" i="13"/>
  <c r="O300" i="13"/>
  <c r="Q300" i="13"/>
  <c r="S300" i="13"/>
  <c r="U300" i="13"/>
  <c r="W300" i="13"/>
  <c r="Y300" i="13"/>
  <c r="AA300" i="13"/>
  <c r="AC300" i="13"/>
  <c r="G300" i="13"/>
  <c r="I289" i="13"/>
  <c r="K289" i="13"/>
  <c r="M289" i="13"/>
  <c r="O289" i="13"/>
  <c r="Q289" i="13"/>
  <c r="S289" i="13"/>
  <c r="U289" i="13"/>
  <c r="W289" i="13"/>
  <c r="Y289" i="13"/>
  <c r="AA289" i="13"/>
  <c r="AC289" i="13"/>
  <c r="G289" i="13"/>
  <c r="I286" i="13"/>
  <c r="K286" i="13"/>
  <c r="M286" i="13"/>
  <c r="O286" i="13"/>
  <c r="Q286" i="13"/>
  <c r="S286" i="13"/>
  <c r="U286" i="13"/>
  <c r="W286" i="13"/>
  <c r="Y286" i="13"/>
  <c r="AA286" i="13"/>
  <c r="AC286" i="13"/>
  <c r="G286" i="13"/>
  <c r="I275" i="13"/>
  <c r="K275" i="13"/>
  <c r="M275" i="13"/>
  <c r="O275" i="13"/>
  <c r="Q275" i="13"/>
  <c r="S275" i="13"/>
  <c r="U275" i="13"/>
  <c r="W275" i="13"/>
  <c r="Y275" i="13"/>
  <c r="AA275" i="13"/>
  <c r="AC275" i="13"/>
  <c r="G275" i="13"/>
  <c r="I272" i="13"/>
  <c r="K272" i="13"/>
  <c r="M272" i="13"/>
  <c r="O272" i="13"/>
  <c r="Q272" i="13"/>
  <c r="S272" i="13"/>
  <c r="U272" i="13"/>
  <c r="W272" i="13"/>
  <c r="Y272" i="13"/>
  <c r="AA272" i="13"/>
  <c r="AC272" i="13"/>
  <c r="G272" i="13"/>
  <c r="I261" i="13"/>
  <c r="K261" i="13"/>
  <c r="M261" i="13"/>
  <c r="O261" i="13"/>
  <c r="Q261" i="13"/>
  <c r="S261" i="13"/>
  <c r="U261" i="13"/>
  <c r="W261" i="13"/>
  <c r="Y261" i="13"/>
  <c r="AA261" i="13"/>
  <c r="AC261" i="13"/>
  <c r="G261" i="13"/>
  <c r="I258" i="13"/>
  <c r="K258" i="13"/>
  <c r="M258" i="13"/>
  <c r="O258" i="13"/>
  <c r="Q258" i="13"/>
  <c r="S258" i="13"/>
  <c r="U258" i="13"/>
  <c r="W258" i="13"/>
  <c r="Y258" i="13"/>
  <c r="AA258" i="13"/>
  <c r="AC258" i="13"/>
  <c r="G258" i="13"/>
  <c r="I247" i="13"/>
  <c r="K247" i="13"/>
  <c r="M247" i="13"/>
  <c r="O247" i="13"/>
  <c r="Q247" i="13"/>
  <c r="S247" i="13"/>
  <c r="U247" i="13"/>
  <c r="W247" i="13"/>
  <c r="Y247" i="13"/>
  <c r="AA247" i="13"/>
  <c r="AC247" i="13"/>
  <c r="G247" i="13"/>
  <c r="I244" i="13"/>
  <c r="K244" i="13"/>
  <c r="M244" i="13"/>
  <c r="O244" i="13"/>
  <c r="Q244" i="13"/>
  <c r="S244" i="13"/>
  <c r="U244" i="13"/>
  <c r="W244" i="13"/>
  <c r="Y244" i="13"/>
  <c r="AA244" i="13"/>
  <c r="AC244" i="13"/>
  <c r="G244" i="13"/>
  <c r="AD234" i="13"/>
  <c r="H234" i="13"/>
  <c r="I234" i="13"/>
  <c r="J234" i="13"/>
  <c r="K234" i="13"/>
  <c r="L234" i="13"/>
  <c r="M234" i="13"/>
  <c r="N234" i="13"/>
  <c r="O234" i="13"/>
  <c r="P234" i="13"/>
  <c r="Q234" i="13"/>
  <c r="R234" i="13"/>
  <c r="S234" i="13"/>
  <c r="T234" i="13"/>
  <c r="U234" i="13"/>
  <c r="V234" i="13"/>
  <c r="W234" i="13"/>
  <c r="X234" i="13"/>
  <c r="Y234" i="13"/>
  <c r="Z234" i="13"/>
  <c r="AA234" i="13"/>
  <c r="AB234" i="13"/>
  <c r="AC234" i="13"/>
  <c r="G234" i="13"/>
  <c r="G231" i="13"/>
  <c r="I231" i="13"/>
  <c r="K231" i="13"/>
  <c r="M231" i="13"/>
  <c r="O231" i="13"/>
  <c r="Q231" i="13"/>
  <c r="S231" i="13"/>
  <c r="U231" i="13"/>
  <c r="W231" i="13"/>
  <c r="Y231" i="13"/>
  <c r="AA231" i="13"/>
  <c r="AC231" i="13"/>
  <c r="G115" i="13"/>
  <c r="I205" i="13"/>
  <c r="K205" i="13"/>
  <c r="M205" i="13"/>
  <c r="O205" i="13"/>
  <c r="Q205" i="13"/>
  <c r="S205" i="13"/>
  <c r="U205" i="13"/>
  <c r="W205" i="13"/>
  <c r="Y205" i="13"/>
  <c r="AA205" i="13"/>
  <c r="AC205" i="13"/>
  <c r="G205" i="13"/>
  <c r="G202" i="13"/>
  <c r="I202" i="13"/>
  <c r="K202" i="13"/>
  <c r="M202" i="13"/>
  <c r="O202" i="13"/>
  <c r="Q202" i="13"/>
  <c r="S202" i="13"/>
  <c r="U202" i="13"/>
  <c r="W202" i="13"/>
  <c r="Y202" i="13"/>
  <c r="AA202" i="13"/>
  <c r="AC202" i="13"/>
  <c r="I189" i="13"/>
  <c r="K189" i="13"/>
  <c r="M189" i="13"/>
  <c r="O189" i="13"/>
  <c r="Q189" i="13"/>
  <c r="S189" i="13"/>
  <c r="U189" i="13"/>
  <c r="W189" i="13"/>
  <c r="Y189" i="13"/>
  <c r="AA189" i="13"/>
  <c r="AC189" i="13"/>
  <c r="G189" i="13"/>
  <c r="I186" i="13"/>
  <c r="K186" i="13"/>
  <c r="M186" i="13"/>
  <c r="O186" i="13"/>
  <c r="Q186" i="13"/>
  <c r="S186" i="13"/>
  <c r="U186" i="13"/>
  <c r="W186" i="13"/>
  <c r="Y186" i="13"/>
  <c r="AA186" i="13"/>
  <c r="AC186" i="13"/>
  <c r="G186" i="13"/>
  <c r="I169" i="13"/>
  <c r="K169" i="13"/>
  <c r="M169" i="13"/>
  <c r="O169" i="13"/>
  <c r="Q169" i="13"/>
  <c r="S169" i="13"/>
  <c r="U169" i="13"/>
  <c r="W169" i="13"/>
  <c r="Y169" i="13"/>
  <c r="AA169" i="13"/>
  <c r="AC169" i="13"/>
  <c r="G169" i="13"/>
  <c r="G166" i="13"/>
  <c r="I166" i="13"/>
  <c r="K166" i="13"/>
  <c r="M166" i="13"/>
  <c r="O166" i="13"/>
  <c r="Q166" i="13"/>
  <c r="S166" i="13"/>
  <c r="U166" i="13"/>
  <c r="W166" i="13"/>
  <c r="Y166" i="13"/>
  <c r="AA166" i="13"/>
  <c r="AC166" i="13"/>
  <c r="I151" i="13"/>
  <c r="K151" i="13"/>
  <c r="M151" i="13"/>
  <c r="O151" i="13"/>
  <c r="Q151" i="13"/>
  <c r="S151" i="13"/>
  <c r="U151" i="13"/>
  <c r="W151" i="13"/>
  <c r="Y151" i="13"/>
  <c r="AA151" i="13"/>
  <c r="AC151" i="13"/>
  <c r="G151" i="13"/>
  <c r="I148" i="13"/>
  <c r="K148" i="13"/>
  <c r="M148" i="13"/>
  <c r="O148" i="13"/>
  <c r="Q148" i="13"/>
  <c r="S148" i="13"/>
  <c r="U148" i="13"/>
  <c r="W148" i="13"/>
  <c r="Y148" i="13"/>
  <c r="AA148" i="13"/>
  <c r="AC148" i="13"/>
  <c r="G148" i="13"/>
  <c r="I136" i="13"/>
  <c r="K136" i="13"/>
  <c r="M136" i="13"/>
  <c r="O136" i="13"/>
  <c r="Q136" i="13"/>
  <c r="S136" i="13"/>
  <c r="U136" i="13"/>
  <c r="W136" i="13"/>
  <c r="Y136" i="13"/>
  <c r="AA136" i="13"/>
  <c r="AC136" i="13"/>
  <c r="G136" i="13"/>
  <c r="I133" i="13"/>
  <c r="K133" i="13"/>
  <c r="M133" i="13"/>
  <c r="O133" i="13"/>
  <c r="Q133" i="13"/>
  <c r="S133" i="13"/>
  <c r="U133" i="13"/>
  <c r="W133" i="13"/>
  <c r="Y133" i="13"/>
  <c r="AA133" i="13"/>
  <c r="AC133" i="13"/>
  <c r="G133" i="13"/>
  <c r="I118" i="13"/>
  <c r="K118" i="13"/>
  <c r="M118" i="13"/>
  <c r="O118" i="13"/>
  <c r="Q118" i="13"/>
  <c r="S118" i="13"/>
  <c r="U118" i="13"/>
  <c r="W118" i="13"/>
  <c r="Y118" i="13"/>
  <c r="AA118" i="13"/>
  <c r="AC118" i="13"/>
  <c r="G118" i="13"/>
  <c r="I115" i="13"/>
  <c r="K115" i="13"/>
  <c r="M115" i="13"/>
  <c r="O115" i="13"/>
  <c r="Q115" i="13"/>
  <c r="S115" i="13"/>
  <c r="U115" i="13"/>
  <c r="W115" i="13"/>
  <c r="Y115" i="13"/>
  <c r="AA115" i="13"/>
  <c r="AC115" i="13"/>
  <c r="I93" i="13"/>
  <c r="K93" i="13"/>
  <c r="M93" i="13"/>
  <c r="O93" i="13"/>
  <c r="Q93" i="13"/>
  <c r="S93" i="13"/>
  <c r="U93" i="13"/>
  <c r="W93" i="13"/>
  <c r="Y93" i="13"/>
  <c r="AA93" i="13"/>
  <c r="AC93" i="13"/>
  <c r="G93" i="13"/>
  <c r="I90" i="13"/>
  <c r="K90" i="13"/>
  <c r="M90" i="13"/>
  <c r="O90" i="13"/>
  <c r="Q90" i="13"/>
  <c r="S90" i="13"/>
  <c r="U90" i="13"/>
  <c r="W90" i="13"/>
  <c r="Y90" i="13"/>
  <c r="AA90" i="13"/>
  <c r="AC90" i="13"/>
  <c r="G90" i="13"/>
  <c r="I67" i="13"/>
  <c r="K67" i="13"/>
  <c r="M67" i="13"/>
  <c r="O67" i="13"/>
  <c r="Q67" i="13"/>
  <c r="S67" i="13"/>
  <c r="U67" i="13"/>
  <c r="W67" i="13"/>
  <c r="Y67" i="13"/>
  <c r="AA67" i="13"/>
  <c r="AC67" i="13"/>
  <c r="G67" i="13"/>
  <c r="I64" i="13"/>
  <c r="K64" i="13"/>
  <c r="M64" i="13"/>
  <c r="O64" i="13"/>
  <c r="Q64" i="13"/>
  <c r="S64" i="13"/>
  <c r="U64" i="13"/>
  <c r="W64" i="13"/>
  <c r="Y64" i="13"/>
  <c r="AA64" i="13"/>
  <c r="AC64" i="13"/>
  <c r="G64" i="13"/>
  <c r="I43" i="13"/>
  <c r="K43" i="13"/>
  <c r="M43" i="13"/>
  <c r="O43" i="13"/>
  <c r="Q43" i="13"/>
  <c r="S43" i="13"/>
  <c r="U43" i="13"/>
  <c r="W43" i="13"/>
  <c r="Y43" i="13"/>
  <c r="AA43" i="13"/>
  <c r="AC43" i="13"/>
  <c r="G43" i="13"/>
  <c r="I40" i="13"/>
  <c r="K40" i="13"/>
  <c r="M40" i="13"/>
  <c r="O40" i="13"/>
  <c r="Q40" i="13"/>
  <c r="S40" i="13"/>
  <c r="U40" i="13"/>
  <c r="W40" i="13"/>
  <c r="Y40" i="13"/>
  <c r="AA40" i="13"/>
  <c r="AC40" i="13"/>
  <c r="G40" i="13"/>
  <c r="AD20" i="13"/>
  <c r="I20" i="13"/>
  <c r="K20" i="13"/>
  <c r="M20" i="13"/>
  <c r="O20" i="13"/>
  <c r="Q20" i="13"/>
  <c r="S20" i="13"/>
  <c r="U20" i="13"/>
  <c r="G20" i="13"/>
  <c r="K17" i="13"/>
  <c r="M17" i="13"/>
  <c r="O17" i="13"/>
  <c r="Q17" i="13"/>
  <c r="S17" i="13"/>
  <c r="U17" i="13"/>
  <c r="V17" i="13"/>
  <c r="W17" i="13"/>
  <c r="X17" i="13"/>
  <c r="Y17" i="13"/>
  <c r="Z17" i="13"/>
  <c r="AA17" i="13"/>
  <c r="AB17" i="13"/>
  <c r="AC17" i="13"/>
  <c r="I17" i="13"/>
  <c r="G17" i="13"/>
  <c r="AD334" i="13" l="1"/>
  <c r="B15" i="26"/>
  <c r="B16" i="26"/>
  <c r="B17" i="26"/>
  <c r="B18" i="26"/>
  <c r="B19" i="26" s="1"/>
  <c r="B20" i="26" s="1"/>
  <c r="A8" i="20" l="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X9" i="19" l="1"/>
  <c r="F10" i="19"/>
  <c r="G10" i="19"/>
  <c r="K10" i="19"/>
  <c r="K11" i="19" s="1"/>
  <c r="K13" i="19" s="1"/>
  <c r="V10" i="19"/>
  <c r="X10" i="19"/>
  <c r="AB10" i="19" s="1"/>
  <c r="D11" i="19"/>
  <c r="E11" i="19"/>
  <c r="F11" i="19"/>
  <c r="G11" i="19"/>
  <c r="H11" i="19"/>
  <c r="I11" i="19"/>
  <c r="J11" i="19"/>
  <c r="L11" i="19"/>
  <c r="L13" i="19" s="1"/>
  <c r="M11" i="19"/>
  <c r="O11" i="19"/>
  <c r="P11" i="19"/>
  <c r="P13" i="19" s="1"/>
  <c r="V11" i="19"/>
  <c r="X11" i="19"/>
  <c r="AB11" i="19" s="1"/>
  <c r="D12" i="19"/>
  <c r="E12" i="19"/>
  <c r="E13" i="19" s="1"/>
  <c r="F12" i="19"/>
  <c r="G12" i="19"/>
  <c r="H12" i="19"/>
  <c r="I12" i="19"/>
  <c r="I13" i="19" s="1"/>
  <c r="J12" i="19"/>
  <c r="M13" i="19"/>
  <c r="N13" i="19"/>
  <c r="O13" i="19"/>
  <c r="D14" i="19"/>
  <c r="N14" i="19"/>
  <c r="X18" i="19"/>
  <c r="V19" i="19"/>
  <c r="X19" i="19"/>
  <c r="AB19" i="19" s="1"/>
  <c r="AE19" i="19"/>
  <c r="AF19" i="19"/>
  <c r="AG19" i="19"/>
  <c r="AH19" i="19"/>
  <c r="AI19" i="19"/>
  <c r="K20" i="19"/>
  <c r="V20" i="19"/>
  <c r="X20" i="19"/>
  <c r="AB20" i="19" s="1"/>
  <c r="D21" i="19"/>
  <c r="E21" i="19"/>
  <c r="F21" i="19"/>
  <c r="G22" i="19" s="1"/>
  <c r="G21" i="19"/>
  <c r="H21" i="19"/>
  <c r="I21" i="19"/>
  <c r="J21" i="19"/>
  <c r="K22" i="19" s="1"/>
  <c r="K23" i="19" s="1"/>
  <c r="K21" i="19"/>
  <c r="L22" i="19" s="1"/>
  <c r="L23" i="19" s="1"/>
  <c r="L21" i="19"/>
  <c r="M21" i="19"/>
  <c r="O21" i="19"/>
  <c r="P22" i="19" s="1"/>
  <c r="P23" i="19" s="1"/>
  <c r="P21" i="19"/>
  <c r="AK21" i="19" s="1"/>
  <c r="D22" i="19"/>
  <c r="D23" i="19" s="1"/>
  <c r="E22" i="19"/>
  <c r="H22" i="19"/>
  <c r="H23" i="19" s="1"/>
  <c r="I22" i="19"/>
  <c r="M22" i="19"/>
  <c r="G23" i="19"/>
  <c r="D24" i="19"/>
  <c r="E24" i="19"/>
  <c r="F24" i="19"/>
  <c r="G24" i="19"/>
  <c r="H24" i="19"/>
  <c r="I24" i="19"/>
  <c r="J24" i="19"/>
  <c r="K24" i="19"/>
  <c r="L24" i="19"/>
  <c r="M24" i="19"/>
  <c r="O24" i="19"/>
  <c r="P24" i="19"/>
  <c r="N25" i="19"/>
  <c r="D26" i="19"/>
  <c r="N26" i="19"/>
  <c r="V28" i="19"/>
  <c r="V29" i="19"/>
  <c r="V34" i="19" s="1"/>
  <c r="V30" i="19"/>
  <c r="W30" i="19"/>
  <c r="X31" i="19"/>
  <c r="X36" i="19" s="1"/>
  <c r="AB36" i="19" s="1"/>
  <c r="AE31" i="19"/>
  <c r="AF31" i="19"/>
  <c r="AG31" i="19"/>
  <c r="AH31" i="19"/>
  <c r="AI31" i="19"/>
  <c r="AB32" i="19"/>
  <c r="V33" i="19"/>
  <c r="X33" i="19"/>
  <c r="AB33" i="19" s="1"/>
  <c r="X34" i="19"/>
  <c r="AB34" i="19"/>
  <c r="V35" i="19"/>
  <c r="X35" i="19"/>
  <c r="AB35" i="19" s="1"/>
  <c r="D36" i="19"/>
  <c r="E36" i="19"/>
  <c r="F36" i="19"/>
  <c r="G36" i="19"/>
  <c r="H36" i="19"/>
  <c r="I36" i="19"/>
  <c r="J36" i="19"/>
  <c r="K36" i="19"/>
  <c r="L36" i="19"/>
  <c r="M36" i="19"/>
  <c r="O36" i="19"/>
  <c r="P36" i="19"/>
  <c r="V36" i="19"/>
  <c r="D37" i="19"/>
  <c r="E37" i="19"/>
  <c r="F37" i="19"/>
  <c r="F38" i="19" s="1"/>
  <c r="G37" i="19"/>
  <c r="H37" i="19"/>
  <c r="H38" i="19" s="1"/>
  <c r="I37" i="19"/>
  <c r="J37" i="19"/>
  <c r="J38" i="19" s="1"/>
  <c r="K37" i="19"/>
  <c r="L37" i="19"/>
  <c r="M37" i="19"/>
  <c r="O37" i="19"/>
  <c r="O38" i="19" s="1"/>
  <c r="P37" i="19"/>
  <c r="P38" i="19" s="1"/>
  <c r="D38" i="19"/>
  <c r="N38" i="19"/>
  <c r="D39" i="19"/>
  <c r="N39" i="19"/>
  <c r="V41" i="19"/>
  <c r="V42" i="19"/>
  <c r="V43" i="19"/>
  <c r="X48" i="19" s="1"/>
  <c r="AB48" i="19" s="1"/>
  <c r="X44" i="19"/>
  <c r="AE44" i="19"/>
  <c r="AF44" i="19"/>
  <c r="AG44" i="19"/>
  <c r="AH44" i="19"/>
  <c r="AI44" i="19"/>
  <c r="AB45" i="19"/>
  <c r="V46" i="19"/>
  <c r="X46" i="19"/>
  <c r="AB46" i="19"/>
  <c r="V47" i="19"/>
  <c r="V48" i="19"/>
  <c r="D49" i="19"/>
  <c r="E49" i="19"/>
  <c r="F49" i="19"/>
  <c r="G49" i="19"/>
  <c r="H49" i="19"/>
  <c r="I49" i="19"/>
  <c r="J49" i="19"/>
  <c r="K49" i="19"/>
  <c r="L49" i="19"/>
  <c r="M49" i="19"/>
  <c r="O49" i="19"/>
  <c r="P49" i="19"/>
  <c r="V49" i="19"/>
  <c r="X49" i="19"/>
  <c r="AB49" i="19" s="1"/>
  <c r="D50" i="19"/>
  <c r="E50" i="19"/>
  <c r="F50" i="19"/>
  <c r="G50" i="19"/>
  <c r="G51" i="19" s="1"/>
  <c r="H50" i="19"/>
  <c r="H51" i="19" s="1"/>
  <c r="I50" i="19"/>
  <c r="J50" i="19"/>
  <c r="K50" i="19"/>
  <c r="K51" i="19" s="1"/>
  <c r="L50" i="19"/>
  <c r="L51" i="19" s="1"/>
  <c r="M50" i="19"/>
  <c r="O50" i="19"/>
  <c r="P50" i="19"/>
  <c r="P51" i="19" s="1"/>
  <c r="D51" i="19"/>
  <c r="N51" i="19"/>
  <c r="D52" i="19"/>
  <c r="N52" i="19"/>
  <c r="X57" i="19"/>
  <c r="X59" i="19" s="1"/>
  <c r="AB59" i="19" s="1"/>
  <c r="AE57" i="19"/>
  <c r="AF57" i="19"/>
  <c r="AG57" i="19"/>
  <c r="AH57" i="19"/>
  <c r="AH151" i="19" s="1"/>
  <c r="AI57" i="19"/>
  <c r="V58" i="19"/>
  <c r="V59" i="19"/>
  <c r="AK59" i="19"/>
  <c r="D60" i="19"/>
  <c r="D61" i="19" s="1"/>
  <c r="E60" i="19"/>
  <c r="F60" i="19"/>
  <c r="G60" i="19"/>
  <c r="H60" i="19"/>
  <c r="H61" i="19" s="1"/>
  <c r="I60" i="19"/>
  <c r="I61" i="19" s="1"/>
  <c r="J60" i="19"/>
  <c r="J61" i="19" s="1"/>
  <c r="K60" i="19"/>
  <c r="L60" i="19"/>
  <c r="L61" i="19" s="1"/>
  <c r="M60" i="19"/>
  <c r="M61" i="19" s="1"/>
  <c r="O60" i="19"/>
  <c r="O61" i="19" s="1"/>
  <c r="P60" i="19"/>
  <c r="P61" i="19" s="1"/>
  <c r="AK60" i="19"/>
  <c r="E61" i="19"/>
  <c r="F61" i="19"/>
  <c r="G61" i="19"/>
  <c r="K61" i="19"/>
  <c r="D62" i="19"/>
  <c r="E62" i="19"/>
  <c r="F62" i="19"/>
  <c r="G62" i="19"/>
  <c r="H62" i="19"/>
  <c r="I62" i="19"/>
  <c r="J62" i="19"/>
  <c r="K62" i="19"/>
  <c r="L62" i="19"/>
  <c r="M62" i="19"/>
  <c r="O62" i="19"/>
  <c r="O63" i="19" s="1"/>
  <c r="P62" i="19"/>
  <c r="N63" i="19"/>
  <c r="D64" i="19"/>
  <c r="N64" i="19"/>
  <c r="V66" i="19"/>
  <c r="X69" i="19"/>
  <c r="X70" i="19" s="1"/>
  <c r="AB70" i="19" s="1"/>
  <c r="AE69" i="19"/>
  <c r="AF69" i="19"/>
  <c r="AG69" i="19"/>
  <c r="AH69" i="19"/>
  <c r="AI69" i="19"/>
  <c r="V70" i="19"/>
  <c r="D71" i="19"/>
  <c r="E71" i="19"/>
  <c r="F71" i="19"/>
  <c r="G72" i="19" s="1"/>
  <c r="G73" i="19" s="1"/>
  <c r="G71" i="19"/>
  <c r="H71" i="19"/>
  <c r="I71" i="19"/>
  <c r="J71" i="19"/>
  <c r="K72" i="19" s="1"/>
  <c r="K73" i="19" s="1"/>
  <c r="K71" i="19"/>
  <c r="L71" i="19"/>
  <c r="M72" i="19" s="1"/>
  <c r="M71" i="19"/>
  <c r="O71" i="19"/>
  <c r="P71" i="19"/>
  <c r="V71" i="19"/>
  <c r="X71" i="19"/>
  <c r="AB71" i="19" s="1"/>
  <c r="AK71" i="19"/>
  <c r="D72" i="19"/>
  <c r="E72" i="19"/>
  <c r="H72" i="19"/>
  <c r="I72" i="19"/>
  <c r="J72" i="19"/>
  <c r="L72" i="19"/>
  <c r="L73" i="19" s="1"/>
  <c r="P72" i="19"/>
  <c r="P73" i="19" s="1"/>
  <c r="H73" i="19"/>
  <c r="D74" i="19"/>
  <c r="E74" i="19"/>
  <c r="F74" i="19"/>
  <c r="G74" i="19"/>
  <c r="H74" i="19"/>
  <c r="H75" i="19" s="1"/>
  <c r="I74" i="19"/>
  <c r="J74" i="19"/>
  <c r="K74" i="19"/>
  <c r="L74" i="19"/>
  <c r="M74" i="19"/>
  <c r="O74" i="19"/>
  <c r="P74" i="19"/>
  <c r="N75" i="19"/>
  <c r="D76" i="19"/>
  <c r="N76" i="19"/>
  <c r="V78" i="19"/>
  <c r="V79" i="19"/>
  <c r="X84" i="19" s="1"/>
  <c r="AB84" i="19" s="1"/>
  <c r="V80" i="19"/>
  <c r="V85" i="19" s="1"/>
  <c r="X81" i="19"/>
  <c r="X86" i="19" s="1"/>
  <c r="AB86" i="19" s="1"/>
  <c r="AE81" i="19"/>
  <c r="AE151" i="19" s="1"/>
  <c r="AF81" i="19"/>
  <c r="AG81" i="19"/>
  <c r="AH81" i="19"/>
  <c r="AI81" i="19"/>
  <c r="AB82" i="19"/>
  <c r="V83" i="19"/>
  <c r="X83" i="19"/>
  <c r="AB83" i="19" s="1"/>
  <c r="V84" i="19"/>
  <c r="X85" i="19"/>
  <c r="AB85" i="19" s="1"/>
  <c r="D86" i="19"/>
  <c r="E87" i="19" s="1"/>
  <c r="E88" i="19" s="1"/>
  <c r="E86" i="19"/>
  <c r="F86" i="19"/>
  <c r="G86" i="19"/>
  <c r="H86" i="19"/>
  <c r="I87" i="19" s="1"/>
  <c r="I88" i="19" s="1"/>
  <c r="I86" i="19"/>
  <c r="J86" i="19"/>
  <c r="K86" i="19"/>
  <c r="L86" i="19"/>
  <c r="M87" i="19" s="1"/>
  <c r="M88" i="19" s="1"/>
  <c r="M86" i="19"/>
  <c r="O86" i="19"/>
  <c r="P87" i="19" s="1"/>
  <c r="P86" i="19"/>
  <c r="V86" i="19"/>
  <c r="D87" i="19"/>
  <c r="AK87" i="19" s="1"/>
  <c r="F87" i="19"/>
  <c r="G87" i="19"/>
  <c r="J87" i="19"/>
  <c r="J88" i="19" s="1"/>
  <c r="K87" i="19"/>
  <c r="O87" i="19"/>
  <c r="F88" i="19"/>
  <c r="O88" i="19"/>
  <c r="D89" i="19"/>
  <c r="E89" i="19"/>
  <c r="F89" i="19"/>
  <c r="G89" i="19"/>
  <c r="H89" i="19"/>
  <c r="I89" i="19"/>
  <c r="J89" i="19"/>
  <c r="K89" i="19"/>
  <c r="L89" i="19"/>
  <c r="M89" i="19"/>
  <c r="O89" i="19"/>
  <c r="P89" i="19"/>
  <c r="N90" i="19"/>
  <c r="D91" i="19"/>
  <c r="N91" i="19"/>
  <c r="X96" i="19"/>
  <c r="X98" i="19" s="1"/>
  <c r="AB98" i="19" s="1"/>
  <c r="V97" i="19"/>
  <c r="D98" i="19"/>
  <c r="E98" i="19"/>
  <c r="F98" i="19"/>
  <c r="G98" i="19"/>
  <c r="H98" i="19"/>
  <c r="I98" i="19"/>
  <c r="J98" i="19"/>
  <c r="K98" i="19"/>
  <c r="K100" i="19" s="1"/>
  <c r="L98" i="19"/>
  <c r="L100" i="19" s="1"/>
  <c r="M98" i="19"/>
  <c r="O98" i="19"/>
  <c r="O100" i="19" s="1"/>
  <c r="P98" i="19"/>
  <c r="P100" i="19" s="1"/>
  <c r="V98" i="19"/>
  <c r="D99" i="19"/>
  <c r="E99" i="19"/>
  <c r="E100" i="19" s="1"/>
  <c r="F99" i="19"/>
  <c r="F100" i="19" s="1"/>
  <c r="G99" i="19"/>
  <c r="H99" i="19"/>
  <c r="I99" i="19"/>
  <c r="I100" i="19" s="1"/>
  <c r="J99" i="19"/>
  <c r="J100" i="19" s="1"/>
  <c r="M100" i="19"/>
  <c r="N100" i="19"/>
  <c r="D101" i="19"/>
  <c r="N101" i="19"/>
  <c r="V103" i="19"/>
  <c r="W105" i="19" s="1"/>
  <c r="V104" i="19"/>
  <c r="V105" i="19"/>
  <c r="V110" i="19" s="1"/>
  <c r="X106" i="19"/>
  <c r="AE106" i="19"/>
  <c r="AF106" i="19"/>
  <c r="AG106" i="19"/>
  <c r="AH106" i="19"/>
  <c r="AI106" i="19"/>
  <c r="AB107" i="19"/>
  <c r="V109" i="19"/>
  <c r="X109" i="19"/>
  <c r="AB109" i="19" s="1"/>
  <c r="AK109" i="19"/>
  <c r="AK110" i="19"/>
  <c r="D111" i="19"/>
  <c r="AK111" i="19" s="1"/>
  <c r="E111" i="19"/>
  <c r="E113" i="19" s="1"/>
  <c r="F111" i="19"/>
  <c r="G111" i="19"/>
  <c r="G113" i="19" s="1"/>
  <c r="H111" i="19"/>
  <c r="I111" i="19"/>
  <c r="J111" i="19"/>
  <c r="K111" i="19"/>
  <c r="L111" i="19"/>
  <c r="M111" i="19"/>
  <c r="M113" i="19" s="1"/>
  <c r="O111" i="19"/>
  <c r="P111" i="19"/>
  <c r="V111" i="19"/>
  <c r="X111" i="19"/>
  <c r="AB111" i="19" s="1"/>
  <c r="D112" i="19"/>
  <c r="E112" i="19"/>
  <c r="F112" i="19"/>
  <c r="G112" i="19"/>
  <c r="H112" i="19"/>
  <c r="I112" i="19"/>
  <c r="J112" i="19"/>
  <c r="J113" i="19" s="1"/>
  <c r="K112" i="19"/>
  <c r="L112" i="19"/>
  <c r="M112" i="19"/>
  <c r="O112" i="19"/>
  <c r="P112" i="19"/>
  <c r="F113" i="19"/>
  <c r="I113" i="19"/>
  <c r="L113" i="19"/>
  <c r="O113" i="19"/>
  <c r="D114" i="19"/>
  <c r="E114" i="19"/>
  <c r="F114" i="19"/>
  <c r="G114" i="19"/>
  <c r="H114" i="19"/>
  <c r="I114" i="19"/>
  <c r="J114" i="19"/>
  <c r="K114" i="19"/>
  <c r="L114" i="19"/>
  <c r="M114" i="19"/>
  <c r="O114" i="19"/>
  <c r="P114" i="19"/>
  <c r="N115" i="19"/>
  <c r="N161" i="19" s="1"/>
  <c r="D116" i="19"/>
  <c r="N116" i="19"/>
  <c r="V119" i="19"/>
  <c r="V120" i="19"/>
  <c r="X123" i="19" s="1"/>
  <c r="AB123" i="19" s="1"/>
  <c r="X121" i="19"/>
  <c r="X124" i="19" s="1"/>
  <c r="AB124" i="19" s="1"/>
  <c r="AE121" i="19"/>
  <c r="AF121" i="19"/>
  <c r="AF151" i="19" s="1"/>
  <c r="AG121" i="19"/>
  <c r="AH121" i="19"/>
  <c r="AI121" i="19"/>
  <c r="K122" i="19"/>
  <c r="V123" i="19"/>
  <c r="V124" i="19"/>
  <c r="AK124" i="19"/>
  <c r="AK125" i="19"/>
  <c r="D126" i="19"/>
  <c r="E126" i="19"/>
  <c r="F126" i="19"/>
  <c r="G126" i="19"/>
  <c r="H126" i="19"/>
  <c r="H128" i="19" s="1"/>
  <c r="I126" i="19"/>
  <c r="J126" i="19"/>
  <c r="K126" i="19"/>
  <c r="L126" i="19"/>
  <c r="L128" i="19" s="1"/>
  <c r="M126" i="19"/>
  <c r="O126" i="19"/>
  <c r="O128" i="19" s="1"/>
  <c r="P126" i="19"/>
  <c r="AK126" i="19"/>
  <c r="D127" i="19"/>
  <c r="AK127" i="19" s="1"/>
  <c r="E127" i="19"/>
  <c r="E128" i="19" s="1"/>
  <c r="F127" i="19"/>
  <c r="G127" i="19"/>
  <c r="H127" i="19"/>
  <c r="I127" i="19"/>
  <c r="I128" i="19" s="1"/>
  <c r="J127" i="19"/>
  <c r="K127" i="19"/>
  <c r="L127" i="19"/>
  <c r="M127" i="19"/>
  <c r="M128" i="19" s="1"/>
  <c r="O127" i="19"/>
  <c r="P127" i="19"/>
  <c r="F128" i="19"/>
  <c r="D129" i="19"/>
  <c r="E129" i="19"/>
  <c r="F129" i="19"/>
  <c r="G129" i="19"/>
  <c r="H129" i="19"/>
  <c r="I129" i="19"/>
  <c r="J129" i="19"/>
  <c r="K129" i="19"/>
  <c r="L129" i="19"/>
  <c r="M129" i="19"/>
  <c r="O129" i="19"/>
  <c r="P129" i="19"/>
  <c r="N130" i="19"/>
  <c r="D131" i="19"/>
  <c r="N131" i="19"/>
  <c r="V134" i="19"/>
  <c r="V135" i="19"/>
  <c r="V138" i="19" s="1"/>
  <c r="X136" i="19"/>
  <c r="X139" i="19" s="1"/>
  <c r="K137" i="19"/>
  <c r="V137" i="19"/>
  <c r="X137" i="19"/>
  <c r="AB137" i="19" s="1"/>
  <c r="K138" i="19"/>
  <c r="V139" i="19"/>
  <c r="AB139" i="19"/>
  <c r="AK139" i="19"/>
  <c r="AK140" i="19"/>
  <c r="D141" i="19"/>
  <c r="AK141" i="19" s="1"/>
  <c r="E141" i="19"/>
  <c r="F141" i="19"/>
  <c r="G141" i="19"/>
  <c r="G143" i="19" s="1"/>
  <c r="H141" i="19"/>
  <c r="H143" i="19" s="1"/>
  <c r="I141" i="19"/>
  <c r="J141" i="19"/>
  <c r="K141" i="19"/>
  <c r="L141" i="19"/>
  <c r="M141" i="19"/>
  <c r="O141" i="19"/>
  <c r="P141" i="19"/>
  <c r="P143" i="19" s="1"/>
  <c r="P145" i="19" s="1"/>
  <c r="D142" i="19"/>
  <c r="E142" i="19"/>
  <c r="F142" i="19"/>
  <c r="G142" i="19"/>
  <c r="H142" i="19"/>
  <c r="I142" i="19"/>
  <c r="J142" i="19"/>
  <c r="K142" i="19"/>
  <c r="L142" i="19"/>
  <c r="M142" i="19"/>
  <c r="O142" i="19"/>
  <c r="P142" i="19"/>
  <c r="AK142" i="19"/>
  <c r="K143" i="19"/>
  <c r="K145" i="19" s="1"/>
  <c r="L143" i="19"/>
  <c r="D144" i="19"/>
  <c r="E144" i="19"/>
  <c r="F144" i="19"/>
  <c r="G144" i="19"/>
  <c r="H144" i="19"/>
  <c r="I144" i="19"/>
  <c r="J144" i="19"/>
  <c r="L145" i="19"/>
  <c r="N145" i="19"/>
  <c r="D146" i="19"/>
  <c r="N146" i="19"/>
  <c r="AI151" i="19"/>
  <c r="E38" i="19" l="1"/>
  <c r="M115" i="19"/>
  <c r="M161" i="19" s="1"/>
  <c r="I115" i="19"/>
  <c r="I161" i="19" s="1"/>
  <c r="E115" i="19"/>
  <c r="E161" i="19" s="1"/>
  <c r="P113" i="19"/>
  <c r="K113" i="19"/>
  <c r="W80" i="19"/>
  <c r="O51" i="19"/>
  <c r="O159" i="19" s="1"/>
  <c r="J51" i="19"/>
  <c r="J159" i="19" s="1"/>
  <c r="F51" i="19"/>
  <c r="F159" i="19" s="1"/>
  <c r="X138" i="19"/>
  <c r="AB138" i="19" s="1"/>
  <c r="X108" i="19"/>
  <c r="AB108" i="19" s="1"/>
  <c r="AG151" i="19"/>
  <c r="W135" i="19"/>
  <c r="I130" i="19"/>
  <c r="J128" i="19"/>
  <c r="P128" i="19"/>
  <c r="P130" i="19" s="1"/>
  <c r="P162" i="19" s="1"/>
  <c r="R170" i="19" s="1"/>
  <c r="G128" i="19"/>
  <c r="L115" i="19"/>
  <c r="L161" i="19" s="1"/>
  <c r="H113" i="19"/>
  <c r="H115" i="19" s="1"/>
  <c r="H161" i="19" s="1"/>
  <c r="X110" i="19"/>
  <c r="AB110" i="19" s="1"/>
  <c r="J73" i="19"/>
  <c r="D73" i="19"/>
  <c r="D75" i="19" s="1"/>
  <c r="D77" i="19" s="1"/>
  <c r="D78" i="19" s="1"/>
  <c r="M38" i="19"/>
  <c r="I38" i="19"/>
  <c r="J13" i="19"/>
  <c r="F13" i="19"/>
  <c r="O143" i="19"/>
  <c r="O145" i="19" s="1"/>
  <c r="J143" i="19"/>
  <c r="F143" i="19"/>
  <c r="F145" i="19" s="1"/>
  <c r="O115" i="19"/>
  <c r="O161" i="19" s="1"/>
  <c r="J115" i="19"/>
  <c r="J161" i="19" s="1"/>
  <c r="F115" i="19"/>
  <c r="F161" i="19" s="1"/>
  <c r="V108" i="19"/>
  <c r="K75" i="19"/>
  <c r="G75" i="19"/>
  <c r="I73" i="19"/>
  <c r="E63" i="19"/>
  <c r="X58" i="19"/>
  <c r="AB58" i="19" s="1"/>
  <c r="N159" i="19"/>
  <c r="N152" i="19"/>
  <c r="N27" i="19"/>
  <c r="N15" i="19"/>
  <c r="N77" i="19"/>
  <c r="AK72" i="19"/>
  <c r="N162" i="19"/>
  <c r="P159" i="19"/>
  <c r="R167" i="19" s="1"/>
  <c r="L130" i="19"/>
  <c r="L162" i="19" s="1"/>
  <c r="H130" i="19"/>
  <c r="D128" i="19"/>
  <c r="D130" i="19" s="1"/>
  <c r="D132" i="19" s="1"/>
  <c r="D133" i="19" s="1"/>
  <c r="D113" i="19"/>
  <c r="D115" i="19" s="1"/>
  <c r="D161" i="19" s="1"/>
  <c r="O130" i="19"/>
  <c r="N53" i="19"/>
  <c r="H25" i="19"/>
  <c r="H13" i="19"/>
  <c r="D13" i="19"/>
  <c r="D15" i="19" s="1"/>
  <c r="D16" i="19" s="1"/>
  <c r="E14" i="19" s="1"/>
  <c r="E15" i="19" s="1"/>
  <c r="E16" i="19" s="1"/>
  <c r="E130" i="19"/>
  <c r="J75" i="19"/>
  <c r="L25" i="19"/>
  <c r="L158" i="19" s="1"/>
  <c r="D25" i="19"/>
  <c r="D27" i="19" s="1"/>
  <c r="D28" i="19" s="1"/>
  <c r="N158" i="19"/>
  <c r="AK112" i="19"/>
  <c r="K38" i="19"/>
  <c r="K159" i="19" s="1"/>
  <c r="G38" i="19"/>
  <c r="G159" i="19" s="1"/>
  <c r="J145" i="19"/>
  <c r="N92" i="19"/>
  <c r="M90" i="19"/>
  <c r="I90" i="19"/>
  <c r="E90" i="19"/>
  <c r="N65" i="19"/>
  <c r="G63" i="19"/>
  <c r="P63" i="19"/>
  <c r="D159" i="19"/>
  <c r="H159" i="19"/>
  <c r="H145" i="19"/>
  <c r="M130" i="19"/>
  <c r="N117" i="19"/>
  <c r="G115" i="19"/>
  <c r="N160" i="19"/>
  <c r="O90" i="19"/>
  <c r="L75" i="19"/>
  <c r="M63" i="19"/>
  <c r="F63" i="19"/>
  <c r="J63" i="19"/>
  <c r="D53" i="19"/>
  <c r="D54" i="19" s="1"/>
  <c r="E52" i="19" s="1"/>
  <c r="M51" i="19"/>
  <c r="I51" i="19"/>
  <c r="E51" i="19"/>
  <c r="G25" i="19"/>
  <c r="G13" i="19"/>
  <c r="J90" i="19"/>
  <c r="K63" i="19"/>
  <c r="AK22" i="19"/>
  <c r="AL22" i="19" s="1"/>
  <c r="K25" i="19"/>
  <c r="K158" i="19" s="1"/>
  <c r="N151" i="19"/>
  <c r="N157" i="19" s="1"/>
  <c r="P115" i="19"/>
  <c r="P161" i="19" s="1"/>
  <c r="R169" i="19" s="1"/>
  <c r="K115" i="19"/>
  <c r="K161" i="19" s="1"/>
  <c r="I75" i="19"/>
  <c r="N147" i="19"/>
  <c r="D143" i="19"/>
  <c r="D145" i="19" s="1"/>
  <c r="N132" i="19"/>
  <c r="F130" i="19"/>
  <c r="J130" i="19"/>
  <c r="G130" i="19"/>
  <c r="G100" i="19"/>
  <c r="F90" i="19"/>
  <c r="P75" i="19"/>
  <c r="I63" i="19"/>
  <c r="L63" i="19"/>
  <c r="H63" i="19"/>
  <c r="D63" i="19"/>
  <c r="D65" i="19" s="1"/>
  <c r="D66" i="19" s="1"/>
  <c r="N40" i="19"/>
  <c r="I143" i="19"/>
  <c r="I145" i="19" s="1"/>
  <c r="G145" i="19"/>
  <c r="M143" i="19"/>
  <c r="M145" i="19" s="1"/>
  <c r="E143" i="19"/>
  <c r="E145" i="19" s="1"/>
  <c r="K128" i="19"/>
  <c r="K130" i="19" s="1"/>
  <c r="W120" i="19"/>
  <c r="V122" i="19"/>
  <c r="X122" i="19"/>
  <c r="AB122" i="19" s="1"/>
  <c r="D152" i="19"/>
  <c r="H100" i="19"/>
  <c r="D100" i="19"/>
  <c r="P88" i="19"/>
  <c r="P90" i="19" s="1"/>
  <c r="L87" i="19"/>
  <c r="K88" i="19"/>
  <c r="K90" i="19" s="1"/>
  <c r="H87" i="19"/>
  <c r="H88" i="19" s="1"/>
  <c r="H90" i="19" s="1"/>
  <c r="G88" i="19"/>
  <c r="G90" i="19" s="1"/>
  <c r="L38" i="19"/>
  <c r="O22" i="19"/>
  <c r="O23" i="19" s="1"/>
  <c r="O25" i="19" s="1"/>
  <c r="M23" i="19"/>
  <c r="M25" i="19" s="1"/>
  <c r="J22" i="19"/>
  <c r="J23" i="19" s="1"/>
  <c r="J25" i="19" s="1"/>
  <c r="I23" i="19"/>
  <c r="I25" i="19" s="1"/>
  <c r="F22" i="19"/>
  <c r="F23" i="19" s="1"/>
  <c r="F25" i="19" s="1"/>
  <c r="E23" i="19"/>
  <c r="E25" i="19" s="1"/>
  <c r="N102" i="19"/>
  <c r="D40" i="19"/>
  <c r="D41" i="19" s="1"/>
  <c r="O72" i="19"/>
  <c r="O73" i="19" s="1"/>
  <c r="O75" i="19" s="1"/>
  <c r="M73" i="19"/>
  <c r="M75" i="19" s="1"/>
  <c r="F72" i="19"/>
  <c r="F73" i="19" s="1"/>
  <c r="F75" i="19" s="1"/>
  <c r="E73" i="19"/>
  <c r="E75" i="19" s="1"/>
  <c r="P25" i="19"/>
  <c r="AK86" i="19"/>
  <c r="X97" i="19"/>
  <c r="AB97" i="19" s="1"/>
  <c r="L88" i="19"/>
  <c r="L90" i="19" s="1"/>
  <c r="D88" i="19"/>
  <c r="D90" i="19" s="1"/>
  <c r="W43" i="19"/>
  <c r="X47" i="19"/>
  <c r="AB47" i="19" s="1"/>
  <c r="E159" i="19" l="1"/>
  <c r="I159" i="19"/>
  <c r="M159" i="19"/>
  <c r="D117" i="19"/>
  <c r="D118" i="19" s="1"/>
  <c r="E116" i="19" s="1"/>
  <c r="O162" i="19"/>
  <c r="H162" i="19"/>
  <c r="J162" i="19"/>
  <c r="J160" i="19"/>
  <c r="F162" i="19"/>
  <c r="E53" i="19"/>
  <c r="E54" i="19" s="1"/>
  <c r="AK151" i="19"/>
  <c r="M754" i="1" s="1"/>
  <c r="R13" i="19"/>
  <c r="H158" i="19"/>
  <c r="D158" i="19"/>
  <c r="R115" i="19"/>
  <c r="F160" i="19"/>
  <c r="K151" i="19"/>
  <c r="K157" i="19" s="1"/>
  <c r="G161" i="19"/>
  <c r="S161" i="19" s="1"/>
  <c r="I160" i="19"/>
  <c r="G162" i="19"/>
  <c r="R38" i="19"/>
  <c r="R51" i="19"/>
  <c r="R130" i="19"/>
  <c r="D162" i="19"/>
  <c r="D147" i="19"/>
  <c r="D148" i="19" s="1"/>
  <c r="E146" i="19" s="1"/>
  <c r="E147" i="19" s="1"/>
  <c r="E148" i="19" s="1"/>
  <c r="R63" i="19"/>
  <c r="G158" i="19"/>
  <c r="H160" i="19"/>
  <c r="H151" i="19"/>
  <c r="H157" i="19" s="1"/>
  <c r="F52" i="19"/>
  <c r="L160" i="19"/>
  <c r="E26" i="19"/>
  <c r="E27" i="19" s="1"/>
  <c r="E28" i="19" s="1"/>
  <c r="P151" i="19"/>
  <c r="P158" i="19"/>
  <c r="R166" i="19" s="1"/>
  <c r="J158" i="19"/>
  <c r="J151" i="19"/>
  <c r="J157" i="19" s="1"/>
  <c r="G160" i="19"/>
  <c r="P160" i="19"/>
  <c r="R168" i="19" s="1"/>
  <c r="G151" i="19"/>
  <c r="G157" i="19" s="1"/>
  <c r="E158" i="19"/>
  <c r="E151" i="19"/>
  <c r="E157" i="19" s="1"/>
  <c r="M158" i="19"/>
  <c r="M151" i="19"/>
  <c r="R100" i="19"/>
  <c r="D102" i="19"/>
  <c r="D103" i="19" s="1"/>
  <c r="M160" i="19"/>
  <c r="F14" i="19"/>
  <c r="D92" i="19"/>
  <c r="D93" i="19" s="1"/>
  <c r="R90" i="19"/>
  <c r="D160" i="19"/>
  <c r="R75" i="19"/>
  <c r="E160" i="19"/>
  <c r="O160" i="19"/>
  <c r="F158" i="19"/>
  <c r="F151" i="19"/>
  <c r="F157" i="19" s="1"/>
  <c r="O151" i="19"/>
  <c r="O158" i="19"/>
  <c r="E76" i="19"/>
  <c r="E77" i="19" s="1"/>
  <c r="E78" i="19" s="1"/>
  <c r="K160" i="19"/>
  <c r="K162" i="19"/>
  <c r="M162" i="19"/>
  <c r="E64" i="19"/>
  <c r="R25" i="19"/>
  <c r="E39" i="19"/>
  <c r="I158" i="19"/>
  <c r="I151" i="19"/>
  <c r="I157" i="19" s="1"/>
  <c r="L151" i="19"/>
  <c r="L157" i="19" s="1"/>
  <c r="L159" i="19"/>
  <c r="D151" i="19"/>
  <c r="E131" i="19"/>
  <c r="R145" i="19"/>
  <c r="I162" i="19"/>
  <c r="E162" i="19"/>
  <c r="E11" i="18"/>
  <c r="E7" i="18"/>
  <c r="S159" i="19" l="1"/>
  <c r="D14" i="21"/>
  <c r="S162" i="19"/>
  <c r="S160" i="19"/>
  <c r="F26" i="19"/>
  <c r="F27" i="19" s="1"/>
  <c r="F28" i="19" s="1"/>
  <c r="F76" i="19"/>
  <c r="F77" i="19" s="1"/>
  <c r="F78" i="19" s="1"/>
  <c r="E40" i="19"/>
  <c r="E41" i="19" s="1"/>
  <c r="F146" i="19"/>
  <c r="M157" i="19"/>
  <c r="S158" i="19"/>
  <c r="P157" i="19"/>
  <c r="R165" i="19" s="1"/>
  <c r="D157" i="19"/>
  <c r="S157" i="19" s="1"/>
  <c r="D153" i="19"/>
  <c r="F53" i="19"/>
  <c r="F54" i="19" s="1"/>
  <c r="R151" i="19"/>
  <c r="E65" i="19"/>
  <c r="E66" i="19" s="1"/>
  <c r="O157" i="19"/>
  <c r="F15" i="19"/>
  <c r="F16" i="19" s="1"/>
  <c r="E117" i="19"/>
  <c r="E118" i="19" s="1"/>
  <c r="E132" i="19"/>
  <c r="E133" i="19" s="1"/>
  <c r="E91" i="19"/>
  <c r="E101" i="19"/>
  <c r="N750" i="1"/>
  <c r="R750" i="1"/>
  <c r="V95" i="17"/>
  <c r="W95" i="17"/>
  <c r="X95" i="17"/>
  <c r="Y95" i="17"/>
  <c r="Z95" i="17"/>
  <c r="M91" i="17"/>
  <c r="E90" i="17"/>
  <c r="E94" i="17" s="1"/>
  <c r="G90" i="17"/>
  <c r="G94" i="17" s="1"/>
  <c r="I90" i="17"/>
  <c r="I94" i="17" s="1"/>
  <c r="K90" i="17"/>
  <c r="K94" i="17" s="1"/>
  <c r="M90" i="17"/>
  <c r="M94" i="17" s="1"/>
  <c r="O90" i="17"/>
  <c r="O94" i="17" s="1"/>
  <c r="Q90" i="17"/>
  <c r="Q94" i="17" s="1"/>
  <c r="S90" i="17"/>
  <c r="S94" i="17" s="1"/>
  <c r="U90" i="17"/>
  <c r="W90" i="17"/>
  <c r="X90" i="17"/>
  <c r="Y90" i="17"/>
  <c r="Z90" i="17"/>
  <c r="E89" i="17"/>
  <c r="E93" i="17" s="1"/>
  <c r="G89" i="17"/>
  <c r="G93" i="17" s="1"/>
  <c r="I89" i="17"/>
  <c r="I93" i="17" s="1"/>
  <c r="K89" i="17"/>
  <c r="K93" i="17" s="1"/>
  <c r="M89" i="17"/>
  <c r="M93" i="17" s="1"/>
  <c r="O89" i="17"/>
  <c r="O93" i="17" s="1"/>
  <c r="Q89" i="17"/>
  <c r="Q93" i="17" s="1"/>
  <c r="S89" i="17"/>
  <c r="S93" i="17" s="1"/>
  <c r="U89" i="17"/>
  <c r="W89" i="17"/>
  <c r="X89" i="17"/>
  <c r="Y89" i="17"/>
  <c r="Z89" i="17"/>
  <c r="Y88" i="17"/>
  <c r="Z88" i="17"/>
  <c r="Y87" i="17"/>
  <c r="Z87" i="17"/>
  <c r="E88" i="17"/>
  <c r="E92" i="17" s="1"/>
  <c r="G88" i="17"/>
  <c r="G92" i="17" s="1"/>
  <c r="I88" i="17"/>
  <c r="I92" i="17" s="1"/>
  <c r="K88" i="17"/>
  <c r="K92" i="17" s="1"/>
  <c r="M88" i="17"/>
  <c r="M92" i="17" s="1"/>
  <c r="O88" i="17"/>
  <c r="O92" i="17" s="1"/>
  <c r="Q88" i="17"/>
  <c r="Q92" i="17" s="1"/>
  <c r="S88" i="17"/>
  <c r="S92" i="17" s="1"/>
  <c r="U88" i="17"/>
  <c r="W88" i="17"/>
  <c r="X88" i="17"/>
  <c r="E87" i="17"/>
  <c r="E91" i="17" s="1"/>
  <c r="G87" i="17"/>
  <c r="G91" i="17" s="1"/>
  <c r="I87" i="17"/>
  <c r="I91" i="17" s="1"/>
  <c r="K87" i="17"/>
  <c r="K91" i="17" s="1"/>
  <c r="K95" i="17" s="1"/>
  <c r="M87" i="17"/>
  <c r="O87" i="17"/>
  <c r="O91" i="17" s="1"/>
  <c r="Q87" i="17"/>
  <c r="Q91" i="17" s="1"/>
  <c r="S87" i="17"/>
  <c r="S91" i="17" s="1"/>
  <c r="S95" i="17" s="1"/>
  <c r="U87" i="17"/>
  <c r="U91" i="17" s="1"/>
  <c r="U95" i="17" s="1"/>
  <c r="W87" i="17"/>
  <c r="X87" i="17"/>
  <c r="E723" i="1"/>
  <c r="AD447" i="13"/>
  <c r="AD440" i="13"/>
  <c r="AD441" i="13"/>
  <c r="AD442" i="13"/>
  <c r="AD443" i="13"/>
  <c r="AD444" i="13"/>
  <c r="AD445" i="13"/>
  <c r="AD446" i="13"/>
  <c r="AD439" i="13"/>
  <c r="C441" i="13"/>
  <c r="V441" i="13" s="1"/>
  <c r="C442" i="13"/>
  <c r="T442" i="13" s="1"/>
  <c r="C443" i="13"/>
  <c r="V443" i="13" s="1"/>
  <c r="T87" i="17" s="1"/>
  <c r="C444" i="13"/>
  <c r="L444" i="13" s="1"/>
  <c r="J88" i="17" s="1"/>
  <c r="C445" i="13"/>
  <c r="F445" i="13" s="1"/>
  <c r="D89" i="17" s="1"/>
  <c r="C446" i="13"/>
  <c r="X446" i="13" s="1"/>
  <c r="V90" i="17" s="1"/>
  <c r="C440" i="13"/>
  <c r="E439" i="13"/>
  <c r="C439" i="13"/>
  <c r="R439" i="13" s="1"/>
  <c r="E95" i="17" l="1"/>
  <c r="O95" i="17"/>
  <c r="G95" i="17"/>
  <c r="M95" i="17"/>
  <c r="Q95" i="17"/>
  <c r="I95" i="17"/>
  <c r="E152" i="19"/>
  <c r="E153" i="19" s="1"/>
  <c r="G26" i="19"/>
  <c r="G76" i="19"/>
  <c r="G14" i="19"/>
  <c r="F64" i="19"/>
  <c r="F147" i="19"/>
  <c r="F148" i="19" s="1"/>
  <c r="E102" i="19"/>
  <c r="E103" i="19" s="1"/>
  <c r="F131" i="19"/>
  <c r="F116" i="19"/>
  <c r="E92" i="19"/>
  <c r="E93" i="19" s="1"/>
  <c r="G52" i="19"/>
  <c r="F39" i="19"/>
  <c r="P441" i="13"/>
  <c r="H441" i="13"/>
  <c r="X441" i="13"/>
  <c r="T441" i="13"/>
  <c r="L441" i="13"/>
  <c r="N439" i="13"/>
  <c r="H445" i="13"/>
  <c r="F89" i="17" s="1"/>
  <c r="L445" i="13"/>
  <c r="J89" i="17" s="1"/>
  <c r="P445" i="13"/>
  <c r="N89" i="17" s="1"/>
  <c r="T445" i="13"/>
  <c r="R89" i="17" s="1"/>
  <c r="X445" i="13"/>
  <c r="V89" i="17" s="1"/>
  <c r="F446" i="13"/>
  <c r="D90" i="17" s="1"/>
  <c r="L439" i="13"/>
  <c r="J92" i="17" s="1"/>
  <c r="F439" i="13"/>
  <c r="P439" i="13"/>
  <c r="J442" i="13"/>
  <c r="N442" i="13"/>
  <c r="R442" i="13"/>
  <c r="V442" i="13"/>
  <c r="F443" i="13"/>
  <c r="D87" i="17" s="1"/>
  <c r="H439" i="13"/>
  <c r="T439" i="13"/>
  <c r="F441" i="13"/>
  <c r="J446" i="13"/>
  <c r="H90" i="17" s="1"/>
  <c r="N446" i="13"/>
  <c r="L90" i="17" s="1"/>
  <c r="R446" i="13"/>
  <c r="P90" i="17" s="1"/>
  <c r="P94" i="17" s="1"/>
  <c r="V446" i="13"/>
  <c r="T90" i="17" s="1"/>
  <c r="F442" i="13"/>
  <c r="F440" i="13"/>
  <c r="V440" i="13"/>
  <c r="N440" i="13"/>
  <c r="T440" i="13"/>
  <c r="L440" i="13"/>
  <c r="AB440" i="13"/>
  <c r="Z439" i="13"/>
  <c r="X439" i="13"/>
  <c r="AB439" i="13"/>
  <c r="F444" i="13"/>
  <c r="D88" i="17" s="1"/>
  <c r="D92" i="17" s="1"/>
  <c r="V444" i="13"/>
  <c r="T88" i="17" s="1"/>
  <c r="R444" i="13"/>
  <c r="P88" i="17" s="1"/>
  <c r="P92" i="17" s="1"/>
  <c r="N444" i="13"/>
  <c r="L88" i="17" s="1"/>
  <c r="J444" i="13"/>
  <c r="H88" i="17" s="1"/>
  <c r="H440" i="13"/>
  <c r="X440" i="13"/>
  <c r="H444" i="13"/>
  <c r="F88" i="17" s="1"/>
  <c r="P444" i="13"/>
  <c r="N88" i="17" s="1"/>
  <c r="X444" i="13"/>
  <c r="V88" i="17" s="1"/>
  <c r="X443" i="13"/>
  <c r="V87" i="17" s="1"/>
  <c r="T443" i="13"/>
  <c r="R87" i="17" s="1"/>
  <c r="P443" i="13"/>
  <c r="N87" i="17" s="1"/>
  <c r="L443" i="13"/>
  <c r="J87" i="17" s="1"/>
  <c r="H443" i="13"/>
  <c r="F87" i="17" s="1"/>
  <c r="J440" i="13"/>
  <c r="Z440" i="13"/>
  <c r="N443" i="13"/>
  <c r="L87" i="17" s="1"/>
  <c r="P440" i="13"/>
  <c r="T444" i="13"/>
  <c r="R88" i="17" s="1"/>
  <c r="V439" i="13"/>
  <c r="T91" i="17" s="1"/>
  <c r="R440" i="13"/>
  <c r="J443" i="13"/>
  <c r="H87" i="17" s="1"/>
  <c r="R443" i="13"/>
  <c r="P87" i="17" s="1"/>
  <c r="P91" i="17" s="1"/>
  <c r="H446" i="13"/>
  <c r="F90" i="17" s="1"/>
  <c r="L446" i="13"/>
  <c r="J90" i="17" s="1"/>
  <c r="P446" i="13"/>
  <c r="N90" i="17" s="1"/>
  <c r="N94" i="17" s="1"/>
  <c r="T446" i="13"/>
  <c r="R90" i="17" s="1"/>
  <c r="X442" i="13"/>
  <c r="H442" i="13"/>
  <c r="L442" i="13"/>
  <c r="P442" i="13"/>
  <c r="J439" i="13"/>
  <c r="J441" i="13"/>
  <c r="J445" i="13"/>
  <c r="H89" i="17" s="1"/>
  <c r="N441" i="13"/>
  <c r="N445" i="13"/>
  <c r="L89" i="17" s="1"/>
  <c r="R441" i="13"/>
  <c r="R445" i="13"/>
  <c r="P89" i="17" s="1"/>
  <c r="P93" i="17" s="1"/>
  <c r="V445" i="13"/>
  <c r="T89" i="17" s="1"/>
  <c r="AD365" i="13"/>
  <c r="AD364" i="13"/>
  <c r="AD363" i="13"/>
  <c r="AD362" i="13"/>
  <c r="AD361" i="13"/>
  <c r="AD360" i="13"/>
  <c r="AD359" i="13"/>
  <c r="F96" i="13"/>
  <c r="R92" i="17" l="1"/>
  <c r="F40" i="19"/>
  <c r="F41" i="19" s="1"/>
  <c r="F65" i="19"/>
  <c r="F66" i="19" s="1"/>
  <c r="G77" i="19"/>
  <c r="G78" i="19" s="1"/>
  <c r="F101" i="19"/>
  <c r="F91" i="19"/>
  <c r="F132" i="19"/>
  <c r="F133" i="19" s="1"/>
  <c r="G15" i="19"/>
  <c r="G16" i="19" s="1"/>
  <c r="G53" i="19"/>
  <c r="G54" i="19" s="1"/>
  <c r="F117" i="19"/>
  <c r="F118" i="19" s="1"/>
  <c r="G146" i="19"/>
  <c r="G27" i="19"/>
  <c r="G28" i="19" s="1"/>
  <c r="D94" i="17"/>
  <c r="R93" i="17"/>
  <c r="R94" i="17"/>
  <c r="D93" i="17"/>
  <c r="D91" i="17"/>
  <c r="L91" i="17"/>
  <c r="L93" i="17"/>
  <c r="R91" i="17"/>
  <c r="L92" i="17"/>
  <c r="L94" i="17"/>
  <c r="N93" i="17"/>
  <c r="F91" i="17"/>
  <c r="H93" i="17"/>
  <c r="N91" i="17"/>
  <c r="N92" i="17"/>
  <c r="J94" i="17"/>
  <c r="J93" i="17"/>
  <c r="J91" i="17"/>
  <c r="F94" i="17"/>
  <c r="F93" i="17"/>
  <c r="H94" i="17"/>
  <c r="F92" i="17"/>
  <c r="P95" i="17"/>
  <c r="T94" i="17"/>
  <c r="H91" i="17"/>
  <c r="T92" i="17"/>
  <c r="T93" i="17"/>
  <c r="H92" i="17"/>
  <c r="M734" i="1"/>
  <c r="D95" i="17" l="1"/>
  <c r="R95" i="17"/>
  <c r="G147" i="19"/>
  <c r="G148" i="19" s="1"/>
  <c r="G116" i="19"/>
  <c r="H14" i="19"/>
  <c r="G64" i="19"/>
  <c r="H26" i="19"/>
  <c r="G131" i="19"/>
  <c r="F92" i="19"/>
  <c r="F93" i="19" s="1"/>
  <c r="H76" i="19"/>
  <c r="F102" i="19"/>
  <c r="F103" i="19" s="1"/>
  <c r="H52" i="19"/>
  <c r="F152" i="19"/>
  <c r="F153" i="19" s="1"/>
  <c r="G39" i="19"/>
  <c r="N95" i="17"/>
  <c r="L95" i="17"/>
  <c r="J95" i="17"/>
  <c r="F95" i="17"/>
  <c r="T95" i="17"/>
  <c r="H95" i="17"/>
  <c r="H724" i="1"/>
  <c r="H725" i="1"/>
  <c r="H726" i="1"/>
  <c r="H727" i="1"/>
  <c r="H728" i="1"/>
  <c r="H729" i="1"/>
  <c r="H730" i="1"/>
  <c r="H731" i="1"/>
  <c r="H723" i="1"/>
  <c r="L723" i="1"/>
  <c r="G101" i="19" l="1"/>
  <c r="H53" i="19"/>
  <c r="H54" i="19" s="1"/>
  <c r="G65" i="19"/>
  <c r="G66" i="19" s="1"/>
  <c r="H77" i="19"/>
  <c r="H78" i="19" s="1"/>
  <c r="G132" i="19"/>
  <c r="G133" i="19" s="1"/>
  <c r="G117" i="19"/>
  <c r="G118" i="19" s="1"/>
  <c r="G40" i="19"/>
  <c r="G41" i="19" s="1"/>
  <c r="H15" i="19"/>
  <c r="H16" i="19" s="1"/>
  <c r="G91" i="19"/>
  <c r="H27" i="19"/>
  <c r="H28" i="19" s="1"/>
  <c r="H146" i="19"/>
  <c r="AD74" i="13"/>
  <c r="G92" i="19" l="1"/>
  <c r="G93" i="19" s="1"/>
  <c r="I76" i="19"/>
  <c r="I77" i="19" s="1"/>
  <c r="I78" i="19" s="1"/>
  <c r="I52" i="19"/>
  <c r="I26" i="19"/>
  <c r="H39" i="19"/>
  <c r="H40" i="19" s="1"/>
  <c r="H41" i="19" s="1"/>
  <c r="H131" i="19"/>
  <c r="H132" i="19" s="1"/>
  <c r="H133" i="19" s="1"/>
  <c r="G152" i="19"/>
  <c r="G153" i="19" s="1"/>
  <c r="G102" i="19"/>
  <c r="G103" i="19" s="1"/>
  <c r="H147" i="19"/>
  <c r="H148" i="19" s="1"/>
  <c r="H116" i="19"/>
  <c r="I14" i="19"/>
  <c r="H64" i="19"/>
  <c r="AD341" i="13"/>
  <c r="AD342" i="13"/>
  <c r="AD343" i="13"/>
  <c r="AD344" i="13"/>
  <c r="AD345" i="13"/>
  <c r="AD346" i="13"/>
  <c r="AD340" i="13"/>
  <c r="AD321" i="13"/>
  <c r="AD322" i="13"/>
  <c r="AD323" i="13"/>
  <c r="AD324" i="13"/>
  <c r="AD325" i="13"/>
  <c r="AD326" i="13"/>
  <c r="AD320" i="13"/>
  <c r="AD211" i="13"/>
  <c r="AD209" i="13"/>
  <c r="AD210" i="13"/>
  <c r="AD212" i="13"/>
  <c r="AD213" i="13"/>
  <c r="AD214" i="13"/>
  <c r="AD208" i="13"/>
  <c r="AD173" i="13"/>
  <c r="AD174" i="13"/>
  <c r="AD155" i="13"/>
  <c r="AD156" i="13"/>
  <c r="AD97" i="13"/>
  <c r="AD98" i="13"/>
  <c r="AD99" i="13"/>
  <c r="I131" i="19" l="1"/>
  <c r="I132" i="19" s="1"/>
  <c r="I133" i="19" s="1"/>
  <c r="I39" i="19"/>
  <c r="I40" i="19" s="1"/>
  <c r="I41" i="19" s="1"/>
  <c r="I15" i="19"/>
  <c r="I16" i="19" s="1"/>
  <c r="I146" i="19"/>
  <c r="I147" i="19" s="1"/>
  <c r="I148" i="19" s="1"/>
  <c r="I27" i="19"/>
  <c r="I28" i="19" s="1"/>
  <c r="J76" i="19"/>
  <c r="J77" i="19" s="1"/>
  <c r="J78" i="19" s="1"/>
  <c r="H65" i="19"/>
  <c r="H66" i="19" s="1"/>
  <c r="H117" i="19"/>
  <c r="H118" i="19" s="1"/>
  <c r="H101" i="19"/>
  <c r="H102" i="19" s="1"/>
  <c r="H103" i="19" s="1"/>
  <c r="I53" i="19"/>
  <c r="I54" i="19" s="1"/>
  <c r="H91" i="19"/>
  <c r="H92" i="19" s="1"/>
  <c r="H93" i="19" s="1"/>
  <c r="H345" i="1"/>
  <c r="H346" i="1"/>
  <c r="H347" i="1"/>
  <c r="H348" i="1"/>
  <c r="H349" i="1"/>
  <c r="H350" i="1"/>
  <c r="H351" i="1"/>
  <c r="H352" i="1"/>
  <c r="H353" i="1"/>
  <c r="H354" i="1"/>
  <c r="H355" i="1"/>
  <c r="H356" i="1"/>
  <c r="H357" i="1"/>
  <c r="H344" i="1"/>
  <c r="H599" i="1"/>
  <c r="H600" i="1"/>
  <c r="H601" i="1"/>
  <c r="H602" i="1"/>
  <c r="H603" i="1"/>
  <c r="H604" i="1"/>
  <c r="H605" i="1"/>
  <c r="H606" i="1"/>
  <c r="H607" i="1"/>
  <c r="H608" i="1"/>
  <c r="H609" i="1"/>
  <c r="H598" i="1"/>
  <c r="J131" i="19" l="1"/>
  <c r="J132" i="19" s="1"/>
  <c r="J133" i="19" s="1"/>
  <c r="K76" i="19"/>
  <c r="K77" i="19" s="1"/>
  <c r="K78" i="19" s="1"/>
  <c r="I91" i="19"/>
  <c r="I92" i="19" s="1"/>
  <c r="I93" i="19" s="1"/>
  <c r="I116" i="19"/>
  <c r="J146" i="19"/>
  <c r="J147" i="19" s="1"/>
  <c r="J148" i="19" s="1"/>
  <c r="I101" i="19"/>
  <c r="I102" i="19" s="1"/>
  <c r="I103" i="19" s="1"/>
  <c r="H152" i="19"/>
  <c r="H153" i="19" s="1"/>
  <c r="J52" i="19"/>
  <c r="J53" i="19" s="1"/>
  <c r="J54" i="19" s="1"/>
  <c r="J39" i="19"/>
  <c r="J40" i="19" s="1"/>
  <c r="J41" i="19" s="1"/>
  <c r="I64" i="19"/>
  <c r="J26" i="19"/>
  <c r="J27" i="19" s="1"/>
  <c r="J28" i="19" s="1"/>
  <c r="J14" i="19"/>
  <c r="H567" i="1"/>
  <c r="H568" i="1"/>
  <c r="H569" i="1"/>
  <c r="H570" i="1"/>
  <c r="H571" i="1"/>
  <c r="H572" i="1"/>
  <c r="H573" i="1"/>
  <c r="H574" i="1"/>
  <c r="H575" i="1"/>
  <c r="H576" i="1"/>
  <c r="H577" i="1"/>
  <c r="H578" i="1"/>
  <c r="H579" i="1"/>
  <c r="H566" i="1"/>
  <c r="H538" i="1"/>
  <c r="H539" i="1"/>
  <c r="H540" i="1"/>
  <c r="H541" i="1"/>
  <c r="H542" i="1"/>
  <c r="H543" i="1"/>
  <c r="H544" i="1"/>
  <c r="H537" i="1"/>
  <c r="L396" i="1"/>
  <c r="H392" i="1"/>
  <c r="H393" i="1"/>
  <c r="H394" i="1"/>
  <c r="H395" i="1"/>
  <c r="H396" i="1"/>
  <c r="H391" i="1"/>
  <c r="G392" i="1"/>
  <c r="G394" i="1"/>
  <c r="G396" i="1"/>
  <c r="F85" i="17"/>
  <c r="E81" i="17"/>
  <c r="E85" i="17" s="1"/>
  <c r="G81" i="17"/>
  <c r="G85" i="17" s="1"/>
  <c r="I81" i="17"/>
  <c r="I85" i="17" s="1"/>
  <c r="K81" i="17"/>
  <c r="K85" i="17" s="1"/>
  <c r="M81" i="17"/>
  <c r="M85" i="17" s="1"/>
  <c r="O81" i="17"/>
  <c r="O85" i="17" s="1"/>
  <c r="Q81" i="17"/>
  <c r="Q85" i="17" s="1"/>
  <c r="S81" i="17"/>
  <c r="S85" i="17" s="1"/>
  <c r="U81" i="17"/>
  <c r="U85" i="17" s="1"/>
  <c r="W81" i="17"/>
  <c r="W85" i="17" s="1"/>
  <c r="Y81" i="17"/>
  <c r="Y85" i="17" s="1"/>
  <c r="E364" i="13"/>
  <c r="E363" i="13"/>
  <c r="E362" i="13"/>
  <c r="E361" i="13"/>
  <c r="C364" i="13"/>
  <c r="C363" i="13"/>
  <c r="C362" i="13"/>
  <c r="C361" i="13"/>
  <c r="E360" i="13"/>
  <c r="C360" i="13"/>
  <c r="E359" i="13"/>
  <c r="C359" i="13"/>
  <c r="E604" i="1"/>
  <c r="E609" i="1"/>
  <c r="E607" i="1"/>
  <c r="E605" i="1"/>
  <c r="E603" i="1"/>
  <c r="E608" i="1"/>
  <c r="E606" i="1"/>
  <c r="E602" i="1"/>
  <c r="E601" i="1"/>
  <c r="E600" i="1"/>
  <c r="E599" i="1"/>
  <c r="E598" i="1"/>
  <c r="E577" i="1"/>
  <c r="E578" i="1"/>
  <c r="E579" i="1"/>
  <c r="E576" i="1"/>
  <c r="E573" i="1"/>
  <c r="E574" i="1"/>
  <c r="E575" i="1"/>
  <c r="E572" i="1"/>
  <c r="E571" i="1"/>
  <c r="E570" i="1"/>
  <c r="E569" i="1"/>
  <c r="E568" i="1"/>
  <c r="E567" i="1"/>
  <c r="E566" i="1"/>
  <c r="E344" i="13"/>
  <c r="E345" i="13"/>
  <c r="Z345" i="13" s="1"/>
  <c r="X69" i="17" s="1"/>
  <c r="E346" i="13"/>
  <c r="Z346" i="13" s="1"/>
  <c r="X70" i="17" s="1"/>
  <c r="E343" i="13"/>
  <c r="Z343" i="13" s="1"/>
  <c r="X67" i="17" s="1"/>
  <c r="C344" i="13"/>
  <c r="P344" i="13" s="1"/>
  <c r="N68" i="17" s="1"/>
  <c r="C345" i="13"/>
  <c r="T345" i="13" s="1"/>
  <c r="R69" i="17" s="1"/>
  <c r="C346" i="13"/>
  <c r="J346" i="13" s="1"/>
  <c r="H70" i="17" s="1"/>
  <c r="C343" i="13"/>
  <c r="H343" i="13" s="1"/>
  <c r="F67" i="17" s="1"/>
  <c r="E342" i="13"/>
  <c r="X342" i="13" s="1"/>
  <c r="C342" i="13"/>
  <c r="J342" i="13" s="1"/>
  <c r="E341" i="13"/>
  <c r="AB341" i="13" s="1"/>
  <c r="C341" i="13"/>
  <c r="R341" i="13" s="1"/>
  <c r="E340" i="13"/>
  <c r="AB340" i="13" s="1"/>
  <c r="C340" i="13"/>
  <c r="R340" i="13" s="1"/>
  <c r="P65" i="17"/>
  <c r="R65" i="17"/>
  <c r="T65" i="17"/>
  <c r="V65" i="17"/>
  <c r="X65" i="17"/>
  <c r="Z65" i="17"/>
  <c r="C239" i="13"/>
  <c r="N239" i="13" s="1"/>
  <c r="L63" i="17" s="1"/>
  <c r="C238" i="13"/>
  <c r="Z238" i="13" s="1"/>
  <c r="C237" i="13"/>
  <c r="Z237" i="13" s="1"/>
  <c r="K39" i="19" l="1"/>
  <c r="K40" i="19" s="1"/>
  <c r="K41" i="19" s="1"/>
  <c r="K131" i="19"/>
  <c r="K132" i="19" s="1"/>
  <c r="K133" i="19" s="1"/>
  <c r="J91" i="19"/>
  <c r="J92" i="19" s="1"/>
  <c r="J93" i="19" s="1"/>
  <c r="K26" i="19"/>
  <c r="K27" i="19" s="1"/>
  <c r="K28" i="19" s="1"/>
  <c r="K52" i="19"/>
  <c r="K53" i="19" s="1"/>
  <c r="K54" i="19" s="1"/>
  <c r="I117" i="19"/>
  <c r="I118" i="19" s="1"/>
  <c r="J101" i="19"/>
  <c r="J102" i="19" s="1"/>
  <c r="J103" i="19" s="1"/>
  <c r="L76" i="19"/>
  <c r="L77" i="19" s="1"/>
  <c r="L78" i="19" s="1"/>
  <c r="J15" i="19"/>
  <c r="J16" i="19" s="1"/>
  <c r="I65" i="19"/>
  <c r="I66" i="19" s="1"/>
  <c r="I152" i="19"/>
  <c r="I153" i="19" s="1"/>
  <c r="K146" i="19"/>
  <c r="K147" i="19" s="1"/>
  <c r="K148" i="19" s="1"/>
  <c r="R359" i="13"/>
  <c r="J359" i="13"/>
  <c r="P359" i="13"/>
  <c r="H359" i="13"/>
  <c r="N359" i="13"/>
  <c r="F359" i="13"/>
  <c r="T359" i="13"/>
  <c r="L359" i="13"/>
  <c r="R361" i="13"/>
  <c r="J361" i="13"/>
  <c r="H77" i="17" s="1"/>
  <c r="P361" i="13"/>
  <c r="N77" i="17" s="1"/>
  <c r="H361" i="13"/>
  <c r="F77" i="17" s="1"/>
  <c r="N361" i="13"/>
  <c r="L77" i="17" s="1"/>
  <c r="F361" i="13"/>
  <c r="D77" i="17" s="1"/>
  <c r="T361" i="13"/>
  <c r="R77" i="17" s="1"/>
  <c r="L361" i="13"/>
  <c r="J77" i="17" s="1"/>
  <c r="J81" i="17" s="1"/>
  <c r="Z361" i="13"/>
  <c r="V361" i="13"/>
  <c r="T77" i="17" s="1"/>
  <c r="AB361" i="13"/>
  <c r="Z77" i="17" s="1"/>
  <c r="X361" i="13"/>
  <c r="V77" i="17" s="1"/>
  <c r="AB359" i="13"/>
  <c r="X359" i="13"/>
  <c r="Z359" i="13"/>
  <c r="V359" i="13"/>
  <c r="P362" i="13"/>
  <c r="N78" i="17" s="1"/>
  <c r="H362" i="13"/>
  <c r="F78" i="17" s="1"/>
  <c r="N362" i="13"/>
  <c r="L78" i="17" s="1"/>
  <c r="F362" i="13"/>
  <c r="D78" i="17" s="1"/>
  <c r="T362" i="13"/>
  <c r="R78" i="17" s="1"/>
  <c r="L362" i="13"/>
  <c r="J78" i="17" s="1"/>
  <c r="R362" i="13"/>
  <c r="P78" i="17" s="1"/>
  <c r="J362" i="13"/>
  <c r="H78" i="17" s="1"/>
  <c r="Z362" i="13"/>
  <c r="X78" i="17" s="1"/>
  <c r="V362" i="13"/>
  <c r="T78" i="17" s="1"/>
  <c r="AB362" i="13"/>
  <c r="Z78" i="17" s="1"/>
  <c r="X362" i="13"/>
  <c r="V78" i="17" s="1"/>
  <c r="T360" i="13"/>
  <c r="L360" i="13"/>
  <c r="R360" i="13"/>
  <c r="J360" i="13"/>
  <c r="P360" i="13"/>
  <c r="H360" i="13"/>
  <c r="N360" i="13"/>
  <c r="F360" i="13"/>
  <c r="N363" i="13"/>
  <c r="L79" i="17" s="1"/>
  <c r="F363" i="13"/>
  <c r="D79" i="17" s="1"/>
  <c r="T363" i="13"/>
  <c r="R79" i="17" s="1"/>
  <c r="L363" i="13"/>
  <c r="J79" i="17" s="1"/>
  <c r="R363" i="13"/>
  <c r="P79" i="17" s="1"/>
  <c r="P83" i="17" s="1"/>
  <c r="J363" i="13"/>
  <c r="H79" i="17" s="1"/>
  <c r="P363" i="13"/>
  <c r="H363" i="13"/>
  <c r="F79" i="17" s="1"/>
  <c r="AB363" i="13"/>
  <c r="Z79" i="17" s="1"/>
  <c r="X363" i="13"/>
  <c r="V79" i="17" s="1"/>
  <c r="Z363" i="13"/>
  <c r="X79" i="17" s="1"/>
  <c r="X83" i="17" s="1"/>
  <c r="V363" i="13"/>
  <c r="T79" i="17" s="1"/>
  <c r="AB360" i="13"/>
  <c r="X360" i="13"/>
  <c r="Z360" i="13"/>
  <c r="V360" i="13"/>
  <c r="T364" i="13"/>
  <c r="L364" i="13"/>
  <c r="J80" i="17" s="1"/>
  <c r="R364" i="13"/>
  <c r="P80" i="17" s="1"/>
  <c r="J364" i="13"/>
  <c r="H80" i="17" s="1"/>
  <c r="P364" i="13"/>
  <c r="N80" i="17" s="1"/>
  <c r="H364" i="13"/>
  <c r="F80" i="17" s="1"/>
  <c r="N364" i="13"/>
  <c r="L80" i="17" s="1"/>
  <c r="F364" i="13"/>
  <c r="D80" i="17" s="1"/>
  <c r="AB364" i="13"/>
  <c r="X364" i="13"/>
  <c r="V80" i="17" s="1"/>
  <c r="Z364" i="13"/>
  <c r="X80" i="17" s="1"/>
  <c r="X84" i="17" s="1"/>
  <c r="V364" i="13"/>
  <c r="T80" i="17" s="1"/>
  <c r="I394" i="1"/>
  <c r="V238" i="13"/>
  <c r="J344" i="13"/>
  <c r="H68" i="17" s="1"/>
  <c r="H238" i="13"/>
  <c r="L238" i="13"/>
  <c r="X238" i="13"/>
  <c r="T238" i="13"/>
  <c r="I396" i="1"/>
  <c r="I392" i="1"/>
  <c r="H346" i="13"/>
  <c r="F70" i="17" s="1"/>
  <c r="N79" i="17"/>
  <c r="L344" i="13"/>
  <c r="J68" i="17" s="1"/>
  <c r="N238" i="13"/>
  <c r="F346" i="13"/>
  <c r="D70" i="17" s="1"/>
  <c r="N346" i="13"/>
  <c r="L70" i="17" s="1"/>
  <c r="AB237" i="13"/>
  <c r="T239" i="13"/>
  <c r="R63" i="17" s="1"/>
  <c r="L340" i="13"/>
  <c r="N342" i="13"/>
  <c r="P342" i="13"/>
  <c r="R345" i="13"/>
  <c r="P69" i="17" s="1"/>
  <c r="T343" i="13"/>
  <c r="R67" i="17" s="1"/>
  <c r="X345" i="13"/>
  <c r="V69" i="17" s="1"/>
  <c r="E610" i="1"/>
  <c r="N237" i="13"/>
  <c r="L64" i="17" s="1"/>
  <c r="L65" i="17" s="1"/>
  <c r="F238" i="13"/>
  <c r="P238" i="13"/>
  <c r="AB238" i="13"/>
  <c r="AB239" i="13"/>
  <c r="Z63" i="17" s="1"/>
  <c r="F340" i="13"/>
  <c r="X71" i="17" s="1"/>
  <c r="J340" i="13"/>
  <c r="L342" i="13"/>
  <c r="N343" i="13"/>
  <c r="L67" i="17" s="1"/>
  <c r="R346" i="13"/>
  <c r="P70" i="17" s="1"/>
  <c r="P74" i="17" s="1"/>
  <c r="T346" i="13"/>
  <c r="R70" i="17" s="1"/>
  <c r="X346" i="13"/>
  <c r="V70" i="17" s="1"/>
  <c r="AB342" i="13"/>
  <c r="L237" i="13"/>
  <c r="T237" i="13"/>
  <c r="L239" i="13"/>
  <c r="J63" i="17" s="1"/>
  <c r="F342" i="13"/>
  <c r="H342" i="13"/>
  <c r="P345" i="13"/>
  <c r="N69" i="17" s="1"/>
  <c r="T340" i="13"/>
  <c r="V345" i="13"/>
  <c r="T69" i="17" s="1"/>
  <c r="AB345" i="13"/>
  <c r="Z69" i="17" s="1"/>
  <c r="F237" i="13"/>
  <c r="V237" i="13"/>
  <c r="F345" i="13"/>
  <c r="D69" i="17" s="1"/>
  <c r="J345" i="13"/>
  <c r="H69" i="17" s="1"/>
  <c r="L345" i="13"/>
  <c r="J69" i="17" s="1"/>
  <c r="P340" i="13"/>
  <c r="R342" i="13"/>
  <c r="T342" i="13"/>
  <c r="X341" i="13"/>
  <c r="AB346" i="13"/>
  <c r="Z70" i="17" s="1"/>
  <c r="R80" i="17"/>
  <c r="X77" i="17"/>
  <c r="X340" i="13"/>
  <c r="Z340" i="13"/>
  <c r="R344" i="13"/>
  <c r="P68" i="17" s="1"/>
  <c r="F344" i="13"/>
  <c r="D68" i="17" s="1"/>
  <c r="T344" i="13"/>
  <c r="R68" i="17" s="1"/>
  <c r="N344" i="13"/>
  <c r="L68" i="17" s="1"/>
  <c r="H344" i="13"/>
  <c r="F68" i="17" s="1"/>
  <c r="AB344" i="13"/>
  <c r="Z68" i="17" s="1"/>
  <c r="X344" i="13"/>
  <c r="V68" i="17" s="1"/>
  <c r="V340" i="13"/>
  <c r="Z344" i="13"/>
  <c r="X68" i="17" s="1"/>
  <c r="Z80" i="17"/>
  <c r="P77" i="17"/>
  <c r="Z342" i="13"/>
  <c r="V342" i="13"/>
  <c r="Z239" i="13"/>
  <c r="X63" i="17" s="1"/>
  <c r="R239" i="13"/>
  <c r="P63" i="17" s="1"/>
  <c r="J239" i="13"/>
  <c r="H63" i="17" s="1"/>
  <c r="X239" i="13"/>
  <c r="V63" i="17" s="1"/>
  <c r="H239" i="13"/>
  <c r="F63" i="17" s="1"/>
  <c r="P239" i="13"/>
  <c r="N63" i="17" s="1"/>
  <c r="F239" i="13"/>
  <c r="D63" i="17" s="1"/>
  <c r="V239" i="13"/>
  <c r="T63" i="17" s="1"/>
  <c r="N341" i="13"/>
  <c r="T341" i="13"/>
  <c r="J341" i="13"/>
  <c r="P343" i="13"/>
  <c r="N67" i="17" s="1"/>
  <c r="L343" i="13"/>
  <c r="J67" i="17" s="1"/>
  <c r="R343" i="13"/>
  <c r="P67" i="17" s="1"/>
  <c r="F343" i="13"/>
  <c r="D67" i="17" s="1"/>
  <c r="V343" i="13"/>
  <c r="T67" i="17" s="1"/>
  <c r="AB343" i="13"/>
  <c r="Z67" i="17" s="1"/>
  <c r="X343" i="13"/>
  <c r="V67" i="17" s="1"/>
  <c r="J343" i="13"/>
  <c r="H67" i="17" s="1"/>
  <c r="L341" i="13"/>
  <c r="V344" i="13"/>
  <c r="T68" i="17" s="1"/>
  <c r="H237" i="13"/>
  <c r="X237" i="13"/>
  <c r="L346" i="13"/>
  <c r="J70" i="17" s="1"/>
  <c r="P346" i="13"/>
  <c r="N70" i="17" s="1"/>
  <c r="V346" i="13"/>
  <c r="T70" i="17" s="1"/>
  <c r="P237" i="13"/>
  <c r="J237" i="13"/>
  <c r="R237" i="13"/>
  <c r="J238" i="13"/>
  <c r="R238" i="13"/>
  <c r="H340" i="13"/>
  <c r="H345" i="13"/>
  <c r="F69" i="17" s="1"/>
  <c r="N340" i="13"/>
  <c r="N345" i="13"/>
  <c r="L69" i="17" s="1"/>
  <c r="Z341" i="13"/>
  <c r="V341" i="13"/>
  <c r="F341" i="13"/>
  <c r="H341" i="13"/>
  <c r="P341" i="13"/>
  <c r="L52" i="19" l="1"/>
  <c r="L53" i="19" s="1"/>
  <c r="L54" i="19" s="1"/>
  <c r="L131" i="19"/>
  <c r="L132" i="19" s="1"/>
  <c r="L133" i="19" s="1"/>
  <c r="K91" i="19"/>
  <c r="K92" i="19" s="1"/>
  <c r="K93" i="19" s="1"/>
  <c r="K101" i="19"/>
  <c r="K102" i="19" s="1"/>
  <c r="K103" i="19" s="1"/>
  <c r="L146" i="19"/>
  <c r="L147" i="19" s="1"/>
  <c r="L148" i="19" s="1"/>
  <c r="L26" i="19"/>
  <c r="L27" i="19" s="1"/>
  <c r="L28" i="19" s="1"/>
  <c r="J116" i="19"/>
  <c r="J117" i="19" s="1"/>
  <c r="J118" i="19" s="1"/>
  <c r="M76" i="19"/>
  <c r="M77" i="19" s="1"/>
  <c r="M78" i="19" s="1"/>
  <c r="N78" i="19" s="1"/>
  <c r="J64" i="19"/>
  <c r="K14" i="19"/>
  <c r="L39" i="19"/>
  <c r="L40" i="19" s="1"/>
  <c r="L41" i="19" s="1"/>
  <c r="V81" i="17"/>
  <c r="X82" i="17"/>
  <c r="T71" i="17"/>
  <c r="Z81" i="17"/>
  <c r="Z85" i="17" s="1"/>
  <c r="N71" i="17"/>
  <c r="X81" i="17"/>
  <c r="X85" i="17" s="1"/>
  <c r="P82" i="17"/>
  <c r="P81" i="17"/>
  <c r="Z72" i="17"/>
  <c r="D72" i="17"/>
  <c r="D73" i="17"/>
  <c r="R81" i="17"/>
  <c r="N74" i="17"/>
  <c r="J82" i="17"/>
  <c r="L81" i="17"/>
  <c r="P84" i="17"/>
  <c r="D82" i="17"/>
  <c r="X73" i="17"/>
  <c r="H73" i="17"/>
  <c r="V71" i="17"/>
  <c r="P71" i="17"/>
  <c r="N83" i="17"/>
  <c r="L74" i="17"/>
  <c r="J72" i="17"/>
  <c r="J74" i="17"/>
  <c r="H71" i="17"/>
  <c r="D71" i="17"/>
  <c r="X72" i="17"/>
  <c r="F72" i="17"/>
  <c r="P72" i="17"/>
  <c r="Z74" i="17"/>
  <c r="X74" i="17"/>
  <c r="N73" i="17"/>
  <c r="L72" i="17"/>
  <c r="J73" i="17"/>
  <c r="H74" i="17"/>
  <c r="Z73" i="17"/>
  <c r="H72" i="17"/>
  <c r="V74" i="17"/>
  <c r="V73" i="17"/>
  <c r="F71" i="17"/>
  <c r="T83" i="17"/>
  <c r="L73" i="17"/>
  <c r="J83" i="17"/>
  <c r="R74" i="17"/>
  <c r="R71" i="17"/>
  <c r="D64" i="17"/>
  <c r="D65" i="17" s="1"/>
  <c r="D83" i="17"/>
  <c r="R82" i="17"/>
  <c r="V83" i="17"/>
  <c r="V82" i="17"/>
  <c r="V84" i="17"/>
  <c r="R83" i="17"/>
  <c r="R73" i="17"/>
  <c r="N72" i="17"/>
  <c r="L82" i="17"/>
  <c r="F73" i="17"/>
  <c r="T74" i="17"/>
  <c r="T72" i="17"/>
  <c r="Z71" i="17"/>
  <c r="J71" i="17"/>
  <c r="V72" i="17"/>
  <c r="R72" i="17"/>
  <c r="T73" i="17"/>
  <c r="J64" i="17"/>
  <c r="J65" i="17" s="1"/>
  <c r="L71" i="17"/>
  <c r="F74" i="17"/>
  <c r="R84" i="17"/>
  <c r="F64" i="17"/>
  <c r="F65" i="17" s="1"/>
  <c r="P73" i="17"/>
  <c r="D74" i="17"/>
  <c r="L83" i="17"/>
  <c r="T82" i="17"/>
  <c r="H82" i="17"/>
  <c r="H64" i="17"/>
  <c r="H65" i="17" s="1"/>
  <c r="H81" i="17"/>
  <c r="T81" i="17"/>
  <c r="J84" i="17"/>
  <c r="T84" i="17"/>
  <c r="D81" i="17"/>
  <c r="D84" i="17"/>
  <c r="H83" i="17"/>
  <c r="N82" i="17"/>
  <c r="N64" i="17"/>
  <c r="N65" i="17" s="1"/>
  <c r="N81" i="17"/>
  <c r="L84" i="17"/>
  <c r="H84" i="17"/>
  <c r="N84" i="17"/>
  <c r="E396" i="1"/>
  <c r="E395" i="1"/>
  <c r="E394" i="1"/>
  <c r="E393" i="1"/>
  <c r="E392" i="1"/>
  <c r="E391" i="1"/>
  <c r="M26" i="19" l="1"/>
  <c r="M27" i="19" s="1"/>
  <c r="M28" i="19" s="1"/>
  <c r="N28" i="19" s="1"/>
  <c r="L91" i="19"/>
  <c r="L92" i="19" s="1"/>
  <c r="L93" i="19" s="1"/>
  <c r="M39" i="19"/>
  <c r="M40" i="19" s="1"/>
  <c r="M41" i="19" s="1"/>
  <c r="N41" i="19" s="1"/>
  <c r="L101" i="19"/>
  <c r="L102" i="19" s="1"/>
  <c r="L103" i="19" s="1"/>
  <c r="K116" i="19"/>
  <c r="K117" i="19" s="1"/>
  <c r="K118" i="19" s="1"/>
  <c r="M146" i="19"/>
  <c r="M147" i="19" s="1"/>
  <c r="M148" i="19" s="1"/>
  <c r="N148" i="19" s="1"/>
  <c r="K15" i="19"/>
  <c r="K16" i="19" s="1"/>
  <c r="O76" i="19"/>
  <c r="O77" i="19" s="1"/>
  <c r="O78" i="19" s="1"/>
  <c r="M52" i="19"/>
  <c r="M53" i="19" s="1"/>
  <c r="M54" i="19" s="1"/>
  <c r="N54" i="19" s="1"/>
  <c r="M131" i="19"/>
  <c r="M132" i="19" s="1"/>
  <c r="M133" i="19" s="1"/>
  <c r="N133" i="19" s="1"/>
  <c r="J65" i="19"/>
  <c r="J66" i="19" s="1"/>
  <c r="J152" i="19"/>
  <c r="J153" i="19" s="1"/>
  <c r="N75" i="17"/>
  <c r="P85" i="17"/>
  <c r="D75" i="17"/>
  <c r="X75" i="17"/>
  <c r="L75" i="17"/>
  <c r="V75" i="17"/>
  <c r="F75" i="17"/>
  <c r="J85" i="17"/>
  <c r="T75" i="17"/>
  <c r="Z75" i="17"/>
  <c r="P75" i="17"/>
  <c r="H75" i="17"/>
  <c r="J75" i="17"/>
  <c r="R75" i="17"/>
  <c r="V85" i="17"/>
  <c r="R85" i="17"/>
  <c r="L85" i="17"/>
  <c r="N85" i="17"/>
  <c r="T85" i="17"/>
  <c r="D85" i="17"/>
  <c r="H85" i="17"/>
  <c r="F53" i="17"/>
  <c r="H53" i="17"/>
  <c r="J53" i="17"/>
  <c r="L53" i="17"/>
  <c r="N53" i="17"/>
  <c r="P53" i="17"/>
  <c r="R53" i="17"/>
  <c r="T53" i="17"/>
  <c r="F54" i="17"/>
  <c r="H54" i="17"/>
  <c r="J54" i="17"/>
  <c r="L54" i="17"/>
  <c r="N54" i="17"/>
  <c r="P54" i="17"/>
  <c r="R54" i="17"/>
  <c r="T54" i="17"/>
  <c r="F55" i="17"/>
  <c r="H55" i="17"/>
  <c r="J55" i="17"/>
  <c r="L55" i="17"/>
  <c r="N55" i="17"/>
  <c r="P55" i="17"/>
  <c r="R55" i="17"/>
  <c r="T55" i="17"/>
  <c r="F56" i="17"/>
  <c r="H56" i="17"/>
  <c r="J56" i="17"/>
  <c r="L56" i="17"/>
  <c r="N56" i="17"/>
  <c r="P56" i="17"/>
  <c r="R56" i="17"/>
  <c r="T56" i="17"/>
  <c r="D54" i="17"/>
  <c r="D55" i="17"/>
  <c r="D56" i="17"/>
  <c r="D53" i="17"/>
  <c r="E323" i="13"/>
  <c r="Z323" i="13" s="1"/>
  <c r="X53" i="17" s="1"/>
  <c r="E324" i="13"/>
  <c r="Z324" i="13" s="1"/>
  <c r="X54" i="17" s="1"/>
  <c r="E325" i="13"/>
  <c r="AB325" i="13" s="1"/>
  <c r="Z55" i="17" s="1"/>
  <c r="E326" i="13"/>
  <c r="AB326" i="13" s="1"/>
  <c r="Z56" i="17" s="1"/>
  <c r="E322" i="13"/>
  <c r="Z322" i="13" s="1"/>
  <c r="E321" i="13"/>
  <c r="AB321" i="13" s="1"/>
  <c r="E320" i="13"/>
  <c r="V320" i="13" s="1"/>
  <c r="C320" i="13"/>
  <c r="N320" i="13" s="1"/>
  <c r="E542" i="1"/>
  <c r="E543" i="1"/>
  <c r="E544" i="1"/>
  <c r="E541" i="1"/>
  <c r="E540" i="1"/>
  <c r="E539" i="1"/>
  <c r="E538" i="1"/>
  <c r="E537" i="1"/>
  <c r="O39" i="19" l="1"/>
  <c r="O40" i="19" s="1"/>
  <c r="O41" i="19" s="1"/>
  <c r="O52" i="19"/>
  <c r="O53" i="19" s="1"/>
  <c r="O54" i="19" s="1"/>
  <c r="O146" i="19"/>
  <c r="O147" i="19" s="1"/>
  <c r="O148" i="19" s="1"/>
  <c r="L116" i="19"/>
  <c r="L117" i="19" s="1"/>
  <c r="L118" i="19" s="1"/>
  <c r="M101" i="19"/>
  <c r="M102" i="19" s="1"/>
  <c r="M103" i="19" s="1"/>
  <c r="N103" i="19" s="1"/>
  <c r="P76" i="19"/>
  <c r="K64" i="19"/>
  <c r="O131" i="19"/>
  <c r="O132" i="19" s="1"/>
  <c r="O133" i="19" s="1"/>
  <c r="M91" i="19"/>
  <c r="M92" i="19" s="1"/>
  <c r="M93" i="19" s="1"/>
  <c r="N93" i="19" s="1"/>
  <c r="L14" i="19"/>
  <c r="O26" i="19"/>
  <c r="O27" i="19" s="1"/>
  <c r="O28" i="19" s="1"/>
  <c r="Z326" i="13"/>
  <c r="X56" i="17" s="1"/>
  <c r="AB324" i="13"/>
  <c r="Z54" i="17" s="1"/>
  <c r="X324" i="13"/>
  <c r="V54" i="17" s="1"/>
  <c r="T320" i="13"/>
  <c r="R61" i="17" s="1"/>
  <c r="L320" i="13"/>
  <c r="J59" i="17" s="1"/>
  <c r="X326" i="13"/>
  <c r="V56" i="17" s="1"/>
  <c r="H320" i="13"/>
  <c r="F61" i="17" s="1"/>
  <c r="P320" i="13"/>
  <c r="N59" i="17" s="1"/>
  <c r="T61" i="17"/>
  <c r="T59" i="17"/>
  <c r="T60" i="17"/>
  <c r="L60" i="17"/>
  <c r="T58" i="17"/>
  <c r="L58" i="17"/>
  <c r="T57" i="17"/>
  <c r="L57" i="17"/>
  <c r="L61" i="17"/>
  <c r="L59" i="17"/>
  <c r="X320" i="13"/>
  <c r="X322" i="13"/>
  <c r="AB322" i="13"/>
  <c r="J320" i="13"/>
  <c r="H60" i="17" s="1"/>
  <c r="R320" i="13"/>
  <c r="Z320" i="13"/>
  <c r="X323" i="13"/>
  <c r="V53" i="17" s="1"/>
  <c r="Z321" i="13"/>
  <c r="Z325" i="13"/>
  <c r="X55" i="17" s="1"/>
  <c r="AB323" i="13"/>
  <c r="Z53" i="17" s="1"/>
  <c r="AB320" i="13"/>
  <c r="Z59" i="17" s="1"/>
  <c r="F320" i="13"/>
  <c r="D57" i="17" s="1"/>
  <c r="X321" i="13"/>
  <c r="X325" i="13"/>
  <c r="V55" i="17" s="1"/>
  <c r="E43" i="17"/>
  <c r="E96" i="17" s="1"/>
  <c r="G43" i="17"/>
  <c r="G96" i="17" s="1"/>
  <c r="I43" i="17"/>
  <c r="I96" i="17" s="1"/>
  <c r="K43" i="17"/>
  <c r="K96" i="17" s="1"/>
  <c r="M43" i="17"/>
  <c r="M96" i="17" s="1"/>
  <c r="O43" i="17"/>
  <c r="O96" i="17" s="1"/>
  <c r="Q43" i="17"/>
  <c r="Q96" i="17" s="1"/>
  <c r="S43" i="17"/>
  <c r="S96" i="17" s="1"/>
  <c r="U43" i="17"/>
  <c r="U96" i="17" s="1"/>
  <c r="W43" i="17"/>
  <c r="W96" i="17" s="1"/>
  <c r="Y43" i="17"/>
  <c r="Y96" i="17" s="1"/>
  <c r="E44" i="17"/>
  <c r="E97" i="17" s="1"/>
  <c r="G44" i="17"/>
  <c r="G97" i="17" s="1"/>
  <c r="I44" i="17"/>
  <c r="I97" i="17" s="1"/>
  <c r="K44" i="17"/>
  <c r="K97" i="17" s="1"/>
  <c r="M44" i="17"/>
  <c r="M97" i="17" s="1"/>
  <c r="O44" i="17"/>
  <c r="O97" i="17" s="1"/>
  <c r="Q44" i="17"/>
  <c r="Q97" i="17" s="1"/>
  <c r="S44" i="17"/>
  <c r="S97" i="17" s="1"/>
  <c r="U44" i="17"/>
  <c r="U97" i="17" s="1"/>
  <c r="W44" i="17"/>
  <c r="W97" i="17" s="1"/>
  <c r="Y44" i="17"/>
  <c r="Y97" i="17" s="1"/>
  <c r="E45" i="17"/>
  <c r="E98" i="17" s="1"/>
  <c r="G45" i="17"/>
  <c r="G98" i="17" s="1"/>
  <c r="I45" i="17"/>
  <c r="I98" i="17" s="1"/>
  <c r="K45" i="17"/>
  <c r="K98" i="17" s="1"/>
  <c r="M45" i="17"/>
  <c r="M98" i="17" s="1"/>
  <c r="O45" i="17"/>
  <c r="O98" i="17" s="1"/>
  <c r="Q45" i="17"/>
  <c r="Q98" i="17" s="1"/>
  <c r="S45" i="17"/>
  <c r="S98" i="17" s="1"/>
  <c r="U45" i="17"/>
  <c r="U98" i="17" s="1"/>
  <c r="W45" i="17"/>
  <c r="W98" i="17" s="1"/>
  <c r="Y45" i="17"/>
  <c r="Y98" i="17" s="1"/>
  <c r="E46" i="17"/>
  <c r="E99" i="17" s="1"/>
  <c r="G46" i="17"/>
  <c r="G99" i="17" s="1"/>
  <c r="I46" i="17"/>
  <c r="I99" i="17" s="1"/>
  <c r="K46" i="17"/>
  <c r="K99" i="17" s="1"/>
  <c r="M46" i="17"/>
  <c r="M99" i="17" s="1"/>
  <c r="O46" i="17"/>
  <c r="O99" i="17" s="1"/>
  <c r="Q46" i="17"/>
  <c r="Q99" i="17" s="1"/>
  <c r="S46" i="17"/>
  <c r="S99" i="17" s="1"/>
  <c r="U46" i="17"/>
  <c r="U99" i="17" s="1"/>
  <c r="W46" i="17"/>
  <c r="W99" i="17" s="1"/>
  <c r="Y46" i="17"/>
  <c r="Y99" i="17" s="1"/>
  <c r="E212" i="13"/>
  <c r="Z212" i="13" s="1"/>
  <c r="X44" i="17" s="1"/>
  <c r="E213" i="13"/>
  <c r="AB213" i="13" s="1"/>
  <c r="Z45" i="17" s="1"/>
  <c r="E214" i="13"/>
  <c r="V214" i="13" s="1"/>
  <c r="T46" i="17" s="1"/>
  <c r="E211" i="13"/>
  <c r="AB211" i="13" s="1"/>
  <c r="Z43" i="17" s="1"/>
  <c r="E210" i="13"/>
  <c r="V210" i="13" s="1"/>
  <c r="E209" i="13"/>
  <c r="AB209" i="13" s="1"/>
  <c r="C212" i="13"/>
  <c r="P212" i="13" s="1"/>
  <c r="N44" i="17" s="1"/>
  <c r="C213" i="13"/>
  <c r="J213" i="13" s="1"/>
  <c r="H45" i="17" s="1"/>
  <c r="C214" i="13"/>
  <c r="T214" i="13" s="1"/>
  <c r="R46" i="17" s="1"/>
  <c r="C211" i="13"/>
  <c r="R211" i="13" s="1"/>
  <c r="P43" i="17" s="1"/>
  <c r="C210" i="13"/>
  <c r="R210" i="13" s="1"/>
  <c r="C209" i="13"/>
  <c r="E208" i="13"/>
  <c r="Z208" i="13" s="1"/>
  <c r="C208" i="13"/>
  <c r="T208" i="13" s="1"/>
  <c r="E355" i="1"/>
  <c r="E356" i="1"/>
  <c r="E357" i="1"/>
  <c r="E354" i="1"/>
  <c r="E345" i="1"/>
  <c r="E347" i="1"/>
  <c r="E349" i="1"/>
  <c r="E351" i="1"/>
  <c r="E352" i="1"/>
  <c r="E353" i="1"/>
  <c r="E350" i="1"/>
  <c r="E348" i="1"/>
  <c r="E346" i="1"/>
  <c r="E344" i="1"/>
  <c r="O101" i="19" l="1"/>
  <c r="O102" i="19" s="1"/>
  <c r="O103" i="19" s="1"/>
  <c r="P131" i="19"/>
  <c r="P39" i="19"/>
  <c r="O91" i="19"/>
  <c r="O92" i="19" s="1"/>
  <c r="O93" i="19" s="1"/>
  <c r="M116" i="19"/>
  <c r="M117" i="19" s="1"/>
  <c r="M118" i="19" s="1"/>
  <c r="N118" i="19" s="1"/>
  <c r="P77" i="19"/>
  <c r="P78" i="19" s="1"/>
  <c r="R76" i="19"/>
  <c r="R77" i="19" s="1"/>
  <c r="P52" i="19"/>
  <c r="P26" i="19"/>
  <c r="K65" i="19"/>
  <c r="K66" i="19" s="1"/>
  <c r="K152" i="19"/>
  <c r="K153" i="19" s="1"/>
  <c r="L15" i="19"/>
  <c r="L16" i="19" s="1"/>
  <c r="P146" i="19"/>
  <c r="R99" i="17"/>
  <c r="X97" i="17"/>
  <c r="N57" i="17"/>
  <c r="R58" i="17"/>
  <c r="F57" i="17"/>
  <c r="R57" i="17"/>
  <c r="R60" i="17"/>
  <c r="F214" i="13"/>
  <c r="D46" i="17" s="1"/>
  <c r="V208" i="13"/>
  <c r="T50" i="17" s="1"/>
  <c r="J60" i="17"/>
  <c r="J58" i="17"/>
  <c r="Z214" i="13"/>
  <c r="X46" i="17" s="1"/>
  <c r="X99" i="17" s="1"/>
  <c r="N60" i="17"/>
  <c r="R59" i="17"/>
  <c r="J214" i="13"/>
  <c r="H46" i="17" s="1"/>
  <c r="V209" i="13"/>
  <c r="AB208" i="13"/>
  <c r="V57" i="17"/>
  <c r="N61" i="17"/>
  <c r="J61" i="17"/>
  <c r="H208" i="13"/>
  <c r="L211" i="13"/>
  <c r="J43" i="17" s="1"/>
  <c r="X209" i="13"/>
  <c r="J208" i="13"/>
  <c r="H49" i="17" s="1"/>
  <c r="P211" i="13"/>
  <c r="N43" i="17" s="1"/>
  <c r="X210" i="13"/>
  <c r="N58" i="17"/>
  <c r="J57" i="17"/>
  <c r="F213" i="13"/>
  <c r="D45" i="17" s="1"/>
  <c r="D58" i="17"/>
  <c r="E358" i="1"/>
  <c r="P208" i="13"/>
  <c r="N48" i="17" s="1"/>
  <c r="H211" i="13"/>
  <c r="F43" i="17" s="1"/>
  <c r="F96" i="17" s="1"/>
  <c r="N213" i="13"/>
  <c r="L45" i="17" s="1"/>
  <c r="R214" i="13"/>
  <c r="P46" i="17" s="1"/>
  <c r="V212" i="13"/>
  <c r="T44" i="17" s="1"/>
  <c r="X213" i="13"/>
  <c r="V45" i="17" s="1"/>
  <c r="V59" i="17"/>
  <c r="Z57" i="17"/>
  <c r="H57" i="17"/>
  <c r="F59" i="17"/>
  <c r="F58" i="17"/>
  <c r="F60" i="17"/>
  <c r="R213" i="13"/>
  <c r="P45" i="17" s="1"/>
  <c r="R208" i="13"/>
  <c r="P96" i="17" s="1"/>
  <c r="N214" i="13"/>
  <c r="L46" i="17" s="1"/>
  <c r="T211" i="13"/>
  <c r="R43" i="17" s="1"/>
  <c r="R96" i="17" s="1"/>
  <c r="V213" i="13"/>
  <c r="T45" i="17" s="1"/>
  <c r="Z210" i="13"/>
  <c r="AB212" i="13"/>
  <c r="Z44" i="17" s="1"/>
  <c r="R50" i="17"/>
  <c r="X61" i="17"/>
  <c r="T209" i="13"/>
  <c r="P209" i="13"/>
  <c r="L209" i="13"/>
  <c r="H209" i="13"/>
  <c r="T213" i="13"/>
  <c r="R45" i="17" s="1"/>
  <c r="R98" i="17" s="1"/>
  <c r="P213" i="13"/>
  <c r="N45" i="17" s="1"/>
  <c r="L213" i="13"/>
  <c r="J45" i="17" s="1"/>
  <c r="H213" i="13"/>
  <c r="F45" i="17" s="1"/>
  <c r="X211" i="13"/>
  <c r="V43" i="17" s="1"/>
  <c r="V211" i="13"/>
  <c r="T43" i="17" s="1"/>
  <c r="Z211" i="13"/>
  <c r="X43" i="17" s="1"/>
  <c r="X96" i="17" s="1"/>
  <c r="F209" i="13"/>
  <c r="J209" i="13"/>
  <c r="N209" i="13"/>
  <c r="R209" i="13"/>
  <c r="X48" i="17"/>
  <c r="X58" i="17"/>
  <c r="F210" i="13"/>
  <c r="H212" i="13"/>
  <c r="F44" i="17" s="1"/>
  <c r="J210" i="13"/>
  <c r="L212" i="13"/>
  <c r="J44" i="17" s="1"/>
  <c r="T212" i="13"/>
  <c r="R44" i="17" s="1"/>
  <c r="R97" i="17" s="1"/>
  <c r="X59" i="17"/>
  <c r="P61" i="17"/>
  <c r="P59" i="17"/>
  <c r="N208" i="13"/>
  <c r="F208" i="13"/>
  <c r="F212" i="13"/>
  <c r="D44" i="17" s="1"/>
  <c r="H210" i="13"/>
  <c r="H214" i="13"/>
  <c r="F46" i="17" s="1"/>
  <c r="J212" i="13"/>
  <c r="H44" i="17" s="1"/>
  <c r="L210" i="13"/>
  <c r="L214" i="13"/>
  <c r="J46" i="17" s="1"/>
  <c r="N212" i="13"/>
  <c r="L44" i="17" s="1"/>
  <c r="L97" i="17" s="1"/>
  <c r="P210" i="13"/>
  <c r="P214" i="13"/>
  <c r="N46" i="17" s="1"/>
  <c r="N99" i="17" s="1"/>
  <c r="R212" i="13"/>
  <c r="P44" i="17" s="1"/>
  <c r="P97" i="17" s="1"/>
  <c r="T210" i="13"/>
  <c r="X208" i="13"/>
  <c r="X212" i="13"/>
  <c r="V44" i="17" s="1"/>
  <c r="Z209" i="13"/>
  <c r="Z213" i="13"/>
  <c r="X45" i="17" s="1"/>
  <c r="X98" i="17" s="1"/>
  <c r="AB210" i="13"/>
  <c r="AB214" i="13"/>
  <c r="Z46" i="17" s="1"/>
  <c r="Z61" i="17"/>
  <c r="V61" i="17"/>
  <c r="P58" i="17"/>
  <c r="V58" i="17"/>
  <c r="X60" i="17"/>
  <c r="V60" i="17"/>
  <c r="X57" i="17"/>
  <c r="N210" i="13"/>
  <c r="X214" i="13"/>
  <c r="V46" i="17" s="1"/>
  <c r="P57" i="17"/>
  <c r="P60" i="17"/>
  <c r="L208" i="13"/>
  <c r="F211" i="13"/>
  <c r="D43" i="17" s="1"/>
  <c r="J211" i="13"/>
  <c r="H43" i="17" s="1"/>
  <c r="N211" i="13"/>
  <c r="L43" i="17" s="1"/>
  <c r="D61" i="17"/>
  <c r="D59" i="17"/>
  <c r="H61" i="17"/>
  <c r="H59" i="17"/>
  <c r="H58" i="17"/>
  <c r="Z58" i="17"/>
  <c r="D60" i="17"/>
  <c r="Z60" i="17"/>
  <c r="E315" i="1"/>
  <c r="E314" i="1"/>
  <c r="T37" i="17"/>
  <c r="V37" i="17"/>
  <c r="X37" i="17"/>
  <c r="Z37" i="17"/>
  <c r="T36" i="17"/>
  <c r="V36" i="17"/>
  <c r="X36" i="17"/>
  <c r="Z36" i="17"/>
  <c r="C194" i="13"/>
  <c r="R194" i="13" s="1"/>
  <c r="P37" i="17" s="1"/>
  <c r="C193" i="13"/>
  <c r="T193" i="13" s="1"/>
  <c r="R36" i="17" s="1"/>
  <c r="O116" i="19" l="1"/>
  <c r="O117" i="19" s="1"/>
  <c r="O118" i="19" s="1"/>
  <c r="P101" i="19"/>
  <c r="M14" i="19"/>
  <c r="P91" i="19"/>
  <c r="P132" i="19"/>
  <c r="P133" i="19" s="1"/>
  <c r="R131" i="19"/>
  <c r="R132" i="19" s="1"/>
  <c r="P27" i="19"/>
  <c r="P28" i="19" s="1"/>
  <c r="R26" i="19"/>
  <c r="R27" i="19" s="1"/>
  <c r="P53" i="19"/>
  <c r="P54" i="19" s="1"/>
  <c r="R52" i="19"/>
  <c r="R53" i="19" s="1"/>
  <c r="P147" i="19"/>
  <c r="P148" i="19" s="1"/>
  <c r="R146" i="19"/>
  <c r="R147" i="19" s="1"/>
  <c r="L64" i="19"/>
  <c r="P40" i="19"/>
  <c r="P41" i="19" s="1"/>
  <c r="R39" i="19"/>
  <c r="R40" i="19" s="1"/>
  <c r="F99" i="17"/>
  <c r="T96" i="17"/>
  <c r="Z97" i="17"/>
  <c r="N98" i="17"/>
  <c r="J96" i="17"/>
  <c r="N97" i="17"/>
  <c r="H96" i="17"/>
  <c r="J99" i="17"/>
  <c r="J97" i="17"/>
  <c r="V99" i="17"/>
  <c r="V96" i="17"/>
  <c r="V98" i="17"/>
  <c r="D98" i="17"/>
  <c r="N96" i="17"/>
  <c r="D96" i="17"/>
  <c r="V97" i="17"/>
  <c r="D97" i="17"/>
  <c r="D99" i="17"/>
  <c r="T99" i="17"/>
  <c r="L99" i="17"/>
  <c r="L98" i="17"/>
  <c r="AB122" i="17"/>
  <c r="Z99" i="17"/>
  <c r="F98" i="17"/>
  <c r="T98" i="17"/>
  <c r="P98" i="17"/>
  <c r="T97" i="17"/>
  <c r="Z98" i="17"/>
  <c r="Z96" i="17"/>
  <c r="L96" i="17"/>
  <c r="L122" i="17" s="1"/>
  <c r="H97" i="17"/>
  <c r="F97" i="17"/>
  <c r="J98" i="17"/>
  <c r="P99" i="17"/>
  <c r="P125" i="17" s="1"/>
  <c r="H99" i="17"/>
  <c r="H98" i="17"/>
  <c r="V49" i="17"/>
  <c r="M124" i="17"/>
  <c r="P49" i="17"/>
  <c r="D50" i="17"/>
  <c r="X50" i="17"/>
  <c r="N47" i="17"/>
  <c r="F47" i="17"/>
  <c r="H50" i="17"/>
  <c r="Z48" i="17"/>
  <c r="P50" i="17"/>
  <c r="T48" i="17"/>
  <c r="T49" i="17"/>
  <c r="R47" i="17"/>
  <c r="T51" i="17"/>
  <c r="Z49" i="17"/>
  <c r="Z47" i="17"/>
  <c r="J193" i="13"/>
  <c r="H36" i="17" s="1"/>
  <c r="N193" i="13"/>
  <c r="L36" i="17" s="1"/>
  <c r="R193" i="13"/>
  <c r="P36" i="17" s="1"/>
  <c r="P47" i="17"/>
  <c r="F193" i="13"/>
  <c r="D36" i="17" s="1"/>
  <c r="X49" i="17"/>
  <c r="F50" i="17"/>
  <c r="R48" i="17"/>
  <c r="Z50" i="17"/>
  <c r="V48" i="17"/>
  <c r="N50" i="17"/>
  <c r="D48" i="17"/>
  <c r="V47" i="17"/>
  <c r="R49" i="17"/>
  <c r="H48" i="17"/>
  <c r="F48" i="17"/>
  <c r="F49" i="17"/>
  <c r="H47" i="17"/>
  <c r="L48" i="17"/>
  <c r="X47" i="17"/>
  <c r="D47" i="17"/>
  <c r="V50" i="17"/>
  <c r="P48" i="17"/>
  <c r="J50" i="17"/>
  <c r="J48" i="17"/>
  <c r="Z51" i="17"/>
  <c r="T47" i="17"/>
  <c r="N49" i="17"/>
  <c r="H194" i="13"/>
  <c r="F37" i="17" s="1"/>
  <c r="L194" i="13"/>
  <c r="J37" i="17" s="1"/>
  <c r="P194" i="13"/>
  <c r="N37" i="17" s="1"/>
  <c r="T194" i="13"/>
  <c r="R37" i="17" s="1"/>
  <c r="L51" i="17"/>
  <c r="R51" i="17"/>
  <c r="L49" i="17"/>
  <c r="X51" i="17"/>
  <c r="F51" i="17"/>
  <c r="L50" i="17"/>
  <c r="F194" i="13"/>
  <c r="D37" i="17" s="1"/>
  <c r="J194" i="13"/>
  <c r="H37" i="17" s="1"/>
  <c r="N194" i="13"/>
  <c r="L37" i="17" s="1"/>
  <c r="J51" i="17"/>
  <c r="J47" i="17"/>
  <c r="H51" i="17"/>
  <c r="J49" i="17"/>
  <c r="H193" i="13"/>
  <c r="F36" i="17" s="1"/>
  <c r="L193" i="13"/>
  <c r="J36" i="17" s="1"/>
  <c r="P193" i="13"/>
  <c r="N36" i="17" s="1"/>
  <c r="L47" i="17"/>
  <c r="V51" i="17"/>
  <c r="D51" i="17"/>
  <c r="P51" i="17"/>
  <c r="N51" i="17"/>
  <c r="D49" i="17"/>
  <c r="E34" i="17"/>
  <c r="G34" i="17"/>
  <c r="I34" i="17"/>
  <c r="K34" i="17"/>
  <c r="M34" i="17"/>
  <c r="O34" i="17"/>
  <c r="Q34" i="17"/>
  <c r="S34" i="17"/>
  <c r="U34" i="17"/>
  <c r="W34" i="17"/>
  <c r="Y34" i="17"/>
  <c r="E33" i="17"/>
  <c r="G33" i="17"/>
  <c r="I33" i="17"/>
  <c r="K33" i="17"/>
  <c r="M33" i="17"/>
  <c r="O33" i="17"/>
  <c r="Q33" i="17"/>
  <c r="S33" i="17"/>
  <c r="U33" i="17"/>
  <c r="W33" i="17"/>
  <c r="Y33" i="17"/>
  <c r="E249" i="1"/>
  <c r="E248" i="1"/>
  <c r="E247" i="1"/>
  <c r="E246" i="1"/>
  <c r="E174" i="13"/>
  <c r="V174" i="13" s="1"/>
  <c r="T34" i="17" s="1"/>
  <c r="E173" i="13"/>
  <c r="V173" i="13" s="1"/>
  <c r="T33" i="17" s="1"/>
  <c r="C174" i="13"/>
  <c r="P174" i="13" s="1"/>
  <c r="N34" i="17" s="1"/>
  <c r="C173" i="13"/>
  <c r="N173" i="13" s="1"/>
  <c r="L33" i="17" s="1"/>
  <c r="E282" i="1"/>
  <c r="E281" i="1"/>
  <c r="E280" i="1"/>
  <c r="E279" i="1"/>
  <c r="J122" i="17" l="1"/>
  <c r="P116" i="19"/>
  <c r="L65" i="19"/>
  <c r="L66" i="19" s="1"/>
  <c r="L152" i="19"/>
  <c r="L153" i="19" s="1"/>
  <c r="P92" i="19"/>
  <c r="P93" i="19" s="1"/>
  <c r="R91" i="19"/>
  <c r="R92" i="19" s="1"/>
  <c r="P102" i="19"/>
  <c r="P103" i="19" s="1"/>
  <c r="R101" i="19"/>
  <c r="R102" i="19" s="1"/>
  <c r="M15" i="19"/>
  <c r="M16" i="19" s="1"/>
  <c r="N16" i="19" s="1"/>
  <c r="V125" i="17"/>
  <c r="U123" i="17"/>
  <c r="W125" i="17"/>
  <c r="O124" i="17"/>
  <c r="S122" i="17"/>
  <c r="X123" i="17"/>
  <c r="R122" i="17"/>
  <c r="H125" i="17"/>
  <c r="H123" i="17"/>
  <c r="O125" i="17"/>
  <c r="T125" i="17"/>
  <c r="J124" i="17"/>
  <c r="R123" i="17"/>
  <c r="Q124" i="17"/>
  <c r="Q122" i="17"/>
  <c r="I124" i="17"/>
  <c r="H124" i="17"/>
  <c r="Z124" i="17"/>
  <c r="V123" i="17"/>
  <c r="J125" i="17"/>
  <c r="T124" i="17"/>
  <c r="L124" i="17"/>
  <c r="F123" i="17"/>
  <c r="D122" i="17"/>
  <c r="N124" i="17"/>
  <c r="L123" i="17"/>
  <c r="R124" i="17"/>
  <c r="L125" i="17"/>
  <c r="V124" i="17"/>
  <c r="M122" i="17"/>
  <c r="K125" i="17"/>
  <c r="Y125" i="17"/>
  <c r="R125" i="17"/>
  <c r="K123" i="17"/>
  <c r="O122" i="17"/>
  <c r="E125" i="17"/>
  <c r="E122" i="17"/>
  <c r="Y124" i="17"/>
  <c r="I125" i="17"/>
  <c r="N123" i="17"/>
  <c r="S124" i="17"/>
  <c r="N122" i="17"/>
  <c r="G124" i="17"/>
  <c r="M125" i="17"/>
  <c r="Z123" i="17"/>
  <c r="D125" i="17"/>
  <c r="F124" i="17"/>
  <c r="S123" i="17"/>
  <c r="J123" i="17"/>
  <c r="P123" i="17"/>
  <c r="N125" i="17"/>
  <c r="Z125" i="17"/>
  <c r="G123" i="17"/>
  <c r="G122" i="17"/>
  <c r="Q123" i="17"/>
  <c r="E124" i="17"/>
  <c r="M123" i="17"/>
  <c r="U125" i="17"/>
  <c r="U122" i="17"/>
  <c r="S125" i="17"/>
  <c r="I123" i="17"/>
  <c r="X125" i="17"/>
  <c r="T123" i="17"/>
  <c r="I122" i="17"/>
  <c r="G125" i="17"/>
  <c r="D123" i="17"/>
  <c r="D124" i="17"/>
  <c r="T122" i="17"/>
  <c r="X122" i="17"/>
  <c r="H122" i="17"/>
  <c r="V122" i="17"/>
  <c r="X124" i="17"/>
  <c r="P122" i="17"/>
  <c r="W123" i="17"/>
  <c r="E123" i="17"/>
  <c r="K124" i="17"/>
  <c r="O345" i="1"/>
  <c r="U124" i="17"/>
  <c r="W124" i="17"/>
  <c r="P124" i="17"/>
  <c r="O123" i="17"/>
  <c r="W122" i="17"/>
  <c r="Y123" i="17"/>
  <c r="Z122" i="17"/>
  <c r="Y122" i="17"/>
  <c r="Q125" i="17"/>
  <c r="K122" i="17"/>
  <c r="F122" i="17"/>
  <c r="F125" i="17"/>
  <c r="R173" i="13"/>
  <c r="P33" i="17" s="1"/>
  <c r="P173" i="13"/>
  <c r="N33" i="17" s="1"/>
  <c r="N38" i="17" s="1"/>
  <c r="Z174" i="13"/>
  <c r="X34" i="17" s="1"/>
  <c r="H173" i="13"/>
  <c r="F33" i="17" s="1"/>
  <c r="X173" i="13"/>
  <c r="V33" i="17" s="1"/>
  <c r="J173" i="13"/>
  <c r="H33" i="17" s="1"/>
  <c r="X174" i="13"/>
  <c r="V34" i="17" s="1"/>
  <c r="T38" i="17"/>
  <c r="R174" i="13"/>
  <c r="P34" i="17" s="1"/>
  <c r="T173" i="13"/>
  <c r="R33" i="17" s="1"/>
  <c r="Z173" i="13"/>
  <c r="X33" i="17" s="1"/>
  <c r="L173" i="13"/>
  <c r="J33" i="17" s="1"/>
  <c r="F174" i="13"/>
  <c r="D34" i="17" s="1"/>
  <c r="N174" i="13"/>
  <c r="L34" i="17" s="1"/>
  <c r="T174" i="13"/>
  <c r="R34" i="17" s="1"/>
  <c r="AB173" i="13"/>
  <c r="Z33" i="17" s="1"/>
  <c r="AB174" i="13"/>
  <c r="Z34" i="17" s="1"/>
  <c r="J174" i="13"/>
  <c r="H34" i="17" s="1"/>
  <c r="L174" i="13"/>
  <c r="J34" i="17" s="1"/>
  <c r="F173" i="13"/>
  <c r="D33" i="17" s="1"/>
  <c r="H174" i="13"/>
  <c r="F34" i="17" s="1"/>
  <c r="E156" i="1"/>
  <c r="E155" i="1"/>
  <c r="E154" i="1"/>
  <c r="E153" i="1"/>
  <c r="E152" i="1"/>
  <c r="E151" i="1"/>
  <c r="E116" i="17"/>
  <c r="G116" i="17"/>
  <c r="E28" i="17"/>
  <c r="E31" i="17" s="1"/>
  <c r="G28" i="17"/>
  <c r="G31" i="17" s="1"/>
  <c r="I28" i="17"/>
  <c r="I31" i="17" s="1"/>
  <c r="K28" i="17"/>
  <c r="K31" i="17" s="1"/>
  <c r="M28" i="17"/>
  <c r="M31" i="17" s="1"/>
  <c r="O28" i="17"/>
  <c r="O31" i="17" s="1"/>
  <c r="Q28" i="17"/>
  <c r="Q31" i="17" s="1"/>
  <c r="S28" i="17"/>
  <c r="S31" i="17" s="1"/>
  <c r="U28" i="17"/>
  <c r="U31" i="17" s="1"/>
  <c r="W28" i="17"/>
  <c r="W31" i="17" s="1"/>
  <c r="Y28" i="17"/>
  <c r="Y31" i="17" s="1"/>
  <c r="E14" i="17"/>
  <c r="G14" i="17"/>
  <c r="I14" i="17"/>
  <c r="K14" i="17"/>
  <c r="M14" i="17"/>
  <c r="O14" i="17"/>
  <c r="Q14" i="17"/>
  <c r="S14" i="17"/>
  <c r="U14" i="17"/>
  <c r="W14" i="17"/>
  <c r="Y14" i="17"/>
  <c r="G118" i="1"/>
  <c r="H118" i="1"/>
  <c r="H112" i="1"/>
  <c r="H113" i="1"/>
  <c r="H114" i="1"/>
  <c r="H115" i="1"/>
  <c r="I115" i="1" s="1"/>
  <c r="H116" i="1"/>
  <c r="H117" i="1"/>
  <c r="H111" i="1"/>
  <c r="H245" i="1"/>
  <c r="H246" i="1"/>
  <c r="H247" i="1"/>
  <c r="H248" i="1"/>
  <c r="H249" i="1"/>
  <c r="H244" i="1"/>
  <c r="H76" i="1"/>
  <c r="H73" i="1"/>
  <c r="H72" i="1"/>
  <c r="H188" i="1"/>
  <c r="H189" i="1"/>
  <c r="H190" i="1"/>
  <c r="H187" i="1"/>
  <c r="H220" i="1"/>
  <c r="H218" i="1"/>
  <c r="M64" i="19" l="1"/>
  <c r="O14" i="19"/>
  <c r="P117" i="19"/>
  <c r="P118" i="19" s="1"/>
  <c r="R116" i="19"/>
  <c r="R117" i="19" s="1"/>
  <c r="L126" i="17"/>
  <c r="J126" i="17"/>
  <c r="H126" i="17"/>
  <c r="Q126" i="17"/>
  <c r="W126" i="17"/>
  <c r="U126" i="17"/>
  <c r="O126" i="17"/>
  <c r="G126" i="17"/>
  <c r="E126" i="17"/>
  <c r="R126" i="17"/>
  <c r="V126" i="17"/>
  <c r="Z126" i="17"/>
  <c r="D126" i="17"/>
  <c r="T126" i="17"/>
  <c r="X126" i="17"/>
  <c r="I126" i="17"/>
  <c r="AA122" i="17"/>
  <c r="O354" i="1" s="1"/>
  <c r="N126" i="17"/>
  <c r="AA123" i="17"/>
  <c r="O355" i="1" s="1"/>
  <c r="AA125" i="17"/>
  <c r="O357" i="1" s="1"/>
  <c r="K126" i="17"/>
  <c r="M126" i="17"/>
  <c r="F126" i="17"/>
  <c r="Y126" i="17"/>
  <c r="P126" i="17"/>
  <c r="S126" i="17"/>
  <c r="AA124" i="17"/>
  <c r="O356" i="1" s="1"/>
  <c r="I118" i="1"/>
  <c r="V38" i="17"/>
  <c r="F38" i="17"/>
  <c r="P38" i="17"/>
  <c r="Z38" i="17"/>
  <c r="J38" i="17"/>
  <c r="X38" i="17"/>
  <c r="R38" i="17"/>
  <c r="L38" i="17"/>
  <c r="H38" i="17"/>
  <c r="D38" i="17"/>
  <c r="E98" i="13"/>
  <c r="X98" i="13" s="1"/>
  <c r="V26" i="17" s="1"/>
  <c r="E99" i="13"/>
  <c r="Z99" i="13" s="1"/>
  <c r="X27" i="17" s="1"/>
  <c r="E97" i="13"/>
  <c r="V97" i="13" s="1"/>
  <c r="T25" i="17" s="1"/>
  <c r="C98" i="13"/>
  <c r="P98" i="13" s="1"/>
  <c r="N26" i="17" s="1"/>
  <c r="C99" i="13"/>
  <c r="R99" i="13" s="1"/>
  <c r="P27" i="17" s="1"/>
  <c r="C97" i="13"/>
  <c r="N97" i="13" s="1"/>
  <c r="L25" i="17" s="1"/>
  <c r="M65" i="19" l="1"/>
  <c r="M66" i="19" s="1"/>
  <c r="N66" i="19" s="1"/>
  <c r="M152" i="19"/>
  <c r="M153" i="19" s="1"/>
  <c r="N153" i="19" s="1"/>
  <c r="O15" i="19"/>
  <c r="O16" i="19" s="1"/>
  <c r="S357" i="1"/>
  <c r="U357" i="1" s="1"/>
  <c r="G37" i="18"/>
  <c r="S356" i="1"/>
  <c r="U356" i="1" s="1"/>
  <c r="G36" i="18"/>
  <c r="S355" i="1"/>
  <c r="U355" i="1" s="1"/>
  <c r="G35" i="18"/>
  <c r="S354" i="1"/>
  <c r="U354" i="1" s="1"/>
  <c r="G34" i="18"/>
  <c r="AA126" i="17"/>
  <c r="H97" i="13"/>
  <c r="F25" i="17" s="1"/>
  <c r="N98" i="13"/>
  <c r="L26" i="17" s="1"/>
  <c r="R98" i="13"/>
  <c r="P26" i="17" s="1"/>
  <c r="J98" i="13"/>
  <c r="H26" i="17" s="1"/>
  <c r="L98" i="13"/>
  <c r="J26" i="17" s="1"/>
  <c r="F99" i="13"/>
  <c r="D27" i="17" s="1"/>
  <c r="H99" i="13"/>
  <c r="F27" i="17" s="1"/>
  <c r="L97" i="13"/>
  <c r="J25" i="17" s="1"/>
  <c r="P99" i="13"/>
  <c r="N27" i="17" s="1"/>
  <c r="T98" i="13"/>
  <c r="R26" i="17" s="1"/>
  <c r="V98" i="13"/>
  <c r="T26" i="17" s="1"/>
  <c r="X99" i="13"/>
  <c r="V27" i="17" s="1"/>
  <c r="AB97" i="13"/>
  <c r="Z25" i="17" s="1"/>
  <c r="F97" i="13"/>
  <c r="D25" i="17" s="1"/>
  <c r="J97" i="13"/>
  <c r="H25" i="17" s="1"/>
  <c r="N99" i="13"/>
  <c r="L27" i="17" s="1"/>
  <c r="R97" i="13"/>
  <c r="P25" i="17" s="1"/>
  <c r="T99" i="13"/>
  <c r="R27" i="17" s="1"/>
  <c r="V99" i="13"/>
  <c r="T27" i="17" s="1"/>
  <c r="Z97" i="13"/>
  <c r="X25" i="17" s="1"/>
  <c r="AB98" i="13"/>
  <c r="Z26" i="17" s="1"/>
  <c r="L99" i="13"/>
  <c r="J27" i="17" s="1"/>
  <c r="P97" i="13"/>
  <c r="N25" i="17" s="1"/>
  <c r="T97" i="13"/>
  <c r="R25" i="17" s="1"/>
  <c r="X97" i="13"/>
  <c r="V25" i="17" s="1"/>
  <c r="Z98" i="13"/>
  <c r="X26" i="17" s="1"/>
  <c r="AB99" i="13"/>
  <c r="Z27" i="17" s="1"/>
  <c r="F98" i="13"/>
  <c r="D26" i="17" s="1"/>
  <c r="H98" i="13"/>
  <c r="F26" i="17" s="1"/>
  <c r="J99" i="13"/>
  <c r="H27" i="17" s="1"/>
  <c r="F42" i="15"/>
  <c r="G42" i="15"/>
  <c r="H42" i="15"/>
  <c r="I42" i="15"/>
  <c r="J42" i="15"/>
  <c r="K42" i="15"/>
  <c r="L42" i="15"/>
  <c r="N42" i="15"/>
  <c r="O42" i="15"/>
  <c r="P42" i="15"/>
  <c r="Q42" i="15"/>
  <c r="Q122" i="15"/>
  <c r="U358" i="1" l="1"/>
  <c r="P14" i="19"/>
  <c r="O64" i="19"/>
  <c r="G38" i="18"/>
  <c r="G41" i="18" s="1"/>
  <c r="G508" i="15"/>
  <c r="H508" i="15"/>
  <c r="I508" i="15"/>
  <c r="J508" i="15"/>
  <c r="K508" i="15"/>
  <c r="L508" i="15"/>
  <c r="M508" i="15"/>
  <c r="N508" i="15"/>
  <c r="O508" i="15"/>
  <c r="P508" i="15"/>
  <c r="Q508" i="15"/>
  <c r="F508" i="15"/>
  <c r="E27" i="4"/>
  <c r="F27" i="4"/>
  <c r="G27" i="4"/>
  <c r="H27" i="4"/>
  <c r="I27" i="4"/>
  <c r="J27" i="4"/>
  <c r="K27" i="4"/>
  <c r="L27" i="4"/>
  <c r="M27" i="4"/>
  <c r="N27" i="4"/>
  <c r="O27" i="4"/>
  <c r="D27" i="4"/>
  <c r="E26" i="4"/>
  <c r="E28" i="4" s="1"/>
  <c r="E29" i="4" s="1"/>
  <c r="F26" i="4"/>
  <c r="F28" i="4" s="1"/>
  <c r="F29" i="4" s="1"/>
  <c r="G26" i="4"/>
  <c r="G28" i="4" s="1"/>
  <c r="G29" i="4" s="1"/>
  <c r="H26" i="4"/>
  <c r="H28" i="4" s="1"/>
  <c r="H29" i="4" s="1"/>
  <c r="I26" i="4"/>
  <c r="I28" i="4" s="1"/>
  <c r="I29" i="4" s="1"/>
  <c r="J26" i="4"/>
  <c r="J28" i="4" s="1"/>
  <c r="J29" i="4" s="1"/>
  <c r="K26" i="4"/>
  <c r="K28" i="4" s="1"/>
  <c r="K29" i="4" s="1"/>
  <c r="L26" i="4"/>
  <c r="L28" i="4" s="1"/>
  <c r="L29" i="4" s="1"/>
  <c r="M26" i="4"/>
  <c r="M28" i="4" s="1"/>
  <c r="M29" i="4" s="1"/>
  <c r="N26" i="4"/>
  <c r="N28" i="4" s="1"/>
  <c r="N29" i="4" s="1"/>
  <c r="O26" i="4"/>
  <c r="O28" i="4" s="1"/>
  <c r="O29" i="4" s="1"/>
  <c r="D26" i="4"/>
  <c r="D28" i="4" s="1"/>
  <c r="D29" i="4" s="1"/>
  <c r="P19" i="4"/>
  <c r="O65" i="19" l="1"/>
  <c r="O66" i="19" s="1"/>
  <c r="O152" i="19"/>
  <c r="O153" i="19" s="1"/>
  <c r="P15" i="19"/>
  <c r="P16" i="19" s="1"/>
  <c r="R14" i="19"/>
  <c r="P8" i="4"/>
  <c r="P7" i="4"/>
  <c r="G462" i="15"/>
  <c r="H462" i="15"/>
  <c r="I462" i="15"/>
  <c r="J462" i="15"/>
  <c r="K462" i="15"/>
  <c r="L462" i="15"/>
  <c r="M462" i="15"/>
  <c r="N462" i="15"/>
  <c r="O462" i="15"/>
  <c r="P462" i="15"/>
  <c r="Q462" i="15"/>
  <c r="F462" i="15"/>
  <c r="G362" i="15"/>
  <c r="H362" i="15"/>
  <c r="I362" i="15"/>
  <c r="J362" i="15"/>
  <c r="K362" i="15"/>
  <c r="L362" i="15"/>
  <c r="M362" i="15"/>
  <c r="N362" i="15"/>
  <c r="O362" i="15"/>
  <c r="P362" i="15"/>
  <c r="Q362" i="15"/>
  <c r="F362" i="15"/>
  <c r="G222" i="15"/>
  <c r="H222" i="15"/>
  <c r="I222" i="15"/>
  <c r="J222" i="15"/>
  <c r="K222" i="15"/>
  <c r="L222" i="15"/>
  <c r="M222" i="15"/>
  <c r="N222" i="15"/>
  <c r="O222" i="15"/>
  <c r="P222" i="15"/>
  <c r="Q222" i="15"/>
  <c r="F222" i="15"/>
  <c r="R15" i="19" l="1"/>
  <c r="P64" i="19"/>
  <c r="R362" i="15"/>
  <c r="G122" i="15"/>
  <c r="H122" i="15"/>
  <c r="I122" i="15"/>
  <c r="J122" i="15"/>
  <c r="K122" i="15"/>
  <c r="L122" i="15"/>
  <c r="M122" i="15"/>
  <c r="N122" i="15"/>
  <c r="O122" i="15"/>
  <c r="P122" i="15"/>
  <c r="F122" i="15"/>
  <c r="P65" i="19" l="1"/>
  <c r="P66" i="19" s="1"/>
  <c r="R64" i="19"/>
  <c r="P152" i="19"/>
  <c r="P153" i="19" s="1"/>
  <c r="AD192" i="13"/>
  <c r="AD172" i="13"/>
  <c r="AD154" i="13"/>
  <c r="AD139" i="13"/>
  <c r="AD121" i="13"/>
  <c r="AD96" i="13"/>
  <c r="AD71" i="13"/>
  <c r="AD72" i="13"/>
  <c r="AD73" i="13"/>
  <c r="AD70" i="13"/>
  <c r="AD46" i="13"/>
  <c r="AD17" i="13"/>
  <c r="AD16" i="13"/>
  <c r="AD15" i="13"/>
  <c r="AD14" i="13"/>
  <c r="AD13" i="13"/>
  <c r="AD12" i="13"/>
  <c r="AD11" i="13"/>
  <c r="AD10" i="13"/>
  <c r="AD9" i="13"/>
  <c r="AD8" i="13"/>
  <c r="AD7" i="13"/>
  <c r="AD6" i="13"/>
  <c r="E118" i="1"/>
  <c r="E117" i="1"/>
  <c r="E115" i="1"/>
  <c r="E114" i="1"/>
  <c r="E116" i="1"/>
  <c r="E113" i="1"/>
  <c r="R65" i="19" l="1"/>
  <c r="R152" i="19"/>
  <c r="R153" i="19" s="1"/>
  <c r="E72" i="13"/>
  <c r="E73" i="13"/>
  <c r="T73" i="13" s="1"/>
  <c r="R18" i="17" s="1"/>
  <c r="E71" i="13"/>
  <c r="C72" i="13"/>
  <c r="C73" i="13"/>
  <c r="R73" i="13" s="1"/>
  <c r="P18" i="17" s="1"/>
  <c r="C71" i="13"/>
  <c r="T72" i="13" l="1"/>
  <c r="R17" i="17" s="1"/>
  <c r="E156" i="13"/>
  <c r="T71" i="13"/>
  <c r="R16" i="17" s="1"/>
  <c r="E155" i="13"/>
  <c r="F71" i="13"/>
  <c r="D16" i="17" s="1"/>
  <c r="C155" i="13"/>
  <c r="P72" i="13"/>
  <c r="N17" i="17" s="1"/>
  <c r="C156" i="13"/>
  <c r="V71" i="13"/>
  <c r="T16" i="17" s="1"/>
  <c r="H73" i="13"/>
  <c r="F18" i="17" s="1"/>
  <c r="X72" i="13"/>
  <c r="V17" i="17" s="1"/>
  <c r="L73" i="13"/>
  <c r="J18" i="17" s="1"/>
  <c r="Z71" i="13"/>
  <c r="X16" i="17" s="1"/>
  <c r="P73" i="13"/>
  <c r="N18" i="17" s="1"/>
  <c r="AB72" i="13"/>
  <c r="Z17" i="17" s="1"/>
  <c r="F72" i="13"/>
  <c r="D17" i="17" s="1"/>
  <c r="L71" i="13"/>
  <c r="J16" i="17" s="1"/>
  <c r="N72" i="13"/>
  <c r="L17" i="17" s="1"/>
  <c r="Z73" i="13"/>
  <c r="X18" i="17" s="1"/>
  <c r="F73" i="13"/>
  <c r="D18" i="17" s="1"/>
  <c r="J71" i="13"/>
  <c r="H16" i="17" s="1"/>
  <c r="L72" i="13"/>
  <c r="J17" i="17" s="1"/>
  <c r="N73" i="13"/>
  <c r="L18" i="17" s="1"/>
  <c r="R71" i="13"/>
  <c r="P16" i="17" s="1"/>
  <c r="V72" i="13"/>
  <c r="T17" i="17" s="1"/>
  <c r="X73" i="13"/>
  <c r="V18" i="17" s="1"/>
  <c r="AB71" i="13"/>
  <c r="Z16" i="17" s="1"/>
  <c r="H71" i="13"/>
  <c r="F16" i="17" s="1"/>
  <c r="J72" i="13"/>
  <c r="H17" i="17" s="1"/>
  <c r="P71" i="13"/>
  <c r="N16" i="17" s="1"/>
  <c r="R72" i="13"/>
  <c r="P17" i="17" s="1"/>
  <c r="V73" i="13"/>
  <c r="T18" i="17" s="1"/>
  <c r="H72" i="13"/>
  <c r="F17" i="17" s="1"/>
  <c r="J73" i="13"/>
  <c r="H18" i="17" s="1"/>
  <c r="N71" i="13"/>
  <c r="L16" i="17" s="1"/>
  <c r="X71" i="13"/>
  <c r="V16" i="17" s="1"/>
  <c r="Z72" i="13"/>
  <c r="X17" i="17" s="1"/>
  <c r="AB73" i="13"/>
  <c r="Z18" i="17" s="1"/>
  <c r="R155" i="13" l="1"/>
  <c r="P13" i="17" s="1"/>
  <c r="N155" i="13"/>
  <c r="L13" i="17" s="1"/>
  <c r="J155" i="13"/>
  <c r="H13" i="17" s="1"/>
  <c r="F155" i="13"/>
  <c r="D13" i="17" s="1"/>
  <c r="P155" i="13"/>
  <c r="N13" i="17" s="1"/>
  <c r="L155" i="13"/>
  <c r="J13" i="17" s="1"/>
  <c r="H155" i="13"/>
  <c r="F13" i="17" s="1"/>
  <c r="X156" i="13"/>
  <c r="V14" i="17" s="1"/>
  <c r="T156" i="13"/>
  <c r="R14" i="17" s="1"/>
  <c r="Z156" i="13"/>
  <c r="X14" i="17" s="1"/>
  <c r="V156" i="13"/>
  <c r="T14" i="17" s="1"/>
  <c r="AB156" i="13"/>
  <c r="Z14" i="17" s="1"/>
  <c r="P156" i="13"/>
  <c r="N14" i="17" s="1"/>
  <c r="L156" i="13"/>
  <c r="J14" i="17" s="1"/>
  <c r="R156" i="13"/>
  <c r="P14" i="17" s="1"/>
  <c r="N156" i="13"/>
  <c r="L14" i="17" s="1"/>
  <c r="J156" i="13"/>
  <c r="H14" i="17" s="1"/>
  <c r="F156" i="13"/>
  <c r="D14" i="17" s="1"/>
  <c r="H156" i="13"/>
  <c r="F14" i="17" s="1"/>
  <c r="Z155" i="13"/>
  <c r="X13" i="17" s="1"/>
  <c r="V155" i="13"/>
  <c r="T13" i="17" s="1"/>
  <c r="AB155" i="13"/>
  <c r="Z13" i="17" s="1"/>
  <c r="X155" i="13"/>
  <c r="V13" i="17" s="1"/>
  <c r="T155" i="13"/>
  <c r="R13" i="17" s="1"/>
  <c r="L73" i="1"/>
  <c r="W73" i="1" s="1"/>
  <c r="L76" i="1"/>
  <c r="L112" i="1"/>
  <c r="W112" i="1" s="1"/>
  <c r="L116" i="1"/>
  <c r="E15" i="18" s="1"/>
  <c r="L117" i="1"/>
  <c r="E16" i="18" s="1"/>
  <c r="L118" i="1"/>
  <c r="E17" i="18" s="1"/>
  <c r="L150" i="1"/>
  <c r="W150" i="1" s="1"/>
  <c r="L154" i="1"/>
  <c r="E21" i="18" s="1"/>
  <c r="L155" i="1"/>
  <c r="E22" i="18" s="1"/>
  <c r="L156" i="1"/>
  <c r="E23" i="18" s="1"/>
  <c r="L187" i="1"/>
  <c r="L188" i="1"/>
  <c r="L189" i="1"/>
  <c r="L190" i="1"/>
  <c r="L218" i="1"/>
  <c r="L219" i="1"/>
  <c r="L220" i="1"/>
  <c r="L244" i="1"/>
  <c r="L245" i="1"/>
  <c r="L246" i="1"/>
  <c r="L247" i="1"/>
  <c r="L248" i="1"/>
  <c r="L249" i="1"/>
  <c r="M249" i="1" s="1"/>
  <c r="L278" i="1"/>
  <c r="W278" i="1" s="1"/>
  <c r="L281" i="1"/>
  <c r="E27" i="18" s="1"/>
  <c r="L282" i="1"/>
  <c r="E28" i="18" s="1"/>
  <c r="L312" i="1"/>
  <c r="L313" i="1"/>
  <c r="L314" i="1"/>
  <c r="L315" i="1"/>
  <c r="L316" i="1"/>
  <c r="L317" i="1"/>
  <c r="L345" i="1"/>
  <c r="L347" i="1"/>
  <c r="W347" i="1" s="1"/>
  <c r="L349" i="1"/>
  <c r="W349" i="1" s="1"/>
  <c r="L354" i="1"/>
  <c r="L355" i="1"/>
  <c r="L356" i="1"/>
  <c r="L357" i="1"/>
  <c r="L391" i="1"/>
  <c r="L392" i="1"/>
  <c r="L393" i="1"/>
  <c r="L394" i="1"/>
  <c r="L395" i="1"/>
  <c r="L418" i="1"/>
  <c r="L420" i="1"/>
  <c r="L424" i="1"/>
  <c r="L426" i="1"/>
  <c r="L428" i="1"/>
  <c r="L442" i="1"/>
  <c r="L446" i="1"/>
  <c r="L448" i="1"/>
  <c r="L452" i="1"/>
  <c r="L466" i="1"/>
  <c r="L468" i="1"/>
  <c r="L470" i="1"/>
  <c r="L476" i="1"/>
  <c r="L490" i="1"/>
  <c r="L492" i="1"/>
  <c r="L494" i="1"/>
  <c r="L500" i="1"/>
  <c r="L514" i="1"/>
  <c r="L516" i="1"/>
  <c r="L518" i="1"/>
  <c r="L524" i="1"/>
  <c r="L537" i="1"/>
  <c r="L538" i="1"/>
  <c r="L539" i="1"/>
  <c r="L540" i="1"/>
  <c r="L541" i="1"/>
  <c r="L542" i="1"/>
  <c r="L543" i="1"/>
  <c r="L544" i="1"/>
  <c r="L566" i="1"/>
  <c r="L567" i="1"/>
  <c r="L568" i="1"/>
  <c r="L569" i="1"/>
  <c r="L570" i="1"/>
  <c r="L571" i="1"/>
  <c r="L572" i="1"/>
  <c r="L573" i="1"/>
  <c r="L574" i="1"/>
  <c r="L575" i="1"/>
  <c r="L576" i="1"/>
  <c r="L577" i="1"/>
  <c r="L578" i="1"/>
  <c r="L579" i="1"/>
  <c r="L598" i="1"/>
  <c r="L599" i="1"/>
  <c r="L600" i="1"/>
  <c r="L601" i="1"/>
  <c r="L602" i="1"/>
  <c r="L603" i="1"/>
  <c r="L604" i="1"/>
  <c r="L605" i="1"/>
  <c r="L606" i="1"/>
  <c r="L607" i="1"/>
  <c r="L608" i="1"/>
  <c r="L609" i="1"/>
  <c r="L636" i="1"/>
  <c r="L638" i="1"/>
  <c r="L644" i="1"/>
  <c r="L646" i="1"/>
  <c r="L660" i="1"/>
  <c r="L662" i="1"/>
  <c r="L668" i="1"/>
  <c r="L670" i="1"/>
  <c r="L684" i="1"/>
  <c r="L685" i="1"/>
  <c r="L686" i="1"/>
  <c r="L687" i="1"/>
  <c r="L688" i="1"/>
  <c r="L704" i="1"/>
  <c r="L708" i="1"/>
  <c r="L709" i="1"/>
  <c r="L710" i="1"/>
  <c r="L724" i="1"/>
  <c r="L725" i="1"/>
  <c r="L726" i="1"/>
  <c r="L727" i="1"/>
  <c r="L728" i="1"/>
  <c r="L729" i="1"/>
  <c r="L730" i="1"/>
  <c r="L731" i="1"/>
  <c r="L39" i="1"/>
  <c r="K219" i="1"/>
  <c r="K392" i="1"/>
  <c r="K394" i="1"/>
  <c r="K396" i="1"/>
  <c r="K422" i="1"/>
  <c r="K423" i="1"/>
  <c r="K444" i="1"/>
  <c r="K445" i="1"/>
  <c r="K447" i="1"/>
  <c r="K467" i="1"/>
  <c r="K685" i="1"/>
  <c r="K687" i="1"/>
  <c r="K706" i="1"/>
  <c r="K707" i="1"/>
  <c r="L36" i="1"/>
  <c r="W36" i="1" s="1"/>
  <c r="L9" i="1"/>
  <c r="L7" i="1"/>
  <c r="P354" i="1" l="1"/>
  <c r="E34" i="18"/>
  <c r="H34" i="18" s="1"/>
  <c r="P357" i="1"/>
  <c r="E37" i="18"/>
  <c r="H37" i="18" s="1"/>
  <c r="P356" i="1"/>
  <c r="E36" i="18"/>
  <c r="H36" i="18" s="1"/>
  <c r="P355" i="1"/>
  <c r="E35" i="18"/>
  <c r="H35" i="18" s="1"/>
  <c r="P345" i="1"/>
  <c r="W345" i="1"/>
  <c r="X345" i="1" s="1"/>
  <c r="M685" i="1"/>
  <c r="M687" i="1"/>
  <c r="M392" i="1"/>
  <c r="M394" i="1"/>
  <c r="M219" i="1"/>
  <c r="Y345" i="1" l="1"/>
  <c r="H38" i="18"/>
  <c r="E312" i="1"/>
  <c r="E278" i="1"/>
  <c r="E277" i="1"/>
  <c r="E245" i="1"/>
  <c r="E244" i="1"/>
  <c r="E218" i="1"/>
  <c r="E188" i="1"/>
  <c r="E187" i="1"/>
  <c r="E150" i="1"/>
  <c r="E149" i="1"/>
  <c r="E112" i="1"/>
  <c r="E111" i="1"/>
  <c r="E73" i="1"/>
  <c r="E72" i="1"/>
  <c r="E35" i="1"/>
  <c r="E7" i="1"/>
  <c r="H41" i="18" l="1"/>
  <c r="E157" i="1"/>
  <c r="C35" i="1"/>
  <c r="T192" i="13"/>
  <c r="R192" i="13"/>
  <c r="P192" i="13"/>
  <c r="N192" i="13"/>
  <c r="L192" i="13"/>
  <c r="J192" i="13"/>
  <c r="H192" i="13"/>
  <c r="F192" i="13"/>
  <c r="AB172" i="13"/>
  <c r="Z172" i="13"/>
  <c r="X172" i="13"/>
  <c r="V172" i="13"/>
  <c r="T172" i="13"/>
  <c r="R172" i="13"/>
  <c r="P172" i="13"/>
  <c r="N172" i="13"/>
  <c r="L172" i="13"/>
  <c r="J172" i="13"/>
  <c r="H172" i="13"/>
  <c r="F172" i="13"/>
  <c r="AB154" i="13"/>
  <c r="Z154" i="13"/>
  <c r="X154" i="13"/>
  <c r="V154" i="13"/>
  <c r="T154" i="13"/>
  <c r="R154" i="13"/>
  <c r="P154" i="13"/>
  <c r="N154" i="13"/>
  <c r="L154" i="13"/>
  <c r="J154" i="13"/>
  <c r="H154" i="13"/>
  <c r="F154" i="13"/>
  <c r="R139" i="13"/>
  <c r="P139" i="13"/>
  <c r="N139" i="13"/>
  <c r="L139" i="13"/>
  <c r="J139" i="13"/>
  <c r="H139" i="13"/>
  <c r="F139" i="13"/>
  <c r="AB121" i="13"/>
  <c r="Z121" i="13"/>
  <c r="X121" i="13"/>
  <c r="V121" i="13"/>
  <c r="T121" i="13"/>
  <c r="R121" i="13"/>
  <c r="P121" i="13"/>
  <c r="N121" i="13"/>
  <c r="L121" i="13"/>
  <c r="J121" i="13"/>
  <c r="H121" i="13"/>
  <c r="F121" i="13"/>
  <c r="AB96" i="13"/>
  <c r="Z96" i="13"/>
  <c r="X96" i="13"/>
  <c r="V96" i="13"/>
  <c r="R96" i="13"/>
  <c r="P96" i="13"/>
  <c r="N96" i="13"/>
  <c r="L96" i="13"/>
  <c r="J96" i="13"/>
  <c r="H96" i="13"/>
  <c r="AB70" i="13"/>
  <c r="Z70" i="13"/>
  <c r="X70" i="13"/>
  <c r="V70" i="13"/>
  <c r="R70" i="13"/>
  <c r="P70" i="13"/>
  <c r="N70" i="13"/>
  <c r="L70" i="13"/>
  <c r="J70" i="13"/>
  <c r="H70" i="13"/>
  <c r="F70" i="13"/>
  <c r="AB46" i="13"/>
  <c r="Z46" i="13"/>
  <c r="X46" i="13"/>
  <c r="V46" i="13"/>
  <c r="R46" i="13"/>
  <c r="P46" i="13"/>
  <c r="N46" i="13"/>
  <c r="L46" i="13"/>
  <c r="J46" i="13"/>
  <c r="H46" i="13"/>
  <c r="F46" i="13"/>
  <c r="AB23" i="13"/>
  <c r="AB105" i="17" s="1"/>
  <c r="X23" i="13"/>
  <c r="V23" i="13"/>
  <c r="R23" i="13"/>
  <c r="P23" i="13"/>
  <c r="N23" i="13"/>
  <c r="L23" i="13"/>
  <c r="J23" i="13"/>
  <c r="H23" i="13"/>
  <c r="F23" i="13"/>
  <c r="O36" i="1" l="1"/>
  <c r="J8" i="20"/>
  <c r="AC118" i="17"/>
  <c r="H39" i="17"/>
  <c r="H40" i="17"/>
  <c r="T46" i="13"/>
  <c r="AC106" i="17" s="1"/>
  <c r="AB108" i="17"/>
  <c r="J39" i="17"/>
  <c r="J40" i="17"/>
  <c r="R39" i="17"/>
  <c r="R40" i="17"/>
  <c r="AB118" i="17"/>
  <c r="Z39" i="17"/>
  <c r="Z40" i="17"/>
  <c r="P39" i="17"/>
  <c r="P40" i="17"/>
  <c r="P119" i="17" s="1"/>
  <c r="X40" i="17"/>
  <c r="X39" i="17"/>
  <c r="AB106" i="17"/>
  <c r="D39" i="17"/>
  <c r="D118" i="17" s="1"/>
  <c r="D40" i="17"/>
  <c r="L39" i="17"/>
  <c r="L40" i="17"/>
  <c r="T40" i="17"/>
  <c r="T119" i="17" s="1"/>
  <c r="T39" i="17"/>
  <c r="F39" i="17"/>
  <c r="F40" i="17"/>
  <c r="N39" i="17"/>
  <c r="N118" i="17" s="1"/>
  <c r="N40" i="17"/>
  <c r="V39" i="17"/>
  <c r="V40" i="17"/>
  <c r="G119" i="17"/>
  <c r="D20" i="17"/>
  <c r="D22" i="17"/>
  <c r="D21" i="17"/>
  <c r="L22" i="17"/>
  <c r="L21" i="17"/>
  <c r="L20" i="17"/>
  <c r="V21" i="17"/>
  <c r="V22" i="17"/>
  <c r="V20" i="17"/>
  <c r="F28" i="17"/>
  <c r="F29" i="17"/>
  <c r="F30" i="17"/>
  <c r="N29" i="17"/>
  <c r="N28" i="17"/>
  <c r="N30" i="17"/>
  <c r="X30" i="17"/>
  <c r="X28" i="17"/>
  <c r="X29" i="17"/>
  <c r="T23" i="13"/>
  <c r="F21" i="17"/>
  <c r="F22" i="17"/>
  <c r="F20" i="17"/>
  <c r="N22" i="17"/>
  <c r="N20" i="17"/>
  <c r="N21" i="17"/>
  <c r="X22" i="17"/>
  <c r="X20" i="17"/>
  <c r="X21" i="17"/>
  <c r="H29" i="17"/>
  <c r="H30" i="17"/>
  <c r="H28" i="17"/>
  <c r="P29" i="17"/>
  <c r="P30" i="17"/>
  <c r="P28" i="17"/>
  <c r="Z30" i="17"/>
  <c r="Z29" i="17"/>
  <c r="Z28" i="17"/>
  <c r="H22" i="17"/>
  <c r="H21" i="17"/>
  <c r="H20" i="17"/>
  <c r="P22" i="17"/>
  <c r="P21" i="17"/>
  <c r="P20" i="17"/>
  <c r="Z22" i="17"/>
  <c r="Z21" i="17"/>
  <c r="Z20" i="17"/>
  <c r="J29" i="17"/>
  <c r="J28" i="17"/>
  <c r="J30" i="17"/>
  <c r="T28" i="17"/>
  <c r="T29" i="17"/>
  <c r="T30" i="17"/>
  <c r="T96" i="13"/>
  <c r="AC113" i="17" s="1"/>
  <c r="J22" i="17"/>
  <c r="J20" i="17"/>
  <c r="J21" i="17"/>
  <c r="T70" i="13"/>
  <c r="AC108" i="17" s="1"/>
  <c r="T22" i="17"/>
  <c r="T20" i="17"/>
  <c r="T21" i="17"/>
  <c r="D29" i="17"/>
  <c r="D30" i="17"/>
  <c r="D28" i="17"/>
  <c r="L28" i="17"/>
  <c r="L29" i="17"/>
  <c r="L30" i="17"/>
  <c r="V29" i="17"/>
  <c r="V30" i="17"/>
  <c r="V28" i="17"/>
  <c r="AB113" i="17"/>
  <c r="V6" i="13"/>
  <c r="T6" i="13"/>
  <c r="R6" i="13"/>
  <c r="P6" i="13"/>
  <c r="N6" i="13"/>
  <c r="L6" i="13"/>
  <c r="J6" i="13"/>
  <c r="H6" i="13"/>
  <c r="F6" i="13"/>
  <c r="O73" i="1" l="1"/>
  <c r="J10" i="20"/>
  <c r="O112" i="1"/>
  <c r="J12" i="20"/>
  <c r="O150" i="1"/>
  <c r="J14" i="20"/>
  <c r="K119" i="17"/>
  <c r="J16" i="20"/>
  <c r="P36" i="1"/>
  <c r="X36" i="1"/>
  <c r="R119" i="17"/>
  <c r="U119" i="17"/>
  <c r="I108" i="17"/>
  <c r="U118" i="17"/>
  <c r="E118" i="17"/>
  <c r="V118" i="17"/>
  <c r="F118" i="17"/>
  <c r="L118" i="17"/>
  <c r="X118" i="17"/>
  <c r="O118" i="17"/>
  <c r="W119" i="17"/>
  <c r="J118" i="17"/>
  <c r="Z119" i="17"/>
  <c r="R118" i="17"/>
  <c r="S110" i="17"/>
  <c r="W109" i="17"/>
  <c r="D110" i="17"/>
  <c r="K108" i="17"/>
  <c r="G109" i="17"/>
  <c r="M109" i="17"/>
  <c r="M110" i="17"/>
  <c r="T110" i="17"/>
  <c r="J110" i="17"/>
  <c r="Z108" i="17"/>
  <c r="P109" i="17"/>
  <c r="H110" i="17"/>
  <c r="X110" i="17"/>
  <c r="F108" i="17"/>
  <c r="L108" i="17"/>
  <c r="X31" i="17"/>
  <c r="V31" i="17"/>
  <c r="Z31" i="17"/>
  <c r="L31" i="17"/>
  <c r="D31" i="17"/>
  <c r="H31" i="17"/>
  <c r="J31" i="17"/>
  <c r="T31" i="17"/>
  <c r="P31" i="17"/>
  <c r="N31" i="17"/>
  <c r="F31" i="17"/>
  <c r="M108" i="17"/>
  <c r="Y109" i="17"/>
  <c r="O110" i="17"/>
  <c r="Y110" i="17"/>
  <c r="Z109" i="17"/>
  <c r="N109" i="17"/>
  <c r="D108" i="17"/>
  <c r="G108" i="17"/>
  <c r="O108" i="17"/>
  <c r="Q108" i="17"/>
  <c r="U109" i="17"/>
  <c r="E109" i="17"/>
  <c r="K110" i="17"/>
  <c r="O109" i="17"/>
  <c r="U110" i="17"/>
  <c r="E110" i="17"/>
  <c r="T109" i="17"/>
  <c r="J109" i="17"/>
  <c r="Z110" i="17"/>
  <c r="H108" i="17"/>
  <c r="X109" i="17"/>
  <c r="N108" i="17"/>
  <c r="F109" i="17"/>
  <c r="V110" i="17"/>
  <c r="L110" i="17"/>
  <c r="U108" i="17"/>
  <c r="E108" i="17"/>
  <c r="I109" i="17"/>
  <c r="S109" i="17"/>
  <c r="I110" i="17"/>
  <c r="P110" i="17"/>
  <c r="F110" i="17"/>
  <c r="V108" i="17"/>
  <c r="L109" i="17"/>
  <c r="Y108" i="17"/>
  <c r="W108" i="17"/>
  <c r="S108" i="17"/>
  <c r="Q109" i="17"/>
  <c r="W110" i="17"/>
  <c r="G110" i="17"/>
  <c r="K109" i="17"/>
  <c r="Q110" i="17"/>
  <c r="T108" i="17"/>
  <c r="J108" i="17"/>
  <c r="P108" i="17"/>
  <c r="H109" i="17"/>
  <c r="X108" i="17"/>
  <c r="N110" i="17"/>
  <c r="V109" i="17"/>
  <c r="D109" i="17"/>
  <c r="H118" i="17"/>
  <c r="W118" i="17"/>
  <c r="I119" i="17"/>
  <c r="M119" i="17"/>
  <c r="J119" i="17"/>
  <c r="P118" i="17"/>
  <c r="P120" i="17" s="1"/>
  <c r="H36" i="20" s="1"/>
  <c r="G118" i="17"/>
  <c r="G120" i="17" s="1"/>
  <c r="M118" i="17"/>
  <c r="M120" i="17" s="1"/>
  <c r="O119" i="17"/>
  <c r="H119" i="17"/>
  <c r="F119" i="17"/>
  <c r="V119" i="17"/>
  <c r="N119" i="17"/>
  <c r="N120" i="17" s="1"/>
  <c r="H35" i="20" s="1"/>
  <c r="K118" i="17"/>
  <c r="Q119" i="17"/>
  <c r="Q118" i="17"/>
  <c r="Y119" i="17"/>
  <c r="S119" i="17"/>
  <c r="L119" i="17"/>
  <c r="S118" i="17"/>
  <c r="O278" i="1"/>
  <c r="Y118" i="17"/>
  <c r="I118" i="17"/>
  <c r="I120" i="17" s="1"/>
  <c r="E119" i="17"/>
  <c r="T118" i="17"/>
  <c r="T120" i="17" s="1"/>
  <c r="H38" i="20" s="1"/>
  <c r="D119" i="17"/>
  <c r="D120" i="17" s="1"/>
  <c r="H30" i="20" s="1"/>
  <c r="X119" i="17"/>
  <c r="Z118" i="17"/>
  <c r="L113" i="17"/>
  <c r="T115" i="17"/>
  <c r="O114" i="17"/>
  <c r="J113" i="17"/>
  <c r="N113" i="17"/>
  <c r="V114" i="17"/>
  <c r="D113" i="17"/>
  <c r="Q113" i="17"/>
  <c r="Z114" i="17"/>
  <c r="P113" i="17"/>
  <c r="M115" i="17"/>
  <c r="K113" i="17"/>
  <c r="Q114" i="17"/>
  <c r="L115" i="17"/>
  <c r="M114" i="17"/>
  <c r="V113" i="17"/>
  <c r="T114" i="17"/>
  <c r="J114" i="17"/>
  <c r="J115" i="17"/>
  <c r="X115" i="17"/>
  <c r="O113" i="17"/>
  <c r="H115" i="17"/>
  <c r="Y115" i="17"/>
  <c r="S115" i="17"/>
  <c r="Z115" i="17"/>
  <c r="H113" i="17"/>
  <c r="N115" i="17"/>
  <c r="F114" i="17"/>
  <c r="O115" i="17"/>
  <c r="D115" i="17"/>
  <c r="T113" i="17"/>
  <c r="X114" i="17"/>
  <c r="F113" i="17"/>
  <c r="H114" i="17"/>
  <c r="U113" i="17"/>
  <c r="I115" i="17"/>
  <c r="N114" i="17"/>
  <c r="S114" i="17"/>
  <c r="S113" i="17"/>
  <c r="X113" i="17"/>
  <c r="I113" i="17"/>
  <c r="P114" i="17"/>
  <c r="P115" i="17"/>
  <c r="W113" i="17"/>
  <c r="Q115" i="17"/>
  <c r="U114" i="17"/>
  <c r="V115" i="17"/>
  <c r="W115" i="17"/>
  <c r="W114" i="17"/>
  <c r="M113" i="17"/>
  <c r="F115" i="17"/>
  <c r="L114" i="17"/>
  <c r="D114" i="17"/>
  <c r="Y113" i="17"/>
  <c r="U115" i="17"/>
  <c r="Y114" i="17"/>
  <c r="I114" i="17"/>
  <c r="Z113" i="17"/>
  <c r="K115" i="17"/>
  <c r="K114" i="17"/>
  <c r="R22" i="17"/>
  <c r="R110" i="17" s="1"/>
  <c r="R20" i="17"/>
  <c r="R108" i="17" s="1"/>
  <c r="R21" i="17"/>
  <c r="R109" i="17" s="1"/>
  <c r="R28" i="17"/>
  <c r="R30" i="17"/>
  <c r="R115" i="17" s="1"/>
  <c r="R29" i="17"/>
  <c r="R114" i="17" s="1"/>
  <c r="F19" i="17"/>
  <c r="H19" i="17"/>
  <c r="J19" i="17"/>
  <c r="L19" i="17"/>
  <c r="N19" i="17"/>
  <c r="P19" i="17"/>
  <c r="R19" i="17"/>
  <c r="T19" i="17"/>
  <c r="V19" i="17"/>
  <c r="X19" i="17"/>
  <c r="Z19" i="17"/>
  <c r="F41" i="17"/>
  <c r="H41" i="17"/>
  <c r="J41" i="17"/>
  <c r="L41" i="17"/>
  <c r="N41" i="17"/>
  <c r="P41" i="17"/>
  <c r="R41" i="17"/>
  <c r="T41" i="17"/>
  <c r="V41" i="17"/>
  <c r="X41" i="17"/>
  <c r="Z41" i="17"/>
  <c r="D41" i="17"/>
  <c r="P112" i="1" l="1"/>
  <c r="X112" i="1"/>
  <c r="K120" i="17"/>
  <c r="Y36" i="1"/>
  <c r="P278" i="1"/>
  <c r="X278" i="1"/>
  <c r="Y278" i="1" s="1"/>
  <c r="P150" i="1"/>
  <c r="X150" i="1"/>
  <c r="P73" i="1"/>
  <c r="X73" i="1"/>
  <c r="J120" i="17"/>
  <c r="H33" i="20" s="1"/>
  <c r="U120" i="17"/>
  <c r="O120" i="17"/>
  <c r="V120" i="17"/>
  <c r="H39" i="20" s="1"/>
  <c r="F120" i="17"/>
  <c r="H31" i="20" s="1"/>
  <c r="X120" i="17"/>
  <c r="H40" i="20" s="1"/>
  <c r="R120" i="17"/>
  <c r="H37" i="20" s="1"/>
  <c r="L120" i="17"/>
  <c r="H34" i="20" s="1"/>
  <c r="W120" i="17"/>
  <c r="Z120" i="17"/>
  <c r="H41" i="20" s="1"/>
  <c r="Y120" i="17"/>
  <c r="Q120" i="17"/>
  <c r="H111" i="17"/>
  <c r="F32" i="20" s="1"/>
  <c r="V111" i="17"/>
  <c r="F39" i="20" s="1"/>
  <c r="L111" i="17"/>
  <c r="F34" i="20" s="1"/>
  <c r="N111" i="17"/>
  <c r="F35" i="20" s="1"/>
  <c r="P111" i="17"/>
  <c r="F36" i="20" s="1"/>
  <c r="J111" i="17"/>
  <c r="F33" i="20" s="1"/>
  <c r="H120" i="17"/>
  <c r="H32" i="20" s="1"/>
  <c r="X111" i="17"/>
  <c r="F40" i="20" s="1"/>
  <c r="T111" i="17"/>
  <c r="F38" i="20" s="1"/>
  <c r="F111" i="17"/>
  <c r="F31" i="20" s="1"/>
  <c r="Z111" i="17"/>
  <c r="F41" i="20" s="1"/>
  <c r="R113" i="17"/>
  <c r="R116" i="17" s="1"/>
  <c r="G37" i="20" s="1"/>
  <c r="R31" i="17"/>
  <c r="D111" i="17"/>
  <c r="F30" i="20" s="1"/>
  <c r="AA109" i="17"/>
  <c r="O117" i="1" s="1"/>
  <c r="G16" i="18" s="1"/>
  <c r="H16" i="18" s="1"/>
  <c r="AA110" i="17"/>
  <c r="O118" i="1" s="1"/>
  <c r="G17" i="18" s="1"/>
  <c r="H17" i="18" s="1"/>
  <c r="AA119" i="17"/>
  <c r="O282" i="1" s="1"/>
  <c r="S120" i="17"/>
  <c r="AA118" i="17"/>
  <c r="O281" i="1" s="1"/>
  <c r="V116" i="17"/>
  <c r="G39" i="20" s="1"/>
  <c r="Z116" i="17"/>
  <c r="G41" i="20" s="1"/>
  <c r="E120" i="17"/>
  <c r="X116" i="17"/>
  <c r="G40" i="20" s="1"/>
  <c r="Q116" i="17"/>
  <c r="M116" i="17"/>
  <c r="L116" i="17"/>
  <c r="G34" i="20" s="1"/>
  <c r="T116" i="17"/>
  <c r="G38" i="20" s="1"/>
  <c r="J116" i="17"/>
  <c r="G33" i="20" s="1"/>
  <c r="H116" i="17"/>
  <c r="G32" i="20" s="1"/>
  <c r="O116" i="17"/>
  <c r="K116" i="17"/>
  <c r="N116" i="17"/>
  <c r="G35" i="20" s="1"/>
  <c r="U116" i="17"/>
  <c r="P116" i="17"/>
  <c r="G36" i="20" s="1"/>
  <c r="F116" i="17"/>
  <c r="G31" i="20" s="1"/>
  <c r="I116" i="17"/>
  <c r="AA115" i="17"/>
  <c r="O156" i="1" s="1"/>
  <c r="G23" i="18" s="1"/>
  <c r="H23" i="18" s="1"/>
  <c r="S116" i="17"/>
  <c r="AA114" i="17"/>
  <c r="O155" i="1" s="1"/>
  <c r="G22" i="18" s="1"/>
  <c r="H22" i="18" s="1"/>
  <c r="D116" i="17"/>
  <c r="G30" i="20" s="1"/>
  <c r="R111" i="17"/>
  <c r="F37" i="20" s="1"/>
  <c r="Y116" i="17"/>
  <c r="AA108" i="17"/>
  <c r="O116" i="1" s="1"/>
  <c r="W116" i="17"/>
  <c r="D19" i="17"/>
  <c r="X23" i="17"/>
  <c r="P23" i="17"/>
  <c r="H23" i="17"/>
  <c r="V23" i="17"/>
  <c r="N23" i="17"/>
  <c r="F23" i="17"/>
  <c r="T23" i="17"/>
  <c r="L23" i="17"/>
  <c r="Z23" i="17"/>
  <c r="R23" i="17"/>
  <c r="J23" i="17"/>
  <c r="H42" i="20" l="1"/>
  <c r="G42" i="20"/>
  <c r="F12" i="20"/>
  <c r="G27" i="18"/>
  <c r="F16" i="20"/>
  <c r="Y73" i="1"/>
  <c r="F42" i="20"/>
  <c r="Y150" i="1"/>
  <c r="Y112" i="1"/>
  <c r="S282" i="1"/>
  <c r="U282" i="1" s="1"/>
  <c r="G28" i="18"/>
  <c r="H28" i="18" s="1"/>
  <c r="P116" i="1"/>
  <c r="G15" i="18"/>
  <c r="H27" i="18"/>
  <c r="P282" i="1"/>
  <c r="S116" i="1"/>
  <c r="U116" i="1" s="1"/>
  <c r="P155" i="1"/>
  <c r="S155" i="1"/>
  <c r="U155" i="1" s="1"/>
  <c r="P118" i="1"/>
  <c r="S118" i="1"/>
  <c r="U118" i="1" s="1"/>
  <c r="P281" i="1"/>
  <c r="S281" i="1"/>
  <c r="U281" i="1" s="1"/>
  <c r="P117" i="1"/>
  <c r="S117" i="1"/>
  <c r="U117" i="1" s="1"/>
  <c r="P156" i="1"/>
  <c r="S156" i="1"/>
  <c r="U156" i="1" s="1"/>
  <c r="AA111" i="17"/>
  <c r="AA113" i="17"/>
  <c r="O154" i="1" s="1"/>
  <c r="AA120" i="17"/>
  <c r="D23" i="17"/>
  <c r="AA116" i="17"/>
  <c r="I16" i="16"/>
  <c r="H16" i="16"/>
  <c r="E4" i="16"/>
  <c r="D7" i="17" s="1"/>
  <c r="D8" i="17" s="1"/>
  <c r="D105" i="17" s="1"/>
  <c r="D30" i="20" s="1"/>
  <c r="J4" i="16"/>
  <c r="D9" i="17" s="1"/>
  <c r="E5" i="16"/>
  <c r="F7" i="17" s="1"/>
  <c r="F8" i="17" s="1"/>
  <c r="F105" i="17" s="1"/>
  <c r="D31" i="20" s="1"/>
  <c r="J5" i="16"/>
  <c r="F9" i="17" s="1"/>
  <c r="F10" i="17" s="1"/>
  <c r="F106" i="17" s="1"/>
  <c r="E31" i="20" s="1"/>
  <c r="E6" i="16"/>
  <c r="H7" i="17" s="1"/>
  <c r="H8" i="17" s="1"/>
  <c r="H105" i="17" s="1"/>
  <c r="D32" i="20" s="1"/>
  <c r="J6" i="16"/>
  <c r="H9" i="17" s="1"/>
  <c r="H10" i="17" s="1"/>
  <c r="H106" i="17" s="1"/>
  <c r="E32" i="20" s="1"/>
  <c r="E7" i="16"/>
  <c r="J7" i="17" s="1"/>
  <c r="J8" i="17" s="1"/>
  <c r="J105" i="17" s="1"/>
  <c r="D33" i="20" s="1"/>
  <c r="J7" i="16"/>
  <c r="J9" i="17" s="1"/>
  <c r="J10" i="17" s="1"/>
  <c r="J106" i="17" s="1"/>
  <c r="E33" i="20" s="1"/>
  <c r="E8" i="16"/>
  <c r="L7" i="17" s="1"/>
  <c r="L8" i="17" s="1"/>
  <c r="L105" i="17" s="1"/>
  <c r="D34" i="20" s="1"/>
  <c r="J8" i="16"/>
  <c r="L9" i="17" s="1"/>
  <c r="L10" i="17" s="1"/>
  <c r="L106" i="17" s="1"/>
  <c r="E34" i="20" s="1"/>
  <c r="E9" i="16"/>
  <c r="N7" i="17" s="1"/>
  <c r="J9" i="16"/>
  <c r="N9" i="17" s="1"/>
  <c r="N10" i="17" s="1"/>
  <c r="N106" i="17" s="1"/>
  <c r="E35" i="20" s="1"/>
  <c r="E10" i="16"/>
  <c r="P7" i="17" s="1"/>
  <c r="P8" i="17" s="1"/>
  <c r="P105" i="17" s="1"/>
  <c r="D36" i="20" s="1"/>
  <c r="J10" i="16"/>
  <c r="P9" i="17" s="1"/>
  <c r="P10" i="17" s="1"/>
  <c r="P106" i="17" s="1"/>
  <c r="E36" i="20" s="1"/>
  <c r="E11" i="16"/>
  <c r="R7" i="17" s="1"/>
  <c r="R8" i="17" s="1"/>
  <c r="R105" i="17" s="1"/>
  <c r="D37" i="20" s="1"/>
  <c r="J11" i="16"/>
  <c r="R9" i="17" s="1"/>
  <c r="R10" i="17" s="1"/>
  <c r="R106" i="17" s="1"/>
  <c r="E37" i="20" s="1"/>
  <c r="E12" i="16"/>
  <c r="T7" i="17" s="1"/>
  <c r="T8" i="17" s="1"/>
  <c r="T105" i="17" s="1"/>
  <c r="D38" i="20" s="1"/>
  <c r="J12" i="16"/>
  <c r="T9" i="17" s="1"/>
  <c r="T10" i="17" s="1"/>
  <c r="T106" i="17" s="1"/>
  <c r="E38" i="20" s="1"/>
  <c r="E13" i="16"/>
  <c r="V7" i="17" s="1"/>
  <c r="V8" i="17" s="1"/>
  <c r="V105" i="17" s="1"/>
  <c r="D39" i="20" s="1"/>
  <c r="J13" i="16"/>
  <c r="V9" i="17" s="1"/>
  <c r="V10" i="17" s="1"/>
  <c r="V106" i="17" s="1"/>
  <c r="E39" i="20" s="1"/>
  <c r="E14" i="16"/>
  <c r="X7" i="17" s="1"/>
  <c r="J14" i="16"/>
  <c r="X9" i="17" s="1"/>
  <c r="X10" i="17" s="1"/>
  <c r="X106" i="17" s="1"/>
  <c r="E40" i="20" s="1"/>
  <c r="E15" i="16"/>
  <c r="Z7" i="17" s="1"/>
  <c r="Z8" i="17" s="1"/>
  <c r="Z105" i="17" s="1"/>
  <c r="D41" i="20" s="1"/>
  <c r="J15" i="16"/>
  <c r="Z9" i="17" s="1"/>
  <c r="Z10" i="17" s="1"/>
  <c r="Z106" i="17" s="1"/>
  <c r="E41" i="20" s="1"/>
  <c r="C16" i="16"/>
  <c r="D16" i="16"/>
  <c r="E39" i="1"/>
  <c r="E38" i="1"/>
  <c r="G21" i="18" l="1"/>
  <c r="G24" i="18" s="1"/>
  <c r="F14" i="20"/>
  <c r="G29" i="18"/>
  <c r="H15" i="18"/>
  <c r="G18" i="18"/>
  <c r="H21" i="18"/>
  <c r="H29" i="18"/>
  <c r="U283" i="1"/>
  <c r="P283" i="1"/>
  <c r="P119" i="1"/>
  <c r="N8" i="17"/>
  <c r="N105" i="17" s="1"/>
  <c r="D35" i="20" s="1"/>
  <c r="D10" i="17"/>
  <c r="D106" i="17" s="1"/>
  <c r="P154" i="1"/>
  <c r="S154" i="1"/>
  <c r="U154" i="1" s="1"/>
  <c r="U157" i="1" s="1"/>
  <c r="U119" i="1"/>
  <c r="J16" i="16"/>
  <c r="E16" i="16"/>
  <c r="H35" i="1"/>
  <c r="H279" i="1"/>
  <c r="H277" i="1"/>
  <c r="G313" i="1"/>
  <c r="K313" i="1" s="1"/>
  <c r="G316" i="1"/>
  <c r="K316" i="1" s="1"/>
  <c r="G317" i="1"/>
  <c r="K317" i="1" s="1"/>
  <c r="E317" i="1"/>
  <c r="E316" i="1"/>
  <c r="E313" i="1"/>
  <c r="H75" i="1"/>
  <c r="E10" i="1"/>
  <c r="E9" i="1"/>
  <c r="E8" i="1"/>
  <c r="I460" i="13"/>
  <c r="I462" i="13" s="1"/>
  <c r="K460" i="13"/>
  <c r="K462" i="13" s="1"/>
  <c r="M460" i="13"/>
  <c r="M462" i="13" s="1"/>
  <c r="O460" i="13"/>
  <c r="O462" i="13" s="1"/>
  <c r="Q460" i="13"/>
  <c r="Q462" i="13" s="1"/>
  <c r="S460" i="13"/>
  <c r="S462" i="13" s="1"/>
  <c r="U460" i="13"/>
  <c r="U462" i="13" s="1"/>
  <c r="W460" i="13"/>
  <c r="W462" i="13" s="1"/>
  <c r="Y460" i="13"/>
  <c r="Y462" i="13" s="1"/>
  <c r="AC460" i="13"/>
  <c r="AC462" i="13" s="1"/>
  <c r="G460" i="13"/>
  <c r="G462" i="13" s="1"/>
  <c r="P9" i="4"/>
  <c r="P25" i="4" s="1"/>
  <c r="P10" i="4"/>
  <c r="P11" i="4"/>
  <c r="P12" i="4"/>
  <c r="E753" i="1" s="1"/>
  <c r="P13" i="4"/>
  <c r="P14" i="4"/>
  <c r="E754" i="1" s="1"/>
  <c r="P15" i="4"/>
  <c r="E755" i="1" s="1"/>
  <c r="P16" i="4"/>
  <c r="E756" i="1" s="1"/>
  <c r="P17" i="4"/>
  <c r="P18" i="4"/>
  <c r="E757" i="1" s="1"/>
  <c r="P20" i="4"/>
  <c r="AA106" i="17" l="1"/>
  <c r="O81" i="1" s="1"/>
  <c r="F10" i="20" s="1"/>
  <c r="E30" i="20"/>
  <c r="E42" i="20" s="1"/>
  <c r="H18" i="18"/>
  <c r="H24" i="18"/>
  <c r="P157" i="1"/>
  <c r="M317" i="1"/>
  <c r="M316" i="1"/>
  <c r="M313" i="1"/>
  <c r="I316" i="1"/>
  <c r="I313" i="1"/>
  <c r="I317" i="1"/>
  <c r="E724" i="1"/>
  <c r="C724" i="1" s="1"/>
  <c r="G724" i="1" s="1"/>
  <c r="I724" i="1" s="1"/>
  <c r="C723" i="1"/>
  <c r="G723" i="1" s="1"/>
  <c r="E661" i="1"/>
  <c r="E663" i="1"/>
  <c r="C663" i="1" s="1"/>
  <c r="E662" i="1"/>
  <c r="C662" i="1" s="1"/>
  <c r="E646" i="1"/>
  <c r="C646" i="1" s="1"/>
  <c r="E645" i="1"/>
  <c r="C645" i="1" s="1"/>
  <c r="E640" i="1"/>
  <c r="E639" i="1"/>
  <c r="C639" i="1" s="1"/>
  <c r="E638" i="1"/>
  <c r="C638" i="1" s="1"/>
  <c r="E420" i="1"/>
  <c r="C420" i="1" s="1"/>
  <c r="E419" i="1"/>
  <c r="C419" i="1" s="1"/>
  <c r="C567" i="1"/>
  <c r="G567" i="1" s="1"/>
  <c r="I567" i="1" s="1"/>
  <c r="C566" i="1"/>
  <c r="G566" i="1" s="1"/>
  <c r="I566" i="1" s="1"/>
  <c r="P81" i="1" l="1"/>
  <c r="P82" i="1" s="1"/>
  <c r="S76" i="1"/>
  <c r="U76" i="1" s="1"/>
  <c r="G11" i="18"/>
  <c r="H11" i="18" s="1"/>
  <c r="H12" i="18" s="1"/>
  <c r="I723" i="1"/>
  <c r="K567" i="1"/>
  <c r="K420" i="1"/>
  <c r="K645" i="1"/>
  <c r="K724" i="1"/>
  <c r="M724" i="1" s="1"/>
  <c r="K638" i="1"/>
  <c r="K646" i="1"/>
  <c r="K639" i="1"/>
  <c r="K662" i="1"/>
  <c r="K566" i="1"/>
  <c r="K419" i="1"/>
  <c r="K663" i="1"/>
  <c r="K723" i="1"/>
  <c r="M723" i="1" s="1"/>
  <c r="C393" i="1"/>
  <c r="G393" i="1" s="1"/>
  <c r="C391" i="1"/>
  <c r="G391" i="1" s="1"/>
  <c r="G12" i="18" l="1"/>
  <c r="M638" i="1"/>
  <c r="M662" i="1"/>
  <c r="M646" i="1"/>
  <c r="M420" i="1"/>
  <c r="I391" i="1"/>
  <c r="I393" i="1"/>
  <c r="M566" i="1"/>
  <c r="M567" i="1"/>
  <c r="K391" i="1"/>
  <c r="K393" i="1"/>
  <c r="C538" i="1"/>
  <c r="G538" i="1" s="1"/>
  <c r="C537" i="1"/>
  <c r="G537" i="1" s="1"/>
  <c r="I537" i="1" s="1"/>
  <c r="I538" i="1" l="1"/>
  <c r="M391" i="1"/>
  <c r="M393" i="1"/>
  <c r="K537" i="1"/>
  <c r="K538" i="1"/>
  <c r="E428" i="1"/>
  <c r="C428" i="1" s="1"/>
  <c r="E427" i="1"/>
  <c r="C427" i="1" s="1"/>
  <c r="E426" i="1"/>
  <c r="C426" i="1" s="1"/>
  <c r="E425" i="1"/>
  <c r="C425" i="1" s="1"/>
  <c r="E418" i="1"/>
  <c r="C418" i="1" s="1"/>
  <c r="E417" i="1"/>
  <c r="C417" i="1" s="1"/>
  <c r="M537" i="1" l="1"/>
  <c r="M538" i="1"/>
  <c r="K426" i="1"/>
  <c r="K425" i="1"/>
  <c r="K417" i="1"/>
  <c r="K427" i="1"/>
  <c r="K418" i="1"/>
  <c r="K428" i="1"/>
  <c r="C357" i="1"/>
  <c r="C356" i="1"/>
  <c r="C355" i="1"/>
  <c r="C354" i="1"/>
  <c r="C353" i="1"/>
  <c r="C352" i="1"/>
  <c r="C351" i="1"/>
  <c r="C350" i="1"/>
  <c r="C349" i="1"/>
  <c r="C348" i="1"/>
  <c r="C347" i="1"/>
  <c r="C346" i="1"/>
  <c r="C345" i="1"/>
  <c r="C344" i="1"/>
  <c r="C315" i="1"/>
  <c r="C314" i="1"/>
  <c r="C312" i="1"/>
  <c r="C282" i="1"/>
  <c r="C281" i="1"/>
  <c r="C280" i="1"/>
  <c r="C279" i="1"/>
  <c r="C278" i="1"/>
  <c r="K278" i="1" s="1"/>
  <c r="C277" i="1"/>
  <c r="C249" i="1"/>
  <c r="C248" i="1"/>
  <c r="G248" i="1" s="1"/>
  <c r="C247" i="1"/>
  <c r="G247" i="1" s="1"/>
  <c r="C246" i="1"/>
  <c r="G246" i="1" s="1"/>
  <c r="C245" i="1"/>
  <c r="G245" i="1" s="1"/>
  <c r="C244" i="1"/>
  <c r="G244" i="1" s="1"/>
  <c r="E221" i="1"/>
  <c r="E220" i="1"/>
  <c r="C220" i="1" s="1"/>
  <c r="E219" i="1"/>
  <c r="C218" i="1"/>
  <c r="M428" i="1" l="1"/>
  <c r="M418" i="1"/>
  <c r="M426" i="1"/>
  <c r="G112" i="1"/>
  <c r="I112" i="1" s="1"/>
  <c r="I245" i="1"/>
  <c r="G111" i="1"/>
  <c r="I111" i="1" s="1"/>
  <c r="I244" i="1"/>
  <c r="G249" i="1"/>
  <c r="G116" i="1"/>
  <c r="I116" i="1" s="1"/>
  <c r="I247" i="1"/>
  <c r="G114" i="1"/>
  <c r="I114" i="1" s="1"/>
  <c r="I248" i="1"/>
  <c r="I246" i="1"/>
  <c r="G113" i="1"/>
  <c r="I113" i="1" s="1"/>
  <c r="K245" i="1"/>
  <c r="K246" i="1"/>
  <c r="K281" i="1"/>
  <c r="K247" i="1"/>
  <c r="K282" i="1"/>
  <c r="K244" i="1"/>
  <c r="K248" i="1"/>
  <c r="G315" i="1"/>
  <c r="K315" i="1" s="1"/>
  <c r="G314" i="1"/>
  <c r="G220" i="1"/>
  <c r="G218" i="1"/>
  <c r="G312" i="1"/>
  <c r="K312" i="1" s="1"/>
  <c r="E190" i="1"/>
  <c r="C190" i="1" s="1"/>
  <c r="G190" i="1" s="1"/>
  <c r="E189" i="1"/>
  <c r="C189" i="1" s="1"/>
  <c r="G189" i="1" s="1"/>
  <c r="I189" i="1" s="1"/>
  <c r="C188" i="1"/>
  <c r="G188" i="1" s="1"/>
  <c r="C187" i="1"/>
  <c r="G187" i="1" s="1"/>
  <c r="I187" i="1" s="1"/>
  <c r="K314" i="1" l="1"/>
  <c r="G279" i="1"/>
  <c r="I188" i="1"/>
  <c r="G73" i="1"/>
  <c r="I73" i="1" s="1"/>
  <c r="G76" i="1"/>
  <c r="I76" i="1" s="1"/>
  <c r="I190" i="1"/>
  <c r="K220" i="1"/>
  <c r="G75" i="1"/>
  <c r="G72" i="1"/>
  <c r="I218" i="1"/>
  <c r="I249" i="1"/>
  <c r="I250" i="1" s="1"/>
  <c r="G117" i="1"/>
  <c r="I117" i="1" s="1"/>
  <c r="M248" i="1"/>
  <c r="M244" i="1"/>
  <c r="M247" i="1"/>
  <c r="M245" i="1"/>
  <c r="M312" i="1"/>
  <c r="M315" i="1"/>
  <c r="M246" i="1"/>
  <c r="K218" i="1"/>
  <c r="K188" i="1"/>
  <c r="K190" i="1"/>
  <c r="K187" i="1"/>
  <c r="K189" i="1"/>
  <c r="G277" i="1"/>
  <c r="I312" i="1"/>
  <c r="I314" i="1"/>
  <c r="I220" i="1"/>
  <c r="I315" i="1"/>
  <c r="C156" i="1"/>
  <c r="C155" i="1"/>
  <c r="C154" i="1"/>
  <c r="C153" i="1"/>
  <c r="C152" i="1"/>
  <c r="C151" i="1"/>
  <c r="C150" i="1"/>
  <c r="K150" i="1" s="1"/>
  <c r="C149" i="1"/>
  <c r="C118" i="1"/>
  <c r="K118" i="1" s="1"/>
  <c r="C117" i="1"/>
  <c r="C116" i="1"/>
  <c r="K116" i="1" s="1"/>
  <c r="C115" i="1"/>
  <c r="K115" i="1" s="1"/>
  <c r="C114" i="1"/>
  <c r="K114" i="1" s="1"/>
  <c r="C113" i="1"/>
  <c r="K113" i="1" s="1"/>
  <c r="C112" i="1"/>
  <c r="K112" i="1" s="1"/>
  <c r="C111" i="1"/>
  <c r="K111" i="1" s="1"/>
  <c r="E76" i="1"/>
  <c r="C76" i="1" s="1"/>
  <c r="E75" i="1"/>
  <c r="C75" i="1" s="1"/>
  <c r="M112" i="1" l="1"/>
  <c r="Q112" i="1" s="1"/>
  <c r="M116" i="1"/>
  <c r="Q116" i="1" s="1"/>
  <c r="M118" i="1"/>
  <c r="Q118" i="1" s="1"/>
  <c r="M250" i="1"/>
  <c r="I191" i="1"/>
  <c r="M220" i="1"/>
  <c r="M314" i="1"/>
  <c r="I222" i="1"/>
  <c r="I318" i="1"/>
  <c r="K117" i="1"/>
  <c r="M117" i="1" s="1"/>
  <c r="Q117" i="1" s="1"/>
  <c r="M190" i="1"/>
  <c r="M218" i="1"/>
  <c r="M187" i="1"/>
  <c r="M188" i="1"/>
  <c r="M189" i="1"/>
  <c r="K75" i="1"/>
  <c r="K154" i="1"/>
  <c r="K280" i="1"/>
  <c r="M282" i="1" s="1"/>
  <c r="Q282" i="1" s="1"/>
  <c r="I279" i="1"/>
  <c r="K279" i="1"/>
  <c r="M281" i="1" s="1"/>
  <c r="Q281" i="1" s="1"/>
  <c r="K151" i="1"/>
  <c r="K155" i="1"/>
  <c r="K76" i="1"/>
  <c r="K152" i="1"/>
  <c r="K156" i="1"/>
  <c r="I277" i="1"/>
  <c r="K277" i="1"/>
  <c r="M278" i="1" s="1"/>
  <c r="Q278" i="1" s="1"/>
  <c r="K149" i="1"/>
  <c r="M150" i="1" s="1"/>
  <c r="Q150" i="1" s="1"/>
  <c r="K153" i="1"/>
  <c r="I75" i="1"/>
  <c r="I72" i="1"/>
  <c r="C9" i="1"/>
  <c r="C7" i="1"/>
  <c r="M119" i="1" l="1"/>
  <c r="Q119" i="1" s="1"/>
  <c r="K79" i="1"/>
  <c r="M79" i="1" s="1"/>
  <c r="M155" i="1"/>
  <c r="Q155" i="1" s="1"/>
  <c r="M156" i="1"/>
  <c r="Q156" i="1" s="1"/>
  <c r="M154" i="1"/>
  <c r="Q154" i="1" s="1"/>
  <c r="M76" i="1"/>
  <c r="M318" i="1"/>
  <c r="M191" i="1"/>
  <c r="M221" i="1"/>
  <c r="G7" i="1"/>
  <c r="K7" i="1" s="1"/>
  <c r="M7" i="1" s="1"/>
  <c r="G9" i="1"/>
  <c r="R161" i="15"/>
  <c r="R160" i="15"/>
  <c r="R159" i="15"/>
  <c r="R157" i="15"/>
  <c r="R156" i="15"/>
  <c r="C577" i="1"/>
  <c r="G577" i="1" s="1"/>
  <c r="I577" i="1" s="1"/>
  <c r="C578" i="1"/>
  <c r="G578" i="1" s="1"/>
  <c r="I578" i="1" s="1"/>
  <c r="C579" i="1"/>
  <c r="G579" i="1" s="1"/>
  <c r="I579" i="1" s="1"/>
  <c r="C576" i="1"/>
  <c r="G576" i="1" s="1"/>
  <c r="I576" i="1" s="1"/>
  <c r="C573" i="1"/>
  <c r="G573" i="1" s="1"/>
  <c r="C574" i="1"/>
  <c r="G574" i="1" s="1"/>
  <c r="C575" i="1"/>
  <c r="G575" i="1" s="1"/>
  <c r="C572" i="1"/>
  <c r="G572" i="1" s="1"/>
  <c r="I572" i="1" s="1"/>
  <c r="C571" i="1"/>
  <c r="G571" i="1" s="1"/>
  <c r="I571" i="1" s="1"/>
  <c r="C570" i="1"/>
  <c r="G570" i="1" s="1"/>
  <c r="M157" i="1" l="1"/>
  <c r="Q157" i="1" s="1"/>
  <c r="K81" i="1"/>
  <c r="M81" i="1" s="1"/>
  <c r="Q81" i="1" s="1"/>
  <c r="I575" i="1"/>
  <c r="I570" i="1"/>
  <c r="I574" i="1"/>
  <c r="I573" i="1"/>
  <c r="M283" i="1"/>
  <c r="Q283" i="1" s="1"/>
  <c r="R462" i="15"/>
  <c r="G35" i="1"/>
  <c r="K35" i="1" s="1"/>
  <c r="I7" i="1"/>
  <c r="K574" i="1"/>
  <c r="K578" i="1"/>
  <c r="K572" i="1"/>
  <c r="K576" i="1"/>
  <c r="K575" i="1"/>
  <c r="K579" i="1"/>
  <c r="K570" i="1"/>
  <c r="K571" i="1"/>
  <c r="K573" i="1"/>
  <c r="K577" i="1"/>
  <c r="G38" i="1"/>
  <c r="I9" i="1"/>
  <c r="K9" i="1" s="1"/>
  <c r="M9" i="1" s="1"/>
  <c r="M10" i="1" s="1"/>
  <c r="C569" i="1"/>
  <c r="G569" i="1" s="1"/>
  <c r="C568" i="1"/>
  <c r="G568" i="1" s="1"/>
  <c r="G346" i="1" s="1"/>
  <c r="I35" i="1" l="1"/>
  <c r="I569" i="1"/>
  <c r="I568" i="1"/>
  <c r="M577" i="1"/>
  <c r="M571" i="1"/>
  <c r="M579" i="1"/>
  <c r="M576" i="1"/>
  <c r="M578" i="1"/>
  <c r="M573" i="1"/>
  <c r="M570" i="1"/>
  <c r="M575" i="1"/>
  <c r="M572" i="1"/>
  <c r="M574" i="1"/>
  <c r="K569" i="1"/>
  <c r="K568" i="1"/>
  <c r="I38" i="1"/>
  <c r="E580" i="1"/>
  <c r="I580" i="1" l="1"/>
  <c r="I346" i="1"/>
  <c r="K346" i="1"/>
  <c r="M568" i="1"/>
  <c r="M569" i="1"/>
  <c r="M580" i="1" l="1"/>
  <c r="E555" i="1"/>
  <c r="E554" i="1"/>
  <c r="E553" i="1"/>
  <c r="C540" i="1"/>
  <c r="G540" i="1" s="1"/>
  <c r="C541" i="1"/>
  <c r="G541" i="1" s="1"/>
  <c r="C542" i="1"/>
  <c r="G542" i="1" s="1"/>
  <c r="C543" i="1"/>
  <c r="G543" i="1" s="1"/>
  <c r="C544" i="1"/>
  <c r="G544" i="1" s="1"/>
  <c r="E548" i="1"/>
  <c r="E549" i="1"/>
  <c r="E550" i="1"/>
  <c r="E551" i="1"/>
  <c r="E552" i="1"/>
  <c r="C539" i="1"/>
  <c r="G539" i="1" s="1"/>
  <c r="G347" i="1" s="1"/>
  <c r="AD327" i="13"/>
  <c r="AD328" i="13"/>
  <c r="AD329" i="13"/>
  <c r="AD330" i="13"/>
  <c r="AD331" i="13"/>
  <c r="AD332" i="13"/>
  <c r="AD333" i="13"/>
  <c r="I540" i="1" l="1"/>
  <c r="I543" i="1"/>
  <c r="I541" i="1"/>
  <c r="I544" i="1"/>
  <c r="I539" i="1"/>
  <c r="I542" i="1"/>
  <c r="R222" i="15"/>
  <c r="K544" i="1"/>
  <c r="K540" i="1"/>
  <c r="K543" i="1"/>
  <c r="K539" i="1"/>
  <c r="K542" i="1"/>
  <c r="K541" i="1"/>
  <c r="E545" i="1"/>
  <c r="G142" i="15"/>
  <c r="H142" i="15"/>
  <c r="I142" i="15"/>
  <c r="J142" i="15"/>
  <c r="K142" i="15"/>
  <c r="L142" i="15"/>
  <c r="F142" i="15"/>
  <c r="E270" i="1"/>
  <c r="E271" i="1"/>
  <c r="Q162" i="15"/>
  <c r="P162" i="15"/>
  <c r="O162" i="15"/>
  <c r="N162" i="15"/>
  <c r="M162" i="15"/>
  <c r="L158" i="15"/>
  <c r="K162" i="15"/>
  <c r="J162" i="15"/>
  <c r="I162" i="15"/>
  <c r="H162" i="15"/>
  <c r="G162" i="15"/>
  <c r="F162" i="15"/>
  <c r="R62" i="15"/>
  <c r="R19" i="15"/>
  <c r="E29" i="1" s="1"/>
  <c r="I347" i="1" l="1"/>
  <c r="K347" i="1"/>
  <c r="M347" i="1" s="1"/>
  <c r="I545" i="1"/>
  <c r="R142" i="15"/>
  <c r="L162" i="15"/>
  <c r="R158" i="15"/>
  <c r="R162" i="15"/>
  <c r="M541" i="1"/>
  <c r="M539" i="1"/>
  <c r="M540" i="1"/>
  <c r="M542" i="1"/>
  <c r="M543" i="1"/>
  <c r="M544" i="1"/>
  <c r="R122" i="15"/>
  <c r="O347" i="1" l="1"/>
  <c r="X347" i="1" s="1"/>
  <c r="M545" i="1"/>
  <c r="C609" i="1"/>
  <c r="G609" i="1" s="1"/>
  <c r="C608" i="1"/>
  <c r="G608" i="1" s="1"/>
  <c r="C607" i="1"/>
  <c r="G607" i="1" s="1"/>
  <c r="C606" i="1"/>
  <c r="G606" i="1" s="1"/>
  <c r="C605" i="1"/>
  <c r="G605" i="1" s="1"/>
  <c r="C604" i="1"/>
  <c r="G604" i="1" s="1"/>
  <c r="C603" i="1"/>
  <c r="G603" i="1" s="1"/>
  <c r="C602" i="1"/>
  <c r="G602" i="1" s="1"/>
  <c r="I602" i="1" s="1"/>
  <c r="C601" i="1"/>
  <c r="G601" i="1" s="1"/>
  <c r="C600" i="1"/>
  <c r="G600" i="1" s="1"/>
  <c r="C599" i="1"/>
  <c r="G599" i="1" s="1"/>
  <c r="G345" i="1" s="1"/>
  <c r="C598" i="1"/>
  <c r="G598" i="1" s="1"/>
  <c r="G344" i="1" s="1"/>
  <c r="E708" i="1"/>
  <c r="C708" i="1" s="1"/>
  <c r="E707" i="1"/>
  <c r="E706" i="1"/>
  <c r="E705" i="1"/>
  <c r="C705" i="1" s="1"/>
  <c r="E704" i="1"/>
  <c r="C704" i="1" s="1"/>
  <c r="E703" i="1"/>
  <c r="C703" i="1" s="1"/>
  <c r="E689" i="1"/>
  <c r="E688" i="1"/>
  <c r="C688" i="1" s="1"/>
  <c r="E687" i="1"/>
  <c r="E686" i="1"/>
  <c r="C686" i="1" s="1"/>
  <c r="E685" i="1"/>
  <c r="E684" i="1"/>
  <c r="C684" i="1" s="1"/>
  <c r="E670" i="1"/>
  <c r="C670" i="1" s="1"/>
  <c r="E669" i="1"/>
  <c r="C669" i="1" s="1"/>
  <c r="E668" i="1"/>
  <c r="C668" i="1" s="1"/>
  <c r="E667" i="1"/>
  <c r="E666" i="1"/>
  <c r="E665" i="1"/>
  <c r="C665" i="1" s="1"/>
  <c r="E664" i="1"/>
  <c r="E660" i="1"/>
  <c r="C660" i="1" s="1"/>
  <c r="E659" i="1"/>
  <c r="C659" i="1" s="1"/>
  <c r="E635" i="1"/>
  <c r="C635" i="1" s="1"/>
  <c r="E636" i="1"/>
  <c r="C636" i="1" s="1"/>
  <c r="E637" i="1"/>
  <c r="E641" i="1"/>
  <c r="C641" i="1" s="1"/>
  <c r="E642" i="1"/>
  <c r="E643" i="1"/>
  <c r="E644" i="1"/>
  <c r="C644" i="1" s="1"/>
  <c r="E524" i="1"/>
  <c r="C524" i="1" s="1"/>
  <c r="E523" i="1"/>
  <c r="C523" i="1" s="1"/>
  <c r="E522" i="1"/>
  <c r="E521" i="1"/>
  <c r="C521" i="1" s="1"/>
  <c r="E520" i="1"/>
  <c r="E519" i="1"/>
  <c r="C519" i="1" s="1"/>
  <c r="E518" i="1"/>
  <c r="C518" i="1" s="1"/>
  <c r="E517" i="1"/>
  <c r="E516" i="1"/>
  <c r="C516" i="1" s="1"/>
  <c r="E515" i="1"/>
  <c r="E514" i="1"/>
  <c r="C514" i="1" s="1"/>
  <c r="E513" i="1"/>
  <c r="C513" i="1" s="1"/>
  <c r="E500" i="1"/>
  <c r="C500" i="1" s="1"/>
  <c r="E499" i="1"/>
  <c r="C499" i="1" s="1"/>
  <c r="E498" i="1"/>
  <c r="E497" i="1"/>
  <c r="C497" i="1" s="1"/>
  <c r="E496" i="1"/>
  <c r="E495" i="1"/>
  <c r="C495" i="1" s="1"/>
  <c r="E494" i="1"/>
  <c r="C494" i="1" s="1"/>
  <c r="E493" i="1"/>
  <c r="E492" i="1"/>
  <c r="C492" i="1" s="1"/>
  <c r="E491" i="1"/>
  <c r="E490" i="1"/>
  <c r="C490" i="1" s="1"/>
  <c r="E489" i="1"/>
  <c r="C489" i="1" s="1"/>
  <c r="E476" i="1"/>
  <c r="C476" i="1" s="1"/>
  <c r="E475" i="1"/>
  <c r="C475" i="1" s="1"/>
  <c r="E474" i="1"/>
  <c r="E473" i="1"/>
  <c r="C473" i="1" s="1"/>
  <c r="E472" i="1"/>
  <c r="E471" i="1"/>
  <c r="C471" i="1" s="1"/>
  <c r="E470" i="1"/>
  <c r="C470" i="1" s="1"/>
  <c r="K470" i="1" s="1"/>
  <c r="E469" i="1"/>
  <c r="E468" i="1"/>
  <c r="C468" i="1" s="1"/>
  <c r="E467" i="1"/>
  <c r="E466" i="1"/>
  <c r="C466" i="1" s="1"/>
  <c r="E465" i="1"/>
  <c r="C465" i="1" s="1"/>
  <c r="B462" i="1"/>
  <c r="E452" i="1"/>
  <c r="C452" i="1" s="1"/>
  <c r="E451" i="1"/>
  <c r="C451" i="1" s="1"/>
  <c r="E450" i="1"/>
  <c r="E449" i="1"/>
  <c r="C449" i="1" s="1"/>
  <c r="E448" i="1"/>
  <c r="C448" i="1" s="1"/>
  <c r="E447" i="1"/>
  <c r="E446" i="1"/>
  <c r="C446" i="1" s="1"/>
  <c r="E445" i="1"/>
  <c r="E444" i="1"/>
  <c r="E443" i="1"/>
  <c r="C443" i="1" s="1"/>
  <c r="E442" i="1"/>
  <c r="C442" i="1" s="1"/>
  <c r="E441" i="1"/>
  <c r="C441" i="1" s="1"/>
  <c r="E424" i="1"/>
  <c r="C424" i="1" s="1"/>
  <c r="E423" i="1"/>
  <c r="E422" i="1"/>
  <c r="E421" i="1"/>
  <c r="C421" i="1" s="1"/>
  <c r="I601" i="1" l="1"/>
  <c r="G349" i="1"/>
  <c r="I605" i="1"/>
  <c r="G355" i="1"/>
  <c r="I609" i="1"/>
  <c r="I599" i="1"/>
  <c r="I603" i="1"/>
  <c r="G354" i="1"/>
  <c r="I607" i="1"/>
  <c r="G356" i="1"/>
  <c r="P347" i="1"/>
  <c r="Q347" i="1" s="1"/>
  <c r="I600" i="1"/>
  <c r="I604" i="1"/>
  <c r="I608" i="1"/>
  <c r="G353" i="1"/>
  <c r="I598" i="1"/>
  <c r="I606" i="1"/>
  <c r="K499" i="1"/>
  <c r="K518" i="1"/>
  <c r="K641" i="1"/>
  <c r="K668" i="1"/>
  <c r="K606" i="1"/>
  <c r="K424" i="1"/>
  <c r="K442" i="1"/>
  <c r="K475" i="1"/>
  <c r="K421" i="1"/>
  <c r="K443" i="1"/>
  <c r="K451" i="1"/>
  <c r="K468" i="1"/>
  <c r="K476" i="1"/>
  <c r="K490" i="1"/>
  <c r="K494" i="1"/>
  <c r="K516" i="1"/>
  <c r="K524" i="1"/>
  <c r="K636" i="1"/>
  <c r="K659" i="1"/>
  <c r="K670" i="1"/>
  <c r="K704" i="1"/>
  <c r="K708" i="1"/>
  <c r="K600" i="1"/>
  <c r="K604" i="1"/>
  <c r="K608" i="1"/>
  <c r="K448" i="1"/>
  <c r="K452" i="1"/>
  <c r="K465" i="1"/>
  <c r="K473" i="1"/>
  <c r="M470" i="1" s="1"/>
  <c r="K495" i="1"/>
  <c r="K513" i="1"/>
  <c r="K521" i="1"/>
  <c r="K635" i="1"/>
  <c r="K660" i="1"/>
  <c r="K686" i="1"/>
  <c r="M686" i="1" s="1"/>
  <c r="K705" i="1"/>
  <c r="K601" i="1"/>
  <c r="K605" i="1"/>
  <c r="K609" i="1"/>
  <c r="K441" i="1"/>
  <c r="K449" i="1"/>
  <c r="K466" i="1"/>
  <c r="K492" i="1"/>
  <c r="K514" i="1"/>
  <c r="K598" i="1"/>
  <c r="K602" i="1"/>
  <c r="K446" i="1"/>
  <c r="K471" i="1"/>
  <c r="K489" i="1"/>
  <c r="K497" i="1"/>
  <c r="K500" i="1"/>
  <c r="K519" i="1"/>
  <c r="K523" i="1"/>
  <c r="K644" i="1"/>
  <c r="K665" i="1"/>
  <c r="K669" i="1"/>
  <c r="K684" i="1"/>
  <c r="M684" i="1" s="1"/>
  <c r="K688" i="1"/>
  <c r="M688" i="1" s="1"/>
  <c r="K703" i="1"/>
  <c r="K599" i="1"/>
  <c r="K603" i="1"/>
  <c r="K607" i="1"/>
  <c r="E690" i="1"/>
  <c r="E671" i="1"/>
  <c r="E647" i="1"/>
  <c r="E525" i="1"/>
  <c r="E501" i="1"/>
  <c r="E477" i="1"/>
  <c r="E453" i="1"/>
  <c r="E429" i="1"/>
  <c r="Y347" i="1" l="1"/>
  <c r="M500" i="1"/>
  <c r="M518" i="1"/>
  <c r="M644" i="1"/>
  <c r="M514" i="1"/>
  <c r="M660" i="1"/>
  <c r="M448" i="1"/>
  <c r="M636" i="1"/>
  <c r="M490" i="1"/>
  <c r="M668" i="1"/>
  <c r="M466" i="1"/>
  <c r="M468" i="1"/>
  <c r="M424" i="1"/>
  <c r="M446" i="1"/>
  <c r="M492" i="1"/>
  <c r="M452" i="1"/>
  <c r="M704" i="1"/>
  <c r="M524" i="1"/>
  <c r="M494" i="1"/>
  <c r="M476" i="1"/>
  <c r="M442" i="1"/>
  <c r="M670" i="1"/>
  <c r="M708" i="1"/>
  <c r="M516" i="1"/>
  <c r="I610" i="1"/>
  <c r="I344" i="1"/>
  <c r="K344" i="1"/>
  <c r="I354" i="1"/>
  <c r="K354" i="1"/>
  <c r="I353" i="1"/>
  <c r="K353" i="1"/>
  <c r="I356" i="1"/>
  <c r="K356" i="1"/>
  <c r="I345" i="1"/>
  <c r="K345" i="1"/>
  <c r="I355" i="1"/>
  <c r="K355" i="1"/>
  <c r="I349" i="1"/>
  <c r="K349" i="1"/>
  <c r="M607" i="1"/>
  <c r="M602" i="1"/>
  <c r="M605" i="1"/>
  <c r="M604" i="1"/>
  <c r="M603" i="1"/>
  <c r="M598" i="1"/>
  <c r="M609" i="1"/>
  <c r="M601" i="1"/>
  <c r="M608" i="1"/>
  <c r="M600" i="1"/>
  <c r="M606" i="1"/>
  <c r="M599" i="1"/>
  <c r="C395" i="1"/>
  <c r="G395" i="1" s="1"/>
  <c r="M671" i="1" l="1"/>
  <c r="M345" i="1"/>
  <c r="Q345" i="1" s="1"/>
  <c r="M690" i="1"/>
  <c r="M647" i="1"/>
  <c r="M610" i="1"/>
  <c r="M429" i="1"/>
  <c r="I395" i="1"/>
  <c r="I397" i="1" s="1"/>
  <c r="M501" i="1"/>
  <c r="M453" i="1"/>
  <c r="M525" i="1"/>
  <c r="M477" i="1"/>
  <c r="K395" i="1"/>
  <c r="E397" i="1"/>
  <c r="M395" i="1" l="1"/>
  <c r="E269" i="1"/>
  <c r="M396" i="1" l="1"/>
  <c r="E222" i="1"/>
  <c r="E318" i="1"/>
  <c r="E250" i="1"/>
  <c r="E283" i="1"/>
  <c r="E191" i="1"/>
  <c r="R102" i="15"/>
  <c r="M397" i="1" l="1"/>
  <c r="E119" i="1"/>
  <c r="AA34" i="13" l="1"/>
  <c r="AA23" i="13"/>
  <c r="R34" i="15"/>
  <c r="R35" i="15"/>
  <c r="E62" i="1" s="1"/>
  <c r="R39" i="15"/>
  <c r="G22" i="15"/>
  <c r="G506" i="15" s="1"/>
  <c r="G510" i="15" s="1"/>
  <c r="H22" i="15"/>
  <c r="H506" i="15" s="1"/>
  <c r="H510" i="15" s="1"/>
  <c r="I22" i="15"/>
  <c r="I506" i="15" s="1"/>
  <c r="I510" i="15" s="1"/>
  <c r="J22" i="15"/>
  <c r="J506" i="15" s="1"/>
  <c r="J510" i="15" s="1"/>
  <c r="K22" i="15"/>
  <c r="K506" i="15" s="1"/>
  <c r="K510" i="15" s="1"/>
  <c r="L22" i="15"/>
  <c r="L506" i="15" s="1"/>
  <c r="L510" i="15" s="1"/>
  <c r="M22" i="15"/>
  <c r="M506" i="15" s="1"/>
  <c r="M510" i="15" s="1"/>
  <c r="N22" i="15"/>
  <c r="N506" i="15" s="1"/>
  <c r="N510" i="15" s="1"/>
  <c r="O22" i="15"/>
  <c r="O506" i="15" s="1"/>
  <c r="O510" i="15" s="1"/>
  <c r="P22" i="15"/>
  <c r="P506" i="15" s="1"/>
  <c r="P510" i="15" s="1"/>
  <c r="Q22" i="15"/>
  <c r="Q506" i="15" s="1"/>
  <c r="Q510" i="15" s="1"/>
  <c r="F22" i="15"/>
  <c r="F506" i="15" s="1"/>
  <c r="F510" i="15" s="1"/>
  <c r="AA460" i="13"/>
  <c r="AA462" i="13" s="1"/>
  <c r="AD23" i="13" l="1"/>
  <c r="E36" i="1"/>
  <c r="Z23" i="13"/>
  <c r="AC105" i="17" s="1"/>
  <c r="R510" i="15"/>
  <c r="R22" i="15"/>
  <c r="R42" i="15"/>
  <c r="E77" i="1"/>
  <c r="X8" i="17" l="1"/>
  <c r="X105" i="17" s="1"/>
  <c r="C36" i="1"/>
  <c r="K36" i="1" s="1"/>
  <c r="M36" i="1" s="1"/>
  <c r="Q36" i="1" s="1"/>
  <c r="E61" i="1"/>
  <c r="AA105" i="17" l="1"/>
  <c r="O44" i="1" s="1"/>
  <c r="S39" i="1" s="1"/>
  <c r="U39" i="1" s="1"/>
  <c r="U748" i="1" s="1"/>
  <c r="D26" i="21" s="1"/>
  <c r="D40" i="20"/>
  <c r="D42" i="20" s="1"/>
  <c r="E40" i="1"/>
  <c r="P44" i="1" l="1"/>
  <c r="G7" i="18"/>
  <c r="F8" i="20"/>
  <c r="P45" i="1"/>
  <c r="R6" i="15"/>
  <c r="R7" i="15"/>
  <c r="R8" i="15"/>
  <c r="R9" i="15"/>
  <c r="R10" i="15"/>
  <c r="R11" i="15"/>
  <c r="R12" i="15"/>
  <c r="R13" i="15"/>
  <c r="R14" i="15"/>
  <c r="E24" i="1" s="1"/>
  <c r="R15" i="15"/>
  <c r="E25" i="1" s="1"/>
  <c r="R16" i="15"/>
  <c r="E26" i="1" s="1"/>
  <c r="R17" i="15"/>
  <c r="E27" i="1" s="1"/>
  <c r="R18" i="15"/>
  <c r="E28" i="1" s="1"/>
  <c r="R20" i="15"/>
  <c r="R21" i="15"/>
  <c r="R26" i="15"/>
  <c r="R27" i="15"/>
  <c r="R28" i="15"/>
  <c r="R29" i="15"/>
  <c r="R30" i="15"/>
  <c r="R31" i="15"/>
  <c r="R32" i="15"/>
  <c r="R33" i="15"/>
  <c r="R36" i="15"/>
  <c r="E63" i="1" s="1"/>
  <c r="R37" i="15"/>
  <c r="E64" i="1" s="1"/>
  <c r="R38" i="15"/>
  <c r="E65" i="1" s="1"/>
  <c r="R40" i="15"/>
  <c r="R41" i="15"/>
  <c r="R46" i="15"/>
  <c r="R47" i="15"/>
  <c r="R48" i="15"/>
  <c r="R49" i="15"/>
  <c r="R50" i="15"/>
  <c r="R51" i="15"/>
  <c r="R52" i="15"/>
  <c r="R53" i="15"/>
  <c r="R54" i="15"/>
  <c r="E99" i="1" s="1"/>
  <c r="R55" i="15"/>
  <c r="E100" i="1" s="1"/>
  <c r="R56" i="15"/>
  <c r="E101" i="1" s="1"/>
  <c r="R57" i="15"/>
  <c r="E102" i="1" s="1"/>
  <c r="R58" i="15"/>
  <c r="E103" i="1" s="1"/>
  <c r="R59" i="15"/>
  <c r="E104" i="1" s="1"/>
  <c r="R60" i="15"/>
  <c r="R61" i="15"/>
  <c r="R66" i="15"/>
  <c r="R67" i="15"/>
  <c r="R68" i="15"/>
  <c r="R69" i="15"/>
  <c r="R70" i="15"/>
  <c r="R71" i="15"/>
  <c r="R72" i="15"/>
  <c r="R73" i="15"/>
  <c r="R74" i="15"/>
  <c r="E139" i="1" s="1"/>
  <c r="R75" i="15"/>
  <c r="E140" i="1" s="1"/>
  <c r="R76" i="15"/>
  <c r="E141" i="1" s="1"/>
  <c r="R77" i="15"/>
  <c r="E142" i="1" s="1"/>
  <c r="R78" i="15"/>
  <c r="E143" i="1" s="1"/>
  <c r="R79" i="15"/>
  <c r="R80" i="15"/>
  <c r="R81" i="15"/>
  <c r="R82" i="15"/>
  <c r="R86" i="15"/>
  <c r="R87" i="15"/>
  <c r="R88" i="15"/>
  <c r="R89" i="15"/>
  <c r="R90" i="15"/>
  <c r="R91" i="15"/>
  <c r="R92" i="15"/>
  <c r="R93" i="15"/>
  <c r="R94" i="15"/>
  <c r="E176" i="1" s="1"/>
  <c r="R95" i="15"/>
  <c r="E177" i="1" s="1"/>
  <c r="R96" i="15"/>
  <c r="E178" i="1" s="1"/>
  <c r="R97" i="15"/>
  <c r="E179" i="1" s="1"/>
  <c r="R98" i="15"/>
  <c r="E180" i="1" s="1"/>
  <c r="R99" i="15"/>
  <c r="R100" i="15"/>
  <c r="R101" i="15"/>
  <c r="R106" i="15"/>
  <c r="R107" i="15"/>
  <c r="R108" i="15"/>
  <c r="R109" i="15"/>
  <c r="R110" i="15"/>
  <c r="R111" i="15"/>
  <c r="R112" i="15"/>
  <c r="R113" i="15"/>
  <c r="R114" i="15"/>
  <c r="E205" i="1" s="1"/>
  <c r="R115" i="15"/>
  <c r="E206" i="1" s="1"/>
  <c r="R116" i="15"/>
  <c r="E207" i="1" s="1"/>
  <c r="R117" i="15"/>
  <c r="E208" i="1" s="1"/>
  <c r="R118" i="15"/>
  <c r="E209" i="1" s="1"/>
  <c r="R119" i="15"/>
  <c r="E210" i="1" s="1"/>
  <c r="R120" i="15"/>
  <c r="E211" i="1" s="1"/>
  <c r="R121" i="15"/>
  <c r="E212" i="1" s="1"/>
  <c r="R126" i="15"/>
  <c r="R127" i="15"/>
  <c r="R128" i="15"/>
  <c r="R129" i="15"/>
  <c r="R130" i="15"/>
  <c r="R131" i="15"/>
  <c r="R132" i="15"/>
  <c r="R133" i="15"/>
  <c r="R134" i="15"/>
  <c r="E234" i="1" s="1"/>
  <c r="R135" i="15"/>
  <c r="E235" i="1" s="1"/>
  <c r="R136" i="15"/>
  <c r="E236" i="1" s="1"/>
  <c r="R137" i="15"/>
  <c r="E237" i="1" s="1"/>
  <c r="R138" i="15"/>
  <c r="E238" i="1" s="1"/>
  <c r="R139" i="15"/>
  <c r="R140" i="15"/>
  <c r="R141" i="15"/>
  <c r="R146" i="15"/>
  <c r="R147" i="15"/>
  <c r="R148" i="15"/>
  <c r="R149" i="15"/>
  <c r="R150" i="15"/>
  <c r="R151" i="15"/>
  <c r="R152" i="15"/>
  <c r="R153" i="15"/>
  <c r="R154" i="15"/>
  <c r="E264" i="1" s="1"/>
  <c r="R155" i="15"/>
  <c r="E265" i="1" s="1"/>
  <c r="E266" i="1"/>
  <c r="E267" i="1"/>
  <c r="E268" i="1"/>
  <c r="R166" i="15"/>
  <c r="R167" i="15"/>
  <c r="R168" i="15"/>
  <c r="R169" i="15"/>
  <c r="R170" i="15"/>
  <c r="R171" i="15"/>
  <c r="R172" i="15"/>
  <c r="R173" i="15"/>
  <c r="R174" i="15"/>
  <c r="E298" i="1" s="1"/>
  <c r="R175" i="15"/>
  <c r="E299" i="1" s="1"/>
  <c r="R176" i="15"/>
  <c r="E300" i="1" s="1"/>
  <c r="R177" i="15"/>
  <c r="E301" i="1" s="1"/>
  <c r="R178" i="15"/>
  <c r="E302" i="1" s="1"/>
  <c r="R179" i="15"/>
  <c r="E303" i="1" s="1"/>
  <c r="R180" i="15"/>
  <c r="E304" i="1" s="1"/>
  <c r="R181" i="15"/>
  <c r="E305" i="1" s="1"/>
  <c r="R182" i="15"/>
  <c r="R186" i="15"/>
  <c r="R187" i="15"/>
  <c r="R188" i="15"/>
  <c r="R189" i="15"/>
  <c r="R190" i="15"/>
  <c r="R191" i="15"/>
  <c r="R192" i="15"/>
  <c r="R193" i="15"/>
  <c r="R194" i="15"/>
  <c r="E330" i="1" s="1"/>
  <c r="R195" i="15"/>
  <c r="E331" i="1" s="1"/>
  <c r="R196" i="15"/>
  <c r="E332" i="1" s="1"/>
  <c r="R197" i="15"/>
  <c r="E333" i="1" s="1"/>
  <c r="R198" i="15"/>
  <c r="E334" i="1" s="1"/>
  <c r="R199" i="15"/>
  <c r="E335" i="1" s="1"/>
  <c r="R200" i="15"/>
  <c r="E336" i="1" s="1"/>
  <c r="R201" i="15"/>
  <c r="E337" i="1" s="1"/>
  <c r="R202" i="15"/>
  <c r="R206" i="15"/>
  <c r="R207" i="15"/>
  <c r="R208" i="15"/>
  <c r="R209" i="15"/>
  <c r="R210" i="15"/>
  <c r="R211" i="15"/>
  <c r="R212" i="15"/>
  <c r="R213" i="15"/>
  <c r="R214" i="15"/>
  <c r="E377" i="1" s="1"/>
  <c r="R215" i="15"/>
  <c r="E378" i="1" s="1"/>
  <c r="R216" i="15"/>
  <c r="E379" i="1" s="1"/>
  <c r="R217" i="15"/>
  <c r="E380" i="1" s="1"/>
  <c r="R218" i="15"/>
  <c r="E381" i="1" s="1"/>
  <c r="R219" i="15"/>
  <c r="E382" i="1" s="1"/>
  <c r="R220" i="15"/>
  <c r="E383" i="1" s="1"/>
  <c r="R221" i="15"/>
  <c r="E384" i="1" s="1"/>
  <c r="R226" i="15"/>
  <c r="R227" i="15"/>
  <c r="R228" i="15"/>
  <c r="R229" i="15"/>
  <c r="R230" i="15"/>
  <c r="R231" i="15"/>
  <c r="R232" i="15"/>
  <c r="R233" i="15"/>
  <c r="R234" i="15"/>
  <c r="E404" i="1" s="1"/>
  <c r="R235" i="15"/>
  <c r="E405" i="1" s="1"/>
  <c r="R236" i="15"/>
  <c r="E406" i="1" s="1"/>
  <c r="R237" i="15"/>
  <c r="E407" i="1" s="1"/>
  <c r="R238" i="15"/>
  <c r="E408" i="1" s="1"/>
  <c r="R239" i="15"/>
  <c r="E409" i="1" s="1"/>
  <c r="R240" i="15"/>
  <c r="E410" i="1" s="1"/>
  <c r="R241" i="15"/>
  <c r="E411" i="1" s="1"/>
  <c r="R242" i="15"/>
  <c r="R243" i="15"/>
  <c r="R244" i="15"/>
  <c r="R246" i="15"/>
  <c r="R247" i="15"/>
  <c r="R248" i="15"/>
  <c r="R249" i="15"/>
  <c r="R250" i="15"/>
  <c r="R251" i="15"/>
  <c r="R252" i="15"/>
  <c r="R253" i="15"/>
  <c r="R254" i="15"/>
  <c r="R255" i="15"/>
  <c r="R256" i="15"/>
  <c r="R257" i="15"/>
  <c r="R258" i="15"/>
  <c r="R259" i="15"/>
  <c r="R260" i="15"/>
  <c r="E434" i="1" s="1"/>
  <c r="R261" i="15"/>
  <c r="E435" i="1" s="1"/>
  <c r="R262" i="15"/>
  <c r="R263" i="15"/>
  <c r="R264" i="15"/>
  <c r="R266" i="15"/>
  <c r="R267" i="15"/>
  <c r="R268" i="15"/>
  <c r="R269" i="15"/>
  <c r="R270" i="15"/>
  <c r="R271" i="15"/>
  <c r="R272" i="15"/>
  <c r="R273" i="15"/>
  <c r="R274" i="15"/>
  <c r="R275" i="15"/>
  <c r="R276" i="15"/>
  <c r="R277" i="15"/>
  <c r="R278" i="15"/>
  <c r="R279" i="15"/>
  <c r="R280" i="15"/>
  <c r="E458" i="1" s="1"/>
  <c r="R281" i="15"/>
  <c r="E459" i="1" s="1"/>
  <c r="R282" i="15"/>
  <c r="R283" i="15"/>
  <c r="R284" i="15"/>
  <c r="R285" i="15"/>
  <c r="R286" i="15"/>
  <c r="R287" i="15"/>
  <c r="R288" i="15"/>
  <c r="R289" i="15"/>
  <c r="R290" i="15"/>
  <c r="R291" i="15"/>
  <c r="R292" i="15"/>
  <c r="R293" i="15"/>
  <c r="R294" i="15"/>
  <c r="R295" i="15"/>
  <c r="R296" i="15"/>
  <c r="R297" i="15"/>
  <c r="R298" i="15"/>
  <c r="R299" i="15"/>
  <c r="R300" i="15"/>
  <c r="E482" i="1" s="1"/>
  <c r="R301" i="15"/>
  <c r="E483" i="1" s="1"/>
  <c r="R302" i="15"/>
  <c r="R303" i="15"/>
  <c r="R304" i="15"/>
  <c r="R305" i="15"/>
  <c r="R306" i="15"/>
  <c r="R307" i="15"/>
  <c r="R308" i="15"/>
  <c r="R309" i="15"/>
  <c r="R310" i="15"/>
  <c r="R311" i="15"/>
  <c r="R312" i="15"/>
  <c r="R313" i="15"/>
  <c r="R314" i="15"/>
  <c r="R315" i="15"/>
  <c r="R316" i="15"/>
  <c r="R317" i="15"/>
  <c r="R318" i="15"/>
  <c r="R319" i="15"/>
  <c r="R320" i="15"/>
  <c r="E506" i="1" s="1"/>
  <c r="R321" i="15"/>
  <c r="E507" i="1" s="1"/>
  <c r="R322" i="15"/>
  <c r="R323" i="15"/>
  <c r="R324" i="15"/>
  <c r="R325" i="15"/>
  <c r="R326" i="15"/>
  <c r="R327" i="15"/>
  <c r="R328" i="15"/>
  <c r="R329" i="15"/>
  <c r="R330" i="15"/>
  <c r="R331" i="15"/>
  <c r="R332" i="15"/>
  <c r="R333" i="15"/>
  <c r="R334" i="15"/>
  <c r="R335" i="15"/>
  <c r="R336" i="15"/>
  <c r="R337" i="15"/>
  <c r="R338" i="15"/>
  <c r="R339" i="15"/>
  <c r="R340" i="15"/>
  <c r="E530" i="1" s="1"/>
  <c r="R341" i="15"/>
  <c r="E531" i="1" s="1"/>
  <c r="R342" i="15"/>
  <c r="R346" i="15"/>
  <c r="R347" i="15"/>
  <c r="R348" i="15"/>
  <c r="R349" i="15"/>
  <c r="R350" i="15"/>
  <c r="R351" i="15"/>
  <c r="R352" i="15"/>
  <c r="R353" i="15"/>
  <c r="R354" i="15"/>
  <c r="R355" i="15"/>
  <c r="R356" i="15"/>
  <c r="R357" i="15"/>
  <c r="E556" i="1" s="1"/>
  <c r="R358" i="15"/>
  <c r="E557" i="1" s="1"/>
  <c r="R359" i="15"/>
  <c r="E558" i="1" s="1"/>
  <c r="R360" i="15"/>
  <c r="R361" i="15"/>
  <c r="E560" i="1" s="1"/>
  <c r="R366" i="15"/>
  <c r="R367" i="15"/>
  <c r="R368" i="15"/>
  <c r="R369" i="15"/>
  <c r="R370" i="15"/>
  <c r="R371" i="15"/>
  <c r="R372" i="15"/>
  <c r="R373" i="15"/>
  <c r="R374" i="15"/>
  <c r="R375" i="15"/>
  <c r="R376" i="15"/>
  <c r="R377" i="15"/>
  <c r="R378" i="15"/>
  <c r="R379" i="15"/>
  <c r="R380" i="15"/>
  <c r="E589" i="1" s="1"/>
  <c r="R381" i="15"/>
  <c r="E590" i="1" s="1"/>
  <c r="R382" i="15"/>
  <c r="R383" i="15"/>
  <c r="R384" i="15"/>
  <c r="R385" i="15"/>
  <c r="R386" i="15"/>
  <c r="R387" i="15"/>
  <c r="R388" i="15"/>
  <c r="R389" i="15"/>
  <c r="R390" i="15"/>
  <c r="R391" i="15"/>
  <c r="R392" i="15"/>
  <c r="R393" i="15"/>
  <c r="R394" i="15"/>
  <c r="R395" i="15"/>
  <c r="R396" i="15"/>
  <c r="R397" i="15"/>
  <c r="R398" i="15"/>
  <c r="R399" i="15"/>
  <c r="R400" i="15"/>
  <c r="E628" i="1" s="1"/>
  <c r="R401" i="15"/>
  <c r="E629" i="1" s="1"/>
  <c r="R402" i="15"/>
  <c r="R403" i="15"/>
  <c r="R404" i="15"/>
  <c r="R405" i="15"/>
  <c r="R406" i="15"/>
  <c r="R407" i="15"/>
  <c r="R408" i="15"/>
  <c r="R409" i="15"/>
  <c r="R410" i="15"/>
  <c r="R411" i="15"/>
  <c r="R412" i="15"/>
  <c r="R413" i="15"/>
  <c r="R414" i="15"/>
  <c r="R415" i="15"/>
  <c r="R416" i="15"/>
  <c r="R417" i="15"/>
  <c r="R418" i="15"/>
  <c r="R419" i="15"/>
  <c r="R420" i="15"/>
  <c r="E652" i="1" s="1"/>
  <c r="R421" i="15"/>
  <c r="E653" i="1" s="1"/>
  <c r="R422" i="15"/>
  <c r="R423" i="15"/>
  <c r="R424" i="15"/>
  <c r="R425" i="15"/>
  <c r="R426" i="15"/>
  <c r="R427" i="15"/>
  <c r="R428" i="15"/>
  <c r="R429" i="15"/>
  <c r="R430" i="15"/>
  <c r="R431" i="15"/>
  <c r="R432" i="15"/>
  <c r="R433" i="15"/>
  <c r="R434" i="15"/>
  <c r="R435" i="15"/>
  <c r="R436" i="15"/>
  <c r="R437" i="15"/>
  <c r="R438" i="15"/>
  <c r="R439" i="15"/>
  <c r="R440" i="15"/>
  <c r="E677" i="1" s="1"/>
  <c r="R441" i="15"/>
  <c r="E678" i="1" s="1"/>
  <c r="R442" i="15"/>
  <c r="R443" i="15"/>
  <c r="R444" i="15"/>
  <c r="R445" i="15"/>
  <c r="R446" i="15"/>
  <c r="R447" i="15"/>
  <c r="R448" i="15"/>
  <c r="R449" i="15"/>
  <c r="R450" i="15"/>
  <c r="R451" i="15"/>
  <c r="R452" i="15"/>
  <c r="R453" i="15"/>
  <c r="R454" i="15"/>
  <c r="R455" i="15"/>
  <c r="R456" i="15"/>
  <c r="R457" i="15"/>
  <c r="R458" i="15"/>
  <c r="R459" i="15"/>
  <c r="R460" i="15"/>
  <c r="E695" i="1" s="1"/>
  <c r="R461" i="15"/>
  <c r="E696" i="1" s="1"/>
  <c r="R463" i="15"/>
  <c r="R464" i="15"/>
  <c r="R465" i="15"/>
  <c r="R466" i="15"/>
  <c r="R467" i="15"/>
  <c r="R468" i="15"/>
  <c r="R469" i="15"/>
  <c r="R470" i="15"/>
  <c r="R471" i="15"/>
  <c r="R472" i="15"/>
  <c r="R473" i="15"/>
  <c r="R474" i="15"/>
  <c r="R475" i="15"/>
  <c r="R476" i="15"/>
  <c r="R477" i="15"/>
  <c r="R478" i="15"/>
  <c r="R479" i="15"/>
  <c r="R480" i="15"/>
  <c r="E716" i="1" s="1"/>
  <c r="R481" i="15"/>
  <c r="E717" i="1" s="1"/>
  <c r="R482" i="15"/>
  <c r="R483" i="15"/>
  <c r="R484" i="15"/>
  <c r="R485" i="15"/>
  <c r="R486" i="15"/>
  <c r="R487" i="15"/>
  <c r="R488" i="15"/>
  <c r="R489" i="15"/>
  <c r="R490" i="15"/>
  <c r="R491" i="15"/>
  <c r="R492" i="15"/>
  <c r="R493" i="15"/>
  <c r="R494" i="15"/>
  <c r="R495" i="15"/>
  <c r="R496" i="15"/>
  <c r="R497" i="15"/>
  <c r="R498" i="15"/>
  <c r="R499" i="15"/>
  <c r="E742" i="1" s="1"/>
  <c r="R500" i="15"/>
  <c r="E743" i="1" s="1"/>
  <c r="R501" i="15"/>
  <c r="E744" i="1" s="1"/>
  <c r="R502" i="15"/>
  <c r="M753" i="1" l="1"/>
  <c r="G8" i="18"/>
  <c r="G31" i="18" s="1"/>
  <c r="G43" i="18" s="1"/>
  <c r="H7" i="18"/>
  <c r="H8" i="18" s="1"/>
  <c r="H31" i="18" s="1"/>
  <c r="H43" i="18" s="1"/>
  <c r="J31" i="18" s="1"/>
  <c r="D11" i="21"/>
  <c r="E559" i="1"/>
  <c r="E561" i="1" s="1"/>
  <c r="E563" i="1" s="1"/>
  <c r="C563" i="1" s="1"/>
  <c r="E11" i="1"/>
  <c r="AD135" i="13"/>
  <c r="AD117" i="13"/>
  <c r="AD24" i="13"/>
  <c r="AD25" i="13"/>
  <c r="AD26" i="13"/>
  <c r="AD27" i="13"/>
  <c r="AD28" i="13"/>
  <c r="AD29" i="13"/>
  <c r="AD30" i="13"/>
  <c r="AD31" i="13"/>
  <c r="AD32" i="13"/>
  <c r="AD33" i="13"/>
  <c r="AD34" i="13"/>
  <c r="AD35" i="13"/>
  <c r="AD36" i="13"/>
  <c r="AD37" i="13"/>
  <c r="AD38" i="13"/>
  <c r="AD39" i="13"/>
  <c r="AD40" i="13"/>
  <c r="AD41" i="13"/>
  <c r="AD42" i="13"/>
  <c r="AD43" i="13"/>
  <c r="AD47" i="13"/>
  <c r="AD48" i="13"/>
  <c r="E81" i="1" s="1"/>
  <c r="AD49" i="13"/>
  <c r="E84" i="1" s="1"/>
  <c r="AD50" i="13"/>
  <c r="E85" i="1" s="1"/>
  <c r="AD51" i="13"/>
  <c r="E86" i="1" s="1"/>
  <c r="AD52" i="13"/>
  <c r="E87" i="1" s="1"/>
  <c r="AD53" i="13"/>
  <c r="E88" i="1" s="1"/>
  <c r="AD54" i="13"/>
  <c r="E89" i="1" s="1"/>
  <c r="AD55" i="13"/>
  <c r="E90" i="1" s="1"/>
  <c r="AD56" i="13"/>
  <c r="E91" i="1" s="1"/>
  <c r="AD57" i="13"/>
  <c r="E92" i="1" s="1"/>
  <c r="AD58" i="13"/>
  <c r="AD59" i="13"/>
  <c r="E94" i="1" s="1"/>
  <c r="AD60" i="13"/>
  <c r="E95" i="1" s="1"/>
  <c r="AD61" i="13"/>
  <c r="E96" i="1" s="1"/>
  <c r="AD62" i="13"/>
  <c r="E97" i="1" s="1"/>
  <c r="AD63" i="13"/>
  <c r="E98" i="1" s="1"/>
  <c r="AD64" i="13"/>
  <c r="AD65" i="13"/>
  <c r="AD66" i="13"/>
  <c r="AD67" i="13"/>
  <c r="E121" i="1"/>
  <c r="AD75" i="13"/>
  <c r="E124" i="1" s="1"/>
  <c r="AD76" i="13"/>
  <c r="E125" i="1" s="1"/>
  <c r="AD77" i="13"/>
  <c r="E126" i="1" s="1"/>
  <c r="AD78" i="13"/>
  <c r="E127" i="1" s="1"/>
  <c r="AD79" i="13"/>
  <c r="E128" i="1" s="1"/>
  <c r="AD80" i="13"/>
  <c r="E129" i="1" s="1"/>
  <c r="AD81" i="13"/>
  <c r="E130" i="1" s="1"/>
  <c r="AD82" i="13"/>
  <c r="E131" i="1" s="1"/>
  <c r="AD83" i="13"/>
  <c r="E132" i="1" s="1"/>
  <c r="AD84" i="13"/>
  <c r="E133" i="1" s="1"/>
  <c r="AD85" i="13"/>
  <c r="AD86" i="13"/>
  <c r="E135" i="1" s="1"/>
  <c r="AD87" i="13"/>
  <c r="E136" i="1" s="1"/>
  <c r="AD88" i="13"/>
  <c r="E137" i="1" s="1"/>
  <c r="AD89" i="13"/>
  <c r="E138" i="1" s="1"/>
  <c r="AD90" i="13"/>
  <c r="AD91" i="13"/>
  <c r="AD92" i="13"/>
  <c r="AD93" i="13"/>
  <c r="AD100" i="13"/>
  <c r="E159" i="1" s="1"/>
  <c r="AD101" i="13"/>
  <c r="E162" i="1" s="1"/>
  <c r="AD102" i="13"/>
  <c r="E163" i="1" s="1"/>
  <c r="AD103" i="13"/>
  <c r="E164" i="1" s="1"/>
  <c r="AD104" i="13"/>
  <c r="E165" i="1" s="1"/>
  <c r="AD105" i="13"/>
  <c r="E166" i="1" s="1"/>
  <c r="AD106" i="13"/>
  <c r="E167" i="1" s="1"/>
  <c r="AD107" i="13"/>
  <c r="E168" i="1" s="1"/>
  <c r="AD108" i="13"/>
  <c r="E169" i="1" s="1"/>
  <c r="AD109" i="13"/>
  <c r="E170" i="1" s="1"/>
  <c r="AD110" i="13"/>
  <c r="E171" i="1" s="1"/>
  <c r="AD111" i="13"/>
  <c r="E172" i="1" s="1"/>
  <c r="AD112" i="13"/>
  <c r="E173" i="1" s="1"/>
  <c r="AD113" i="13"/>
  <c r="E174" i="1" s="1"/>
  <c r="AD114" i="13"/>
  <c r="E175" i="1" s="1"/>
  <c r="AD115" i="13"/>
  <c r="AD116" i="13"/>
  <c r="AD118" i="13"/>
  <c r="AD122" i="13"/>
  <c r="AD123" i="13"/>
  <c r="E193" i="1" s="1"/>
  <c r="AD124" i="13"/>
  <c r="E195" i="1" s="1"/>
  <c r="AD125" i="13"/>
  <c r="E196" i="1" s="1"/>
  <c r="AD126" i="13"/>
  <c r="E197" i="1" s="1"/>
  <c r="AD127" i="13"/>
  <c r="E198" i="1" s="1"/>
  <c r="AD128" i="13"/>
  <c r="E199" i="1" s="1"/>
  <c r="AD129" i="13"/>
  <c r="E200" i="1" s="1"/>
  <c r="AD130" i="13"/>
  <c r="E201" i="1" s="1"/>
  <c r="AD131" i="13"/>
  <c r="E202" i="1" s="1"/>
  <c r="AD132" i="13"/>
  <c r="E203" i="1" s="1"/>
  <c r="AD133" i="13"/>
  <c r="AD134" i="13"/>
  <c r="AD136" i="13"/>
  <c r="AD140" i="13"/>
  <c r="AD141" i="13"/>
  <c r="E224" i="1" s="1"/>
  <c r="AD142" i="13"/>
  <c r="E227" i="1" s="1"/>
  <c r="AD143" i="13"/>
  <c r="E228" i="1" s="1"/>
  <c r="AD144" i="13"/>
  <c r="E229" i="1" s="1"/>
  <c r="AD145" i="13"/>
  <c r="E230" i="1" s="1"/>
  <c r="AD146" i="13"/>
  <c r="E231" i="1" s="1"/>
  <c r="AD147" i="13"/>
  <c r="E232" i="1" s="1"/>
  <c r="AD148" i="13"/>
  <c r="AD149" i="13"/>
  <c r="AD150" i="13"/>
  <c r="AD151" i="13"/>
  <c r="AD157" i="13"/>
  <c r="E252" i="1" s="1"/>
  <c r="AD158" i="13"/>
  <c r="E255" i="1" s="1"/>
  <c r="AD159" i="13"/>
  <c r="E256" i="1" s="1"/>
  <c r="AD160" i="13"/>
  <c r="E257" i="1" s="1"/>
  <c r="AD161" i="13"/>
  <c r="E258" i="1" s="1"/>
  <c r="AD162" i="13"/>
  <c r="E259" i="1" s="1"/>
  <c r="AD163" i="13"/>
  <c r="E260" i="1" s="1"/>
  <c r="AD164" i="13"/>
  <c r="E261" i="1" s="1"/>
  <c r="AD165" i="13"/>
  <c r="E262" i="1" s="1"/>
  <c r="AD166" i="13"/>
  <c r="AD167" i="13"/>
  <c r="AD168" i="13"/>
  <c r="AD169" i="13"/>
  <c r="AD175" i="13"/>
  <c r="E285" i="1" s="1"/>
  <c r="AD176" i="13"/>
  <c r="E288" i="1" s="1"/>
  <c r="AD177" i="13"/>
  <c r="E289" i="1" s="1"/>
  <c r="AD178" i="13"/>
  <c r="E290" i="1" s="1"/>
  <c r="AD179" i="13"/>
  <c r="E291" i="1" s="1"/>
  <c r="AD180" i="13"/>
  <c r="E292" i="1" s="1"/>
  <c r="AD181" i="13"/>
  <c r="E293" i="1" s="1"/>
  <c r="AD182" i="13"/>
  <c r="E294" i="1" s="1"/>
  <c r="AD183" i="13"/>
  <c r="E295" i="1" s="1"/>
  <c r="AD184" i="13"/>
  <c r="E296" i="1" s="1"/>
  <c r="AD185" i="13"/>
  <c r="E297" i="1" s="1"/>
  <c r="AD186" i="13"/>
  <c r="AD187" i="13"/>
  <c r="AD188" i="13"/>
  <c r="AD189" i="13"/>
  <c r="AD193" i="13"/>
  <c r="AD194" i="13"/>
  <c r="AD195" i="13"/>
  <c r="E320" i="1" s="1"/>
  <c r="AD196" i="13"/>
  <c r="E323" i="1" s="1"/>
  <c r="AD197" i="13"/>
  <c r="E324" i="1" s="1"/>
  <c r="AD198" i="13"/>
  <c r="E325" i="1" s="1"/>
  <c r="AD199" i="13"/>
  <c r="E326" i="1" s="1"/>
  <c r="AD200" i="13"/>
  <c r="E327" i="1" s="1"/>
  <c r="AD201" i="13"/>
  <c r="E328" i="1" s="1"/>
  <c r="AD202" i="13"/>
  <c r="AD203" i="13"/>
  <c r="AD204" i="13"/>
  <c r="AD205" i="13"/>
  <c r="AD215" i="13"/>
  <c r="E361" i="1" s="1"/>
  <c r="AD216" i="13"/>
  <c r="E362" i="1" s="1"/>
  <c r="AD217" i="13"/>
  <c r="E363" i="1" s="1"/>
  <c r="AD218" i="13"/>
  <c r="E364" i="1" s="1"/>
  <c r="AD219" i="13"/>
  <c r="E365" i="1" s="1"/>
  <c r="AD220" i="13"/>
  <c r="AD221" i="13"/>
  <c r="E367" i="1" s="1"/>
  <c r="AD222" i="13"/>
  <c r="AD223" i="13"/>
  <c r="E369" i="1" s="1"/>
  <c r="AD224" i="13"/>
  <c r="E370" i="1" s="1"/>
  <c r="AD225" i="13"/>
  <c r="E371" i="1" s="1"/>
  <c r="AD226" i="13"/>
  <c r="E372" i="1" s="1"/>
  <c r="AD227" i="13"/>
  <c r="E373" i="1" s="1"/>
  <c r="AD228" i="13"/>
  <c r="E374" i="1" s="1"/>
  <c r="AD229" i="13"/>
  <c r="E375" i="1" s="1"/>
  <c r="AD230" i="13"/>
  <c r="E376" i="1" s="1"/>
  <c r="AD231" i="13"/>
  <c r="AD232" i="13"/>
  <c r="AD233" i="13"/>
  <c r="AD237" i="13"/>
  <c r="AD238" i="13"/>
  <c r="AD239" i="13"/>
  <c r="AD240" i="13"/>
  <c r="E400" i="1" s="1"/>
  <c r="AD241" i="13"/>
  <c r="E401" i="1" s="1"/>
  <c r="AD242" i="13"/>
  <c r="E402" i="1" s="1"/>
  <c r="AD243" i="13"/>
  <c r="E403" i="1" s="1"/>
  <c r="AD244" i="13"/>
  <c r="AD245" i="13"/>
  <c r="AD246" i="13"/>
  <c r="AD247" i="13"/>
  <c r="AD250" i="13"/>
  <c r="AD251" i="13"/>
  <c r="AD252" i="13"/>
  <c r="AD253" i="13"/>
  <c r="AD254" i="13"/>
  <c r="AD255" i="13"/>
  <c r="AD256" i="13"/>
  <c r="E432" i="1" s="1"/>
  <c r="AD257" i="13"/>
  <c r="E433" i="1" s="1"/>
  <c r="E436" i="1" s="1"/>
  <c r="AD258" i="13"/>
  <c r="AD259" i="13"/>
  <c r="AD260" i="13"/>
  <c r="AD261" i="13"/>
  <c r="AD264" i="13"/>
  <c r="AD265" i="13"/>
  <c r="AD266" i="13"/>
  <c r="AD267" i="13"/>
  <c r="AD268" i="13"/>
  <c r="AD269" i="13"/>
  <c r="AD270" i="13"/>
  <c r="E456" i="1" s="1"/>
  <c r="AD271" i="13"/>
  <c r="E457" i="1" s="1"/>
  <c r="E460" i="1" s="1"/>
  <c r="AD272" i="13"/>
  <c r="AD273" i="13"/>
  <c r="AD274" i="13"/>
  <c r="AD275" i="13"/>
  <c r="AD278" i="13"/>
  <c r="AD279" i="13"/>
  <c r="AD280" i="13"/>
  <c r="AD281" i="13"/>
  <c r="AD282" i="13"/>
  <c r="AD283" i="13"/>
  <c r="AD284" i="13"/>
  <c r="E480" i="1" s="1"/>
  <c r="AD285" i="13"/>
  <c r="E481" i="1" s="1"/>
  <c r="E484" i="1" s="1"/>
  <c r="AD286" i="13"/>
  <c r="AD287" i="13"/>
  <c r="AD288" i="13"/>
  <c r="AD289" i="13"/>
  <c r="AD292" i="13"/>
  <c r="AD293" i="13"/>
  <c r="AD294" i="13"/>
  <c r="AD295" i="13"/>
  <c r="AD296" i="13"/>
  <c r="AD297" i="13"/>
  <c r="AD298" i="13"/>
  <c r="E505" i="1" s="1"/>
  <c r="E508" i="1" s="1"/>
  <c r="AD299" i="13"/>
  <c r="E504" i="1" s="1"/>
  <c r="AD300" i="13"/>
  <c r="AD301" i="13"/>
  <c r="AD302" i="13"/>
  <c r="AD303" i="13"/>
  <c r="AD306" i="13"/>
  <c r="AD307" i="13"/>
  <c r="AD308" i="13"/>
  <c r="AD309" i="13"/>
  <c r="AD310" i="13"/>
  <c r="AD311" i="13"/>
  <c r="AD312" i="13"/>
  <c r="E528" i="1" s="1"/>
  <c r="AD313" i="13"/>
  <c r="E529" i="1" s="1"/>
  <c r="E532" i="1" s="1"/>
  <c r="AD314" i="13"/>
  <c r="AD315" i="13"/>
  <c r="AD316" i="13"/>
  <c r="AD317" i="13"/>
  <c r="AD347" i="13"/>
  <c r="E583" i="1" s="1"/>
  <c r="AD348" i="13"/>
  <c r="E584" i="1" s="1"/>
  <c r="AD349" i="13"/>
  <c r="E585" i="1" s="1"/>
  <c r="AD350" i="13"/>
  <c r="E586" i="1" s="1"/>
  <c r="AD351" i="13"/>
  <c r="E587" i="1" s="1"/>
  <c r="AD352" i="13"/>
  <c r="E588" i="1" s="1"/>
  <c r="AD353" i="13"/>
  <c r="AD354" i="13"/>
  <c r="AD355" i="13"/>
  <c r="AD356" i="13"/>
  <c r="E613" i="1"/>
  <c r="AD366" i="13"/>
  <c r="E614" i="1" s="1"/>
  <c r="AD367" i="13"/>
  <c r="E615" i="1" s="1"/>
  <c r="AD368" i="13"/>
  <c r="E616" i="1" s="1"/>
  <c r="AD369" i="13"/>
  <c r="E617" i="1" s="1"/>
  <c r="AD370" i="13"/>
  <c r="AD371" i="13"/>
  <c r="E619" i="1" s="1"/>
  <c r="AD372" i="13"/>
  <c r="E620" i="1" s="1"/>
  <c r="AD373" i="13"/>
  <c r="E621" i="1" s="1"/>
  <c r="AD374" i="13"/>
  <c r="E622" i="1" s="1"/>
  <c r="AD375" i="13"/>
  <c r="E623" i="1" s="1"/>
  <c r="AD376" i="13"/>
  <c r="E624" i="1" s="1"/>
  <c r="AD377" i="13"/>
  <c r="AD378" i="13"/>
  <c r="AD379" i="13"/>
  <c r="E627" i="1" s="1"/>
  <c r="AD380" i="13"/>
  <c r="AD381" i="13"/>
  <c r="AD382" i="13"/>
  <c r="AD383" i="13"/>
  <c r="AD386" i="13"/>
  <c r="AD387" i="13"/>
  <c r="AD388" i="13"/>
  <c r="AD389" i="13"/>
  <c r="AD390" i="13"/>
  <c r="AD391" i="13"/>
  <c r="AD392" i="13"/>
  <c r="E650" i="1" s="1"/>
  <c r="AD393" i="13"/>
  <c r="E651" i="1" s="1"/>
  <c r="E654" i="1" s="1"/>
  <c r="AD394" i="13"/>
  <c r="AD395" i="13"/>
  <c r="AD396" i="13"/>
  <c r="AD397" i="13"/>
  <c r="AD400" i="13"/>
  <c r="AD401" i="13"/>
  <c r="AD402" i="13"/>
  <c r="AD403" i="13"/>
  <c r="AD404" i="13"/>
  <c r="AD405" i="13"/>
  <c r="AD406" i="13"/>
  <c r="E674" i="1" s="1"/>
  <c r="AD407" i="13"/>
  <c r="E676" i="1" s="1"/>
  <c r="AD408" i="13"/>
  <c r="E675" i="1" s="1"/>
  <c r="AD409" i="13"/>
  <c r="AD410" i="13"/>
  <c r="AD411" i="13"/>
  <c r="AD412" i="13"/>
  <c r="AD415" i="13"/>
  <c r="AD416" i="13"/>
  <c r="AD417" i="13"/>
  <c r="AD418" i="13"/>
  <c r="E693" i="1" s="1"/>
  <c r="AD419" i="13"/>
  <c r="E694" i="1" s="1"/>
  <c r="E697" i="1" s="1"/>
  <c r="AD420" i="13"/>
  <c r="AD421" i="13"/>
  <c r="AD422" i="13"/>
  <c r="AD423" i="13"/>
  <c r="AD426" i="13"/>
  <c r="AD427" i="13"/>
  <c r="AD428" i="13"/>
  <c r="AD429" i="13"/>
  <c r="E709" i="1" s="1"/>
  <c r="AD430" i="13"/>
  <c r="AD431" i="13"/>
  <c r="E714" i="1" s="1"/>
  <c r="AD432" i="13"/>
  <c r="E715" i="1" s="1"/>
  <c r="AD433" i="13"/>
  <c r="AD434" i="13"/>
  <c r="AD435" i="13"/>
  <c r="AD436" i="13"/>
  <c r="E725" i="1"/>
  <c r="C725" i="1" s="1"/>
  <c r="G725" i="1" s="1"/>
  <c r="I725" i="1" s="1"/>
  <c r="E726" i="1"/>
  <c r="C726" i="1" s="1"/>
  <c r="G726" i="1" s="1"/>
  <c r="I726" i="1" s="1"/>
  <c r="E727" i="1"/>
  <c r="C727" i="1" s="1"/>
  <c r="G727" i="1" s="1"/>
  <c r="G348" i="1" s="1"/>
  <c r="E728" i="1"/>
  <c r="C728" i="1" s="1"/>
  <c r="G728" i="1" s="1"/>
  <c r="E729" i="1"/>
  <c r="C729" i="1" s="1"/>
  <c r="G729" i="1" s="1"/>
  <c r="E730" i="1"/>
  <c r="C730" i="1" s="1"/>
  <c r="G730" i="1" s="1"/>
  <c r="E731" i="1"/>
  <c r="C731" i="1" s="1"/>
  <c r="G731" i="1" s="1"/>
  <c r="G357" i="1" s="1"/>
  <c r="E735" i="1"/>
  <c r="AD448" i="13"/>
  <c r="E736" i="1" s="1"/>
  <c r="AD449" i="13"/>
  <c r="E737" i="1" s="1"/>
  <c r="AD450" i="13"/>
  <c r="E738" i="1" s="1"/>
  <c r="AD451" i="13"/>
  <c r="E739" i="1" s="1"/>
  <c r="AD452" i="13"/>
  <c r="E740" i="1" s="1"/>
  <c r="AD453" i="13"/>
  <c r="E741" i="1" s="1"/>
  <c r="AD456" i="13"/>
  <c r="AD457" i="13"/>
  <c r="E13" i="1"/>
  <c r="E16" i="1"/>
  <c r="E17" i="1"/>
  <c r="E18" i="1"/>
  <c r="E19" i="1"/>
  <c r="E20" i="1"/>
  <c r="E21" i="1"/>
  <c r="E22" i="1"/>
  <c r="E23" i="1"/>
  <c r="AD18" i="13"/>
  <c r="AD19" i="13"/>
  <c r="K31" i="18" l="1"/>
  <c r="L31" i="18" s="1"/>
  <c r="L43" i="18"/>
  <c r="J36" i="18"/>
  <c r="K36" i="18" s="1"/>
  <c r="L36" i="18" s="1"/>
  <c r="F35" i="18" s="1"/>
  <c r="J37" i="18"/>
  <c r="K37" i="18" s="1"/>
  <c r="L37" i="18" s="1"/>
  <c r="F36" i="18" s="1"/>
  <c r="J35" i="18"/>
  <c r="K35" i="18" s="1"/>
  <c r="L35" i="18" s="1"/>
  <c r="F34" i="18" s="1"/>
  <c r="J34" i="18"/>
  <c r="K34" i="18" s="1"/>
  <c r="L34" i="18" s="1"/>
  <c r="J38" i="18"/>
  <c r="K38" i="18" s="1"/>
  <c r="L38" i="18" s="1"/>
  <c r="F37" i="18" s="1"/>
  <c r="J41" i="18"/>
  <c r="K41" i="18" s="1"/>
  <c r="L41" i="18" s="1"/>
  <c r="J16" i="18"/>
  <c r="K16" i="18" s="1"/>
  <c r="L16" i="18" s="1"/>
  <c r="F15" i="18" s="1"/>
  <c r="J17" i="18"/>
  <c r="K17" i="18" s="1"/>
  <c r="L17" i="18" s="1"/>
  <c r="F16" i="18" s="1"/>
  <c r="J23" i="18"/>
  <c r="K23" i="18" s="1"/>
  <c r="L23" i="18" s="1"/>
  <c r="F22" i="18" s="1"/>
  <c r="J22" i="18"/>
  <c r="K22" i="18" s="1"/>
  <c r="L22" i="18" s="1"/>
  <c r="F21" i="18" s="1"/>
  <c r="J28" i="18"/>
  <c r="K28" i="18" s="1"/>
  <c r="L28" i="18" s="1"/>
  <c r="F27" i="18" s="1"/>
  <c r="J27" i="18"/>
  <c r="K27" i="18" s="1"/>
  <c r="L27" i="18" s="1"/>
  <c r="J21" i="18"/>
  <c r="K21" i="18" s="1"/>
  <c r="L21" i="18" s="1"/>
  <c r="J15" i="18"/>
  <c r="K15" i="18" s="1"/>
  <c r="L15" i="18" s="1"/>
  <c r="J29" i="18"/>
  <c r="K29" i="18" s="1"/>
  <c r="L29" i="18" s="1"/>
  <c r="F28" i="18" s="1"/>
  <c r="J24" i="18"/>
  <c r="K24" i="18" s="1"/>
  <c r="L24" i="18" s="1"/>
  <c r="F23" i="18" s="1"/>
  <c r="J18" i="18"/>
  <c r="K18" i="18" s="1"/>
  <c r="L18" i="18" s="1"/>
  <c r="F17" i="18" s="1"/>
  <c r="J12" i="18"/>
  <c r="K12" i="18" s="1"/>
  <c r="L12" i="18" s="1"/>
  <c r="F11" i="18" s="1"/>
  <c r="J8" i="18"/>
  <c r="K8" i="18" s="1"/>
  <c r="L8" i="18" s="1"/>
  <c r="F7" i="18" s="1"/>
  <c r="E366" i="1"/>
  <c r="E626" i="1"/>
  <c r="I730" i="1"/>
  <c r="G352" i="1"/>
  <c r="I729" i="1"/>
  <c r="G351" i="1"/>
  <c r="I728" i="1"/>
  <c r="G350" i="1"/>
  <c r="I731" i="1"/>
  <c r="I727" i="1"/>
  <c r="E618" i="1"/>
  <c r="E710" i="1"/>
  <c r="C710" i="1" s="1"/>
  <c r="K710" i="1" s="1"/>
  <c r="E51" i="1"/>
  <c r="E47" i="1"/>
  <c r="E625" i="1"/>
  <c r="E93" i="1"/>
  <c r="E105" i="1" s="1"/>
  <c r="E107" i="1" s="1"/>
  <c r="E60" i="1"/>
  <c r="E56" i="1"/>
  <c r="E52" i="1"/>
  <c r="E48" i="1"/>
  <c r="E368" i="1"/>
  <c r="E59" i="1"/>
  <c r="E58" i="1"/>
  <c r="E54" i="1"/>
  <c r="E50" i="1"/>
  <c r="E44" i="1"/>
  <c r="E134" i="1"/>
  <c r="E144" i="1" s="1"/>
  <c r="E57" i="1"/>
  <c r="E53" i="1"/>
  <c r="E49" i="1"/>
  <c r="C709" i="1"/>
  <c r="K728" i="1"/>
  <c r="M728" i="1" s="1"/>
  <c r="K731" i="1"/>
  <c r="M731" i="1" s="1"/>
  <c r="K727" i="1"/>
  <c r="M727" i="1" s="1"/>
  <c r="K730" i="1"/>
  <c r="M730" i="1" s="1"/>
  <c r="K726" i="1"/>
  <c r="M726" i="1" s="1"/>
  <c r="K729" i="1"/>
  <c r="M729" i="1" s="1"/>
  <c r="K725" i="1"/>
  <c r="M725" i="1" s="1"/>
  <c r="E591" i="1"/>
  <c r="E593" i="1" s="1"/>
  <c r="C593" i="1" s="1"/>
  <c r="E213" i="1"/>
  <c r="E215" i="1" s="1"/>
  <c r="C215" i="1" s="1"/>
  <c r="E272" i="1"/>
  <c r="E274" i="1" s="1"/>
  <c r="C274" i="1" s="1"/>
  <c r="E30" i="1"/>
  <c r="E32" i="1" s="1"/>
  <c r="C32" i="1" s="1"/>
  <c r="E718" i="1"/>
  <c r="E306" i="1"/>
  <c r="E308" i="1" s="1"/>
  <c r="C308" i="1" s="1"/>
  <c r="E745" i="1"/>
  <c r="E732" i="1"/>
  <c r="E338" i="1"/>
  <c r="E340" i="1" s="1"/>
  <c r="C340" i="1" s="1"/>
  <c r="E239" i="1"/>
  <c r="E241" i="1" s="1"/>
  <c r="C241" i="1" s="1"/>
  <c r="E699" i="1"/>
  <c r="C699" i="1" s="1"/>
  <c r="E679" i="1"/>
  <c r="E681" i="1" s="1"/>
  <c r="C681" i="1" s="1"/>
  <c r="E534" i="1"/>
  <c r="C534" i="1" s="1"/>
  <c r="E486" i="1"/>
  <c r="C486" i="1" s="1"/>
  <c r="E462" i="1"/>
  <c r="C462" i="1" s="1"/>
  <c r="E438" i="1"/>
  <c r="C438" i="1" s="1"/>
  <c r="E55" i="1"/>
  <c r="E656" i="1"/>
  <c r="C656" i="1" s="1"/>
  <c r="E412" i="1"/>
  <c r="E414" i="1" s="1"/>
  <c r="C414" i="1" s="1"/>
  <c r="E181" i="1"/>
  <c r="E184" i="1" s="1"/>
  <c r="E510" i="1"/>
  <c r="C510" i="1" s="1"/>
  <c r="B340" i="1"/>
  <c r="B107" i="1"/>
  <c r="B32" i="1"/>
  <c r="U749" i="1" l="1"/>
  <c r="D29" i="21" s="1"/>
  <c r="E747" i="1"/>
  <c r="C747" i="1" s="1"/>
  <c r="I7" i="18"/>
  <c r="I8" i="18" s="1"/>
  <c r="W44" i="1"/>
  <c r="X44" i="1" s="1"/>
  <c r="I28" i="18"/>
  <c r="W282" i="1"/>
  <c r="X282" i="1" s="1"/>
  <c r="Y282" i="1" s="1"/>
  <c r="I27" i="18"/>
  <c r="W281" i="1"/>
  <c r="X281" i="1" s="1"/>
  <c r="I15" i="18"/>
  <c r="W116" i="1"/>
  <c r="X116" i="1" s="1"/>
  <c r="I34" i="18"/>
  <c r="W354" i="1"/>
  <c r="X354" i="1" s="1"/>
  <c r="I11" i="18"/>
  <c r="I12" i="18" s="1"/>
  <c r="W81" i="1"/>
  <c r="X81" i="1" s="1"/>
  <c r="I21" i="18"/>
  <c r="W154" i="1"/>
  <c r="X154" i="1" s="1"/>
  <c r="I36" i="18"/>
  <c r="W356" i="1"/>
  <c r="X356" i="1" s="1"/>
  <c r="Y356" i="1" s="1"/>
  <c r="J43" i="18"/>
  <c r="I17" i="18"/>
  <c r="W118" i="1"/>
  <c r="X118" i="1" s="1"/>
  <c r="Y118" i="1" s="1"/>
  <c r="I22" i="18"/>
  <c r="W155" i="1"/>
  <c r="X155" i="1" s="1"/>
  <c r="Y155" i="1" s="1"/>
  <c r="I37" i="18"/>
  <c r="W357" i="1"/>
  <c r="X357" i="1" s="1"/>
  <c r="Y357" i="1" s="1"/>
  <c r="I35" i="18"/>
  <c r="W355" i="1"/>
  <c r="X355" i="1" s="1"/>
  <c r="Y355" i="1" s="1"/>
  <c r="I23" i="18"/>
  <c r="W156" i="1"/>
  <c r="X156" i="1" s="1"/>
  <c r="Y156" i="1" s="1"/>
  <c r="I16" i="18"/>
  <c r="W117" i="1"/>
  <c r="X117" i="1" s="1"/>
  <c r="Y117" i="1" s="1"/>
  <c r="C184" i="1"/>
  <c r="G107" i="1"/>
  <c r="C107" i="1"/>
  <c r="E385" i="1"/>
  <c r="E387" i="1" s="1"/>
  <c r="C387" i="1" s="1"/>
  <c r="E630" i="1"/>
  <c r="E632" i="1" s="1"/>
  <c r="C632" i="1" s="1"/>
  <c r="I732" i="1"/>
  <c r="I348" i="1"/>
  <c r="K348" i="1"/>
  <c r="E711" i="1"/>
  <c r="E720" i="1" s="1"/>
  <c r="C720" i="1" s="1"/>
  <c r="I350" i="1"/>
  <c r="K350" i="1"/>
  <c r="K357" i="1"/>
  <c r="I357" i="1"/>
  <c r="K352" i="1"/>
  <c r="I352" i="1"/>
  <c r="I351" i="1"/>
  <c r="K351" i="1"/>
  <c r="E66" i="1"/>
  <c r="E68" i="1" s="1"/>
  <c r="C68" i="1" s="1"/>
  <c r="K709" i="1"/>
  <c r="M710" i="1"/>
  <c r="C72" i="1"/>
  <c r="D16" i="20" l="1"/>
  <c r="H16" i="20" s="1"/>
  <c r="O62" i="20" s="1"/>
  <c r="D10" i="20"/>
  <c r="H10" i="20" s="1"/>
  <c r="G53" i="20" s="1"/>
  <c r="X82" i="1"/>
  <c r="X119" i="1"/>
  <c r="X157" i="1"/>
  <c r="D8" i="20"/>
  <c r="H8" i="20" s="1"/>
  <c r="D50" i="20" s="1"/>
  <c r="X45" i="1"/>
  <c r="U750" i="1"/>
  <c r="D32" i="21" s="1"/>
  <c r="I29" i="18"/>
  <c r="D14" i="20"/>
  <c r="H14" i="20" s="1"/>
  <c r="N62" i="20"/>
  <c r="E62" i="20"/>
  <c r="F62" i="20"/>
  <c r="M62" i="20"/>
  <c r="D62" i="20"/>
  <c r="J62" i="20"/>
  <c r="D12" i="20"/>
  <c r="H12" i="20" s="1"/>
  <c r="Y154" i="1"/>
  <c r="Y157" i="1" s="1"/>
  <c r="Y354" i="1"/>
  <c r="Y358" i="1" s="1"/>
  <c r="X283" i="1"/>
  <c r="Y281" i="1"/>
  <c r="Y283" i="1" s="1"/>
  <c r="Y81" i="1"/>
  <c r="Y82" i="1" s="1"/>
  <c r="Y116" i="1"/>
  <c r="Y119" i="1" s="1"/>
  <c r="Y44" i="1"/>
  <c r="Y45" i="1" s="1"/>
  <c r="I38" i="18"/>
  <c r="I41" i="18" s="1"/>
  <c r="I24" i="18"/>
  <c r="I18" i="18"/>
  <c r="E750" i="1"/>
  <c r="M357" i="1"/>
  <c r="Q357" i="1" s="1"/>
  <c r="M354" i="1"/>
  <c r="Q354" i="1" s="1"/>
  <c r="M349" i="1"/>
  <c r="O349" i="1"/>
  <c r="X349" i="1" s="1"/>
  <c r="M356" i="1"/>
  <c r="Q356" i="1" s="1"/>
  <c r="M355" i="1"/>
  <c r="Q355" i="1" s="1"/>
  <c r="M732" i="1"/>
  <c r="M709" i="1"/>
  <c r="K72" i="1"/>
  <c r="M53" i="20" l="1"/>
  <c r="N50" i="20"/>
  <c r="N53" i="20"/>
  <c r="E53" i="20"/>
  <c r="L50" i="20"/>
  <c r="L53" i="20"/>
  <c r="M50" i="20"/>
  <c r="F53" i="20"/>
  <c r="I53" i="20"/>
  <c r="H53" i="20"/>
  <c r="E50" i="20"/>
  <c r="K50" i="20"/>
  <c r="O50" i="20"/>
  <c r="G62" i="20"/>
  <c r="I62" i="20"/>
  <c r="K62" i="20"/>
  <c r="K53" i="20"/>
  <c r="D53" i="20"/>
  <c r="I50" i="20"/>
  <c r="J50" i="20"/>
  <c r="O53" i="20"/>
  <c r="J53" i="20"/>
  <c r="F50" i="20"/>
  <c r="H50" i="20"/>
  <c r="G50" i="20"/>
  <c r="H62" i="20"/>
  <c r="L62" i="20"/>
  <c r="M752" i="1"/>
  <c r="D8" i="21"/>
  <c r="X358" i="1"/>
  <c r="E56" i="20"/>
  <c r="L56" i="20"/>
  <c r="G56" i="20"/>
  <c r="F56" i="20"/>
  <c r="I56" i="20"/>
  <c r="M56" i="20"/>
  <c r="K56" i="20"/>
  <c r="N56" i="20"/>
  <c r="J56" i="20"/>
  <c r="D56" i="20"/>
  <c r="H56" i="20"/>
  <c r="O56" i="20"/>
  <c r="N59" i="20"/>
  <c r="D59" i="20"/>
  <c r="M59" i="20"/>
  <c r="J59" i="20"/>
  <c r="E59" i="20"/>
  <c r="K59" i="20"/>
  <c r="F59" i="20"/>
  <c r="L59" i="20"/>
  <c r="I59" i="20"/>
  <c r="O59" i="20"/>
  <c r="H59" i="20"/>
  <c r="G59" i="20"/>
  <c r="I31" i="18"/>
  <c r="I43" i="18" s="1"/>
  <c r="Y750" i="1"/>
  <c r="M711" i="1"/>
  <c r="M358" i="1"/>
  <c r="P349" i="1"/>
  <c r="Y349" i="1" s="1"/>
  <c r="P358" i="1" l="1"/>
  <c r="Q358" i="1" s="1"/>
  <c r="Q349" i="1"/>
  <c r="C39" i="1"/>
  <c r="C38" i="1"/>
  <c r="K38" i="1" s="1"/>
  <c r="C73" i="1"/>
  <c r="K73" i="1" l="1"/>
  <c r="M73" i="1" s="1"/>
  <c r="K39" i="1"/>
  <c r="M39" i="1" s="1"/>
  <c r="M82" i="1" l="1"/>
  <c r="Q82" i="1" s="1"/>
  <c r="Q73" i="1"/>
  <c r="K42" i="1"/>
  <c r="M42" i="1" s="1"/>
  <c r="K44" i="1" l="1"/>
  <c r="M44" i="1" s="1"/>
  <c r="B438" i="1"/>
  <c r="B308" i="1"/>
  <c r="B145" i="1"/>
  <c r="B68" i="1"/>
  <c r="M45" i="1" l="1"/>
  <c r="Q44" i="1"/>
  <c r="E146" i="1"/>
  <c r="E751" i="1" l="1"/>
  <c r="C146" i="1"/>
  <c r="M750" i="1"/>
  <c r="D5" i="21" s="1"/>
  <c r="D17" i="21" s="1"/>
  <c r="Q45" i="1"/>
  <c r="Q750" i="1" s="1"/>
  <c r="D21" i="21" s="1"/>
  <c r="M755" i="1" l="1"/>
  <c r="E759" i="1"/>
</calcChain>
</file>

<file path=xl/comments1.xml><?xml version="1.0" encoding="utf-8"?>
<comments xmlns="http://schemas.openxmlformats.org/spreadsheetml/2006/main">
  <authors>
    <author>Cascade Natural Gas</author>
    <author>tc={06752CAA-3622-41CE-B992-812D76D580B4}</author>
    <author>tc={80D6600A-848F-4E20-A24F-0DB844484794}</author>
  </authors>
  <commentList>
    <comment ref="E255" authorId="0" shapeId="0">
      <text>
        <r>
          <rPr>
            <b/>
            <sz val="9"/>
            <color indexed="81"/>
            <rFont val="Tahoma"/>
            <family val="2"/>
          </rPr>
          <t>Cascade Natural Gas:</t>
        </r>
        <r>
          <rPr>
            <sz val="9"/>
            <color indexed="81"/>
            <rFont val="Tahoma"/>
            <family val="2"/>
          </rPr>
          <t xml:space="preserve">
relocate?</t>
        </r>
      </text>
    </comment>
    <comment ref="O34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Needs to include 916</t>
        </r>
      </text>
    </comment>
    <comment ref="G34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916 Therms</t>
        </r>
      </text>
    </comment>
    <comment ref="A495" authorId="0" shapeId="0">
      <text>
        <r>
          <rPr>
            <b/>
            <sz val="9"/>
            <color indexed="81"/>
            <rFont val="Tahoma"/>
            <family val="2"/>
          </rPr>
          <t>Cascade Natural Gas:</t>
        </r>
        <r>
          <rPr>
            <sz val="9"/>
            <color indexed="81"/>
            <rFont val="Tahoma"/>
            <family val="2"/>
          </rPr>
          <t xml:space="preserve">
Insert Summary Areas - See old Exhibit</t>
        </r>
      </text>
    </comment>
    <comment ref="B598" authorId="0" shapeId="0">
      <text>
        <r>
          <rPr>
            <b/>
            <sz val="9"/>
            <color indexed="81"/>
            <rFont val="Tahoma"/>
            <family val="2"/>
          </rPr>
          <t>Cascade Natural Gas:</t>
        </r>
        <r>
          <rPr>
            <sz val="9"/>
            <color indexed="81"/>
            <rFont val="Tahoma"/>
            <family val="2"/>
          </rPr>
          <t xml:space="preserve">
Jan-Aug</t>
        </r>
      </text>
    </comment>
  </commentList>
</comments>
</file>

<file path=xl/comments2.xml><?xml version="1.0" encoding="utf-8"?>
<comments xmlns="http://schemas.openxmlformats.org/spreadsheetml/2006/main">
  <authors>
    <author>tc={FA071F88-4C44-4F21-9445-1CC961F6BC17}</author>
  </authors>
  <commentList>
    <comment ref="F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insert values</t>
        </r>
      </text>
    </comment>
  </commentList>
</comments>
</file>

<file path=xl/comments3.xml><?xml version="1.0" encoding="utf-8"?>
<comments xmlns="http://schemas.openxmlformats.org/spreadsheetml/2006/main">
  <authors>
    <author>Cascade Natural Gas</author>
  </authors>
  <commentList>
    <comment ref="AA6" authorId="0" shapeId="0">
      <text>
        <r>
          <rPr>
            <b/>
            <sz val="9"/>
            <color indexed="81"/>
            <rFont val="Tahoma"/>
            <family val="2"/>
          </rPr>
          <t>Cascade Natural Gas:</t>
        </r>
        <r>
          <rPr>
            <sz val="9"/>
            <color indexed="81"/>
            <rFont val="Tahoma"/>
            <family val="2"/>
          </rPr>
          <t xml:space="preserve">
(28) BSC, (2.03) City Tax=(30.03) in 1501 missing from rev recon</t>
        </r>
      </text>
    </comment>
    <comment ref="AA23" authorId="0" shapeId="0">
      <text>
        <r>
          <rPr>
            <b/>
            <sz val="9"/>
            <color indexed="81"/>
            <rFont val="Tahoma"/>
            <family val="2"/>
          </rPr>
          <t>Cascade Natural Gas:</t>
        </r>
        <r>
          <rPr>
            <sz val="9"/>
            <color indexed="81"/>
            <rFont val="Tahoma"/>
            <family val="2"/>
          </rPr>
          <t xml:space="preserve">
(28) from sch 502 adjust</t>
        </r>
      </text>
    </comment>
    <comment ref="AA34" authorId="0" shapeId="0">
      <text>
        <r>
          <rPr>
            <b/>
            <sz val="9"/>
            <color indexed="81"/>
            <rFont val="Tahoma"/>
            <family val="2"/>
          </rPr>
          <t>Cascade Natural Gas:</t>
        </r>
        <r>
          <rPr>
            <sz val="9"/>
            <color indexed="81"/>
            <rFont val="Tahoma"/>
            <family val="2"/>
          </rPr>
          <t xml:space="preserve">
(2.03) from sch 502 adjust</t>
        </r>
      </text>
    </comment>
    <comment ref="AA40" authorId="0" shapeId="0">
      <text>
        <r>
          <rPr>
            <b/>
            <sz val="9"/>
            <color indexed="81"/>
            <rFont val="Tahoma"/>
            <family val="2"/>
          </rPr>
          <t>Cascade Natural Gas:</t>
        </r>
        <r>
          <rPr>
            <sz val="9"/>
            <color indexed="81"/>
            <rFont val="Tahoma"/>
            <family val="2"/>
          </rPr>
          <t xml:space="preserve">
502 (30.03) adjustment</t>
        </r>
      </text>
    </comment>
    <comment ref="B95" authorId="0" shapeId="0">
      <text>
        <r>
          <rPr>
            <b/>
            <sz val="9"/>
            <color indexed="81"/>
            <rFont val="Tahoma"/>
            <family val="2"/>
          </rPr>
          <t>Cascade Natural Gas:</t>
        </r>
        <r>
          <rPr>
            <sz val="9"/>
            <color indexed="81"/>
            <rFont val="Tahoma"/>
            <family val="2"/>
          </rPr>
          <t xml:space="preserve">
Must blend 511 - 1501s</t>
        </r>
      </text>
    </comment>
    <comment ref="B207" authorId="0" shapeId="0">
      <text>
        <r>
          <rPr>
            <b/>
            <sz val="9"/>
            <color indexed="81"/>
            <rFont val="Tahoma"/>
            <family val="2"/>
          </rPr>
          <t>Cascade Natural Gas:</t>
        </r>
        <r>
          <rPr>
            <sz val="9"/>
            <color indexed="81"/>
            <rFont val="Tahoma"/>
            <family val="2"/>
          </rPr>
          <t xml:space="preserve">
Combined
</t>
        </r>
      </text>
    </comment>
  </commentList>
</comments>
</file>

<file path=xl/comments4.xml><?xml version="1.0" encoding="utf-8"?>
<comments xmlns="http://schemas.openxmlformats.org/spreadsheetml/2006/main">
  <authors>
    <author>Cascade Natural Gas</author>
  </authors>
  <commentList>
    <comment ref="F116" authorId="0" shapeId="0">
      <text>
        <r>
          <rPr>
            <b/>
            <sz val="9"/>
            <color indexed="81"/>
            <rFont val="Tahoma"/>
            <family val="2"/>
          </rPr>
          <t>Cascade Natural Gas:</t>
        </r>
        <r>
          <rPr>
            <sz val="9"/>
            <color indexed="81"/>
            <rFont val="Tahoma"/>
            <family val="2"/>
          </rPr>
          <t xml:space="preserve">
where to go?</t>
        </r>
      </text>
    </comment>
    <comment ref="F118" authorId="0" shapeId="0">
      <text>
        <r>
          <rPr>
            <b/>
            <sz val="9"/>
            <color indexed="81"/>
            <rFont val="Tahoma"/>
            <family val="2"/>
          </rPr>
          <t>Cascade Natural Gas:</t>
        </r>
        <r>
          <rPr>
            <sz val="9"/>
            <color indexed="81"/>
            <rFont val="Tahoma"/>
            <family val="2"/>
          </rPr>
          <t xml:space="preserve">
These red cells moved to 504</t>
        </r>
      </text>
    </comment>
  </commentList>
</comments>
</file>

<file path=xl/comments5.xml><?xml version="1.0" encoding="utf-8"?>
<comments xmlns="http://schemas.openxmlformats.org/spreadsheetml/2006/main">
  <authors>
    <author>Ryan, Christopher</author>
  </authors>
  <commentList>
    <comment ref="K8" authorId="0" shapeId="0">
      <text>
        <r>
          <rPr>
            <b/>
            <sz val="9"/>
            <color indexed="81"/>
            <rFont val="Tahoma"/>
            <family val="2"/>
          </rPr>
          <t>Ryan, Christopher:</t>
        </r>
        <r>
          <rPr>
            <sz val="9"/>
            <color indexed="81"/>
            <rFont val="Tahoma"/>
            <family val="2"/>
          </rPr>
          <t xml:space="preserve">
MOVED TO 503 BELOW</t>
        </r>
      </text>
    </comment>
    <comment ref="K135" authorId="0" shapeId="0">
      <text>
        <r>
          <rPr>
            <b/>
            <sz val="9"/>
            <color indexed="81"/>
            <rFont val="Tahoma"/>
            <family val="2"/>
          </rPr>
          <t>Ryan, Christopher:</t>
        </r>
        <r>
          <rPr>
            <sz val="9"/>
            <color indexed="81"/>
            <rFont val="Tahoma"/>
            <family val="2"/>
          </rPr>
          <t xml:space="preserve">
MOVED TO 570 ABOVE</t>
        </r>
      </text>
    </comment>
  </commentList>
</comments>
</file>

<file path=xl/sharedStrings.xml><?xml version="1.0" encoding="utf-8"?>
<sst xmlns="http://schemas.openxmlformats.org/spreadsheetml/2006/main" count="2895" uniqueCount="732">
  <si>
    <t>Rate Description</t>
  </si>
  <si>
    <t>Current Rate</t>
  </si>
  <si>
    <t>Proposed Rates</t>
  </si>
  <si>
    <t>(A)</t>
  </si>
  <si>
    <t>(C)</t>
  </si>
  <si>
    <t>(I)</t>
  </si>
  <si>
    <t>Billing Determinants
(Therms/Bills)</t>
  </si>
  <si>
    <t>Current</t>
  </si>
  <si>
    <t>Proposed</t>
  </si>
  <si>
    <t>Basic Service Charge</t>
  </si>
  <si>
    <t>Total Margin</t>
  </si>
  <si>
    <t>Average Cost of Gas</t>
  </si>
  <si>
    <t>Non-Gas Revenue</t>
  </si>
  <si>
    <t xml:space="preserve">Adjustment </t>
  </si>
  <si>
    <t>Current Month Unbilled +</t>
  </si>
  <si>
    <t>Previous Month Unbilled -</t>
  </si>
  <si>
    <t>CAP Adjustment</t>
  </si>
  <si>
    <t>Deferrals</t>
  </si>
  <si>
    <t>Deficiency</t>
  </si>
  <si>
    <t xml:space="preserve">Total Non-Gas Revenue </t>
  </si>
  <si>
    <t>Gross Revenue Fee</t>
  </si>
  <si>
    <t>Rate Schedule 903 - Interruptible Transportation</t>
  </si>
  <si>
    <t>COMMERCIAL</t>
  </si>
  <si>
    <t>INDUSTRIAL</t>
  </si>
  <si>
    <t>Adjustment</t>
  </si>
  <si>
    <t>Dispatch Service Charge</t>
  </si>
  <si>
    <t>Total</t>
  </si>
  <si>
    <t>RESIDENTIAL</t>
  </si>
  <si>
    <t>Margin</t>
  </si>
  <si>
    <t>Adjustment Dollars</t>
  </si>
  <si>
    <t>Total Dollars</t>
  </si>
  <si>
    <t>Therms</t>
  </si>
  <si>
    <t>Adjustment Therms</t>
  </si>
  <si>
    <t>Total Therms</t>
  </si>
  <si>
    <t>C</t>
  </si>
  <si>
    <t>D</t>
  </si>
  <si>
    <t>CM Unbilled therms</t>
  </si>
  <si>
    <t>E</t>
  </si>
  <si>
    <t>PM Unbilled therms</t>
  </si>
  <si>
    <t>F</t>
  </si>
  <si>
    <t xml:space="preserve"> -PM CA1501A therms</t>
  </si>
  <si>
    <t>K</t>
  </si>
  <si>
    <t xml:space="preserve"> +CM CA1501A therms</t>
  </si>
  <si>
    <t>L</t>
  </si>
  <si>
    <t>M</t>
  </si>
  <si>
    <t>check</t>
  </si>
  <si>
    <t>Revenue (CA1501)</t>
  </si>
  <si>
    <t>CM Unbilled revenues</t>
  </si>
  <si>
    <t>PM Unbilled revenues</t>
  </si>
  <si>
    <t>CAP revenues</t>
  </si>
  <si>
    <t>G</t>
  </si>
  <si>
    <t>H</t>
  </si>
  <si>
    <t>J</t>
  </si>
  <si>
    <t xml:space="preserve"> -PM CA1501A revenue</t>
  </si>
  <si>
    <t xml:space="preserve"> +CM CA1501A revenue</t>
  </si>
  <si>
    <t xml:space="preserve"> -PM CA1501A</t>
  </si>
  <si>
    <t xml:space="preserve"> +CM CA1501A</t>
  </si>
  <si>
    <t>Test Year State Allocation Report</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</si>
  <si>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</si>
  <si>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</si>
  <si>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</si>
  <si>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</si>
  <si>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</si>
  <si>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</si>
  <si>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</si>
  <si>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</si>
  <si>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</si>
  <si>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</si>
  <si>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</si>
  <si>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</si>
  <si>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</si>
  <si>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</si>
  <si>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</si>
  <si>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</si>
  <si>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</si>
  <si>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</si>
  <si>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</si>
  <si>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</si>
  <si>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</si>
  <si>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I</t>
  </si>
  <si>
    <t>Deficiency Billings</t>
  </si>
  <si>
    <t>Jan</t>
  </si>
  <si>
    <t>Feb</t>
  </si>
  <si>
    <t>Mar</t>
  </si>
  <si>
    <t>Apr</t>
  </si>
  <si>
    <t>May</t>
  </si>
  <si>
    <t>Jun</t>
  </si>
  <si>
    <t>Jul</t>
  </si>
  <si>
    <t>Aug</t>
  </si>
  <si>
    <t>Sep</t>
  </si>
  <si>
    <t>Oct</t>
  </si>
  <si>
    <t>Nov</t>
  </si>
  <si>
    <t>Dec</t>
  </si>
  <si>
    <t>Total Non-Gas Revenue</t>
  </si>
  <si>
    <t>Rate Schedule 503 - Residential Service Rate</t>
  </si>
  <si>
    <t>Rate Schedule 504 - General Commercial Service</t>
  </si>
  <si>
    <t>Rate Schedule 505 - General Industrial Service</t>
  </si>
  <si>
    <t>Rate Schedule 511 - Large Volume General Service Rate</t>
  </si>
  <si>
    <t>Rate Schedule 570 - Interruptible Service Schedule</t>
  </si>
  <si>
    <t>Basic Service Charge - Aug-Dec</t>
  </si>
  <si>
    <t>Total Rate Schedule 663-2 Revenue</t>
  </si>
  <si>
    <t>CNGWA916</t>
  </si>
  <si>
    <t>CNGWA908</t>
  </si>
  <si>
    <t>CNGWA907</t>
  </si>
  <si>
    <t>CNGWA903</t>
  </si>
  <si>
    <t>CNGWA901</t>
  </si>
  <si>
    <t>CNGWA6635</t>
  </si>
  <si>
    <t>CNGWA6633</t>
  </si>
  <si>
    <t>Generating</t>
  </si>
  <si>
    <t>CNGWA6631</t>
  </si>
  <si>
    <t>Non-Core</t>
  </si>
  <si>
    <t>CNGWA914</t>
  </si>
  <si>
    <t>CNGWA911</t>
  </si>
  <si>
    <t>CNGWA910</t>
  </si>
  <si>
    <t>CNGWA909</t>
  </si>
  <si>
    <t>CNGWA906</t>
  </si>
  <si>
    <t>CNGWA6632</t>
  </si>
  <si>
    <t>Industrials</t>
  </si>
  <si>
    <t>CNGWA577</t>
  </si>
  <si>
    <t>CNGWA570</t>
  </si>
  <si>
    <t>CNGWA512</t>
  </si>
  <si>
    <t>CNGWA511</t>
  </si>
  <si>
    <t>CNGWA505</t>
  </si>
  <si>
    <t>CNGWA504</t>
  </si>
  <si>
    <t>CNGWA503</t>
  </si>
  <si>
    <t>CNGWA502</t>
  </si>
  <si>
    <t>Dec18</t>
  </si>
  <si>
    <t>Nov18</t>
  </si>
  <si>
    <t>Oct18</t>
  </si>
  <si>
    <t>Sep18</t>
  </si>
  <si>
    <t>Aug18</t>
  </si>
  <si>
    <t>Jul18</t>
  </si>
  <si>
    <t>Jun18</t>
  </si>
  <si>
    <t>May18</t>
  </si>
  <si>
    <t>Apr18</t>
  </si>
  <si>
    <t>Mar18</t>
  </si>
  <si>
    <t>Feb18</t>
  </si>
  <si>
    <t>Jan18</t>
  </si>
  <si>
    <t>Rate Schedule 502 - Building Construction Rate</t>
  </si>
  <si>
    <t>WA Energy Assistance Fund Program</t>
  </si>
  <si>
    <t>WA Replacement Pipe Cost Recovery</t>
  </si>
  <si>
    <t>WA Decoupling Mechanism</t>
  </si>
  <si>
    <t>WA Deferred Gas Costs</t>
  </si>
  <si>
    <t>WA Conservation Cost Recovery</t>
  </si>
  <si>
    <t>City Tax Tier 1</t>
  </si>
  <si>
    <t>City Tax Applied (City Tax &lt; Maximum)</t>
  </si>
  <si>
    <t>City Tax for Cities with Annual Maximum</t>
  </si>
  <si>
    <t>State Utility Tax Credit</t>
  </si>
  <si>
    <t>Indian Nation Tribal Charge</t>
  </si>
  <si>
    <t>City Tax Tier 2</t>
  </si>
  <si>
    <t>City Tax Applicable to Identified Bus for Tax. Rev Limits</t>
  </si>
  <si>
    <t>Rate Schedule 512 - Compressed Natural Gas</t>
  </si>
  <si>
    <t>Rate Schedule 577 - Limited Interruptible Serice Rate</t>
  </si>
  <si>
    <t>Margin First 4,000 Therms  (Jan. - Jul.)</t>
  </si>
  <si>
    <t>Margin &gt; 4,000 Therms  (Jan. - Jul.)</t>
  </si>
  <si>
    <t>Delivery Charge Next 200,000 Therms</t>
  </si>
  <si>
    <t>Delivery Charge &gt; 500,000 Therms</t>
  </si>
  <si>
    <t>Contract Charge (applicable only if identified in contract)</t>
  </si>
  <si>
    <t>City Tax Applicable to Identified Bus. for Tax Rev Limits</t>
  </si>
  <si>
    <t>Rate Schedule 6631 - Non-Core Industrial</t>
  </si>
  <si>
    <t>Total Rate Schedule 6631 Revenue</t>
  </si>
  <si>
    <t>Rate Schedule 6632</t>
  </si>
  <si>
    <t>Rate Schedule 906 - Interruptible Transportation</t>
  </si>
  <si>
    <t>Rate Schedule 909 - Interruptible Transportation</t>
  </si>
  <si>
    <t>Rate Schedule 910 - Interruptible Transportation</t>
  </si>
  <si>
    <t>Total Rate Schedule 910 Revenue</t>
  </si>
  <si>
    <t>Rate Schedule 911 - Interruptible Transportation</t>
  </si>
  <si>
    <t>Total Rate Schedule 911 Revenue</t>
  </si>
  <si>
    <t>Rate Schedule 914 - Interruptible Transportation</t>
  </si>
  <si>
    <t>Total Rate Schedule 914 Revenue</t>
  </si>
  <si>
    <t>Rate Schedule 6633</t>
  </si>
  <si>
    <t>Rate Schedule 6635</t>
  </si>
  <si>
    <t>Total Rate Schedule 6635</t>
  </si>
  <si>
    <t>Rate Schedule 901 - Interruptible Transportation</t>
  </si>
  <si>
    <t>Total Rate Schedule 901 Revenue</t>
  </si>
  <si>
    <t>Total Rate Schedule 903 Revenue</t>
  </si>
  <si>
    <t>Rate Schedule 907 - Interruptible Transportation</t>
  </si>
  <si>
    <t>Total Rate Schedule 907 Revenue</t>
  </si>
  <si>
    <t>Rate Schedule 908- Interruptible Transportation</t>
  </si>
  <si>
    <t>Total Rate Schedule 908 Revenue</t>
  </si>
  <si>
    <t>Rate Schedule 916- Interruptible Transportation</t>
  </si>
  <si>
    <t>Total Rate Schedule 916 Revenue</t>
  </si>
  <si>
    <t>Rate Schedule 6631</t>
  </si>
  <si>
    <t>Total Rate Schedule 6631</t>
  </si>
  <si>
    <t>Utilization Discount First 100,000 Therms</t>
  </si>
  <si>
    <t>Utilization Discount Next 200,000 Therms</t>
  </si>
  <si>
    <t>Utilization Discount Next 100,000 Therms</t>
  </si>
  <si>
    <t>Utilization Discount Next 300,000 Therms</t>
  </si>
  <si>
    <t>Facilities Charge</t>
  </si>
  <si>
    <t>Compressor Operation</t>
  </si>
  <si>
    <t>Assignment per 3rd Party Agreement</t>
  </si>
  <si>
    <t>Contract Demand Charge</t>
  </si>
  <si>
    <t>System Balancing Charge</t>
  </si>
  <si>
    <t>Delivery Charge First 100,000 Therms</t>
  </si>
  <si>
    <t>Rate: CNGWA503</t>
  </si>
  <si>
    <t>Rate: CNGWA502</t>
  </si>
  <si>
    <t>Rate: CNGWA505</t>
  </si>
  <si>
    <t>Margin First 500 Therms</t>
  </si>
  <si>
    <t>Margin Next 3,500 Therms</t>
  </si>
  <si>
    <t>Margin &gt; 4,000 Therms</t>
  </si>
  <si>
    <t>Rate Schedule: CNGWA511</t>
  </si>
  <si>
    <t>Margin First 20,000 Therms</t>
  </si>
  <si>
    <t>Margin Next 80,000 Therms</t>
  </si>
  <si>
    <t>Margin &gt; 100,000 Therms</t>
  </si>
  <si>
    <t>Rate Schedule: CNGW04LV</t>
  </si>
  <si>
    <t>Rate: CNGWA504</t>
  </si>
  <si>
    <t>Rate Schedule: CNGWA512</t>
  </si>
  <si>
    <t>Rate Schedule: CNGW05LV</t>
  </si>
  <si>
    <t>Margin First 30,000 Therms</t>
  </si>
  <si>
    <t>Margin &gt; 30,000 Therms</t>
  </si>
  <si>
    <t>Margin First 4,000 Therms</t>
  </si>
  <si>
    <t>Commodity Charge First 100,000 Therms per day</t>
  </si>
  <si>
    <t>Commodity Charge Over 100,000 Therms per day</t>
  </si>
  <si>
    <t>Commodity Charge</t>
  </si>
  <si>
    <t>Minimum Charge per Month</t>
  </si>
  <si>
    <t>Commodity Charge First 22 Million/Year</t>
  </si>
  <si>
    <t>City Tax App. to Iden Bus. for Tax Rev Limits</t>
  </si>
  <si>
    <t>CNGW05LV</t>
  </si>
  <si>
    <t>CNGW04LV</t>
  </si>
  <si>
    <t>Total Rate Schedule 511 Revenue</t>
  </si>
  <si>
    <t>Total Rate Schedule: CNGW04LV</t>
  </si>
  <si>
    <t>Total Rate Schedule: CNGW05LV</t>
  </si>
  <si>
    <t>Delivery Charge Over 500,000 Therms</t>
  </si>
  <si>
    <t>Utilization Discount Next 400,000 Therms</t>
  </si>
  <si>
    <t>WA Protected-Plus Excess Deferred Income Tax</t>
  </si>
  <si>
    <t>WA Unprotected Excess Deferred Income Tax</t>
  </si>
  <si>
    <t>WA Temporary Federal Income Tax Rate Credit</t>
  </si>
  <si>
    <t>Utilization Discount &gt; 1,300,000 but &lt; 18,700,000 Therms</t>
  </si>
  <si>
    <t>Monthly Facilities Charge</t>
  </si>
  <si>
    <t>Monthly Charge</t>
  </si>
  <si>
    <t>System Balancing Rate</t>
  </si>
  <si>
    <t>Basic Service Charge - Jan-Aug</t>
  </si>
  <si>
    <t>Basic Service Charge - Sept-Dec</t>
  </si>
  <si>
    <t>Total Rate Schedule 512</t>
  </si>
  <si>
    <t>Ajustment</t>
  </si>
  <si>
    <t>Contract Demand Charge - Jan-Aug</t>
  </si>
  <si>
    <t>Contract Demand Charge - Sept-Dec</t>
  </si>
  <si>
    <t>System Balancing Charge - Jan-Aug</t>
  </si>
  <si>
    <t>System Balancing Charge - Sept-Dec</t>
  </si>
  <si>
    <t>Delivery Charge First 100,000 Therms- Jan-Aug</t>
  </si>
  <si>
    <t>Delivery Charge Next 200,000 Therms - Jan-Aug</t>
  </si>
  <si>
    <t>Delivery Charge &gt; 500,000 Therms - Jan-Aug</t>
  </si>
  <si>
    <t>Delivery Charge First 100,000 Therms - Sept-Dec</t>
  </si>
  <si>
    <t>Delivery Charge Next 200,000 Therms - Sept-Dec</t>
  </si>
  <si>
    <t>Delivery Charge &gt; 500,000 Therms - Sept-Dec</t>
  </si>
  <si>
    <t>Adjustments</t>
  </si>
  <si>
    <t>Dispatch Service Charge (Jan-Sept)</t>
  </si>
  <si>
    <t>Dispatch Service Charge (Oct-Dec)</t>
  </si>
  <si>
    <t>Contract Demand Charge (Jan-Sept)</t>
  </si>
  <si>
    <t>Contract Demand Charge (Oct-Dec)</t>
  </si>
  <si>
    <t>System Balancing Rate (Jan-Sept)</t>
  </si>
  <si>
    <t>System Balancing Rate (Oct-Dec)</t>
  </si>
  <si>
    <t>Monthly Facilities Charge (Jan-Sept)</t>
  </si>
  <si>
    <t>Monthly Facilities Charge (Oct-Dec)</t>
  </si>
  <si>
    <t>System Balancing Charge (Jan-Sept)</t>
  </si>
  <si>
    <t>System Balancing Charge (Oct-Dec)</t>
  </si>
  <si>
    <t>Commodity Charge  (Jan-Sept)</t>
  </si>
  <si>
    <t>Commodity Charge (Oct-Dec)</t>
  </si>
  <si>
    <t>Commodity Charge (Jan-Sept)</t>
  </si>
  <si>
    <t>Monthly Facilities Charge (Oct - Dec)</t>
  </si>
  <si>
    <t>Dispatch Service Charge (Oct - Dec)</t>
  </si>
  <si>
    <t>System Balancing Charge (Oct - Dec)</t>
  </si>
  <si>
    <t>Contract Demand Charge (Oct - Dec)</t>
  </si>
  <si>
    <t>Commodity Charge (Oct - Dec)</t>
  </si>
  <si>
    <t>Monthly Charge (Jan-Sept)</t>
  </si>
  <si>
    <t>Monthly Charge (Oct-Dec)</t>
  </si>
  <si>
    <t>Assignment per 3rd Party Agreement (Jan-Sept)</t>
  </si>
  <si>
    <t>Assignment per 3rd Party Agreement (Oct-Dec)</t>
  </si>
  <si>
    <t>Basic Service Charge (Jan-Aug)</t>
  </si>
  <si>
    <t>System Balancing Charge (Jan-Aug)</t>
  </si>
  <si>
    <t>Delivery Charge First 100,000 Therms (Jan-Aug)</t>
  </si>
  <si>
    <t>Delivery Charge Next 200,000 Therms(Jan-Aug)</t>
  </si>
  <si>
    <t>Delivery Charge Over 500,000 Therms(Jan-Aug)</t>
  </si>
  <si>
    <t>Basic Service Charge (Sept-Dec)</t>
  </si>
  <si>
    <t>System Balancing Charge (Sept-Dec)</t>
  </si>
  <si>
    <t>Delivery Charge First 100,000 Therms (Sept-Dec)</t>
  </si>
  <si>
    <t>Delivery Charge Next 200,000 Therms (Sept-Dec)</t>
  </si>
  <si>
    <t>Delivery Charge Over 500,000 Therms (Sept-Dec)</t>
  </si>
  <si>
    <t>DEFWA revenues</t>
  </si>
  <si>
    <t>Rate Schedule 6631 - Non-Core Generating</t>
  </si>
  <si>
    <t>Delivery Charge First 100,000 Therms (Oct-Dec)</t>
  </si>
  <si>
    <t>Delivery Charge Next 200,000 Therms (Oct-Dec)</t>
  </si>
  <si>
    <t>Delivery Charge &gt; 500,000 Therms (Oct-Dec)</t>
  </si>
  <si>
    <t>WA Protected-Plus Excess Deferred Income Tax (Oct-Dec)</t>
  </si>
  <si>
    <t>WA Unprotected Excess Deferred Income Tax (Oct-Dec)</t>
  </si>
  <si>
    <t>WA Temporary Federal Income Tax Rate Credit (Oct-Dec)</t>
  </si>
  <si>
    <t>WA Energy Assistance Fund Program (Oct-Dec)</t>
  </si>
  <si>
    <t>WA Replacement Pipe Cost Recovery (Oct-Dec)</t>
  </si>
  <si>
    <t>Gross Revenue Fee (Jan-Sept)</t>
  </si>
  <si>
    <t>Gross Revenue Fee (Oct-Dec)</t>
  </si>
  <si>
    <t>City Tax Applicable to Identified Bus. for Tax Rev Limits (Oct-Dec)</t>
  </si>
  <si>
    <t>Total Rate Schedule 6633</t>
  </si>
  <si>
    <t>Basic Service Charge - Jan-Jul</t>
  </si>
  <si>
    <t>Delivery Charge - Jan-Jul</t>
  </si>
  <si>
    <t>Delivery Charge - Aug - Dec</t>
  </si>
  <si>
    <t>Delivery Charge - Aug- Dec</t>
  </si>
  <si>
    <t>Margin First 500 Therms (Jan. - Jul.)</t>
  </si>
  <si>
    <t>Margin Next 3,500 Therms (Jan. - Jul.)</t>
  </si>
  <si>
    <t>Margin &gt; 4,000 Therms (Jan. - Jul.)</t>
  </si>
  <si>
    <t>Margin First 500 Therms (Aug. - Dec)</t>
  </si>
  <si>
    <t>Margin Next 3,500 Therms (Aug. - Dec.)</t>
  </si>
  <si>
    <t>Margin &gt; 4,000 Therms (Aug. - Dec.)</t>
  </si>
  <si>
    <t>Margin First 20,000 Therms (Jan. -Jul.)</t>
  </si>
  <si>
    <t>Margin Next 80,000 Therms (Jan. - Jul.)</t>
  </si>
  <si>
    <t>Margin&gt; 100,000 Therms (Jan. - Jul.)</t>
  </si>
  <si>
    <t>Margin First 20,000 Therms (Aug. - Dec.)</t>
  </si>
  <si>
    <t>Margin Next 80,000 Therms (Aug. - Dec.)</t>
  </si>
  <si>
    <t>Margin&gt; 100,000 Therms (Aug. - Dec.)</t>
  </si>
  <si>
    <t>Basic Service Charge Jan-Jul</t>
  </si>
  <si>
    <t>Basic Service Charge Aug-Dec</t>
  </si>
  <si>
    <t>Basic Service Charge - Jan - Jul</t>
  </si>
  <si>
    <t>Basic Service Charge - Aug - Dec</t>
  </si>
  <si>
    <t>Delivery Charge - Jan - Jul</t>
  </si>
  <si>
    <t>Margin First 500 Therms -  Jan-Jul</t>
  </si>
  <si>
    <t>Margin First 500 Therms -  Aug-Dec</t>
  </si>
  <si>
    <t>Margin Next 3,500 Therms - Jan-Jul</t>
  </si>
  <si>
    <t>Margin Next 3,500 Therms - Aug-Dec</t>
  </si>
  <si>
    <t>Margin First 30,000 Therms (Jan. - Jul.)</t>
  </si>
  <si>
    <t>Margin &gt; 30,000 Therms (Jan. - Jul.)</t>
  </si>
  <si>
    <t>Basic Service Charge - (Jan-Jul)</t>
  </si>
  <si>
    <t>Basic Service Charge - (Aug-Dec)</t>
  </si>
  <si>
    <t>Margin First 30,000 Therms (Aug-Dec)</t>
  </si>
  <si>
    <t>Margin &gt; 30,000 Therms (Aug-Dec)</t>
  </si>
  <si>
    <t>Margin First 4,000 Therms (Aug. - Dec.)</t>
  </si>
  <si>
    <t>Contract Demand Charge - Jan-Jul</t>
  </si>
  <si>
    <t>Contract Demand Charge - Aug-Dec</t>
  </si>
  <si>
    <t>System Balancing Charge - Jan-Jul</t>
  </si>
  <si>
    <t>System Balancing Charge - Aug-Dec</t>
  </si>
  <si>
    <t>Delivery Charge First 100,000 Therms- Jan-Jul</t>
  </si>
  <si>
    <t>Delivery Charge Next 200,000 Therms - Jan-Jul</t>
  </si>
  <si>
    <t>Delivery Charge &gt; 500,000 Therms - Jan-Jul</t>
  </si>
  <si>
    <t>Delivery Charge First 100,000 Therms - Aug-Dec</t>
  </si>
  <si>
    <t>Delivery Charge Next 200,000 Therms - Aug-Dec</t>
  </si>
  <si>
    <t>Delivery Charge &gt; 500,000 Therms - Aug-Dec</t>
  </si>
  <si>
    <t>Margin Jan-Jul</t>
  </si>
  <si>
    <t>Margin Aug-Dec</t>
  </si>
  <si>
    <t>DSC Commodity</t>
  </si>
  <si>
    <t>DSC Commodity (Jan-Sept)</t>
  </si>
  <si>
    <t>Commodity Charge First 100,000 Therms per day (Jan-Jun)</t>
  </si>
  <si>
    <t>Commodity Charge First 100,000 Therms per day (Jul-Dec)</t>
  </si>
  <si>
    <t>Commodity Charge Over 100,000 Therms per day (Jan-Jun)</t>
  </si>
  <si>
    <t>Commodity Charge Over 100,000 Therms per day  (Jul-Dec)</t>
  </si>
  <si>
    <t>DSC Commodity (Oct-Dec)</t>
  </si>
  <si>
    <t>Basic Service Charge - Jan-Jun</t>
  </si>
  <si>
    <t>Basic Service Charge - Jul-Dec</t>
  </si>
  <si>
    <t>System Balancing Charge - Jan-Jun</t>
  </si>
  <si>
    <t>Contract Demand Charge (Jan-Jul)</t>
  </si>
  <si>
    <t>Contract Demand Charge (Aug-Dec)</t>
  </si>
  <si>
    <t>Monthly Charge (Jan-Aug)</t>
  </si>
  <si>
    <t>Monthly Charge (Sept-Dec)</t>
  </si>
  <si>
    <t>Commodity Charge (Jan-Jul)</t>
  </si>
  <si>
    <t>Commodity Charge (Aug-Dec)</t>
  </si>
  <si>
    <t>Basic Service Charge (Sept)</t>
  </si>
  <si>
    <t>Delivery Charge First 100,000 Therms (Jan-Sept)</t>
  </si>
  <si>
    <t>Delivery Charge Next 200,000 Therms (Jan-Sept)</t>
  </si>
  <si>
    <t>Delivery Charge &gt; 500,000 Therms (Jan-Sept)</t>
  </si>
  <si>
    <t>Total Cascade Margin</t>
  </si>
  <si>
    <t>Total Cascade Revenue</t>
  </si>
  <si>
    <t>TOTAL OPERATING REVENUE</t>
  </si>
  <si>
    <t>Provision for Rate Refund</t>
  </si>
  <si>
    <t>Check</t>
  </si>
  <si>
    <t>Billing Determinants (Therms/Bills)</t>
  </si>
  <si>
    <t>Rate</t>
  </si>
  <si>
    <t>Remove/Add</t>
  </si>
  <si>
    <t>Migrate to 570</t>
  </si>
  <si>
    <t>2019 Revenue Adjustment</t>
  </si>
  <si>
    <t>Delivery Charge - Jan-Aug</t>
  </si>
  <si>
    <t>Adjusted</t>
  </si>
  <si>
    <t>Actuals</t>
  </si>
  <si>
    <t>Date</t>
  </si>
  <si>
    <t>504 - Commercial Actuals</t>
  </si>
  <si>
    <t>503 - Residential Actuals</t>
  </si>
  <si>
    <t>Delivery Charge - Sept - Dec</t>
  </si>
  <si>
    <t>Migrated from 502</t>
  </si>
  <si>
    <t>A</t>
  </si>
  <si>
    <t>B</t>
  </si>
  <si>
    <t>Rate Schedules</t>
  </si>
  <si>
    <r>
      <t xml:space="preserve">505 Combined </t>
    </r>
    <r>
      <rPr>
        <i/>
        <sz val="11"/>
        <color theme="1"/>
        <rFont val="Calibri"/>
        <family val="2"/>
        <scheme val="minor"/>
      </rPr>
      <t>(05LV + 505)</t>
    </r>
  </si>
  <si>
    <r>
      <t xml:space="preserve">570 Combined </t>
    </r>
    <r>
      <rPr>
        <i/>
        <sz val="11"/>
        <color theme="1"/>
        <rFont val="Calibri"/>
        <family val="2"/>
        <scheme val="minor"/>
      </rPr>
      <t>(570+577)</t>
    </r>
  </si>
  <si>
    <t>BSC1</t>
  </si>
  <si>
    <t>BSC2</t>
  </si>
  <si>
    <t>503 Combined Ave Useage</t>
  </si>
  <si>
    <t>504 Combined Ave Useage</t>
  </si>
  <si>
    <t>505 Combined Ave Useage</t>
  </si>
  <si>
    <t>511 Combined Ave Useage</t>
  </si>
  <si>
    <t>570 Combined Ave Useage</t>
  </si>
  <si>
    <t>N</t>
  </si>
  <si>
    <t>End of Period Annualized Customer Counts</t>
  </si>
  <si>
    <t>O</t>
  </si>
  <si>
    <t>Adjusted Per Books Margin Revenue</t>
  </si>
  <si>
    <t>Adjusted Billing Determinants</t>
  </si>
  <si>
    <t>Migrated from 577</t>
  </si>
  <si>
    <t>Adjusted Current</t>
  </si>
  <si>
    <t>Schedule Merge</t>
  </si>
  <si>
    <t>Revenue At Proposed Rates</t>
  </si>
  <si>
    <t>2018 Monthly Therms - Actual(Normalized) Therms / Ave Use Per Month</t>
  </si>
  <si>
    <t>2018 Annualized Usage Using End of Period Customer Counts</t>
  </si>
  <si>
    <t>EOP Determinants at Current Rates</t>
  </si>
  <si>
    <t>Total Revenue</t>
  </si>
  <si>
    <t>505 First 500 Ave Useage</t>
  </si>
  <si>
    <t>505 Next 3500 Ave Useage</t>
  </si>
  <si>
    <t>505 &gt;4000 Ave Useage</t>
  </si>
  <si>
    <t>( E )</t>
  </si>
  <si>
    <t>(F)</t>
  </si>
  <si>
    <t>(G)</t>
  </si>
  <si>
    <t>(J) = (H)*(I)</t>
  </si>
  <si>
    <t>(K)</t>
  </si>
  <si>
    <t>(O)</t>
  </si>
  <si>
    <t>(Q)</t>
  </si>
  <si>
    <t>(B) = (D)/(C)</t>
  </si>
  <si>
    <t>Per Books Revenue 2018</t>
  </si>
  <si>
    <t>TOTAL OTHER OPERATING REVENUE</t>
  </si>
  <si>
    <t>TOTAL GAS SALES</t>
  </si>
  <si>
    <t>Rev recon</t>
  </si>
  <si>
    <t>Allocation report select</t>
  </si>
  <si>
    <t>Monthly Bill determinants</t>
  </si>
  <si>
    <t>503 Normalized</t>
  </si>
  <si>
    <t>Migrated from 512 &amp; add 04LV</t>
  </si>
  <si>
    <t>Merge w 504</t>
  </si>
  <si>
    <t>Merge w 505</t>
  </si>
  <si>
    <t>Merge from 05LV</t>
  </si>
  <si>
    <t>505 merge</t>
  </si>
  <si>
    <t>05LV total</t>
  </si>
  <si>
    <t>511 Margin First 20,000 Ave</t>
  </si>
  <si>
    <t>511 Margin Next 80,000 Ave</t>
  </si>
  <si>
    <t>511 Margin &gt; 100,000 Ave</t>
  </si>
  <si>
    <t>EOP Adj Therms</t>
  </si>
  <si>
    <t>511 Combined</t>
  </si>
  <si>
    <t>570 Combined (570+577)</t>
  </si>
  <si>
    <t>570 Margin First 30,000 Ave</t>
  </si>
  <si>
    <t>570 Margin &gt; 30,000 Ave</t>
  </si>
  <si>
    <t>Delivery Charge First 100,000 Therms Ave</t>
  </si>
  <si>
    <t>Delivery Charge Next 200,000 Therms Ave</t>
  </si>
  <si>
    <t>Delivery Charge &gt; 500,000 Therms Ave</t>
  </si>
  <si>
    <t>6632 Combined Average Useage</t>
  </si>
  <si>
    <t>6631 - Non Core Industrials</t>
  </si>
  <si>
    <t>6631 NC Combined Average Useage</t>
  </si>
  <si>
    <t>6631 Gen Combined Average Useage</t>
  </si>
  <si>
    <t>6633 Gen Combined Average Useage</t>
  </si>
  <si>
    <t>6635 Combined Average Useage</t>
  </si>
  <si>
    <t>Contract Charge</t>
  </si>
  <si>
    <t>All 663 Ave DC First 100,000 Therms</t>
  </si>
  <si>
    <t>All 663 Ave DC Next 200,000 Therms</t>
  </si>
  <si>
    <t>All 663 Ave DC&gt; 500,000 Therms</t>
  </si>
  <si>
    <t>663 Combined</t>
  </si>
  <si>
    <t>All 663 Combined</t>
  </si>
  <si>
    <t>Merge 6631</t>
  </si>
  <si>
    <t>(H) = (B)+( E)</t>
  </si>
  <si>
    <r>
      <t xml:space="preserve">504 Combined </t>
    </r>
    <r>
      <rPr>
        <i/>
        <sz val="11"/>
        <color theme="1"/>
        <rFont val="Calibri"/>
        <family val="2"/>
        <scheme val="minor"/>
      </rPr>
      <t>(04LV+504)</t>
    </r>
  </si>
  <si>
    <t>Cost Recovery Mechanism CRM</t>
  </si>
  <si>
    <t>Billing Determinants (Therms/Bill)</t>
  </si>
  <si>
    <t>503 (data from Weather Norm. wksheet)</t>
  </si>
  <si>
    <t>504 (data from Weather Norm. wksheet)</t>
  </si>
  <si>
    <t>Weather Normalized Volume Adjustment</t>
  </si>
  <si>
    <t>discontinued</t>
  </si>
  <si>
    <t>Oct. 2018</t>
  </si>
  <si>
    <t>merge 6631</t>
  </si>
  <si>
    <t>From other 663 &amp; 916</t>
  </si>
  <si>
    <t>moved to 663</t>
  </si>
  <si>
    <t>Less Total Booked Margin</t>
  </si>
  <si>
    <t>Total Cap Adjustments</t>
  </si>
  <si>
    <t>Adjusted EOP Margin Revenue</t>
  </si>
  <si>
    <t>EOP Revenue Adjustment</t>
  </si>
  <si>
    <t>New contract demand terms</t>
  </si>
  <si>
    <t>6631 - Non Core Generating</t>
  </si>
  <si>
    <t>916 Combined Average Useage</t>
  </si>
  <si>
    <t>Net Unbilled Margins Booked</t>
  </si>
  <si>
    <t>Total Revenue Adjustment</t>
  </si>
  <si>
    <t>Less booked CRM</t>
  </si>
  <si>
    <t>Total CRM Proposed Rev</t>
  </si>
  <si>
    <t>Total Non-Core</t>
  </si>
  <si>
    <t>Over 500,000 therms/month</t>
  </si>
  <si>
    <t>Next 200,000 therms/month</t>
  </si>
  <si>
    <t>First 100,000 therms/month</t>
  </si>
  <si>
    <t xml:space="preserve">  Distribution Trans.</t>
  </si>
  <si>
    <t>Total Core</t>
  </si>
  <si>
    <t xml:space="preserve"> </t>
  </si>
  <si>
    <t xml:space="preserve">     Total </t>
  </si>
  <si>
    <t xml:space="preserve">     Total</t>
  </si>
  <si>
    <t>All over 4,000 therms/month</t>
  </si>
  <si>
    <t>All over 30,000 therms/month</t>
  </si>
  <si>
    <t>First 30,000 therms/month</t>
  </si>
  <si>
    <t xml:space="preserve">  General </t>
  </si>
  <si>
    <t>Interruptible</t>
  </si>
  <si>
    <t>Next 3,500 therms/month</t>
  </si>
  <si>
    <t>First 500 therms/month</t>
  </si>
  <si>
    <t xml:space="preserve">  General Service</t>
  </si>
  <si>
    <t>Industrial Firm</t>
  </si>
  <si>
    <t>All over 100,000 therms/month</t>
  </si>
  <si>
    <t>Next 80,000 therms/month</t>
  </si>
  <si>
    <t>First 20,000 therms/month</t>
  </si>
  <si>
    <t xml:space="preserve">  Large Volume</t>
  </si>
  <si>
    <t>Com-Ind Dual Service</t>
  </si>
  <si>
    <t>Commercial</t>
  </si>
  <si>
    <t xml:space="preserve">  Optional Service</t>
  </si>
  <si>
    <t>Residential</t>
  </si>
  <si>
    <t>(j)</t>
  </si>
  <si>
    <t>(i)</t>
  </si>
  <si>
    <t>(h)</t>
  </si>
  <si>
    <t>(g)</t>
  </si>
  <si>
    <t>(f)</t>
  </si>
  <si>
    <t>(e)</t>
  </si>
  <si>
    <t>(d)</t>
  </si>
  <si>
    <t>(c)</t>
  </si>
  <si>
    <t>(b)</t>
  </si>
  <si>
    <t>(a)</t>
  </si>
  <si>
    <t>Total Revenue % Increase</t>
  </si>
  <si>
    <t>Proposed Revenue Increase</t>
  </si>
  <si>
    <t>Proposed Rate</t>
  </si>
  <si>
    <t>Rate Schedule</t>
  </si>
  <si>
    <t>Description</t>
  </si>
  <si>
    <t>Line No.</t>
  </si>
  <si>
    <t>Cascade Natural Gas Corporation</t>
  </si>
  <si>
    <t>Test Year Adjusted Sales @ 12/31/2018</t>
  </si>
  <si>
    <t>Test Year  Revenue @ Current Rates</t>
  </si>
  <si>
    <t>Revenue Percentage by class @ 12/31/2018</t>
  </si>
  <si>
    <t>Exh MCP-3</t>
  </si>
  <si>
    <t>Rev. Increase</t>
  </si>
  <si>
    <t>(N)</t>
  </si>
  <si>
    <t>Total CRM Adjustment</t>
  </si>
  <si>
    <t>2nd Entry</t>
  </si>
  <si>
    <t>Original Entry</t>
  </si>
  <si>
    <t>Small Industrial CAP</t>
  </si>
  <si>
    <t>47WA.4002.4813CP</t>
  </si>
  <si>
    <t>Small Commerical CAP</t>
  </si>
  <si>
    <t>47WA.4002.4811CP</t>
  </si>
  <si>
    <t>Commerical CAP</t>
  </si>
  <si>
    <t>47WA.4002.4810CP</t>
  </si>
  <si>
    <t>Industrial CAP</t>
  </si>
  <si>
    <t>47WA.4002.4809CP</t>
  </si>
  <si>
    <t>Residential CAP</t>
  </si>
  <si>
    <t>47WA.4002.4800CP</t>
  </si>
  <si>
    <t>WA Decoupling Mechanism variance deferral</t>
  </si>
  <si>
    <t>47WA.1862.20477</t>
  </si>
  <si>
    <t>Ammortize JE</t>
  </si>
  <si>
    <t>Journal Entry:</t>
  </si>
  <si>
    <t>Cumulative Deferral Total</t>
  </si>
  <si>
    <r>
      <t>Interest (</t>
    </r>
    <r>
      <rPr>
        <b/>
        <sz val="11"/>
        <color rgb="FFFF0000"/>
        <rFont val="Calibri"/>
        <family val="2"/>
        <scheme val="minor"/>
      </rPr>
      <t>rounding</t>
    </r>
    <r>
      <rPr>
        <b/>
        <sz val="11"/>
        <rFont val="Calibri"/>
        <family val="2"/>
        <scheme val="minor"/>
      </rPr>
      <t>)</t>
    </r>
  </si>
  <si>
    <t>TOTAL DEFERRAL AMOUNT</t>
  </si>
  <si>
    <t>Monthly Deferral Total</t>
  </si>
  <si>
    <t>Interest</t>
  </si>
  <si>
    <t>DEFERRAL AMOUNT</t>
  </si>
  <si>
    <t>Authorized Revenue</t>
  </si>
  <si>
    <t>Total Actual Margin Revenues</t>
  </si>
  <si>
    <t>CC&amp;B Report: Prior Month CA1501A Revenue by District - Over 4,000</t>
  </si>
  <si>
    <t>Unbilled Margin Revenues</t>
  </si>
  <si>
    <t>CC&amp;B Report: Prior Month CA1501A Revenue by District - First 4,000</t>
  </si>
  <si>
    <t>CC&amp;B Report: Current Month CA1501A Revenue by District - Over 4,000</t>
  </si>
  <si>
    <t>CC&amp;B Report: Current Month CA1501A Revenue by District - First 4,000</t>
  </si>
  <si>
    <t>CC&amp;B Report: CA1501 Revenue by District - Over 4,000</t>
  </si>
  <si>
    <t>Actual Margin Revenues</t>
  </si>
  <si>
    <t>CC&amp;B Report: CA1501 Revenue by District - First 4,000</t>
  </si>
  <si>
    <t>CC&amp;B Report: CA1499 Services Summary</t>
  </si>
  <si>
    <t>Customers</t>
  </si>
  <si>
    <t>NO LONGER</t>
  </si>
  <si>
    <t>4813 Industrial</t>
  </si>
  <si>
    <t>CC&amp;B Report: Prior Month CA1501A Revenue by District - Over 30,000</t>
  </si>
  <si>
    <t>CC&amp;B Report: Prior Month CA1501A Revenue by District - First 30,000</t>
  </si>
  <si>
    <t>CC&amp;B Report: Current Month CA1501A Revenue by District - Over 30,000</t>
  </si>
  <si>
    <t>CC&amp;B Report: Current Month CA1501A Revenue by District - First 30,000</t>
  </si>
  <si>
    <t>CC&amp;B Report: CA1501 Revenue by District - Over 30,000</t>
  </si>
  <si>
    <t>CC&amp;B Report: CA1501 Revenue by District - First 30,000</t>
  </si>
  <si>
    <t>CC&amp;B Report: Prior Month CA1501A Revenue by District - Next 3,500</t>
  </si>
  <si>
    <t>CC&amp;B Report: Prior Month CA1501A Revenue by District - First 500</t>
  </si>
  <si>
    <t>CC&amp;B Report: Current Month CA1501A Revenue by District - Next 3,500</t>
  </si>
  <si>
    <t>CC&amp;B Report: Current Month CA1501A Revenue by District - First 500</t>
  </si>
  <si>
    <t>CC&amp;B Report: CA1501 Revenue by District - Next 3,500</t>
  </si>
  <si>
    <t>CC&amp;B Report: CA1501 Revenue by District - First 500</t>
  </si>
  <si>
    <t>4811 Commercial</t>
  </si>
  <si>
    <t>505LV</t>
  </si>
  <si>
    <t>CC&amp;B Report: CA1501 Revenue by District</t>
  </si>
  <si>
    <t>4810 Commercial</t>
  </si>
  <si>
    <t>Prior Month - UNBILLED THERMS &amp; REVENUE XXXX.xlsx</t>
  </si>
  <si>
    <t>Current Month - UNBILLED THERMS &amp; REVENUE XXXX.xlsx</t>
  </si>
  <si>
    <t>CC&amp;B Report: CA1501 Revenue by District - Over 100,000</t>
  </si>
  <si>
    <t>CC&amp;B Report: CA1501 Revenue by District - Next 80,000</t>
  </si>
  <si>
    <t>CC&amp;B Report: CA1501 Revenue by District - First 20,000</t>
  </si>
  <si>
    <t>CC&amp;B Report: CA1501 &amp; CI1564 CRM Adjustment for old rates</t>
  </si>
  <si>
    <t>CC&amp;B Report: Prior Month CA1501A Revenue by District</t>
  </si>
  <si>
    <t>CC&amp;B Report: Current Month CA1501A Revenue by District</t>
  </si>
  <si>
    <t>504LV</t>
  </si>
  <si>
    <t>4809 Industrial</t>
  </si>
  <si>
    <t>4800 Residential</t>
  </si>
  <si>
    <t>Diff</t>
  </si>
  <si>
    <t>Actual</t>
  </si>
  <si>
    <t>Days</t>
  </si>
  <si>
    <t>Interest Rate</t>
  </si>
  <si>
    <t>YTD</t>
  </si>
  <si>
    <t>DEFERRED ACCOUNTING DETAILS - TWELVE MONTHS ENDED DECEMBER 31, 2018</t>
  </si>
  <si>
    <t>Basic Service Charge increase</t>
  </si>
  <si>
    <t>RULE 21 DECOUPLING MECHANISM</t>
  </si>
  <si>
    <t>CASCADE NAUTURAL GAS CORPORATION</t>
  </si>
  <si>
    <t>Data Source</t>
  </si>
  <si>
    <t>December</t>
  </si>
  <si>
    <t xml:space="preserve">November </t>
  </si>
  <si>
    <t>October</t>
  </si>
  <si>
    <t>September</t>
  </si>
  <si>
    <t>August</t>
  </si>
  <si>
    <t>July</t>
  </si>
  <si>
    <t xml:space="preserve">June </t>
  </si>
  <si>
    <t xml:space="preserve">May </t>
  </si>
  <si>
    <t xml:space="preserve">April </t>
  </si>
  <si>
    <t xml:space="preserve">March </t>
  </si>
  <si>
    <t>February</t>
  </si>
  <si>
    <t>January</t>
  </si>
  <si>
    <t>New Authorized Revenue Per Customer (6)</t>
  </si>
  <si>
    <t xml:space="preserve">Data Source </t>
  </si>
  <si>
    <t xml:space="preserve">September </t>
  </si>
  <si>
    <t xml:space="preserve">August </t>
  </si>
  <si>
    <t xml:space="preserve">July </t>
  </si>
  <si>
    <t>March</t>
  </si>
  <si>
    <t>Rate is Column C divided by Column E</t>
  </si>
  <si>
    <t>Data Sources</t>
  </si>
  <si>
    <t>Customer Count (4)</t>
  </si>
  <si>
    <t>Rate (3)</t>
  </si>
  <si>
    <t>Margin Revenue (1)</t>
  </si>
  <si>
    <t>P</t>
  </si>
  <si>
    <t>2018 Monthly EOP &amp; Normalized/Actual Therms</t>
  </si>
  <si>
    <t>Margin Revenue is from Exh. IDM-2, column (R). (Margin revenue in proposed column.)</t>
  </si>
  <si>
    <t>EOP Weather Normalized Or Actual Annual Therms (2)</t>
  </si>
  <si>
    <t xml:space="preserve">Exh. IDM-2, column (K). 503, 504 EOP Weather Normalized Therms and 505, 511, &amp; 570 EOP adjusted actuals. </t>
  </si>
  <si>
    <t>End of Period annualized test year customer counts are from Myhrum Workpaper "End of Period Calculations" column "P".</t>
  </si>
  <si>
    <t>From Myhrum Workpaper - "End of Period Calculations"</t>
  </si>
  <si>
    <t>New Authorized Revenue Per Customer is (2018 Monthly EOP &amp; Normalized/Actual Therms * Rate) divided by customer count</t>
  </si>
  <si>
    <t>Adjusted current margin revenues using weather normalized volumes at current margin rates</t>
  </si>
  <si>
    <t>(Per Myhrum Exh. IDM-2, column “J”, row “745”)</t>
  </si>
  <si>
    <t>(Per Exh. IDM-2, column “D”, row “745”)</t>
  </si>
  <si>
    <t>Less Total Cap Adjustments</t>
  </si>
  <si>
    <t>(Per Exh. IDM-2, column “J”, row “748”)</t>
  </si>
  <si>
    <t>Plus Unbilled Margins Booked</t>
  </si>
  <si>
    <t>(Per Exh. IDM-2, column “J”, row “749”)</t>
  </si>
  <si>
    <t>CASCADE NATURAL GAS CORPORATION</t>
  </si>
  <si>
    <t>Exhibit No. __ (IDM-2)</t>
  </si>
  <si>
    <t>Docket No. UG-19____</t>
  </si>
  <si>
    <t>Witness: Isaac D. Myhrum</t>
  </si>
  <si>
    <t>EXHIBIT OF ISAAC D. MYHRUM</t>
  </si>
  <si>
    <t>Exhibit No. __ (IDM-3)</t>
  </si>
  <si>
    <t>REVENUE ADJUSTMENTS</t>
  </si>
  <si>
    <t>Exhibit No. __ (IDM-4)</t>
  </si>
  <si>
    <t>REVENUE DISTRIBUTION</t>
  </si>
  <si>
    <t>Exhibit No. __ (IDM-5)</t>
  </si>
  <si>
    <t>(D)</t>
  </si>
  <si>
    <t>Migrated to 503</t>
  </si>
  <si>
    <t>Migrated to 504</t>
  </si>
  <si>
    <t>CRM Revenue</t>
  </si>
  <si>
    <t>(S) = (R)-(L)</t>
  </si>
  <si>
    <t>( R) = (Q)*(K)</t>
  </si>
  <si>
    <t>(P) = (N)*(O)</t>
  </si>
  <si>
    <t>(M) = (L)-(J)</t>
  </si>
  <si>
    <t>(L) = (K)*(I)</t>
  </si>
  <si>
    <t>Merge w 6631</t>
  </si>
  <si>
    <t>SUMMARY OF REVENUES BY RATE SCHEDULE</t>
  </si>
  <si>
    <t>DECOUPLING MECHANISM, AUTHORIZED REVENUE PER CUSTOMER</t>
  </si>
  <si>
    <t>End of Period Useage Calculations</t>
  </si>
  <si>
    <t>Q</t>
  </si>
  <si>
    <t>R</t>
  </si>
  <si>
    <t>S</t>
  </si>
  <si>
    <t>T</t>
  </si>
  <si>
    <t>U</t>
  </si>
  <si>
    <t>V</t>
  </si>
  <si>
    <t>W</t>
  </si>
  <si>
    <t>X</t>
  </si>
  <si>
    <t>Y</t>
  </si>
  <si>
    <t>Z</t>
  </si>
  <si>
    <t>AA</t>
  </si>
  <si>
    <t>AB</t>
  </si>
  <si>
    <t>AC</t>
  </si>
  <si>
    <t>AD</t>
  </si>
  <si>
    <t>AE</t>
  </si>
  <si>
    <t>AF</t>
  </si>
  <si>
    <t>AG</t>
  </si>
  <si>
    <t>AH</t>
  </si>
  <si>
    <t>AI</t>
  </si>
  <si>
    <t>AJ</t>
  </si>
  <si>
    <t>AK</t>
  </si>
  <si>
    <t>27 - 38</t>
  </si>
  <si>
    <t>IDM WP-1.6</t>
  </si>
  <si>
    <t>WACAP2018</t>
  </si>
  <si>
    <t>IDM WP-1.5</t>
  </si>
  <si>
    <t>Weather Normalization</t>
  </si>
  <si>
    <t>IDM WP-1.4</t>
  </si>
  <si>
    <t>Allocation Report Summary</t>
  </si>
  <si>
    <t>23 - 24</t>
  </si>
  <si>
    <t>IDM WP-1.3</t>
  </si>
  <si>
    <t>End of Period Calculations</t>
  </si>
  <si>
    <t>16 - 22</t>
  </si>
  <si>
    <t>IDM WP-1.2</t>
  </si>
  <si>
    <t>Rev Recon Summary</t>
  </si>
  <si>
    <t>2 - 15</t>
  </si>
  <si>
    <t>IDM WP-1.1</t>
  </si>
  <si>
    <t>1501 Summary</t>
  </si>
  <si>
    <t>IDM WP-1.0</t>
  </si>
  <si>
    <t>Index</t>
  </si>
  <si>
    <t>Workpaper - Support Documents</t>
  </si>
  <si>
    <t>Page(s)</t>
  </si>
  <si>
    <t>WP #</t>
  </si>
  <si>
    <t>Description of Workpaper</t>
  </si>
  <si>
    <t>Line No:</t>
  </si>
  <si>
    <t xml:space="preserve">A </t>
  </si>
  <si>
    <t>Twelve Months Ended December 31, 2018</t>
  </si>
  <si>
    <t>UG 19_____</t>
  </si>
  <si>
    <t>Total Annual CRM Adjustment</t>
  </si>
  <si>
    <t>(Per Exh. IDM-2, column “M”, row “745”)</t>
  </si>
  <si>
    <t>(Per Exh. MCP-5, R-1 Adjustment)</t>
  </si>
  <si>
    <t>(Per Exh. IDM-2, column “P”, row “745”)</t>
  </si>
  <si>
    <t>(Per Exh. MCP-5, R-4 Adjustment)</t>
  </si>
  <si>
    <t>(Per Exh. MCP-5, R-3 Adjustment)</t>
  </si>
  <si>
    <t>(Per Exh. IDM-2, column “J”, row “750”)</t>
  </si>
  <si>
    <t xml:space="preserve">Total CRM Proposed Revenue </t>
  </si>
  <si>
    <t>(Per Exh. IDM-2, column “P”, row “743”)</t>
  </si>
  <si>
    <t>Less Booked CRM Revenue</t>
  </si>
  <si>
    <t>(Per Exh. IDM-2, column “P”, row “744”)</t>
  </si>
  <si>
    <t>Total Restate Revenue Adjustment</t>
  </si>
  <si>
    <t>Total Restate End of Period (EOP) Adjustment</t>
  </si>
  <si>
    <t>Unbilled Margins Booked</t>
  </si>
  <si>
    <t>Total Unbilled Margins Booked</t>
  </si>
  <si>
    <t>Table 1</t>
  </si>
  <si>
    <t>Table 2</t>
  </si>
  <si>
    <t>Table 3</t>
  </si>
  <si>
    <t>Block Descriptions</t>
  </si>
  <si>
    <t>(k)</t>
  </si>
  <si>
    <t>Margin Revenue @ Proposed Rates</t>
  </si>
  <si>
    <t>Monthly Actual Average customer counts</t>
  </si>
  <si>
    <t>Cascade Natural gas Corporation</t>
  </si>
  <si>
    <t>Revenue Adjustments</t>
  </si>
  <si>
    <t>Revenue Distribution</t>
  </si>
  <si>
    <t>Cascade Natural Gas Corporation - Test Year Revenue Recon Workpaper</t>
  </si>
  <si>
    <t>Cascade Natural Gas Coporation</t>
  </si>
  <si>
    <t>Test Year Summary of 1501 Reports</t>
  </si>
  <si>
    <t>Source: Monthly CA1501 Reports</t>
  </si>
  <si>
    <t>Total EOP Adj.</t>
  </si>
  <si>
    <t>Source: 2018 Revenue Reconciliation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</si>
</sst>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quot;$&quot;#,##0.0000000"/>
    <numFmt numFmtId="166" formatCode="&quot;$&quot;#,##0"/>
    <numFmt numFmtId="167" formatCode="_(* #,##0_);_(* \(#,##0\);_(* &quot;-&quot;??_);_(@_)"/>
    <numFmt numFmtId="168" formatCode="&quot;$&quot;#,##0.00000"/>
    <numFmt numFmtId="169" formatCode="_(&quot;$&quot;* #,##0.00000_);_(&quot;$&quot;* \(#,##0.00000\);_(&quot;$&quot;* &quot;-&quot;??_);_(@_)"/>
    <numFmt numFmtId="170" formatCode="0_);\(0\)"/>
    <numFmt numFmtId="171" formatCode="_(&quot;$&quot;* #,##0.0000000_);_(&quot;$&quot;* \(#,##0.0000000\);_(&quot;$&quot;* &quot;-&quot;??_);_(@_)"/>
    <numFmt numFmtId="172" formatCode="#,##0.0000"/>
    <numFmt numFmtId="173" formatCode="#,##0.0000000"/>
    <numFmt numFmtId="174" formatCode="_(* #,##0.0000000_);_(* \(#,##0.0000000\);_(* &quot;-&quot;??_);_(@_)"/>
    <numFmt numFmtId="175" formatCode="_(&quot;$&quot;* #,##0.0000_);_(&quot;$&quot;* \(#,##0.0000\);_(&quot;$&quot;* &quot;-&quot;??_);_(@_)"/>
    <numFmt numFmtId="176" formatCode="&quot;$&quot;#,##0.0000"/>
    <numFmt numFmtId="177" formatCode="_(&quot;$&quot;* #,##0_);_(&quot;$&quot;* \(#,##0\);_(&quot;$&quot;* &quot;-&quot;??_);_(@_)"/>
    <numFmt numFmtId="178" formatCode="_(* #,##0.0000_);_(* \(#,##0.0000\);_(* &quot;-&quot;??_);_(@_)"/>
    <numFmt numFmtId="179" formatCode="#,##0.00000"/>
    <numFmt numFmtId="180" formatCode="_(* #,##0.00000_);_(* \(#,##0.00000\);_(* &quot;-&quot;??_);_(@_)"/>
    <numFmt numFmtId="181" formatCode="_(* #,##0.000000_);_(* \(#,##0.000000\);_(* &quot;-&quot;??_);_(@_)"/>
    <numFmt numFmtId="182" formatCode="#,##0.00000_);\(#,##0.00000\)"/>
    <numFmt numFmtId="183" formatCode="_(* #,##0.000_);_(* \(#,##0.000\);_(* &quot;-&quot;??_);_(@_)"/>
    <numFmt numFmtId="184" formatCode="0.0000"/>
    <numFmt numFmtId="185" formatCode="#,##0.0000_);\(#,##0.0000\)"/>
    <numFmt numFmtId="186" formatCode="&quot;$&quot;#,##0.00000_);\(&quot;$&quot;#,##0.00000\)"/>
    <numFmt numFmtId="187" formatCode="#,##0.000000"/>
    <numFmt numFmtId="188" formatCode="0.00000"/>
    <numFmt numFmtId="189" formatCode="[$-409]mmm\-yy;@"/>
    <numFmt numFmtId="190" formatCode="[$-409]mmmm\ d\,\ yyyy;@"/>
  </numFmts>
  <fonts count="41" x14ac:knownFonts="1">
    <font>
      <sz val="11"/>
      <color theme="1"/>
      <name val="Calibri"/>
      <family val="2"/>
      <scheme val="minor"/>
    </font>
    <font>
      <b/>
      <sz val="11"/>
      <color theme="1"/>
      <name val="Calibri"/>
      <family val="2"/>
      <scheme val="minor"/>
    </font>
    <font>
      <sz val="10"/>
      <color indexed="8"/>
      <name val="Arial"/>
      <family val="2"/>
    </font>
    <font>
      <i/>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0"/>
      <color theme="1"/>
      <name val="Arial Narrow"/>
      <family val="2"/>
    </font>
    <font>
      <sz val="11"/>
      <color theme="0" tint="-0.499984740745262"/>
      <name val="Calibri"/>
      <family val="2"/>
      <scheme val="minor"/>
    </font>
    <font>
      <b/>
      <u/>
      <sz val="11"/>
      <name val="Calibri"/>
      <family val="2"/>
      <scheme val="minor"/>
    </font>
    <font>
      <i/>
      <sz val="11"/>
      <name val="Calibri"/>
      <family val="2"/>
      <scheme val="minor"/>
    </font>
    <font>
      <sz val="9"/>
      <color indexed="81"/>
      <name val="Tahoma"/>
      <family val="2"/>
    </font>
    <font>
      <b/>
      <sz val="9"/>
      <color indexed="81"/>
      <name val="Tahoma"/>
      <family val="2"/>
    </font>
    <font>
      <sz val="11"/>
      <color indexed="8"/>
      <name val="Calibri"/>
      <family val="2"/>
      <scheme val="minor"/>
    </font>
    <font>
      <sz val="10"/>
      <name val="Calibri"/>
      <family val="2"/>
      <scheme val="minor"/>
    </font>
    <font>
      <sz val="10"/>
      <color indexed="8"/>
      <name val="Arial"/>
      <family val="2"/>
    </font>
    <font>
      <sz val="11"/>
      <color rgb="FFFF0000"/>
      <name val="Calibri"/>
      <family val="2"/>
      <scheme val="minor"/>
    </font>
    <font>
      <sz val="10"/>
      <color theme="1"/>
      <name val="Arial"/>
      <family val="2"/>
    </font>
    <font>
      <sz val="10"/>
      <color indexed="8"/>
      <name val="Arial"/>
      <family val="2"/>
    </font>
    <font>
      <sz val="10"/>
      <name val="Arial Narrow"/>
      <family val="2"/>
    </font>
    <font>
      <sz val="12"/>
      <name val="Times New Roman"/>
      <family val="1"/>
    </font>
    <font>
      <sz val="12"/>
      <color indexed="8"/>
      <name val="Times New Roman"/>
      <family val="1"/>
    </font>
    <font>
      <sz val="9"/>
      <name val="Calibri"/>
      <family val="2"/>
      <scheme val="minor"/>
    </font>
    <font>
      <u/>
      <sz val="10"/>
      <color indexed="8"/>
      <name val="Arial"/>
      <family val="2"/>
    </font>
    <font>
      <b/>
      <sz val="12"/>
      <color theme="1"/>
      <name val="Calibri"/>
      <family val="2"/>
      <scheme val="minor"/>
    </font>
    <font>
      <sz val="12"/>
      <name val="Calibri"/>
      <family val="2"/>
      <scheme val="minor"/>
    </font>
    <font>
      <b/>
      <i/>
      <u/>
      <sz val="12"/>
      <name val="Calibri"/>
      <family val="2"/>
      <scheme val="minor"/>
    </font>
    <font>
      <b/>
      <sz val="11"/>
      <color rgb="FFFF0000"/>
      <name val="Calibri"/>
      <family val="2"/>
      <scheme val="minor"/>
    </font>
    <font>
      <b/>
      <sz val="13"/>
      <color theme="1"/>
      <name val="Calibri"/>
      <family val="2"/>
      <scheme val="minor"/>
    </font>
    <font>
      <b/>
      <sz val="16"/>
      <color theme="1"/>
      <name val="Calibri"/>
      <family val="2"/>
      <scheme val="minor"/>
    </font>
    <font>
      <b/>
      <sz val="14"/>
      <color theme="1"/>
      <name val="Calibri"/>
      <family val="2"/>
      <scheme val="minor"/>
    </font>
    <font>
      <b/>
      <sz val="10"/>
      <name val="Arial"/>
      <family val="2"/>
    </font>
    <font>
      <sz val="10"/>
      <color theme="1"/>
      <name val="Calibri"/>
      <family val="2"/>
      <scheme val="minor"/>
    </font>
    <font>
      <sz val="11"/>
      <color theme="1"/>
      <name val="Arial"/>
      <family val="2"/>
    </font>
    <font>
      <b/>
      <sz val="12"/>
      <color theme="1"/>
      <name val="Times New Roman"/>
      <family val="1"/>
    </font>
    <font>
      <b/>
      <u/>
      <sz val="12"/>
      <color theme="1"/>
      <name val="Times New Roman"/>
      <family val="1"/>
    </font>
    <font>
      <sz val="12"/>
      <color theme="1"/>
      <name val="Times New Roman"/>
      <family val="1"/>
    </font>
    <font>
      <b/>
      <u/>
      <sz val="12"/>
      <name val="Times New Roman"/>
      <family val="1"/>
    </font>
    <font>
      <b/>
      <sz val="12"/>
      <name val="Times New Roman"/>
      <family val="1"/>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249977111117893"/>
      </left>
      <right style="thin">
        <color theme="0" tint="-0.249977111117893"/>
      </right>
      <top/>
      <bottom/>
      <diagonal/>
    </border>
    <border>
      <left/>
      <right style="thin">
        <color indexed="64"/>
      </right>
      <top/>
      <bottom/>
      <diagonal/>
    </border>
    <border>
      <left/>
      <right style="thin">
        <color indexed="64"/>
      </right>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medium">
        <color auto="1"/>
      </right>
      <top style="thin">
        <color auto="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auto="1"/>
      </top>
      <bottom style="thin">
        <color indexed="64"/>
      </bottom>
      <diagonal/>
    </border>
    <border>
      <left style="medium">
        <color auto="1"/>
      </left>
      <right/>
      <top style="medium">
        <color auto="1"/>
      </top>
      <bottom style="thin">
        <color indexed="64"/>
      </bottom>
      <diagonal/>
    </border>
  </borders>
  <cellStyleXfs count="18">
    <xf numFmtId="0" fontId="0" fillId="0" borderId="0"/>
    <xf numFmtId="0" fontId="2" fillId="0" borderId="0">
      <alignment vertical="top"/>
    </xf>
    <xf numFmtId="43" fontId="4"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9" fontId="4" fillId="0" borderId="0" applyFont="0" applyFill="0" applyBorder="0" applyAlignment="0" applyProtection="0"/>
    <xf numFmtId="0" fontId="21" fillId="0" borderId="0"/>
    <xf numFmtId="0" fontId="18" fillId="0" borderId="0"/>
    <xf numFmtId="0" fontId="4" fillId="0" borderId="0"/>
    <xf numFmtId="0" fontId="5" fillId="0" borderId="0"/>
    <xf numFmtId="0" fontId="5" fillId="0" borderId="0"/>
  </cellStyleXfs>
  <cellXfs count="594">
    <xf numFmtId="0" fontId="0" fillId="0" borderId="0" xfId="0"/>
    <xf numFmtId="0" fontId="6" fillId="0" borderId="0" xfId="3" applyFont="1"/>
    <xf numFmtId="17" fontId="6" fillId="0" borderId="0" xfId="3" applyNumberFormat="1" applyFont="1"/>
    <xf numFmtId="0" fontId="6" fillId="0" borderId="0" xfId="3" applyFont="1" applyAlignment="1">
      <alignment horizontal="center"/>
    </xf>
    <xf numFmtId="0" fontId="7" fillId="0" borderId="0" xfId="3" applyFont="1"/>
    <xf numFmtId="4" fontId="6" fillId="0" borderId="0" xfId="3" applyNumberFormat="1" applyFont="1"/>
    <xf numFmtId="0" fontId="4" fillId="0" borderId="0" xfId="5" applyFont="1"/>
    <xf numFmtId="0" fontId="9" fillId="0" borderId="0" xfId="5" applyFont="1" applyAlignment="1">
      <alignment horizontal="center"/>
    </xf>
    <xf numFmtId="0" fontId="9" fillId="0" borderId="0" xfId="5" quotePrefix="1" applyFont="1"/>
    <xf numFmtId="0" fontId="6" fillId="0" borderId="0" xfId="5" applyFont="1" applyAlignment="1">
      <alignment horizontal="center"/>
    </xf>
    <xf numFmtId="0" fontId="3" fillId="0" borderId="0" xfId="5" applyFont="1" applyAlignment="1">
      <alignment horizontal="left" indent="1"/>
    </xf>
    <xf numFmtId="167" fontId="4" fillId="0" borderId="0" xfId="5" applyNumberFormat="1" applyFont="1"/>
    <xf numFmtId="0" fontId="4" fillId="0" borderId="0" xfId="3" applyFont="1"/>
    <xf numFmtId="0" fontId="4" fillId="0" borderId="0" xfId="3" applyFont="1" applyAlignment="1">
      <alignment horizontal="center"/>
    </xf>
    <xf numFmtId="167" fontId="4" fillId="0" borderId="0" xfId="4" applyNumberFormat="1" applyFont="1"/>
    <xf numFmtId="0" fontId="1" fillId="0" borderId="0" xfId="5" applyFont="1"/>
    <xf numFmtId="167" fontId="0" fillId="0" borderId="0" xfId="0" applyNumberFormat="1"/>
    <xf numFmtId="167" fontId="0" fillId="0" borderId="0" xfId="2" applyNumberFormat="1" applyFont="1"/>
    <xf numFmtId="0" fontId="6" fillId="0" borderId="0" xfId="0" applyFont="1" applyAlignment="1">
      <alignment horizontal="left" indent="1"/>
    </xf>
    <xf numFmtId="0" fontId="6" fillId="0" borderId="0" xfId="0" applyFont="1"/>
    <xf numFmtId="0" fontId="6" fillId="0" borderId="1" xfId="0" applyFont="1" applyBorder="1" applyAlignment="1">
      <alignment horizontal="center"/>
    </xf>
    <xf numFmtId="0" fontId="6" fillId="0" borderId="0" xfId="0" applyFont="1" applyAlignment="1">
      <alignment horizontal="center"/>
    </xf>
    <xf numFmtId="0" fontId="11"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Continuous"/>
    </xf>
    <xf numFmtId="0" fontId="3" fillId="0" borderId="0" xfId="5" applyFont="1" applyAlignment="1">
      <alignment horizontal="left"/>
    </xf>
    <xf numFmtId="0" fontId="3" fillId="0" borderId="0" xfId="5" applyFont="1"/>
    <xf numFmtId="0" fontId="0" fillId="0" borderId="0" xfId="5" applyFont="1"/>
    <xf numFmtId="0" fontId="4" fillId="0" borderId="0" xfId="5" applyFont="1" applyAlignment="1">
      <alignment horizontal="center"/>
    </xf>
    <xf numFmtId="17" fontId="6" fillId="0" borderId="0" xfId="5" applyNumberFormat="1" applyFont="1"/>
    <xf numFmtId="0" fontId="10" fillId="0" borderId="0" xfId="0" applyFont="1"/>
    <xf numFmtId="0" fontId="7" fillId="0" borderId="0" xfId="0" applyFont="1"/>
    <xf numFmtId="0" fontId="7" fillId="0" borderId="0" xfId="0" applyFont="1" applyAlignment="1">
      <alignment horizontal="left" indent="1"/>
    </xf>
    <xf numFmtId="0" fontId="14" fillId="0" borderId="0" xfId="0" applyFont="1" applyAlignment="1">
      <alignment vertical="top"/>
    </xf>
    <xf numFmtId="0" fontId="7" fillId="0" borderId="0" xfId="0" applyFont="1" applyAlignment="1">
      <alignment horizontal="right"/>
    </xf>
    <xf numFmtId="0" fontId="6" fillId="0" borderId="2" xfId="0" applyFont="1" applyBorder="1" applyAlignment="1">
      <alignment horizontal="right"/>
    </xf>
    <xf numFmtId="0" fontId="6" fillId="0" borderId="6" xfId="0" applyFont="1" applyBorder="1" applyAlignment="1">
      <alignment horizontal="right"/>
    </xf>
    <xf numFmtId="0" fontId="6" fillId="0" borderId="3" xfId="0" applyFont="1" applyBorder="1" applyAlignment="1">
      <alignment horizontal="right"/>
    </xf>
    <xf numFmtId="164" fontId="6" fillId="0" borderId="0" xfId="0" applyNumberFormat="1" applyFont="1" applyAlignment="1">
      <alignment horizontal="right"/>
    </xf>
    <xf numFmtId="164" fontId="6" fillId="0" borderId="8" xfId="0" applyNumberFormat="1" applyFont="1" applyBorder="1" applyAlignment="1">
      <alignment horizontal="right"/>
    </xf>
    <xf numFmtId="7" fontId="6" fillId="0" borderId="0" xfId="0" applyNumberFormat="1" applyFont="1" applyAlignment="1">
      <alignment horizontal="right"/>
    </xf>
    <xf numFmtId="167" fontId="6" fillId="0" borderId="0" xfId="2" applyNumberFormat="1" applyFont="1" applyAlignment="1">
      <alignment horizontal="right"/>
    </xf>
    <xf numFmtId="166" fontId="6" fillId="0" borderId="0" xfId="0" applyNumberFormat="1" applyFont="1" applyAlignment="1">
      <alignment horizontal="right"/>
    </xf>
    <xf numFmtId="166" fontId="6" fillId="0" borderId="7" xfId="0" applyNumberFormat="1" applyFont="1" applyBorder="1" applyAlignment="1">
      <alignment horizontal="right"/>
    </xf>
    <xf numFmtId="43" fontId="6" fillId="0" borderId="0" xfId="2" applyFont="1" applyAlignment="1">
      <alignment horizontal="right"/>
    </xf>
    <xf numFmtId="167" fontId="6" fillId="0" borderId="0" xfId="0" applyNumberFormat="1" applyFont="1" applyAlignment="1">
      <alignment horizontal="right"/>
    </xf>
    <xf numFmtId="168" fontId="6" fillId="0" borderId="0" xfId="0" applyNumberFormat="1" applyFont="1" applyAlignment="1">
      <alignment horizontal="right"/>
    </xf>
    <xf numFmtId="165" fontId="6" fillId="0" borderId="0" xfId="0" applyNumberFormat="1" applyFont="1" applyAlignment="1">
      <alignment horizontal="right"/>
    </xf>
    <xf numFmtId="164" fontId="6" fillId="0" borderId="0" xfId="2" applyNumberFormat="1" applyFont="1" applyAlignment="1">
      <alignment horizontal="right"/>
    </xf>
    <xf numFmtId="43" fontId="4" fillId="0" borderId="0" xfId="6" applyFont="1"/>
    <xf numFmtId="43" fontId="4" fillId="0" borderId="0" xfId="5" applyNumberFormat="1" applyFont="1"/>
    <xf numFmtId="43" fontId="4" fillId="0" borderId="0" xfId="5" applyNumberFormat="1" applyFont="1" applyAlignment="1">
      <alignment horizontal="left" indent="1"/>
    </xf>
    <xf numFmtId="43" fontId="4" fillId="0" borderId="0" xfId="5" applyNumberFormat="1" applyFont="1" applyAlignment="1">
      <alignment horizontal="center"/>
    </xf>
    <xf numFmtId="43" fontId="4" fillId="0" borderId="0" xfId="5" applyNumberFormat="1" applyFont="1" applyAlignment="1">
      <alignment horizontal="right"/>
    </xf>
    <xf numFmtId="43" fontId="4" fillId="0" borderId="0" xfId="2"/>
    <xf numFmtId="43" fontId="15" fillId="0" borderId="0" xfId="8" applyFont="1" applyAlignment="1">
      <alignment horizontal="center"/>
    </xf>
    <xf numFmtId="43" fontId="6" fillId="0" borderId="0" xfId="0" applyNumberFormat="1" applyFont="1" applyAlignment="1">
      <alignment horizontal="right"/>
    </xf>
    <xf numFmtId="39" fontId="5" fillId="0" borderId="0" xfId="0" applyNumberFormat="1" applyFont="1" applyAlignment="1">
      <alignment vertical="top"/>
    </xf>
    <xf numFmtId="39" fontId="2" fillId="0" borderId="0" xfId="0" applyNumberFormat="1" applyFont="1" applyAlignment="1">
      <alignment vertical="top"/>
    </xf>
    <xf numFmtId="39" fontId="16" fillId="0" borderId="0" xfId="0" applyNumberFormat="1" applyFont="1" applyAlignment="1">
      <alignment vertical="top"/>
    </xf>
    <xf numFmtId="37" fontId="2" fillId="0" borderId="0" xfId="0" applyNumberFormat="1" applyFont="1" applyAlignment="1">
      <alignment vertical="top"/>
    </xf>
    <xf numFmtId="4" fontId="18" fillId="0" borderId="0" xfId="0" applyNumberFormat="1" applyFont="1" applyAlignment="1">
      <alignment horizontal="right" vertical="center" wrapText="1"/>
    </xf>
    <xf numFmtId="2" fontId="6" fillId="0" borderId="0" xfId="3" applyNumberFormat="1" applyFont="1"/>
    <xf numFmtId="0" fontId="16" fillId="0" borderId="0" xfId="0" applyFont="1" applyAlignment="1">
      <alignment vertical="top"/>
    </xf>
    <xf numFmtId="0" fontId="2" fillId="0" borderId="0" xfId="0" applyFont="1" applyAlignment="1">
      <alignment vertical="top"/>
    </xf>
    <xf numFmtId="166" fontId="6" fillId="0" borderId="8" xfId="0" applyNumberFormat="1" applyFont="1" applyBorder="1" applyAlignment="1">
      <alignment horizontal="right"/>
    </xf>
    <xf numFmtId="0" fontId="6" fillId="0" borderId="0" xfId="0" applyFont="1" applyAlignment="1">
      <alignment horizontal="left"/>
    </xf>
    <xf numFmtId="44" fontId="6" fillId="0" borderId="0" xfId="7" applyFont="1" applyAlignment="1">
      <alignment horizontal="right"/>
    </xf>
    <xf numFmtId="43" fontId="6" fillId="0" borderId="8" xfId="2" applyFont="1" applyBorder="1" applyAlignment="1">
      <alignment horizontal="right"/>
    </xf>
    <xf numFmtId="39" fontId="6" fillId="0" borderId="0" xfId="0" applyNumberFormat="1" applyFont="1" applyAlignment="1">
      <alignment horizontal="right"/>
    </xf>
    <xf numFmtId="4" fontId="6" fillId="0" borderId="0" xfId="0" applyNumberFormat="1" applyFont="1" applyAlignment="1">
      <alignment horizontal="right"/>
    </xf>
    <xf numFmtId="43" fontId="6" fillId="0" borderId="8" xfId="0" applyNumberFormat="1" applyFont="1" applyBorder="1" applyAlignment="1">
      <alignment horizontal="right"/>
    </xf>
    <xf numFmtId="7" fontId="17" fillId="0" borderId="0" xfId="0" applyNumberFormat="1" applyFont="1" applyAlignment="1">
      <alignment horizontal="right"/>
    </xf>
    <xf numFmtId="7" fontId="6" fillId="0" borderId="0" xfId="2" applyNumberFormat="1" applyFont="1" applyAlignment="1">
      <alignment horizontal="right"/>
    </xf>
    <xf numFmtId="167" fontId="1" fillId="0" borderId="0" xfId="5" applyNumberFormat="1" applyFont="1"/>
    <xf numFmtId="167" fontId="4" fillId="0" borderId="0" xfId="6" applyNumberFormat="1" applyFont="1"/>
    <xf numFmtId="39" fontId="6" fillId="0" borderId="8" xfId="0" applyNumberFormat="1" applyFont="1" applyBorder="1" applyAlignment="1">
      <alignment horizontal="right"/>
    </xf>
    <xf numFmtId="0" fontId="6" fillId="0" borderId="8" xfId="0" applyFont="1" applyBorder="1" applyAlignment="1">
      <alignment horizontal="left" indent="1"/>
    </xf>
    <xf numFmtId="7" fontId="6" fillId="0" borderId="8" xfId="0" applyNumberFormat="1" applyFont="1" applyBorder="1" applyAlignment="1">
      <alignment horizontal="right"/>
    </xf>
    <xf numFmtId="164" fontId="6" fillId="0" borderId="8" xfId="2" applyNumberFormat="1" applyFont="1" applyBorder="1" applyAlignment="1">
      <alignment horizontal="right"/>
    </xf>
    <xf numFmtId="174" fontId="6" fillId="0" borderId="0" xfId="2" applyNumberFormat="1" applyFont="1" applyAlignment="1">
      <alignment horizontal="right"/>
    </xf>
    <xf numFmtId="169" fontId="6" fillId="0" borderId="0" xfId="0" applyNumberFormat="1" applyFont="1"/>
    <xf numFmtId="44" fontId="6" fillId="0" borderId="0" xfId="0" applyNumberFormat="1" applyFont="1" applyAlignment="1">
      <alignment horizontal="right"/>
    </xf>
    <xf numFmtId="177" fontId="6" fillId="0" borderId="0" xfId="0" applyNumberFormat="1" applyFont="1" applyAlignment="1">
      <alignment horizontal="right"/>
    </xf>
    <xf numFmtId="37" fontId="6" fillId="0" borderId="0" xfId="0" applyNumberFormat="1" applyFont="1" applyAlignment="1">
      <alignment horizontal="right"/>
    </xf>
    <xf numFmtId="44" fontId="6" fillId="0" borderId="8" xfId="7" applyFont="1" applyBorder="1" applyAlignment="1">
      <alignment horizontal="right"/>
    </xf>
    <xf numFmtId="177" fontId="6" fillId="0" borderId="0" xfId="7" applyNumberFormat="1" applyFont="1" applyAlignment="1">
      <alignment horizontal="right"/>
    </xf>
    <xf numFmtId="177" fontId="6" fillId="0" borderId="7" xfId="7" applyNumberFormat="1" applyFont="1" applyBorder="1" applyAlignment="1">
      <alignment horizontal="right"/>
    </xf>
    <xf numFmtId="177" fontId="6" fillId="0" borderId="8" xfId="7" applyNumberFormat="1" applyFont="1" applyBorder="1" applyAlignment="1">
      <alignment horizontal="right"/>
    </xf>
    <xf numFmtId="41" fontId="6" fillId="0" borderId="0" xfId="0" applyNumberFormat="1" applyFont="1" applyAlignment="1">
      <alignment horizontal="right"/>
    </xf>
    <xf numFmtId="166" fontId="17" fillId="0" borderId="0" xfId="0" applyNumberFormat="1" applyFont="1" applyAlignment="1">
      <alignment horizontal="right"/>
    </xf>
    <xf numFmtId="44" fontId="6" fillId="0" borderId="8" xfId="0" applyNumberFormat="1" applyFont="1" applyBorder="1" applyAlignment="1">
      <alignment horizontal="right"/>
    </xf>
    <xf numFmtId="0" fontId="9" fillId="0" borderId="0" xfId="3" quotePrefix="1" applyFont="1"/>
    <xf numFmtId="0" fontId="6" fillId="0" borderId="1" xfId="0" applyFont="1" applyBorder="1" applyAlignment="1">
      <alignment horizontal="center" wrapText="1"/>
    </xf>
    <xf numFmtId="43" fontId="20" fillId="0" borderId="10" xfId="3" applyNumberFormat="1" applyFont="1" applyBorder="1"/>
    <xf numFmtId="43" fontId="20" fillId="0" borderId="3" xfId="3" applyNumberFormat="1" applyFont="1" applyBorder="1"/>
    <xf numFmtId="39" fontId="20" fillId="0" borderId="10" xfId="3" applyNumberFormat="1" applyFont="1" applyBorder="1"/>
    <xf numFmtId="43" fontId="20" fillId="0" borderId="11" xfId="3" applyNumberFormat="1" applyFont="1" applyBorder="1"/>
    <xf numFmtId="43" fontId="6" fillId="0" borderId="0" xfId="2" applyFont="1"/>
    <xf numFmtId="0" fontId="18" fillId="0" borderId="0" xfId="0" applyFont="1" applyAlignment="1">
      <alignment horizontal="left" vertical="center" wrapText="1"/>
    </xf>
    <xf numFmtId="3" fontId="6" fillId="0" borderId="0" xfId="2" applyNumberFormat="1" applyFont="1" applyAlignment="1">
      <alignment horizontal="right"/>
    </xf>
    <xf numFmtId="167" fontId="6" fillId="0" borderId="8" xfId="2" applyNumberFormat="1" applyFont="1" applyBorder="1" applyAlignment="1">
      <alignment horizontal="right"/>
    </xf>
    <xf numFmtId="167" fontId="0" fillId="0" borderId="8" xfId="0" applyNumberFormat="1" applyBorder="1"/>
    <xf numFmtId="0" fontId="18" fillId="0" borderId="0" xfId="0" applyFont="1" applyAlignment="1">
      <alignment vertical="center" wrapText="1"/>
    </xf>
    <xf numFmtId="0" fontId="7" fillId="0" borderId="8" xfId="0" applyFont="1" applyBorder="1"/>
    <xf numFmtId="0" fontId="6" fillId="0" borderId="8" xfId="0" applyFont="1" applyBorder="1" applyAlignment="1">
      <alignment horizontal="right"/>
    </xf>
    <xf numFmtId="0" fontId="11" fillId="0" borderId="8" xfId="0" applyFont="1" applyBorder="1" applyAlignment="1">
      <alignment horizontal="right"/>
    </xf>
    <xf numFmtId="166" fontId="6" fillId="0" borderId="8" xfId="2" applyNumberFormat="1" applyFont="1" applyBorder="1" applyAlignment="1">
      <alignment horizontal="right"/>
    </xf>
    <xf numFmtId="0" fontId="10" fillId="0" borderId="8" xfId="0" applyFont="1" applyBorder="1"/>
    <xf numFmtId="0" fontId="7" fillId="0" borderId="8" xfId="0" applyFont="1" applyBorder="1" applyAlignment="1">
      <alignment horizontal="left" indent="1"/>
    </xf>
    <xf numFmtId="0" fontId="6" fillId="0" borderId="8" xfId="0" applyFont="1" applyBorder="1"/>
    <xf numFmtId="14" fontId="0" fillId="0" borderId="0" xfId="0" applyNumberFormat="1"/>
    <xf numFmtId="167" fontId="6" fillId="0" borderId="0" xfId="0" applyNumberFormat="1" applyFont="1"/>
    <xf numFmtId="167" fontId="0" fillId="0" borderId="8" xfId="2" applyNumberFormat="1" applyFont="1" applyBorder="1"/>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 xfId="0" applyFill="1" applyBorder="1" applyAlignment="1">
      <alignment horizontal="center"/>
    </xf>
    <xf numFmtId="167" fontId="0" fillId="0" borderId="1" xfId="2" applyNumberFormat="1" applyFont="1" applyBorder="1"/>
    <xf numFmtId="0" fontId="0" fillId="0" borderId="1" xfId="0" applyBorder="1" applyAlignment="1">
      <alignment horizontal="left"/>
    </xf>
    <xf numFmtId="2" fontId="0" fillId="0" borderId="1" xfId="2" applyNumberFormat="1" applyFont="1" applyBorder="1"/>
    <xf numFmtId="2" fontId="0" fillId="0" borderId="1" xfId="0" applyNumberFormat="1" applyBorder="1"/>
    <xf numFmtId="2" fontId="0" fillId="0" borderId="17" xfId="0" applyNumberFormat="1" applyBorder="1"/>
    <xf numFmtId="2" fontId="0" fillId="0" borderId="18" xfId="0" applyNumberFormat="1" applyBorder="1"/>
    <xf numFmtId="0" fontId="0" fillId="4" borderId="1" xfId="0" applyFill="1" applyBorder="1" applyAlignment="1">
      <alignment horizontal="left"/>
    </xf>
    <xf numFmtId="167" fontId="0" fillId="4" borderId="1" xfId="2" applyNumberFormat="1" applyFont="1" applyFill="1" applyBorder="1"/>
    <xf numFmtId="2" fontId="0" fillId="0" borderId="20" xfId="0" applyNumberFormat="1" applyBorder="1"/>
    <xf numFmtId="44" fontId="6" fillId="0" borderId="0" xfId="7" applyFont="1"/>
    <xf numFmtId="167" fontId="6" fillId="0" borderId="0" xfId="2" applyNumberFormat="1" applyFont="1"/>
    <xf numFmtId="2" fontId="0" fillId="0" borderId="19" xfId="0" applyNumberFormat="1" applyBorder="1"/>
    <xf numFmtId="0" fontId="3" fillId="0" borderId="0" xfId="0" applyFont="1"/>
    <xf numFmtId="167" fontId="1" fillId="0" borderId="0" xfId="0" applyNumberFormat="1" applyFont="1"/>
    <xf numFmtId="167" fontId="1" fillId="0" borderId="0" xfId="2" applyNumberFormat="1" applyFont="1" applyAlignment="1">
      <alignment horizontal="center"/>
    </xf>
    <xf numFmtId="167" fontId="1" fillId="0" borderId="0" xfId="2" applyNumberFormat="1" applyFont="1"/>
    <xf numFmtId="168" fontId="6" fillId="0" borderId="8" xfId="0" applyNumberFormat="1" applyFont="1" applyBorder="1" applyAlignment="1">
      <alignment horizontal="right"/>
    </xf>
    <xf numFmtId="5" fontId="6" fillId="0" borderId="0" xfId="0" applyNumberFormat="1" applyFont="1" applyAlignment="1">
      <alignment horizontal="right"/>
    </xf>
    <xf numFmtId="5" fontId="6" fillId="0" borderId="8" xfId="0" applyNumberFormat="1" applyFont="1" applyBorder="1" applyAlignment="1">
      <alignment horizontal="right"/>
    </xf>
    <xf numFmtId="167" fontId="7" fillId="0" borderId="0" xfId="2" applyNumberFormat="1" applyFont="1" applyAlignment="1">
      <alignment horizontal="right"/>
    </xf>
    <xf numFmtId="167" fontId="7" fillId="0" borderId="0" xfId="0" applyNumberFormat="1" applyFont="1" applyAlignment="1">
      <alignment horizontal="right"/>
    </xf>
    <xf numFmtId="0" fontId="22" fillId="0" borderId="0" xfId="1" applyFont="1" applyAlignment="1">
      <alignment vertical="top" wrapText="1"/>
    </xf>
    <xf numFmtId="177" fontId="7" fillId="0" borderId="0" xfId="0" applyNumberFormat="1" applyFont="1" applyAlignment="1">
      <alignment horizontal="right"/>
    </xf>
    <xf numFmtId="0" fontId="1" fillId="4" borderId="1" xfId="0" applyFont="1" applyFill="1" applyBorder="1" applyAlignment="1">
      <alignment horizontal="left"/>
    </xf>
    <xf numFmtId="43" fontId="1" fillId="4" borderId="1" xfId="2" applyFont="1" applyFill="1" applyBorder="1"/>
    <xf numFmtId="166" fontId="6" fillId="0" borderId="0" xfId="0" applyNumberFormat="1" applyFont="1"/>
    <xf numFmtId="166" fontId="6" fillId="0" borderId="0" xfId="2" applyNumberFormat="1" applyFont="1" applyAlignment="1">
      <alignment horizontal="right"/>
    </xf>
    <xf numFmtId="37" fontId="6" fillId="0" borderId="8" xfId="0" applyNumberFormat="1" applyFont="1" applyBorder="1" applyAlignment="1">
      <alignment horizontal="right"/>
    </xf>
    <xf numFmtId="0" fontId="0" fillId="4" borderId="21" xfId="0" applyFill="1" applyBorder="1" applyAlignment="1">
      <alignment horizontal="left"/>
    </xf>
    <xf numFmtId="167" fontId="0" fillId="4" borderId="21" xfId="2" applyNumberFormat="1" applyFont="1" applyFill="1" applyBorder="1"/>
    <xf numFmtId="0" fontId="0" fillId="4" borderId="22" xfId="0" applyFill="1" applyBorder="1" applyAlignment="1">
      <alignment horizontal="left"/>
    </xf>
    <xf numFmtId="167" fontId="0" fillId="4" borderId="22" xfId="2" applyNumberFormat="1" applyFont="1" applyFill="1" applyBorder="1"/>
    <xf numFmtId="167" fontId="1" fillId="0" borderId="10" xfId="0" applyNumberFormat="1" applyFont="1" applyBorder="1"/>
    <xf numFmtId="167" fontId="1" fillId="0" borderId="23" xfId="0" applyNumberFormat="1" applyFont="1" applyBorder="1"/>
    <xf numFmtId="3" fontId="21" fillId="0" borderId="1" xfId="0" applyNumberFormat="1" applyFont="1" applyBorder="1" applyAlignment="1">
      <alignment horizontal="center" wrapText="1"/>
    </xf>
    <xf numFmtId="164" fontId="21" fillId="0" borderId="1" xfId="4" applyNumberFormat="1" applyFont="1" applyBorder="1" applyAlignment="1">
      <alignment horizontal="center" wrapText="1"/>
    </xf>
    <xf numFmtId="7" fontId="21" fillId="0" borderId="1" xfId="4" applyNumberFormat="1" applyFont="1" applyBorder="1" applyAlignment="1">
      <alignment horizontal="center" wrapText="1"/>
    </xf>
    <xf numFmtId="43" fontId="6" fillId="0" borderId="0" xfId="6" applyFont="1"/>
    <xf numFmtId="167" fontId="6" fillId="0" borderId="0" xfId="5" applyNumberFormat="1" applyFont="1"/>
    <xf numFmtId="43" fontId="6" fillId="0" borderId="0" xfId="5" applyNumberFormat="1" applyFont="1" applyAlignment="1">
      <alignment horizontal="center"/>
    </xf>
    <xf numFmtId="43" fontId="6" fillId="0" borderId="0" xfId="3" applyNumberFormat="1" applyFont="1"/>
    <xf numFmtId="0" fontId="0" fillId="0" borderId="0" xfId="3" applyFont="1"/>
    <xf numFmtId="43" fontId="6" fillId="0" borderId="8" xfId="3" applyNumberFormat="1" applyFont="1" applyBorder="1"/>
    <xf numFmtId="0" fontId="6" fillId="0" borderId="1" xfId="3" applyFont="1" applyBorder="1"/>
    <xf numFmtId="0" fontId="0" fillId="3" borderId="22" xfId="0" applyFill="1" applyBorder="1" applyAlignment="1">
      <alignment horizontal="center" wrapText="1"/>
    </xf>
    <xf numFmtId="0" fontId="6" fillId="0" borderId="1" xfId="0" applyFont="1" applyBorder="1"/>
    <xf numFmtId="0" fontId="6" fillId="0" borderId="1" xfId="0" applyFont="1" applyBorder="1" applyAlignment="1">
      <alignment horizontal="left"/>
    </xf>
    <xf numFmtId="0" fontId="1" fillId="0" borderId="1" xfId="0" applyFont="1" applyBorder="1" applyAlignment="1">
      <alignment horizontal="left"/>
    </xf>
    <xf numFmtId="43" fontId="1" fillId="0" borderId="1" xfId="2" applyFont="1" applyBorder="1"/>
    <xf numFmtId="167" fontId="1" fillId="0" borderId="1" xfId="2" applyNumberFormat="1" applyFont="1" applyBorder="1"/>
    <xf numFmtId="43" fontId="0" fillId="4" borderId="1" xfId="2" applyFont="1" applyFill="1" applyBorder="1"/>
    <xf numFmtId="183" fontId="0" fillId="0" borderId="1" xfId="2" applyNumberFormat="1" applyFont="1" applyBorder="1"/>
    <xf numFmtId="167" fontId="1" fillId="0" borderId="8" xfId="0" applyNumberFormat="1" applyFont="1" applyBorder="1"/>
    <xf numFmtId="167" fontId="0" fillId="0" borderId="22" xfId="2" applyNumberFormat="1" applyFont="1" applyBorder="1"/>
    <xf numFmtId="43" fontId="0" fillId="0" borderId="21" xfId="2" applyFont="1" applyBorder="1"/>
    <xf numFmtId="43" fontId="0" fillId="0" borderId="22" xfId="2" applyFont="1" applyBorder="1"/>
    <xf numFmtId="1" fontId="6" fillId="0" borderId="0" xfId="0" applyNumberFormat="1" applyFont="1" applyAlignment="1">
      <alignment horizontal="right"/>
    </xf>
    <xf numFmtId="2" fontId="0" fillId="0" borderId="5" xfId="2" applyNumberFormat="1" applyFont="1" applyBorder="1"/>
    <xf numFmtId="2" fontId="0" fillId="0" borderId="21" xfId="2" applyNumberFormat="1" applyFont="1" applyBorder="1"/>
    <xf numFmtId="2" fontId="0" fillId="0" borderId="21" xfId="0" applyNumberFormat="1" applyBorder="1"/>
    <xf numFmtId="2" fontId="0" fillId="0" borderId="4" xfId="2" applyNumberFormat="1" applyFont="1" applyBorder="1"/>
    <xf numFmtId="2" fontId="0" fillId="0" borderId="25" xfId="0" applyNumberFormat="1" applyBorder="1"/>
    <xf numFmtId="43" fontId="1" fillId="0" borderId="21" xfId="2" applyFont="1" applyBorder="1"/>
    <xf numFmtId="0" fontId="1" fillId="0" borderId="24" xfId="0" applyFont="1" applyBorder="1" applyAlignment="1">
      <alignment horizontal="left"/>
    </xf>
    <xf numFmtId="44" fontId="6" fillId="0" borderId="0" xfId="3" applyNumberFormat="1" applyFont="1"/>
    <xf numFmtId="167" fontId="2" fillId="0" borderId="0" xfId="2" applyNumberFormat="1" applyFont="1" applyAlignment="1">
      <alignment vertical="top"/>
    </xf>
    <xf numFmtId="184" fontId="6" fillId="0" borderId="0" xfId="3" applyNumberFormat="1" applyFont="1"/>
    <xf numFmtId="1" fontId="1" fillId="0" borderId="1" xfId="0" applyNumberFormat="1" applyFont="1" applyBorder="1"/>
    <xf numFmtId="1" fontId="0" fillId="0" borderId="1" xfId="0" applyNumberFormat="1" applyBorder="1"/>
    <xf numFmtId="167" fontId="1" fillId="4" borderId="21" xfId="2" applyNumberFormat="1" applyFont="1" applyFill="1" applyBorder="1"/>
    <xf numFmtId="167" fontId="1" fillId="4" borderId="4" xfId="2" applyNumberFormat="1" applyFont="1" applyFill="1" applyBorder="1"/>
    <xf numFmtId="167" fontId="4" fillId="4" borderId="21" xfId="2" applyNumberFormat="1" applyFill="1" applyBorder="1"/>
    <xf numFmtId="167" fontId="0" fillId="4" borderId="1" xfId="0" applyNumberFormat="1" applyFill="1" applyBorder="1"/>
    <xf numFmtId="167" fontId="0" fillId="4" borderId="5" xfId="2" applyNumberFormat="1" applyFont="1" applyFill="1" applyBorder="1"/>
    <xf numFmtId="167" fontId="0" fillId="4" borderId="21" xfId="0" applyNumberFormat="1" applyFill="1" applyBorder="1"/>
    <xf numFmtId="167" fontId="0" fillId="4" borderId="4" xfId="2" applyNumberFormat="1" applyFont="1" applyFill="1" applyBorder="1"/>
    <xf numFmtId="1" fontId="1" fillId="4" borderId="1" xfId="0" applyNumberFormat="1" applyFont="1" applyFill="1" applyBorder="1"/>
    <xf numFmtId="0" fontId="2" fillId="0" borderId="0" xfId="1">
      <alignment vertical="top"/>
    </xf>
    <xf numFmtId="5" fontId="0" fillId="0" borderId="0" xfId="0" applyNumberFormat="1"/>
    <xf numFmtId="37" fontId="0" fillId="0" borderId="0" xfId="0" applyNumberFormat="1"/>
    <xf numFmtId="167" fontId="0" fillId="0" borderId="5" xfId="2" applyNumberFormat="1" applyFont="1" applyBorder="1"/>
    <xf numFmtId="167" fontId="0" fillId="0" borderId="21" xfId="2" applyNumberFormat="1" applyFont="1" applyBorder="1"/>
    <xf numFmtId="167" fontId="0" fillId="0" borderId="4" xfId="2" applyNumberFormat="1" applyFont="1" applyBorder="1"/>
    <xf numFmtId="167" fontId="0" fillId="0" borderId="25" xfId="2" applyNumberFormat="1" applyFont="1" applyBorder="1"/>
    <xf numFmtId="43" fontId="0" fillId="0" borderId="1" xfId="2" applyFont="1" applyBorder="1"/>
    <xf numFmtId="0" fontId="6" fillId="4" borderId="1" xfId="0" applyFont="1" applyFill="1" applyBorder="1" applyAlignment="1">
      <alignment horizontal="left"/>
    </xf>
    <xf numFmtId="167" fontId="6" fillId="4" borderId="1" xfId="2" applyNumberFormat="1" applyFont="1" applyFill="1" applyBorder="1"/>
    <xf numFmtId="0" fontId="6" fillId="4" borderId="1" xfId="0" applyFont="1" applyFill="1" applyBorder="1"/>
    <xf numFmtId="167" fontId="6" fillId="4" borderId="22" xfId="2" applyNumberFormat="1" applyFont="1" applyFill="1" applyBorder="1"/>
    <xf numFmtId="167" fontId="6" fillId="4" borderId="24" xfId="2" applyNumberFormat="1" applyFont="1" applyFill="1" applyBorder="1"/>
    <xf numFmtId="0" fontId="0" fillId="0" borderId="23" xfId="0" applyBorder="1"/>
    <xf numFmtId="167" fontId="0" fillId="0" borderId="24" xfId="2" applyNumberFormat="1" applyFont="1" applyBorder="1"/>
    <xf numFmtId="0" fontId="6" fillId="4" borderId="24" xfId="0" applyFont="1" applyFill="1" applyBorder="1"/>
    <xf numFmtId="0" fontId="0" fillId="0" borderId="24" xfId="0" applyBorder="1" applyAlignment="1">
      <alignment horizontal="left"/>
    </xf>
    <xf numFmtId="176" fontId="6" fillId="0" borderId="0" xfId="0" applyNumberFormat="1" applyFont="1" applyAlignment="1">
      <alignment horizontal="right"/>
    </xf>
    <xf numFmtId="185" fontId="6" fillId="0" borderId="0" xfId="0" applyNumberFormat="1" applyFont="1" applyAlignment="1">
      <alignment horizontal="right"/>
    </xf>
    <xf numFmtId="0" fontId="0" fillId="3" borderId="24" xfId="0" applyFill="1" applyBorder="1" applyAlignment="1">
      <alignment horizontal="center" wrapText="1"/>
    </xf>
    <xf numFmtId="0" fontId="7" fillId="0" borderId="0" xfId="0" applyFont="1" applyAlignment="1">
      <alignment horizontal="center"/>
    </xf>
    <xf numFmtId="0" fontId="21" fillId="0" borderId="1" xfId="0" applyFont="1" applyBorder="1" applyAlignment="1">
      <alignment horizontal="center" wrapText="1"/>
    </xf>
    <xf numFmtId="168" fontId="21" fillId="0" borderId="1" xfId="4" applyNumberFormat="1" applyFont="1" applyBorder="1" applyAlignment="1">
      <alignment horizontal="center" wrapText="1"/>
    </xf>
    <xf numFmtId="169" fontId="6" fillId="0" borderId="0" xfId="7" applyNumberFormat="1" applyFont="1" applyAlignment="1">
      <alignment horizontal="right"/>
    </xf>
    <xf numFmtId="0" fontId="0" fillId="3" borderId="23" xfId="0" applyFill="1" applyBorder="1" applyAlignment="1">
      <alignment horizontal="center"/>
    </xf>
    <xf numFmtId="167" fontId="1" fillId="0" borderId="5" xfId="0" applyNumberFormat="1" applyFont="1" applyBorder="1"/>
    <xf numFmtId="0" fontId="0" fillId="0" borderId="12" xfId="0" applyBorder="1" applyAlignment="1">
      <alignment horizontal="center"/>
    </xf>
    <xf numFmtId="0" fontId="0" fillId="3" borderId="26" xfId="0" applyFill="1" applyBorder="1" applyAlignment="1">
      <alignment horizontal="center"/>
    </xf>
    <xf numFmtId="167" fontId="0" fillId="0" borderId="26" xfId="2" applyNumberFormat="1" applyFont="1" applyBorder="1"/>
    <xf numFmtId="167" fontId="0" fillId="4" borderId="25" xfId="2" applyNumberFormat="1" applyFont="1" applyFill="1" applyBorder="1"/>
    <xf numFmtId="167" fontId="0" fillId="4" borderId="27" xfId="2" applyNumberFormat="1" applyFont="1" applyFill="1" applyBorder="1"/>
    <xf numFmtId="167" fontId="0" fillId="4" borderId="26" xfId="2" applyNumberFormat="1" applyFont="1" applyFill="1" applyBorder="1"/>
    <xf numFmtId="167" fontId="0" fillId="0" borderId="28" xfId="2" applyNumberFormat="1" applyFont="1" applyBorder="1"/>
    <xf numFmtId="43" fontId="0" fillId="0" borderId="26" xfId="2" applyFont="1" applyBorder="1"/>
    <xf numFmtId="43" fontId="0" fillId="0" borderId="27" xfId="2" applyFont="1" applyBorder="1"/>
    <xf numFmtId="167" fontId="0" fillId="0" borderId="27" xfId="2" applyNumberFormat="1" applyFont="1" applyBorder="1"/>
    <xf numFmtId="167" fontId="6" fillId="4" borderId="28" xfId="2" applyNumberFormat="1" applyFont="1" applyFill="1" applyBorder="1"/>
    <xf numFmtId="167" fontId="6" fillId="4" borderId="26" xfId="2" applyNumberFormat="1" applyFont="1" applyFill="1" applyBorder="1"/>
    <xf numFmtId="167" fontId="6" fillId="4" borderId="27" xfId="2" applyNumberFormat="1" applyFont="1" applyFill="1" applyBorder="1"/>
    <xf numFmtId="0" fontId="0" fillId="0" borderId="29" xfId="0" applyBorder="1" applyAlignment="1">
      <alignment horizontal="center"/>
    </xf>
    <xf numFmtId="0" fontId="0" fillId="0" borderId="30" xfId="0" applyBorder="1"/>
    <xf numFmtId="0" fontId="0" fillId="0" borderId="31" xfId="0" applyBorder="1"/>
    <xf numFmtId="0" fontId="7" fillId="0" borderId="2" xfId="0" applyFont="1" applyBorder="1"/>
    <xf numFmtId="7" fontId="6" fillId="0" borderId="6" xfId="0" applyNumberFormat="1" applyFont="1" applyBorder="1" applyAlignment="1">
      <alignment horizontal="right"/>
    </xf>
    <xf numFmtId="167" fontId="6" fillId="0" borderId="6" xfId="2" applyNumberFormat="1" applyFont="1" applyBorder="1" applyAlignment="1">
      <alignment horizontal="right"/>
    </xf>
    <xf numFmtId="0" fontId="24" fillId="0" borderId="0" xfId="1" applyFont="1">
      <alignment vertical="top"/>
    </xf>
    <xf numFmtId="3" fontId="6" fillId="0" borderId="0" xfId="0" applyNumberFormat="1" applyFont="1" applyAlignment="1">
      <alignment horizontal="right"/>
    </xf>
    <xf numFmtId="166" fontId="6" fillId="0" borderId="0" xfId="7" applyNumberFormat="1" applyFont="1" applyAlignment="1">
      <alignment horizontal="right"/>
    </xf>
    <xf numFmtId="164" fontId="6" fillId="0" borderId="0" xfId="7" applyNumberFormat="1" applyFont="1" applyAlignment="1">
      <alignment horizontal="right"/>
    </xf>
    <xf numFmtId="0" fontId="6" fillId="0" borderId="0" xfId="0" applyFont="1" applyAlignment="1">
      <alignment horizontal="right" wrapText="1"/>
    </xf>
    <xf numFmtId="177" fontId="6" fillId="0" borderId="0" xfId="7" applyNumberFormat="1" applyFont="1"/>
    <xf numFmtId="37" fontId="6" fillId="0" borderId="0" xfId="0" applyNumberFormat="1" applyFont="1"/>
    <xf numFmtId="164" fontId="6" fillId="0" borderId="0" xfId="0" applyNumberFormat="1" applyFont="1"/>
    <xf numFmtId="169" fontId="6" fillId="0" borderId="0" xfId="7" applyNumberFormat="1" applyFont="1"/>
    <xf numFmtId="0" fontId="16" fillId="0" borderId="0" xfId="0" applyFont="1" applyAlignment="1">
      <alignment horizontal="left" vertical="top"/>
    </xf>
    <xf numFmtId="182" fontId="6" fillId="0" borderId="0" xfId="0" applyNumberFormat="1" applyFont="1" applyAlignment="1">
      <alignment horizontal="right"/>
    </xf>
    <xf numFmtId="170" fontId="6" fillId="0" borderId="0" xfId="0" applyNumberFormat="1" applyFont="1" applyAlignment="1">
      <alignment horizontal="right"/>
    </xf>
    <xf numFmtId="37" fontId="6" fillId="0" borderId="7" xfId="0" applyNumberFormat="1" applyFont="1" applyBorder="1" applyAlignment="1">
      <alignment horizontal="right"/>
    </xf>
    <xf numFmtId="181" fontId="6" fillId="0" borderId="0" xfId="2" applyNumberFormat="1" applyFont="1" applyAlignment="1">
      <alignment horizontal="right"/>
    </xf>
    <xf numFmtId="180" fontId="6" fillId="0" borderId="0" xfId="2" applyNumberFormat="1" applyFont="1" applyAlignment="1">
      <alignment horizontal="right"/>
    </xf>
    <xf numFmtId="41" fontId="6" fillId="0" borderId="0" xfId="2" applyNumberFormat="1" applyFont="1" applyAlignment="1">
      <alignment horizontal="right"/>
    </xf>
    <xf numFmtId="0" fontId="2" fillId="0" borderId="0" xfId="0" applyFont="1" applyAlignment="1">
      <alignment horizontal="left" vertical="top"/>
    </xf>
    <xf numFmtId="172" fontId="6" fillId="0" borderId="0" xfId="0" applyNumberFormat="1" applyFont="1" applyAlignment="1">
      <alignment horizontal="right"/>
    </xf>
    <xf numFmtId="173" fontId="6" fillId="0" borderId="0" xfId="0" applyNumberFormat="1" applyFont="1" applyAlignment="1">
      <alignment horizontal="right"/>
    </xf>
    <xf numFmtId="175" fontId="6" fillId="0" borderId="0" xfId="7" applyNumberFormat="1" applyFont="1" applyAlignment="1">
      <alignment horizontal="right"/>
    </xf>
    <xf numFmtId="171" fontId="6" fillId="0" borderId="0" xfId="7" applyNumberFormat="1" applyFont="1" applyAlignment="1">
      <alignment horizontal="center" vertical="center"/>
    </xf>
    <xf numFmtId="171" fontId="6" fillId="0" borderId="0" xfId="7" applyNumberFormat="1" applyFont="1" applyAlignment="1">
      <alignment horizontal="right"/>
    </xf>
    <xf numFmtId="37" fontId="2" fillId="0" borderId="8" xfId="0" applyNumberFormat="1" applyFont="1" applyBorder="1" applyAlignment="1">
      <alignment vertical="top"/>
    </xf>
    <xf numFmtId="0" fontId="4" fillId="0" borderId="8" xfId="5" applyFont="1" applyBorder="1"/>
    <xf numFmtId="0" fontId="6" fillId="0" borderId="8" xfId="0" applyFont="1" applyBorder="1" applyAlignment="1">
      <alignment horizontal="left"/>
    </xf>
    <xf numFmtId="43" fontId="6" fillId="0" borderId="8" xfId="0" applyNumberFormat="1" applyFont="1" applyBorder="1"/>
    <xf numFmtId="0" fontId="14" fillId="0" borderId="8" xfId="0" applyFont="1" applyBorder="1" applyAlignment="1">
      <alignment vertical="top"/>
    </xf>
    <xf numFmtId="178" fontId="6" fillId="0" borderId="0" xfId="2" applyNumberFormat="1" applyFont="1" applyAlignment="1">
      <alignment horizontal="right"/>
    </xf>
    <xf numFmtId="171" fontId="6" fillId="0" borderId="9" xfId="7" applyNumberFormat="1" applyFont="1" applyBorder="1" applyAlignment="1">
      <alignment horizontal="center" vertical="center"/>
    </xf>
    <xf numFmtId="179" fontId="6" fillId="0" borderId="0" xfId="0" applyNumberFormat="1" applyFont="1"/>
    <xf numFmtId="0" fontId="7" fillId="5" borderId="0" xfId="0" applyFont="1" applyFill="1" applyAlignment="1">
      <alignment horizontal="right"/>
    </xf>
    <xf numFmtId="0" fontId="6" fillId="5" borderId="7" xfId="0" applyFont="1" applyFill="1" applyBorder="1" applyAlignment="1">
      <alignment horizontal="right"/>
    </xf>
    <xf numFmtId="0" fontId="6" fillId="5" borderId="1" xfId="0" applyFont="1" applyFill="1" applyBorder="1" applyAlignment="1">
      <alignment horizontal="right" wrapText="1"/>
    </xf>
    <xf numFmtId="0" fontId="6" fillId="5" borderId="0" xfId="0" applyFont="1" applyFill="1" applyAlignment="1">
      <alignment horizontal="center"/>
    </xf>
    <xf numFmtId="0" fontId="6" fillId="5" borderId="0" xfId="0" applyFont="1" applyFill="1" applyAlignment="1">
      <alignment horizontal="right"/>
    </xf>
    <xf numFmtId="164" fontId="6" fillId="5" borderId="0" xfId="0" applyNumberFormat="1" applyFont="1" applyFill="1" applyAlignment="1">
      <alignment horizontal="right"/>
    </xf>
    <xf numFmtId="164" fontId="6" fillId="5" borderId="0" xfId="7" applyNumberFormat="1" applyFont="1" applyFill="1" applyAlignment="1">
      <alignment horizontal="right"/>
    </xf>
    <xf numFmtId="7" fontId="6" fillId="5" borderId="0" xfId="0" applyNumberFormat="1" applyFont="1" applyFill="1" applyAlignment="1">
      <alignment horizontal="right"/>
    </xf>
    <xf numFmtId="43" fontId="6" fillId="5" borderId="0" xfId="0" applyNumberFormat="1" applyFont="1" applyFill="1" applyAlignment="1">
      <alignment horizontal="right"/>
    </xf>
    <xf numFmtId="164" fontId="6" fillId="5" borderId="8" xfId="0" applyNumberFormat="1" applyFont="1" applyFill="1" applyBorder="1" applyAlignment="1">
      <alignment horizontal="right"/>
    </xf>
    <xf numFmtId="43" fontId="6" fillId="5" borderId="0" xfId="2" applyFont="1" applyFill="1" applyAlignment="1">
      <alignment horizontal="right"/>
    </xf>
    <xf numFmtId="166" fontId="6" fillId="5" borderId="0" xfId="0" applyNumberFormat="1" applyFont="1" applyFill="1" applyAlignment="1">
      <alignment horizontal="right"/>
    </xf>
    <xf numFmtId="166" fontId="6" fillId="5" borderId="8" xfId="0" applyNumberFormat="1" applyFont="1" applyFill="1" applyBorder="1" applyAlignment="1">
      <alignment horizontal="right"/>
    </xf>
    <xf numFmtId="39" fontId="6" fillId="5" borderId="0" xfId="0" applyNumberFormat="1" applyFont="1" applyFill="1"/>
    <xf numFmtId="166" fontId="6" fillId="5" borderId="8" xfId="2" applyNumberFormat="1" applyFont="1" applyFill="1" applyBorder="1" applyAlignment="1">
      <alignment horizontal="right"/>
    </xf>
    <xf numFmtId="44" fontId="6" fillId="5" borderId="0" xfId="7" applyFont="1" applyFill="1" applyAlignment="1">
      <alignment horizontal="right"/>
    </xf>
    <xf numFmtId="0" fontId="6" fillId="5" borderId="0" xfId="0" applyFont="1" applyFill="1"/>
    <xf numFmtId="164" fontId="6" fillId="5" borderId="0" xfId="2" applyNumberFormat="1" applyFont="1" applyFill="1" applyAlignment="1">
      <alignment horizontal="right"/>
    </xf>
    <xf numFmtId="39" fontId="6" fillId="5" borderId="0" xfId="0" applyNumberFormat="1" applyFont="1" applyFill="1" applyAlignment="1">
      <alignment horizontal="right"/>
    </xf>
    <xf numFmtId="4" fontId="6" fillId="5" borderId="0" xfId="0" applyNumberFormat="1" applyFont="1" applyFill="1" applyAlignment="1">
      <alignment horizontal="right"/>
    </xf>
    <xf numFmtId="7" fontId="6" fillId="5" borderId="8" xfId="0" applyNumberFormat="1" applyFont="1" applyFill="1" applyBorder="1" applyAlignment="1">
      <alignment horizontal="right"/>
    </xf>
    <xf numFmtId="7" fontId="6" fillId="5" borderId="0" xfId="2" applyNumberFormat="1" applyFont="1" applyFill="1" applyAlignment="1">
      <alignment horizontal="right"/>
    </xf>
    <xf numFmtId="43" fontId="6" fillId="5" borderId="8" xfId="2" applyFont="1" applyFill="1" applyBorder="1" applyAlignment="1">
      <alignment horizontal="right"/>
    </xf>
    <xf numFmtId="164" fontId="6" fillId="5" borderId="8" xfId="2" applyNumberFormat="1" applyFont="1" applyFill="1" applyBorder="1" applyAlignment="1">
      <alignment horizontal="right"/>
    </xf>
    <xf numFmtId="44" fontId="6" fillId="5" borderId="8" xfId="7" applyFont="1" applyFill="1" applyBorder="1" applyAlignment="1">
      <alignment horizontal="right"/>
    </xf>
    <xf numFmtId="39" fontId="6" fillId="5" borderId="8" xfId="0" applyNumberFormat="1" applyFont="1" applyFill="1" applyBorder="1" applyAlignment="1">
      <alignment horizontal="right"/>
    </xf>
    <xf numFmtId="7" fontId="6" fillId="5" borderId="6" xfId="0" applyNumberFormat="1" applyFont="1" applyFill="1" applyBorder="1" applyAlignment="1">
      <alignment horizontal="right"/>
    </xf>
    <xf numFmtId="186" fontId="6" fillId="0" borderId="0" xfId="0" applyNumberFormat="1" applyFont="1" applyAlignment="1">
      <alignment horizontal="right"/>
    </xf>
    <xf numFmtId="167" fontId="6" fillId="0" borderId="0" xfId="2" applyNumberFormat="1" applyFont="1" applyAlignment="1">
      <alignment horizontal="left"/>
    </xf>
    <xf numFmtId="0" fontId="6" fillId="0" borderId="0" xfId="0" applyFont="1" applyAlignment="1">
      <alignment horizontal="left" wrapText="1"/>
    </xf>
    <xf numFmtId="43" fontId="7" fillId="0" borderId="0" xfId="0" applyNumberFormat="1" applyFont="1" applyAlignment="1">
      <alignment horizontal="right"/>
    </xf>
    <xf numFmtId="44" fontId="5" fillId="0" borderId="0" xfId="7" applyFont="1" applyAlignment="1">
      <alignment vertical="top"/>
    </xf>
    <xf numFmtId="44" fontId="2" fillId="0" borderId="0" xfId="7" applyFont="1" applyAlignment="1">
      <alignment vertical="top"/>
    </xf>
    <xf numFmtId="44" fontId="16" fillId="0" borderId="0" xfId="7" applyFont="1" applyAlignment="1">
      <alignment vertical="top"/>
    </xf>
    <xf numFmtId="44" fontId="18" fillId="0" borderId="0" xfId="7" applyFont="1" applyAlignment="1">
      <alignment horizontal="right" vertical="center" wrapText="1"/>
    </xf>
    <xf numFmtId="44" fontId="17" fillId="0" borderId="0" xfId="7" applyFont="1"/>
    <xf numFmtId="44" fontId="6" fillId="0" borderId="0" xfId="7" applyFont="1" applyAlignment="1">
      <alignment horizontal="center"/>
    </xf>
    <xf numFmtId="44" fontId="19" fillId="0" borderId="0" xfId="7" applyFont="1" applyAlignment="1">
      <alignment vertical="top"/>
    </xf>
    <xf numFmtId="44" fontId="5" fillId="0" borderId="0" xfId="7" applyFont="1" applyAlignment="1">
      <alignment horizontal="right" vertical="center" wrapText="1"/>
    </xf>
    <xf numFmtId="44" fontId="5" fillId="0" borderId="0" xfId="7" applyFont="1"/>
    <xf numFmtId="44" fontId="14" fillId="0" borderId="0" xfId="7" applyFont="1" applyAlignment="1">
      <alignment vertical="top"/>
    </xf>
    <xf numFmtId="44" fontId="0" fillId="0" borderId="0" xfId="0" applyNumberFormat="1"/>
    <xf numFmtId="167" fontId="23" fillId="0" borderId="6" xfId="2" applyNumberFormat="1" applyFont="1" applyBorder="1" applyAlignment="1">
      <alignment wrapText="1"/>
    </xf>
    <xf numFmtId="167" fontId="7" fillId="0" borderId="0" xfId="2" applyNumberFormat="1" applyFont="1"/>
    <xf numFmtId="167" fontId="23" fillId="0" borderId="2" xfId="2" applyNumberFormat="1" applyFont="1" applyBorder="1" applyAlignment="1">
      <alignment wrapText="1"/>
    </xf>
    <xf numFmtId="167" fontId="5" fillId="0" borderId="0" xfId="2" applyNumberFormat="1" applyFont="1" applyAlignment="1">
      <alignment vertical="top"/>
    </xf>
    <xf numFmtId="167" fontId="16" fillId="0" borderId="0" xfId="2" applyNumberFormat="1" applyFont="1" applyAlignment="1">
      <alignment vertical="top"/>
    </xf>
    <xf numFmtId="167" fontId="18" fillId="0" borderId="0" xfId="2" applyNumberFormat="1" applyFont="1" applyAlignment="1">
      <alignment horizontal="right" vertical="center" wrapText="1"/>
    </xf>
    <xf numFmtId="167" fontId="17" fillId="0" borderId="0" xfId="2" applyNumberFormat="1" applyFont="1"/>
    <xf numFmtId="167" fontId="19" fillId="0" borderId="0" xfId="2" applyNumberFormat="1" applyFont="1" applyAlignment="1">
      <alignment vertical="top"/>
    </xf>
    <xf numFmtId="17" fontId="6" fillId="0" borderId="3" xfId="7" applyNumberFormat="1" applyFont="1" applyBorder="1"/>
    <xf numFmtId="17" fontId="6" fillId="0" borderId="6" xfId="7" applyNumberFormat="1" applyFont="1" applyBorder="1"/>
    <xf numFmtId="179" fontId="6" fillId="0" borderId="0" xfId="3" applyNumberFormat="1" applyFont="1"/>
    <xf numFmtId="167" fontId="4" fillId="0" borderId="1" xfId="2" applyNumberFormat="1" applyBorder="1"/>
    <xf numFmtId="43" fontId="4" fillId="0" borderId="1" xfId="2" applyBorder="1"/>
    <xf numFmtId="0" fontId="6" fillId="0" borderId="6" xfId="0" applyFont="1" applyBorder="1" applyAlignment="1">
      <alignment horizontal="left"/>
    </xf>
    <xf numFmtId="177" fontId="7" fillId="0" borderId="6" xfId="0" applyNumberFormat="1" applyFont="1" applyBorder="1" applyAlignment="1">
      <alignment horizontal="right"/>
    </xf>
    <xf numFmtId="10" fontId="0" fillId="0" borderId="0" xfId="0" applyNumberFormat="1"/>
    <xf numFmtId="3" fontId="0" fillId="0" borderId="0" xfId="0" applyNumberFormat="1"/>
    <xf numFmtId="3" fontId="0" fillId="0" borderId="1" xfId="0" applyNumberFormat="1" applyBorder="1"/>
    <xf numFmtId="0" fontId="0" fillId="0" borderId="1" xfId="0" applyBorder="1"/>
    <xf numFmtId="0" fontId="1" fillId="0" borderId="1" xfId="0" applyFont="1" applyBorder="1"/>
    <xf numFmtId="10" fontId="0" fillId="0" borderId="24" xfId="0" applyNumberFormat="1" applyBorder="1"/>
    <xf numFmtId="179" fontId="0" fillId="0" borderId="24" xfId="0" applyNumberFormat="1" applyBorder="1"/>
    <xf numFmtId="187" fontId="0" fillId="0" borderId="24" xfId="0" applyNumberFormat="1" applyBorder="1"/>
    <xf numFmtId="3" fontId="0" fillId="0" borderId="24" xfId="0" applyNumberFormat="1" applyBorder="1"/>
    <xf numFmtId="0" fontId="0" fillId="0" borderId="24" xfId="0" applyBorder="1"/>
    <xf numFmtId="0" fontId="1" fillId="0" borderId="24" xfId="0" applyFont="1" applyBorder="1"/>
    <xf numFmtId="3" fontId="0" fillId="0" borderId="24" xfId="0" applyNumberFormat="1" applyBorder="1" applyAlignment="1">
      <alignment horizontal="center"/>
    </xf>
    <xf numFmtId="188" fontId="0" fillId="0" borderId="24" xfId="0" applyNumberFormat="1" applyBorder="1"/>
    <xf numFmtId="0" fontId="0" fillId="0" borderId="24" xfId="0" applyBorder="1" applyAlignment="1">
      <alignment horizontal="center"/>
    </xf>
    <xf numFmtId="3" fontId="0" fillId="0" borderId="21" xfId="0" applyNumberFormat="1" applyBorder="1"/>
    <xf numFmtId="0" fontId="0" fillId="0" borderId="21" xfId="0" applyBorder="1"/>
    <xf numFmtId="0" fontId="1" fillId="0" borderId="21" xfId="0" applyFont="1" applyBorder="1"/>
    <xf numFmtId="10" fontId="0" fillId="0" borderId="1"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wrapText="1"/>
    </xf>
    <xf numFmtId="3"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xf>
    <xf numFmtId="177" fontId="0" fillId="0" borderId="24" xfId="7" applyNumberFormat="1" applyFont="1" applyBorder="1"/>
    <xf numFmtId="179" fontId="0" fillId="0" borderId="2" xfId="0" applyNumberFormat="1" applyBorder="1"/>
    <xf numFmtId="10" fontId="0" fillId="0" borderId="3" xfId="0" applyNumberFormat="1" applyBorder="1"/>
    <xf numFmtId="3" fontId="0" fillId="0" borderId="34" xfId="0" applyNumberFormat="1" applyBorder="1"/>
    <xf numFmtId="3" fontId="0" fillId="0" borderId="36" xfId="0" applyNumberFormat="1" applyBorder="1" applyAlignment="1">
      <alignment horizontal="center"/>
    </xf>
    <xf numFmtId="3" fontId="1" fillId="0" borderId="24" xfId="0" applyNumberFormat="1" applyFont="1" applyBorder="1"/>
    <xf numFmtId="187" fontId="1" fillId="0" borderId="24" xfId="0" applyNumberFormat="1" applyFont="1" applyBorder="1"/>
    <xf numFmtId="10" fontId="1" fillId="0" borderId="24" xfId="0" applyNumberFormat="1" applyFont="1" applyBorder="1"/>
    <xf numFmtId="169" fontId="0" fillId="0" borderId="0" xfId="7" applyNumberFormat="1" applyFont="1"/>
    <xf numFmtId="43" fontId="0" fillId="0" borderId="0" xfId="0" applyNumberFormat="1"/>
    <xf numFmtId="43" fontId="0" fillId="0" borderId="22" xfId="0" applyNumberFormat="1" applyBorder="1"/>
    <xf numFmtId="43" fontId="0" fillId="0" borderId="24" xfId="0" applyNumberFormat="1" applyBorder="1"/>
    <xf numFmtId="189" fontId="25" fillId="0" borderId="37" xfId="0" applyNumberFormat="1" applyFont="1" applyBorder="1"/>
    <xf numFmtId="0" fontId="1" fillId="6" borderId="0" xfId="0" applyFont="1" applyFill="1" applyAlignment="1">
      <alignment horizontal="center"/>
    </xf>
    <xf numFmtId="0" fontId="26" fillId="0" borderId="0" xfId="13" applyFont="1"/>
    <xf numFmtId="0" fontId="26" fillId="0" borderId="33" xfId="13" applyFont="1" applyBorder="1"/>
    <xf numFmtId="43" fontId="0" fillId="7" borderId="22" xfId="0" applyNumberFormat="1" applyFill="1" applyBorder="1"/>
    <xf numFmtId="0" fontId="26" fillId="0" borderId="8" xfId="13" applyFont="1" applyBorder="1"/>
    <xf numFmtId="0" fontId="26" fillId="0" borderId="32" xfId="13" applyFont="1" applyBorder="1"/>
    <xf numFmtId="43" fontId="0" fillId="7" borderId="24" xfId="0" applyNumberFormat="1" applyFill="1" applyBorder="1"/>
    <xf numFmtId="0" fontId="26" fillId="0" borderId="7" xfId="13" applyFont="1" applyBorder="1"/>
    <xf numFmtId="0" fontId="26" fillId="0" borderId="4" xfId="13" applyFont="1" applyBorder="1"/>
    <xf numFmtId="189" fontId="25" fillId="0" borderId="38" xfId="0" applyNumberFormat="1" applyFont="1" applyBorder="1"/>
    <xf numFmtId="189" fontId="25" fillId="7" borderId="38" xfId="0" applyNumberFormat="1" applyFont="1" applyFill="1" applyBorder="1"/>
    <xf numFmtId="0" fontId="15" fillId="0" borderId="0" xfId="13" applyFont="1"/>
    <xf numFmtId="0" fontId="1" fillId="7" borderId="0" xfId="0" applyFont="1" applyFill="1"/>
    <xf numFmtId="43" fontId="1" fillId="0" borderId="0" xfId="2" applyFont="1"/>
    <xf numFmtId="43" fontId="1" fillId="7" borderId="0" xfId="2" applyFont="1" applyFill="1"/>
    <xf numFmtId="0" fontId="1" fillId="0" borderId="0" xfId="0" applyFont="1" applyAlignment="1">
      <alignment horizontal="right"/>
    </xf>
    <xf numFmtId="43" fontId="1" fillId="2" borderId="0" xfId="0" applyNumberFormat="1" applyFont="1" applyFill="1"/>
    <xf numFmtId="43" fontId="1" fillId="2" borderId="0" xfId="2" applyFont="1" applyFill="1"/>
    <xf numFmtId="43" fontId="4" fillId="0" borderId="8" xfId="2" applyBorder="1"/>
    <xf numFmtId="43" fontId="4" fillId="7" borderId="0" xfId="2" applyFill="1"/>
    <xf numFmtId="43" fontId="17" fillId="0" borderId="0" xfId="2" applyFont="1"/>
    <xf numFmtId="43" fontId="0" fillId="0" borderId="0" xfId="2" applyFont="1"/>
    <xf numFmtId="0" fontId="0" fillId="7" borderId="0" xfId="0" applyFill="1"/>
    <xf numFmtId="0" fontId="0" fillId="0" borderId="35" xfId="0" applyBorder="1"/>
    <xf numFmtId="0" fontId="0" fillId="7" borderId="30" xfId="0" applyFill="1" applyBorder="1"/>
    <xf numFmtId="43" fontId="0" fillId="0" borderId="30" xfId="0" applyNumberFormat="1" applyBorder="1"/>
    <xf numFmtId="0" fontId="1" fillId="0" borderId="29" xfId="0" applyFont="1" applyBorder="1" applyAlignment="1">
      <alignment horizontal="center"/>
    </xf>
    <xf numFmtId="0" fontId="0" fillId="0" borderId="36" xfId="0" applyBorder="1"/>
    <xf numFmtId="43" fontId="1" fillId="0" borderId="39" xfId="2" applyFont="1" applyBorder="1"/>
    <xf numFmtId="0" fontId="0" fillId="0" borderId="15" xfId="0" applyBorder="1" applyAlignment="1">
      <alignment horizontal="left"/>
    </xf>
    <xf numFmtId="43" fontId="1" fillId="0" borderId="40" xfId="0" applyNumberFormat="1" applyFont="1" applyBorder="1"/>
    <xf numFmtId="43" fontId="4" fillId="0" borderId="41" xfId="2" applyBorder="1"/>
    <xf numFmtId="43" fontId="4" fillId="7" borderId="8" xfId="2" applyFill="1" applyBorder="1"/>
    <xf numFmtId="43" fontId="0" fillId="0" borderId="42" xfId="0" applyNumberFormat="1" applyBorder="1"/>
    <xf numFmtId="43" fontId="4" fillId="0" borderId="16" xfId="2" applyBorder="1"/>
    <xf numFmtId="43" fontId="0" fillId="0" borderId="36" xfId="0" applyNumberFormat="1" applyBorder="1"/>
    <xf numFmtId="43" fontId="1" fillId="0" borderId="16" xfId="2" applyFont="1" applyBorder="1"/>
    <xf numFmtId="43" fontId="7" fillId="7" borderId="0" xfId="2" applyFont="1" applyFill="1"/>
    <xf numFmtId="0" fontId="1" fillId="0" borderId="15" xfId="0" applyFont="1" applyBorder="1" applyAlignment="1">
      <alignment horizontal="center"/>
    </xf>
    <xf numFmtId="43" fontId="0" fillId="0" borderId="41" xfId="2" applyFont="1" applyBorder="1"/>
    <xf numFmtId="43" fontId="0" fillId="0" borderId="8" xfId="2" applyFont="1" applyBorder="1"/>
    <xf numFmtId="43" fontId="0" fillId="7" borderId="8" xfId="2" applyFont="1" applyFill="1" applyBorder="1"/>
    <xf numFmtId="43" fontId="0" fillId="7" borderId="0" xfId="2" applyFont="1" applyFill="1"/>
    <xf numFmtId="43" fontId="0" fillId="8" borderId="41" xfId="2" applyFont="1" applyFill="1" applyBorder="1"/>
    <xf numFmtId="43" fontId="0" fillId="8" borderId="8" xfId="2" applyFont="1" applyFill="1" applyBorder="1"/>
    <xf numFmtId="43" fontId="0" fillId="8" borderId="16" xfId="2" applyFont="1" applyFill="1" applyBorder="1"/>
    <xf numFmtId="43" fontId="0" fillId="8" borderId="0" xfId="2" applyFont="1" applyFill="1"/>
    <xf numFmtId="180" fontId="0" fillId="5" borderId="0" xfId="0" applyNumberFormat="1" applyFill="1"/>
    <xf numFmtId="0" fontId="0" fillId="5" borderId="0" xfId="0" applyFill="1"/>
    <xf numFmtId="43" fontId="0" fillId="5" borderId="0" xfId="2" applyFont="1" applyFill="1"/>
    <xf numFmtId="0" fontId="0" fillId="5" borderId="0" xfId="0" applyFill="1" applyAlignment="1">
      <alignment horizontal="right"/>
    </xf>
    <xf numFmtId="167" fontId="0" fillId="5" borderId="0" xfId="2" applyNumberFormat="1" applyFont="1" applyFill="1"/>
    <xf numFmtId="167" fontId="0" fillId="0" borderId="36" xfId="0" applyNumberFormat="1" applyBorder="1"/>
    <xf numFmtId="167" fontId="0" fillId="8" borderId="16" xfId="2" applyNumberFormat="1" applyFont="1" applyFill="1" applyBorder="1"/>
    <xf numFmtId="167" fontId="0" fillId="8" borderId="0" xfId="2" applyNumberFormat="1" applyFont="1" applyFill="1"/>
    <xf numFmtId="167" fontId="0" fillId="7" borderId="0" xfId="2" applyNumberFormat="1" applyFont="1" applyFill="1"/>
    <xf numFmtId="43" fontId="0" fillId="5" borderId="0" xfId="0" applyNumberFormat="1" applyFill="1"/>
    <xf numFmtId="167" fontId="0" fillId="0" borderId="16" xfId="2" applyNumberFormat="1" applyFont="1" applyBorder="1"/>
    <xf numFmtId="167" fontId="17" fillId="2" borderId="0" xfId="2" applyNumberFormat="1" applyFont="1" applyFill="1"/>
    <xf numFmtId="0" fontId="1" fillId="0" borderId="0" xfId="0" applyFont="1"/>
    <xf numFmtId="0" fontId="1" fillId="0" borderId="15" xfId="0" applyFont="1" applyBorder="1" applyAlignment="1">
      <alignment horizontal="left"/>
    </xf>
    <xf numFmtId="180" fontId="0" fillId="0" borderId="0" xfId="0" applyNumberFormat="1"/>
    <xf numFmtId="0" fontId="0" fillId="0" borderId="0" xfId="0" applyAlignment="1">
      <alignment horizontal="right"/>
    </xf>
    <xf numFmtId="43" fontId="0" fillId="0" borderId="16" xfId="2" applyFont="1" applyBorder="1"/>
    <xf numFmtId="43" fontId="0" fillId="0" borderId="39" xfId="2" applyFont="1" applyBorder="1"/>
    <xf numFmtId="43" fontId="0" fillId="2" borderId="0" xfId="2" applyFont="1" applyFill="1"/>
    <xf numFmtId="43" fontId="0" fillId="0" borderId="36" xfId="2" applyFont="1" applyBorder="1"/>
    <xf numFmtId="180" fontId="0" fillId="0" borderId="16" xfId="2" applyNumberFormat="1" applyFont="1" applyBorder="1"/>
    <xf numFmtId="180" fontId="0" fillId="0" borderId="0" xfId="2" applyNumberFormat="1" applyFont="1"/>
    <xf numFmtId="180" fontId="0" fillId="7" borderId="0" xfId="2" applyNumberFormat="1" applyFont="1" applyFill="1"/>
    <xf numFmtId="0" fontId="0" fillId="0" borderId="16" xfId="0" applyBorder="1"/>
    <xf numFmtId="0" fontId="1" fillId="0" borderId="36" xfId="0" applyFont="1" applyBorder="1" applyAlignment="1">
      <alignment horizontal="center"/>
    </xf>
    <xf numFmtId="167" fontId="4" fillId="0" borderId="39" xfId="2" applyNumberFormat="1" applyBorder="1"/>
    <xf numFmtId="167" fontId="4" fillId="0" borderId="0" xfId="2" applyNumberFormat="1"/>
    <xf numFmtId="167" fontId="4" fillId="7" borderId="0" xfId="2" applyNumberFormat="1" applyFill="1"/>
    <xf numFmtId="0" fontId="25" fillId="0" borderId="15" xfId="0" applyFont="1" applyBorder="1" applyAlignment="1">
      <alignment horizontal="center"/>
    </xf>
    <xf numFmtId="10" fontId="0" fillId="0" borderId="1" xfId="12" applyNumberFormat="1" applyFont="1" applyBorder="1"/>
    <xf numFmtId="10" fontId="0" fillId="7" borderId="1" xfId="12" applyNumberFormat="1" applyFont="1" applyFill="1" applyBorder="1"/>
    <xf numFmtId="0" fontId="1" fillId="0" borderId="43" xfId="0" applyFont="1" applyBorder="1" applyAlignment="1">
      <alignment horizontal="center"/>
    </xf>
    <xf numFmtId="0" fontId="25" fillId="0" borderId="44" xfId="0" applyFont="1" applyBorder="1"/>
    <xf numFmtId="0" fontId="25" fillId="0" borderId="45" xfId="0" applyFont="1" applyBorder="1" applyAlignment="1">
      <alignment horizontal="center"/>
    </xf>
    <xf numFmtId="170" fontId="0" fillId="0" borderId="29" xfId="0" applyNumberFormat="1" applyBorder="1" applyAlignment="1">
      <alignment horizontal="center"/>
    </xf>
    <xf numFmtId="0" fontId="0" fillId="0" borderId="14" xfId="0" applyBorder="1"/>
    <xf numFmtId="0" fontId="0" fillId="0" borderId="13" xfId="0" applyBorder="1"/>
    <xf numFmtId="164" fontId="0" fillId="0" borderId="0" xfId="0" applyNumberFormat="1"/>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6" fontId="0" fillId="0" borderId="30" xfId="0" applyNumberFormat="1" applyBorder="1" applyAlignment="1">
      <alignment horizontal="center"/>
    </xf>
    <xf numFmtId="37" fontId="0" fillId="0" borderId="14" xfId="0" applyNumberFormat="1" applyBorder="1"/>
    <xf numFmtId="37" fontId="0" fillId="0" borderId="13" xfId="0" applyNumberFormat="1" applyBorder="1"/>
    <xf numFmtId="166" fontId="0" fillId="0" borderId="13" xfId="0" applyNumberFormat="1" applyBorder="1" applyAlignment="1">
      <alignment horizontal="center"/>
    </xf>
    <xf numFmtId="166" fontId="0" fillId="0" borderId="0" xfId="0" applyNumberFormat="1" applyAlignment="1">
      <alignment horizontal="center"/>
    </xf>
    <xf numFmtId="37" fontId="4" fillId="0" borderId="0" xfId="14" applyNumberFormat="1" applyFont="1"/>
    <xf numFmtId="3" fontId="5" fillId="0" borderId="0" xfId="0" applyNumberFormat="1" applyFont="1"/>
    <xf numFmtId="3" fontId="32" fillId="0" borderId="0" xfId="0" applyNumberFormat="1" applyFont="1"/>
    <xf numFmtId="179" fontId="0" fillId="0" borderId="30" xfId="0" applyNumberFormat="1" applyBorder="1"/>
    <xf numFmtId="3" fontId="0" fillId="0" borderId="30" xfId="0" applyNumberFormat="1" applyBorder="1"/>
    <xf numFmtId="164" fontId="0" fillId="0" borderId="30" xfId="0" applyNumberFormat="1" applyBorder="1"/>
    <xf numFmtId="179" fontId="0" fillId="0" borderId="0" xfId="0" applyNumberFormat="1"/>
    <xf numFmtId="170" fontId="0" fillId="0" borderId="15" xfId="0" applyNumberFormat="1" applyBorder="1" applyAlignment="1">
      <alignment horizontal="center"/>
    </xf>
    <xf numFmtId="170" fontId="0" fillId="0" borderId="0" xfId="0" applyNumberFormat="1" applyAlignment="1">
      <alignment horizontal="center"/>
    </xf>
    <xf numFmtId="170" fontId="0" fillId="0" borderId="0" xfId="0" applyNumberFormat="1" applyAlignment="1">
      <alignment horizontal="left"/>
    </xf>
    <xf numFmtId="179" fontId="0" fillId="0" borderId="13" xfId="0" applyNumberFormat="1" applyBorder="1"/>
    <xf numFmtId="3" fontId="0" fillId="0" borderId="13" xfId="0" applyNumberFormat="1" applyBorder="1"/>
    <xf numFmtId="164" fontId="0" fillId="0" borderId="13" xfId="0" applyNumberFormat="1" applyBorder="1"/>
    <xf numFmtId="41" fontId="1" fillId="0" borderId="0" xfId="0" applyNumberFormat="1" applyFont="1"/>
    <xf numFmtId="1" fontId="1" fillId="0" borderId="0" xfId="0" applyNumberFormat="1" applyFont="1"/>
    <xf numFmtId="166" fontId="0" fillId="0" borderId="0" xfId="0" applyNumberFormat="1"/>
    <xf numFmtId="5" fontId="7" fillId="0" borderId="0" xfId="0" applyNumberFormat="1" applyFont="1" applyAlignment="1">
      <alignment horizontal="right"/>
    </xf>
    <xf numFmtId="0" fontId="0" fillId="0" borderId="4" xfId="0" applyBorder="1"/>
    <xf numFmtId="0" fontId="0" fillId="0" borderId="7" xfId="0" applyBorder="1"/>
    <xf numFmtId="0" fontId="0" fillId="0" borderId="33" xfId="0" applyBorder="1" applyAlignment="1">
      <alignment vertical="center" wrapText="1"/>
    </xf>
    <xf numFmtId="0" fontId="33" fillId="0" borderId="33" xfId="0" applyFont="1" applyBorder="1" applyAlignment="1">
      <alignment vertical="center" wrapText="1"/>
    </xf>
    <xf numFmtId="0" fontId="0" fillId="0" borderId="32" xfId="0" applyBorder="1" applyAlignment="1">
      <alignment vertical="center" wrapText="1"/>
    </xf>
    <xf numFmtId="0" fontId="0" fillId="0" borderId="8" xfId="0" applyBorder="1"/>
    <xf numFmtId="0" fontId="0" fillId="0" borderId="4" xfId="0" applyBorder="1" applyAlignment="1">
      <alignment vertical="center" wrapText="1"/>
    </xf>
    <xf numFmtId="5" fontId="7" fillId="0" borderId="6" xfId="0" applyNumberFormat="1" applyFont="1" applyBorder="1" applyAlignment="1">
      <alignment horizontal="right"/>
    </xf>
    <xf numFmtId="0" fontId="4" fillId="0" borderId="0" xfId="15"/>
    <xf numFmtId="0" fontId="34" fillId="0" borderId="0" xfId="15" applyFont="1" applyAlignment="1">
      <alignment vertical="center"/>
    </xf>
    <xf numFmtId="0" fontId="35" fillId="0" borderId="0" xfId="15" applyFont="1" applyAlignment="1">
      <alignment horizontal="center" vertical="center"/>
    </xf>
    <xf numFmtId="0" fontId="36" fillId="0" borderId="0" xfId="15" applyFont="1" applyAlignment="1">
      <alignment horizontal="center" vertical="center"/>
    </xf>
    <xf numFmtId="0" fontId="37" fillId="0" borderId="0" xfId="15" applyFont="1" applyAlignment="1">
      <alignment horizontal="right" vertical="center"/>
    </xf>
    <xf numFmtId="0" fontId="35" fillId="0" borderId="0" xfId="15" applyFont="1" applyAlignment="1">
      <alignment horizontal="right" vertical="center"/>
    </xf>
    <xf numFmtId="167" fontId="6" fillId="0" borderId="8" xfId="0" applyNumberFormat="1" applyFont="1" applyBorder="1" applyAlignment="1">
      <alignment horizontal="right"/>
    </xf>
    <xf numFmtId="167" fontId="6" fillId="0" borderId="8" xfId="7" applyNumberFormat="1" applyFont="1" applyBorder="1" applyAlignment="1">
      <alignment horizontal="right"/>
    </xf>
    <xf numFmtId="0" fontId="21" fillId="0" borderId="0" xfId="0" applyFont="1" applyAlignment="1">
      <alignment horizontal="center"/>
    </xf>
    <xf numFmtId="0" fontId="37" fillId="0" borderId="0" xfId="0" applyFont="1"/>
    <xf numFmtId="0" fontId="37" fillId="0" borderId="0" xfId="0" applyFont="1" applyAlignment="1">
      <alignment horizontal="center"/>
    </xf>
    <xf numFmtId="0" fontId="21" fillId="0" borderId="0" xfId="16" quotePrefix="1" applyFont="1"/>
    <xf numFmtId="0" fontId="21" fillId="0" borderId="0" xfId="16" quotePrefix="1" applyFont="1" applyAlignment="1">
      <alignment horizontal="center"/>
    </xf>
    <xf numFmtId="49" fontId="21" fillId="0" borderId="0" xfId="0" applyNumberFormat="1" applyFont="1" applyAlignment="1">
      <alignment horizontal="center"/>
    </xf>
    <xf numFmtId="0" fontId="38" fillId="0" borderId="0" xfId="0" applyFont="1" applyAlignment="1">
      <alignment horizontal="center"/>
    </xf>
    <xf numFmtId="0" fontId="36" fillId="0" borderId="0" xfId="0" applyFont="1" applyAlignment="1">
      <alignment horizontal="center"/>
    </xf>
    <xf numFmtId="0" fontId="36" fillId="0" borderId="0" xfId="0" applyFont="1"/>
    <xf numFmtId="0" fontId="39" fillId="0" borderId="0" xfId="0" applyFont="1" applyAlignment="1">
      <alignment horizontal="center"/>
    </xf>
    <xf numFmtId="0" fontId="35" fillId="0" borderId="0" xfId="0" applyFont="1" applyAlignment="1">
      <alignment horizontal="center"/>
    </xf>
    <xf numFmtId="0" fontId="39" fillId="0" borderId="0" xfId="17" applyFont="1" applyAlignment="1">
      <alignment horizontal="center"/>
    </xf>
    <xf numFmtId="0" fontId="33" fillId="0" borderId="33" xfId="0" applyFont="1" applyBorder="1" applyAlignment="1">
      <alignment horizontal="left"/>
    </xf>
    <xf numFmtId="0" fontId="33" fillId="0" borderId="33" xfId="0" applyFont="1" applyBorder="1" applyAlignment="1">
      <alignment horizontal="left" vertical="center"/>
    </xf>
    <xf numFmtId="0" fontId="0" fillId="0" borderId="5" xfId="0" applyBorder="1" applyAlignment="1">
      <alignment horizontal="center"/>
    </xf>
    <xf numFmtId="0" fontId="0" fillId="0" borderId="10" xfId="0" applyBorder="1" applyAlignment="1">
      <alignment horizontal="center"/>
    </xf>
    <xf numFmtId="5" fontId="0" fillId="0" borderId="10" xfId="7" applyNumberFormat="1" applyFont="1" applyBorder="1" applyAlignment="1">
      <alignment horizontal="center" vertical="center"/>
    </xf>
    <xf numFmtId="44" fontId="0" fillId="0" borderId="10" xfId="7" applyFont="1" applyBorder="1" applyAlignment="1">
      <alignment horizontal="center" vertical="center"/>
    </xf>
    <xf numFmtId="0" fontId="0" fillId="0" borderId="23" xfId="0" applyBorder="1" applyAlignment="1">
      <alignment horizontal="center"/>
    </xf>
    <xf numFmtId="5" fontId="1" fillId="0" borderId="10" xfId="7" applyNumberFormat="1" applyFont="1" applyBorder="1" applyAlignment="1">
      <alignment horizontal="center" vertical="center"/>
    </xf>
    <xf numFmtId="44" fontId="0" fillId="0" borderId="23" xfId="7" applyFont="1" applyBorder="1" applyAlignment="1">
      <alignment horizontal="center" vertical="center"/>
    </xf>
    <xf numFmtId="44" fontId="0" fillId="0" borderId="5" xfId="7" applyFont="1" applyBorder="1" applyAlignment="1">
      <alignment horizontal="center" vertical="center"/>
    </xf>
    <xf numFmtId="0" fontId="1" fillId="0" borderId="33" xfId="0" applyFont="1" applyBorder="1" applyAlignment="1">
      <alignment vertical="center" wrapText="1"/>
    </xf>
    <xf numFmtId="0" fontId="33" fillId="0" borderId="33" xfId="0" applyFont="1" applyBorder="1" applyAlignment="1">
      <alignment horizontal="left" vertical="center" wrapText="1"/>
    </xf>
    <xf numFmtId="0" fontId="0" fillId="0" borderId="32" xfId="0" applyBorder="1"/>
    <xf numFmtId="5" fontId="0" fillId="0" borderId="10" xfId="0" applyNumberFormat="1" applyBorder="1" applyAlignment="1">
      <alignment horizontal="center"/>
    </xf>
    <xf numFmtId="43" fontId="1" fillId="0" borderId="2" xfId="2" applyFont="1" applyBorder="1"/>
    <xf numFmtId="0" fontId="0" fillId="0" borderId="3" xfId="0" applyBorder="1" applyAlignment="1">
      <alignment wrapText="1"/>
    </xf>
    <xf numFmtId="0" fontId="0" fillId="0" borderId="15" xfId="0" applyBorder="1"/>
    <xf numFmtId="0" fontId="0" fillId="0" borderId="29" xfId="0" applyBorder="1"/>
    <xf numFmtId="167" fontId="0" fillId="0" borderId="30" xfId="0" applyNumberFormat="1" applyBorder="1"/>
    <xf numFmtId="167" fontId="0" fillId="0" borderId="31" xfId="0" applyNumberFormat="1" applyBorder="1"/>
    <xf numFmtId="166" fontId="0" fillId="0" borderId="30" xfId="0" applyNumberFormat="1" applyBorder="1"/>
    <xf numFmtId="170" fontId="0" fillId="0" borderId="30" xfId="0" applyNumberFormat="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164" fontId="0" fillId="0" borderId="16" xfId="0" applyNumberFormat="1" applyBorder="1" applyAlignment="1">
      <alignment horizontal="center"/>
    </xf>
    <xf numFmtId="164" fontId="0" fillId="0" borderId="31" xfId="0" applyNumberFormat="1" applyBorder="1"/>
    <xf numFmtId="1" fontId="0" fillId="0" borderId="31" xfId="0" applyNumberFormat="1" applyBorder="1" applyAlignment="1">
      <alignment horizontal="center"/>
    </xf>
    <xf numFmtId="3" fontId="0" fillId="0" borderId="16" xfId="0" applyNumberFormat="1" applyBorder="1" applyAlignment="1">
      <alignment horizontal="right"/>
    </xf>
    <xf numFmtId="0" fontId="0" fillId="0" borderId="16" xfId="0" applyBorder="1" applyAlignment="1">
      <alignment horizontal="right"/>
    </xf>
    <xf numFmtId="1" fontId="0" fillId="0" borderId="16" xfId="0" applyNumberFormat="1" applyBorder="1" applyAlignment="1">
      <alignment horizontal="right"/>
    </xf>
    <xf numFmtId="2" fontId="0" fillId="0" borderId="0" xfId="0" applyNumberFormat="1" applyAlignment="1">
      <alignment horizontal="center"/>
    </xf>
    <xf numFmtId="2" fontId="0" fillId="0" borderId="0" xfId="0" applyNumberFormat="1"/>
    <xf numFmtId="167" fontId="0" fillId="0" borderId="0" xfId="2" applyNumberFormat="1" applyFont="1" applyAlignment="1">
      <alignment horizontal="center"/>
    </xf>
    <xf numFmtId="188" fontId="0" fillId="0" borderId="0" xfId="0" applyNumberFormat="1"/>
    <xf numFmtId="44" fontId="0" fillId="0" borderId="0" xfId="7" applyFont="1"/>
    <xf numFmtId="10" fontId="0" fillId="0" borderId="0" xfId="12" applyNumberFormat="1" applyFont="1"/>
    <xf numFmtId="5" fontId="0" fillId="0" borderId="23" xfId="7" applyNumberFormat="1" applyFont="1" applyBorder="1" applyAlignment="1">
      <alignment horizontal="center" vertical="center"/>
    </xf>
    <xf numFmtId="10" fontId="0" fillId="0" borderId="10" xfId="0" applyNumberFormat="1" applyBorder="1"/>
    <xf numFmtId="0" fontId="0" fillId="0" borderId="22" xfId="0" applyBorder="1"/>
    <xf numFmtId="3" fontId="0" fillId="0" borderId="8" xfId="0" applyNumberFormat="1" applyBorder="1"/>
    <xf numFmtId="3" fontId="0" fillId="0" borderId="42" xfId="0" applyNumberFormat="1" applyBorder="1" applyAlignment="1">
      <alignment horizontal="center"/>
    </xf>
    <xf numFmtId="10" fontId="0" fillId="0" borderId="23" xfId="0" applyNumberFormat="1" applyBorder="1"/>
    <xf numFmtId="0" fontId="1" fillId="0" borderId="0" xfId="0" applyFont="1" applyAlignment="1">
      <alignment wrapText="1"/>
    </xf>
    <xf numFmtId="0" fontId="6" fillId="0" borderId="0" xfId="3" applyFont="1" applyAlignment="1">
      <alignment horizontal="left"/>
    </xf>
    <xf numFmtId="16" fontId="0" fillId="0" borderId="0" xfId="0" applyNumberFormat="1" applyAlignment="1">
      <alignment horizontal="center"/>
    </xf>
    <xf numFmtId="0" fontId="7" fillId="0" borderId="0" xfId="5" applyFont="1" applyAlignment="1">
      <alignment horizontal="center"/>
    </xf>
    <xf numFmtId="16" fontId="7" fillId="0" borderId="0" xfId="5" applyNumberFormat="1" applyFont="1" applyAlignment="1">
      <alignment horizontal="center"/>
    </xf>
    <xf numFmtId="43" fontId="2" fillId="0" borderId="0" xfId="2" applyFont="1" applyAlignment="1">
      <alignment vertical="top"/>
    </xf>
    <xf numFmtId="43" fontId="5" fillId="0" borderId="0" xfId="2" applyFont="1" applyAlignment="1">
      <alignment vertical="top"/>
    </xf>
    <xf numFmtId="43" fontId="16" fillId="0" borderId="0" xfId="2" applyFont="1" applyAlignment="1">
      <alignment vertical="top"/>
    </xf>
    <xf numFmtId="43" fontId="19" fillId="0" borderId="0" xfId="2" applyFont="1" applyAlignment="1">
      <alignment vertical="top"/>
    </xf>
    <xf numFmtId="43" fontId="18" fillId="0" borderId="0" xfId="2" applyFont="1"/>
    <xf numFmtId="43" fontId="7" fillId="0" borderId="0" xfId="2" applyFont="1"/>
    <xf numFmtId="190" fontId="35" fillId="0" borderId="0" xfId="15" applyNumberFormat="1" applyFont="1" applyAlignment="1">
      <alignment horizontal="center" vertical="center"/>
    </xf>
    <xf numFmtId="0" fontId="6"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vertical="center"/>
    </xf>
    <xf numFmtId="0" fontId="31" fillId="0" borderId="0" xfId="0" applyFont="1" applyAlignment="1">
      <alignment horizontal="center"/>
    </xf>
    <xf numFmtId="0" fontId="40" fillId="0" borderId="0" xfId="0" applyFont="1" applyAlignment="1">
      <alignment horizontal="center"/>
    </xf>
    <xf numFmtId="0" fontId="1" fillId="0" borderId="4"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1" fillId="0" borderId="33" xfId="0" applyFont="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32" xfId="0" applyFont="1" applyBorder="1" applyAlignment="1">
      <alignment horizontal="center"/>
    </xf>
    <xf numFmtId="0" fontId="1" fillId="0" borderId="8" xfId="0" applyFont="1" applyBorder="1" applyAlignment="1">
      <alignment horizontal="center"/>
    </xf>
    <xf numFmtId="0" fontId="1" fillId="0" borderId="23" xfId="0" applyFont="1" applyBorder="1" applyAlignment="1">
      <alignment horizontal="center"/>
    </xf>
    <xf numFmtId="0" fontId="0" fillId="0" borderId="15" xfId="0" applyBorder="1" applyAlignment="1">
      <alignment horizontal="center" wrapText="1"/>
    </xf>
    <xf numFmtId="0" fontId="0" fillId="0" borderId="0" xfId="0" applyAlignment="1">
      <alignment wrapText="1"/>
    </xf>
    <xf numFmtId="0" fontId="0" fillId="0" borderId="16" xfId="0" applyBorder="1" applyAlignment="1">
      <alignment wrapText="1"/>
    </xf>
    <xf numFmtId="0" fontId="0" fillId="0" borderId="0" xfId="0" applyAlignment="1">
      <alignment horizontal="center" wrapText="1"/>
    </xf>
    <xf numFmtId="0" fontId="0" fillId="0" borderId="16" xfId="0"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9" fillId="0" borderId="0" xfId="17" applyFont="1" applyAlignment="1">
      <alignment horizontal="center"/>
    </xf>
    <xf numFmtId="0" fontId="7" fillId="0" borderId="0" xfId="5" applyFont="1" applyAlignment="1">
      <alignment horizontal="center"/>
    </xf>
    <xf numFmtId="0" fontId="0" fillId="0" borderId="12" xfId="0"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Alignment="1">
      <alignment horizontal="center"/>
    </xf>
    <xf numFmtId="0" fontId="30" fillId="0" borderId="0" xfId="0" applyFont="1" applyAlignment="1">
      <alignment horizontal="center"/>
    </xf>
    <xf numFmtId="0" fontId="29" fillId="0" borderId="0" xfId="0" applyFont="1" applyAlignment="1">
      <alignment horizontal="center"/>
    </xf>
    <xf numFmtId="0" fontId="27" fillId="0" borderId="0" xfId="13" applyFont="1" applyAlignment="1">
      <alignment horizontal="left" vertical="center"/>
    </xf>
    <xf numFmtId="0" fontId="27" fillId="0" borderId="8" xfId="13" applyFont="1" applyBorder="1" applyAlignment="1">
      <alignment horizontal="left" vertical="center"/>
    </xf>
  </cellXfs>
  <cellStyles count="18">
    <cellStyle name="Comma" xfId="2" builtinId="3"/>
    <cellStyle name="Comma 2" xfId="4"/>
    <cellStyle name="Comma 2 3" xfId="8"/>
    <cellStyle name="Comma 3" xfId="6"/>
    <cellStyle name="Currency" xfId="7" builtinId="4"/>
    <cellStyle name="Currency 2" xfId="11"/>
    <cellStyle name="Normal" xfId="0" builtinId="0"/>
    <cellStyle name="Normal 10 2 2" xfId="14"/>
    <cellStyle name="Normal 2" xfId="3"/>
    <cellStyle name="Normal 2 3 3" xfId="1"/>
    <cellStyle name="Normal 3" xfId="5"/>
    <cellStyle name="Normal 41" xfId="13"/>
    <cellStyle name="Normal 54" xfId="15"/>
    <cellStyle name="Normal 89" xfId="17"/>
    <cellStyle name="Normal 94" xfId="16"/>
    <cellStyle name="Percent" xfId="12" builtinId="5"/>
    <cellStyle name="Percent 2" xfId="9"/>
    <cellStyle name="Percent 3" xfId="10"/>
  </cellStyles>
  <dxfs count="0"/>
  <tableStyles count="0" defaultTableStyle="TableStyleMedium2" defaultPivotStyle="PivotStyleLight16"/>
  <colors>
    <mruColors>
      <color rgb="FFFFFF99"/>
      <color rgb="FFCCFFFF"/>
      <color rgb="FF0000FF"/>
      <color rgb="FFCCFF99"/>
      <color rgb="FFFF9933"/>
      <color rgb="FF99FF33"/>
      <color rgb="FFCCCCFF"/>
      <color rgb="FFFFCC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FDE7C7F5-6E0F-4A11-9CC4-A4471D9639EF}"/>
            </a:ext>
          </a:extLst>
        </xdr:cNvPr>
        <xdr:cNvSpPr txBox="1"/>
      </xdr:nvSpPr>
      <xdr:spPr>
        <a:xfrm>
          <a:off x="1" y="7810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950B88F-3BD8-403A-996C-C573264625D9}"/>
            </a:ext>
          </a:extLst>
        </xdr:cNvPr>
        <xdr:cNvCxnSpPr/>
      </xdr:nvCxnSpPr>
      <xdr:spPr>
        <a:xfrm flipH="1">
          <a:off x="609600" y="762000"/>
          <a:ext cx="2" cy="1914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C88E799D-5051-4ADD-8F9D-757A8EA1BA69}"/>
            </a:ext>
          </a:extLst>
        </xdr:cNvPr>
        <xdr:cNvCxnSpPr/>
      </xdr:nvCxnSpPr>
      <xdr:spPr>
        <a:xfrm>
          <a:off x="47625" y="2676525"/>
          <a:ext cx="561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A245774B-970C-41D1-BD4F-FE8FE25A262E}"/>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DAAEADA9-60C6-4D08-8460-A278A3A017BA}"/>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044A31-EFA3-41F8-91E0-FA4F2A85226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FE091DAA-82BA-42E8-BAC8-F4BD3EBF4E12}"/>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A5A3D0A7-BE5F-43D2-8C78-78F1171738A2}"/>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ACD9A315-D2E0-4724-AAF8-1E1B23FBEF1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5A336FF5-7CBA-4831-B58E-54CF756CBA58}"/>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32AB511-240A-42A8-9F09-A2298296805C}"/>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AF2E5048-C867-42C6-AFED-00D7F21F87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ate%20Cases\2019%20WA%20Rate%20Case\Revenue%20Proof\WA%20CAP%202019-01%20margin%20unbille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CAP2019"/>
      <sheetName val="WACAP2018"/>
      <sheetName val="Authorized Margins 2018"/>
      <sheetName val="Ammort Split2018"/>
      <sheetName val="WACAP2017"/>
      <sheetName val="Authorized Margins"/>
      <sheetName val="Ammort Split2017"/>
      <sheetName val="WACAP2016"/>
      <sheetName val="Authorized Margins (original)"/>
      <sheetName val="WACAP2016 (original)"/>
    </sheetNames>
    <sheetDataSet>
      <sheetData sheetId="0"/>
      <sheetData sheetId="1"/>
      <sheetData sheetId="2">
        <row r="10">
          <cell r="E10">
            <v>3.5</v>
          </cell>
          <cell r="F10">
            <v>5.17</v>
          </cell>
          <cell r="G10">
            <v>12.93</v>
          </cell>
          <cell r="H10">
            <v>24.04</v>
          </cell>
          <cell r="I10">
            <v>31.96</v>
          </cell>
        </row>
        <row r="12">
          <cell r="E12">
            <v>21.6</v>
          </cell>
          <cell r="F12">
            <v>32.049999999999997</v>
          </cell>
          <cell r="G12">
            <v>59.39</v>
          </cell>
          <cell r="H12">
            <v>89.84</v>
          </cell>
          <cell r="I12">
            <v>127</v>
          </cell>
        </row>
        <row r="14">
          <cell r="E14">
            <v>161.43</v>
          </cell>
          <cell r="F14">
            <v>209.7</v>
          </cell>
          <cell r="G14">
            <v>357.27</v>
          </cell>
          <cell r="H14">
            <v>308.02999999999997</v>
          </cell>
          <cell r="I14">
            <v>430.43</v>
          </cell>
        </row>
        <row r="16">
          <cell r="E16">
            <v>812.31</v>
          </cell>
          <cell r="F16">
            <v>761.38</v>
          </cell>
          <cell r="G16">
            <v>864.72</v>
          </cell>
          <cell r="H16">
            <v>1162.6199999999999</v>
          </cell>
          <cell r="I16">
            <v>1882.86</v>
          </cell>
        </row>
        <row r="18">
          <cell r="E18">
            <v>1104.77</v>
          </cell>
          <cell r="F18">
            <v>866.54</v>
          </cell>
          <cell r="G18">
            <v>1124.56</v>
          </cell>
          <cell r="H18">
            <v>1588.5</v>
          </cell>
          <cell r="I18">
            <v>1825.11</v>
          </cell>
        </row>
      </sheetData>
      <sheetData sheetId="3">
        <row r="13">
          <cell r="N13">
            <v>-501.25</v>
          </cell>
        </row>
        <row r="25">
          <cell r="N25">
            <v>-107852.73999999999</v>
          </cell>
        </row>
        <row r="38">
          <cell r="N38">
            <v>-1112.8499999999999</v>
          </cell>
        </row>
        <row r="51">
          <cell r="N51">
            <v>-8823.7899999999991</v>
          </cell>
        </row>
        <row r="63">
          <cell r="N63">
            <v>-32.79</v>
          </cell>
        </row>
        <row r="75">
          <cell r="N75">
            <v>-97425.049999999988</v>
          </cell>
        </row>
        <row r="90">
          <cell r="N90">
            <v>-11354.1</v>
          </cell>
        </row>
        <row r="100">
          <cell r="N100">
            <v>-15.230000000000002</v>
          </cell>
        </row>
        <row r="115">
          <cell r="N115">
            <v>146.99</v>
          </cell>
        </row>
        <row r="130">
          <cell r="N130">
            <v>911.66</v>
          </cell>
        </row>
        <row r="145">
          <cell r="N145">
            <v>78.990000000000009</v>
          </cell>
        </row>
      </sheetData>
      <sheetData sheetId="4">
        <row r="14">
          <cell r="Q14">
            <v>13086.609999999999</v>
          </cell>
        </row>
        <row r="15">
          <cell r="O15">
            <v>13086.610000000004</v>
          </cell>
        </row>
        <row r="20">
          <cell r="O20">
            <v>4779530.3600000003</v>
          </cell>
        </row>
        <row r="26">
          <cell r="Q26">
            <v>2815845.8400000012</v>
          </cell>
        </row>
        <row r="27">
          <cell r="O27">
            <v>2815845.8400000012</v>
          </cell>
        </row>
        <row r="39">
          <cell r="Q39">
            <v>29054.270000000008</v>
          </cell>
        </row>
        <row r="40">
          <cell r="O40">
            <v>29054.270000000022</v>
          </cell>
        </row>
        <row r="52">
          <cell r="Q52">
            <v>230373.36999999997</v>
          </cell>
        </row>
        <row r="53">
          <cell r="O53">
            <v>230373.36999999997</v>
          </cell>
        </row>
        <row r="58">
          <cell r="O58">
            <v>680.9</v>
          </cell>
        </row>
        <row r="64">
          <cell r="Q64">
            <v>856.04</v>
          </cell>
        </row>
        <row r="65">
          <cell r="O65">
            <v>856.04</v>
          </cell>
        </row>
        <row r="70">
          <cell r="O70">
            <v>2621765.6</v>
          </cell>
        </row>
        <row r="76">
          <cell r="Q76">
            <v>2543595.8700000015</v>
          </cell>
        </row>
        <row r="77">
          <cell r="O77">
            <v>2543595.8700000015</v>
          </cell>
        </row>
        <row r="85">
          <cell r="O85">
            <v>134303.76</v>
          </cell>
        </row>
        <row r="91">
          <cell r="Q91">
            <v>296435.60000000009</v>
          </cell>
        </row>
        <row r="92">
          <cell r="O92">
            <v>296435.60000000009</v>
          </cell>
        </row>
        <row r="101">
          <cell r="Q101">
            <v>397.53999999999991</v>
          </cell>
        </row>
        <row r="102">
          <cell r="O102">
            <v>397.53999999999991</v>
          </cell>
        </row>
        <row r="108">
          <cell r="O108">
            <v>78.58</v>
          </cell>
        </row>
        <row r="109">
          <cell r="O109"/>
        </row>
        <row r="116">
          <cell r="Q116">
            <v>-3837.4000000000005</v>
          </cell>
        </row>
        <row r="117">
          <cell r="O117">
            <v>-3837.3999999999992</v>
          </cell>
        </row>
        <row r="123">
          <cell r="O123">
            <v>9200.8700000000008</v>
          </cell>
        </row>
        <row r="124">
          <cell r="O124">
            <v>2865.37</v>
          </cell>
        </row>
        <row r="131">
          <cell r="Q131">
            <v>-23801.620000000006</v>
          </cell>
        </row>
        <row r="132">
          <cell r="O132">
            <v>-23801.620000000003</v>
          </cell>
        </row>
        <row r="138">
          <cell r="O138">
            <v>832.08</v>
          </cell>
        </row>
        <row r="139">
          <cell r="O139">
            <v>930.33</v>
          </cell>
        </row>
        <row r="146">
          <cell r="Q146">
            <v>-2062.389999999999</v>
          </cell>
        </row>
        <row r="147">
          <cell r="O147">
            <v>-2062.389999999999</v>
          </cell>
        </row>
        <row r="152">
          <cell r="O152">
            <v>5899943.7300000014</v>
          </cell>
        </row>
      </sheetData>
      <sheetData sheetId="5">
        <row r="35">
          <cell r="D35">
            <v>0.9</v>
          </cell>
          <cell r="J35">
            <v>10.38</v>
          </cell>
          <cell r="K35">
            <v>8.51</v>
          </cell>
          <cell r="L35">
            <v>7.43</v>
          </cell>
          <cell r="M35">
            <v>4.82</v>
          </cell>
          <cell r="N35">
            <v>2.86</v>
          </cell>
          <cell r="O35">
            <v>1.47</v>
          </cell>
        </row>
        <row r="41">
          <cell r="D41">
            <v>4.78</v>
          </cell>
          <cell r="J41">
            <v>30.89</v>
          </cell>
          <cell r="K41">
            <v>25.31</v>
          </cell>
          <cell r="L41">
            <v>21.18</v>
          </cell>
          <cell r="M41">
            <v>13.29</v>
          </cell>
          <cell r="N41">
            <v>8.64</v>
          </cell>
          <cell r="O41">
            <v>5.8</v>
          </cell>
        </row>
        <row r="47">
          <cell r="D47">
            <v>26.96</v>
          </cell>
          <cell r="J47">
            <v>123.03</v>
          </cell>
          <cell r="K47">
            <v>101.99</v>
          </cell>
          <cell r="L47">
            <v>82.09</v>
          </cell>
          <cell r="M47">
            <v>52.56</v>
          </cell>
          <cell r="N47">
            <v>36.19</v>
          </cell>
          <cell r="O47">
            <v>28.49</v>
          </cell>
        </row>
        <row r="60">
          <cell r="D60">
            <v>199.5</v>
          </cell>
          <cell r="J60">
            <v>463.97</v>
          </cell>
          <cell r="K60">
            <v>523.33000000000004</v>
          </cell>
          <cell r="L60">
            <v>416.44</v>
          </cell>
          <cell r="M60">
            <v>304.64</v>
          </cell>
          <cell r="N60">
            <v>260.88</v>
          </cell>
          <cell r="O60">
            <v>210.75</v>
          </cell>
        </row>
        <row r="73">
          <cell r="D73">
            <v>560.62</v>
          </cell>
          <cell r="J73">
            <v>2041.51</v>
          </cell>
          <cell r="K73">
            <v>1863.54</v>
          </cell>
          <cell r="L73">
            <v>2265.2600000000002</v>
          </cell>
          <cell r="M73">
            <v>1350.28</v>
          </cell>
          <cell r="N73">
            <v>1081.4100000000001</v>
          </cell>
          <cell r="O73">
            <v>768.73</v>
          </cell>
        </row>
        <row r="79">
          <cell r="D79">
            <v>848.85</v>
          </cell>
          <cell r="J79">
            <v>744.68</v>
          </cell>
          <cell r="K79">
            <v>817.71</v>
          </cell>
          <cell r="L79">
            <v>890.73</v>
          </cell>
          <cell r="M79">
            <v>779.9</v>
          </cell>
          <cell r="N79">
            <v>862.38</v>
          </cell>
          <cell r="O79">
            <v>863.67</v>
          </cell>
        </row>
        <row r="95">
          <cell r="D95">
            <v>1412.24</v>
          </cell>
          <cell r="J95">
            <v>2392.65</v>
          </cell>
          <cell r="K95">
            <v>2405.61</v>
          </cell>
          <cell r="L95">
            <v>2046.01</v>
          </cell>
          <cell r="M95">
            <v>1952.64</v>
          </cell>
          <cell r="N95">
            <v>1875.99</v>
          </cell>
          <cell r="O95">
            <v>1575.53</v>
          </cell>
        </row>
        <row r="105">
          <cell r="D105">
            <v>686.7</v>
          </cell>
          <cell r="J105">
            <v>1171.73</v>
          </cell>
          <cell r="K105">
            <v>1160.1600000000001</v>
          </cell>
          <cell r="L105">
            <v>920.18</v>
          </cell>
          <cell r="M105">
            <v>886.31</v>
          </cell>
          <cell r="N105">
            <v>794.84</v>
          </cell>
          <cell r="O105">
            <v>635.75</v>
          </cell>
        </row>
      </sheetData>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Myhrum, Isaac" id="{F1E240B2-EA95-4C22-BE2A-7C63E2CE66E2}" userId="S::Isaac.Myhrum@cngc.com::e363f7e5-b5ec-4eac-9ee7-dc4b3bd077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43" dT="2019-03-07T23:12:42.13" personId="{F1E240B2-EA95-4C22-BE2A-7C63E2CE66E2}" id="{06752CAA-3622-41CE-B992-812D76D580B4}">
    <text>Needs to include 916</text>
  </threadedComment>
  <threadedComment ref="G346" dT="2019-03-06T18:44:47.75" personId="{F1E240B2-EA95-4C22-BE2A-7C63E2CE66E2}" id="{80D6600A-848F-4E20-A24F-0DB844484794}">
    <text>Added 916 Therms</text>
  </threadedComment>
</ThreadedComments>
</file>

<file path=xl/threadedComments/threadedComment2.xml><?xml version="1.0" encoding="utf-8"?>
<ThreadedComments xmlns="http://schemas.microsoft.com/office/spreadsheetml/2018/threadedcomments" xmlns:x="http://schemas.openxmlformats.org/spreadsheetml/2006/main">
  <threadedComment ref="F16" dT="2019-02-25T23:58:01.23" personId="{F1E240B2-EA95-4C22-BE2A-7C63E2CE66E2}" id="{FA071F88-4C44-4F21-9445-1CC961F6BC17}">
    <text>insert values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632</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651</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35"/>
  <sheetViews>
    <sheetView view="pageBreakPreview" zoomScale="60" zoomScaleNormal="100" workbookViewId="0">
      <selection activeCell="I36" sqref="I36"/>
    </sheetView>
  </sheetViews>
  <sheetFormatPr defaultRowHeight="15" x14ac:dyDescent="0.25"/>
  <cols>
    <col min="2" max="2" width="13.5703125" customWidth="1"/>
    <col min="3" max="3" width="30" customWidth="1"/>
    <col min="4" max="4" width="14.5703125" customWidth="1"/>
  </cols>
  <sheetData>
    <row r="3" spans="2:7" ht="15.75" x14ac:dyDescent="0.25">
      <c r="B3" s="492"/>
      <c r="C3" s="492"/>
      <c r="D3" s="492"/>
      <c r="E3" s="492"/>
      <c r="F3" s="492"/>
      <c r="G3" s="491"/>
    </row>
    <row r="4" spans="2:7" ht="15.75" x14ac:dyDescent="0.25">
      <c r="B4" s="582" t="s">
        <v>512</v>
      </c>
      <c r="C4" s="582"/>
      <c r="D4" s="582"/>
      <c r="E4" s="582"/>
      <c r="F4" s="582"/>
      <c r="G4" s="582"/>
    </row>
    <row r="5" spans="2:7" ht="15.75" x14ac:dyDescent="0.25">
      <c r="B5" s="582" t="s">
        <v>700</v>
      </c>
      <c r="C5" s="582"/>
      <c r="D5" s="582"/>
      <c r="E5" s="582"/>
      <c r="F5" s="582"/>
      <c r="G5" s="582"/>
    </row>
    <row r="6" spans="2:7" ht="15.75" x14ac:dyDescent="0.25">
      <c r="B6" s="582" t="s">
        <v>691</v>
      </c>
      <c r="C6" s="582"/>
      <c r="D6" s="582"/>
      <c r="E6" s="582"/>
      <c r="F6" s="582"/>
      <c r="G6" s="582"/>
    </row>
    <row r="7" spans="2:7" ht="15.75" x14ac:dyDescent="0.25">
      <c r="B7" s="582" t="s">
        <v>692</v>
      </c>
      <c r="C7" s="582"/>
      <c r="D7" s="582"/>
      <c r="E7" s="582"/>
      <c r="F7" s="582"/>
      <c r="G7" s="582"/>
    </row>
    <row r="8" spans="2:7" ht="15.75" x14ac:dyDescent="0.25">
      <c r="B8" s="582" t="s">
        <v>699</v>
      </c>
      <c r="C8" s="582"/>
      <c r="D8" s="582"/>
      <c r="E8" s="582"/>
      <c r="F8" s="582"/>
      <c r="G8" s="582"/>
    </row>
    <row r="9" spans="2:7" ht="15.75" x14ac:dyDescent="0.25">
      <c r="B9" s="492"/>
      <c r="C9" s="502"/>
      <c r="D9" s="502"/>
      <c r="E9" s="502"/>
      <c r="F9" s="502"/>
      <c r="G9" s="502"/>
    </row>
    <row r="10" spans="2:7" ht="15.75" x14ac:dyDescent="0.25">
      <c r="B10" s="492"/>
      <c r="C10" s="493" t="s">
        <v>698</v>
      </c>
      <c r="D10" s="493"/>
      <c r="E10" s="493" t="s">
        <v>375</v>
      </c>
      <c r="F10" s="493"/>
      <c r="G10" s="491" t="s">
        <v>34</v>
      </c>
    </row>
    <row r="11" spans="2:7" ht="15.75" x14ac:dyDescent="0.25">
      <c r="B11" s="492"/>
      <c r="C11" s="501"/>
      <c r="D11" s="501"/>
      <c r="E11" s="501"/>
      <c r="F11" s="501"/>
      <c r="G11" s="500"/>
    </row>
    <row r="12" spans="2:7" ht="15.75" x14ac:dyDescent="0.25">
      <c r="B12" s="499" t="s">
        <v>697</v>
      </c>
      <c r="C12" s="498" t="s">
        <v>696</v>
      </c>
      <c r="D12" s="492"/>
      <c r="E12" s="498" t="s">
        <v>695</v>
      </c>
      <c r="F12" s="498"/>
      <c r="G12" s="497" t="s">
        <v>694</v>
      </c>
    </row>
    <row r="13" spans="2:7" ht="15.75" x14ac:dyDescent="0.25">
      <c r="B13" s="499"/>
      <c r="C13" s="493" t="s">
        <v>693</v>
      </c>
      <c r="D13" s="492"/>
      <c r="E13" s="498"/>
      <c r="F13" s="498"/>
      <c r="G13" s="497"/>
    </row>
    <row r="14" spans="2:7" ht="15.75" x14ac:dyDescent="0.25">
      <c r="B14" s="493">
        <v>1</v>
      </c>
      <c r="C14" s="492" t="s">
        <v>692</v>
      </c>
      <c r="D14" s="492"/>
      <c r="E14" s="492" t="s">
        <v>691</v>
      </c>
      <c r="F14" s="492"/>
      <c r="G14" s="491">
        <v>1</v>
      </c>
    </row>
    <row r="15" spans="2:7" ht="15.75" x14ac:dyDescent="0.25">
      <c r="B15" s="493">
        <f t="shared" ref="B15:B20" si="0">B14+1</f>
        <v>2</v>
      </c>
      <c r="C15" s="492" t="s">
        <v>690</v>
      </c>
      <c r="D15" s="492"/>
      <c r="E15" s="492" t="s">
        <v>689</v>
      </c>
      <c r="F15" s="492"/>
      <c r="G15" s="496" t="s">
        <v>688</v>
      </c>
    </row>
    <row r="16" spans="2:7" ht="15.75" x14ac:dyDescent="0.25">
      <c r="B16" s="493">
        <f t="shared" si="0"/>
        <v>3</v>
      </c>
      <c r="C16" s="492" t="s">
        <v>687</v>
      </c>
      <c r="D16" s="492"/>
      <c r="E16" s="492" t="s">
        <v>686</v>
      </c>
      <c r="F16" s="492"/>
      <c r="G16" s="491" t="s">
        <v>685</v>
      </c>
    </row>
    <row r="17" spans="2:7" ht="15.75" x14ac:dyDescent="0.25">
      <c r="B17" s="493">
        <f t="shared" si="0"/>
        <v>4</v>
      </c>
      <c r="C17" s="492" t="s">
        <v>684</v>
      </c>
      <c r="D17" s="492"/>
      <c r="E17" s="492" t="s">
        <v>683</v>
      </c>
      <c r="F17" s="492"/>
      <c r="G17" s="491" t="s">
        <v>682</v>
      </c>
    </row>
    <row r="18" spans="2:7" ht="15.75" x14ac:dyDescent="0.25">
      <c r="B18" s="493">
        <f t="shared" si="0"/>
        <v>5</v>
      </c>
      <c r="C18" s="492" t="s">
        <v>681</v>
      </c>
      <c r="D18" s="494"/>
      <c r="E18" s="492" t="s">
        <v>680</v>
      </c>
      <c r="F18" s="494"/>
      <c r="G18" s="495">
        <v>25</v>
      </c>
    </row>
    <row r="19" spans="2:7" ht="15.75" x14ac:dyDescent="0.25">
      <c r="B19" s="493">
        <f t="shared" si="0"/>
        <v>6</v>
      </c>
      <c r="C19" s="494" t="s">
        <v>679</v>
      </c>
      <c r="D19" s="492"/>
      <c r="E19" s="492" t="s">
        <v>678</v>
      </c>
      <c r="F19" s="492"/>
      <c r="G19" s="491">
        <v>26</v>
      </c>
    </row>
    <row r="20" spans="2:7" ht="15.75" x14ac:dyDescent="0.25">
      <c r="B20" s="493">
        <f t="shared" si="0"/>
        <v>7</v>
      </c>
      <c r="C20" s="494" t="s">
        <v>677</v>
      </c>
      <c r="D20" s="492"/>
      <c r="E20" s="492" t="s">
        <v>676</v>
      </c>
      <c r="F20" s="492"/>
      <c r="G20" s="491" t="s">
        <v>675</v>
      </c>
    </row>
    <row r="21" spans="2:7" ht="15.75" x14ac:dyDescent="0.25">
      <c r="B21" s="493"/>
      <c r="C21" s="493"/>
      <c r="D21" s="492"/>
      <c r="E21" s="492"/>
      <c r="F21" s="492"/>
      <c r="G21" s="491"/>
    </row>
    <row r="22" spans="2:7" ht="15.75" x14ac:dyDescent="0.25">
      <c r="B22" s="493"/>
      <c r="C22" s="492"/>
      <c r="D22" s="492"/>
      <c r="E22" s="492"/>
      <c r="F22" s="492"/>
      <c r="G22" s="491"/>
    </row>
    <row r="23" spans="2:7" ht="15.75" x14ac:dyDescent="0.25">
      <c r="B23" s="493"/>
      <c r="C23" s="492"/>
      <c r="D23" s="492"/>
      <c r="E23" s="492"/>
      <c r="F23" s="492"/>
      <c r="G23" s="491"/>
    </row>
    <row r="24" spans="2:7" ht="15.75" x14ac:dyDescent="0.25">
      <c r="B24" s="493"/>
      <c r="C24" s="492"/>
      <c r="D24" s="492"/>
      <c r="E24" s="492"/>
      <c r="F24" s="492"/>
      <c r="G24" s="491"/>
    </row>
    <row r="25" spans="2:7" ht="15.75" x14ac:dyDescent="0.25">
      <c r="B25" s="493"/>
      <c r="C25" s="492"/>
      <c r="D25" s="492"/>
      <c r="E25" s="492"/>
      <c r="F25" s="492"/>
      <c r="G25" s="491"/>
    </row>
    <row r="26" spans="2:7" ht="15.75" x14ac:dyDescent="0.25">
      <c r="B26" s="493"/>
      <c r="C26" s="492"/>
      <c r="D26" s="492"/>
      <c r="E26" s="492"/>
      <c r="F26" s="492"/>
      <c r="G26" s="491"/>
    </row>
    <row r="27" spans="2:7" ht="15.75" x14ac:dyDescent="0.25">
      <c r="B27" s="493"/>
      <c r="C27" s="492"/>
      <c r="D27" s="492"/>
      <c r="E27" s="492"/>
      <c r="F27" s="492"/>
      <c r="G27" s="491"/>
    </row>
    <row r="28" spans="2:7" ht="15.75" x14ac:dyDescent="0.25">
      <c r="B28" s="493"/>
      <c r="C28" s="492"/>
      <c r="D28" s="492"/>
      <c r="E28" s="492"/>
      <c r="F28" s="492"/>
      <c r="G28" s="491"/>
    </row>
    <row r="29" spans="2:7" ht="15.75" x14ac:dyDescent="0.25">
      <c r="B29" s="493"/>
      <c r="C29" s="492"/>
      <c r="D29" s="492"/>
      <c r="E29" s="492"/>
      <c r="F29" s="492"/>
      <c r="G29" s="491"/>
    </row>
    <row r="30" spans="2:7" ht="15.75" x14ac:dyDescent="0.25">
      <c r="B30" s="493"/>
      <c r="C30" s="492"/>
      <c r="D30" s="492"/>
      <c r="E30" s="492"/>
      <c r="F30" s="492"/>
      <c r="G30" s="491"/>
    </row>
    <row r="31" spans="2:7" ht="15.75" x14ac:dyDescent="0.25">
      <c r="B31" s="493"/>
      <c r="C31" s="492"/>
      <c r="D31" s="492"/>
      <c r="E31" s="492"/>
      <c r="F31" s="492"/>
      <c r="G31" s="491"/>
    </row>
    <row r="32" spans="2:7" ht="15.75" x14ac:dyDescent="0.25">
      <c r="B32" s="493"/>
      <c r="C32" s="492"/>
      <c r="D32" s="492"/>
      <c r="E32" s="492"/>
      <c r="F32" s="492"/>
      <c r="G32" s="491"/>
    </row>
    <row r="33" spans="2:7" ht="15.75" x14ac:dyDescent="0.25">
      <c r="B33" s="493"/>
      <c r="C33" s="492"/>
      <c r="D33" s="492"/>
      <c r="E33" s="492"/>
      <c r="F33" s="492"/>
      <c r="G33" s="491"/>
    </row>
    <row r="34" spans="2:7" ht="15.75" x14ac:dyDescent="0.25">
      <c r="B34" s="493"/>
      <c r="C34" s="492"/>
      <c r="D34" s="492"/>
      <c r="E34" s="492"/>
      <c r="F34" s="492"/>
      <c r="G34" s="491"/>
    </row>
    <row r="35" spans="2:7" ht="15.75" x14ac:dyDescent="0.25">
      <c r="B35" s="493"/>
      <c r="C35" s="492"/>
      <c r="D35" s="492"/>
      <c r="E35" s="492"/>
      <c r="F35" s="492"/>
      <c r="G35" s="491"/>
    </row>
  </sheetData>
  <mergeCells count="5">
    <mergeCell ref="B4:G4"/>
    <mergeCell ref="B5:G5"/>
    <mergeCell ref="B6:G6"/>
    <mergeCell ref="B7:G7"/>
    <mergeCell ref="B8:G8"/>
  </mergeCells>
  <pageMargins left="0.7" right="0.7" top="0.75" bottom="0.75" header="0.3" footer="0.3"/>
  <pageSetup scale="9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O525"/>
  <sheetViews>
    <sheetView view="pageBreakPreview" zoomScaleNormal="20" zoomScaleSheetLayoutView="100" workbookViewId="0">
      <pane xSplit="2" ySplit="4" topLeftCell="C5" activePane="bottomRight" state="frozen"/>
      <selection activeCell="A31" sqref="A31"/>
      <selection pane="topRight" activeCell="A31" sqref="A31"/>
      <selection pane="bottomLeft" activeCell="A31" sqref="A31"/>
      <selection pane="bottomRight" activeCell="C5" sqref="C5"/>
    </sheetView>
  </sheetViews>
  <sheetFormatPr defaultColWidth="9.140625" defaultRowHeight="15" x14ac:dyDescent="0.25"/>
  <cols>
    <col min="1" max="1" width="5.5703125" style="1" customWidth="1"/>
    <col min="2" max="2" width="56.28515625" style="1" customWidth="1"/>
    <col min="3" max="3" width="22" style="1" customWidth="1"/>
    <col min="4" max="4" width="0.85546875" style="1" customWidth="1"/>
    <col min="5" max="5" width="9.5703125" style="1" customWidth="1"/>
    <col min="6" max="6" width="13" style="128" customWidth="1"/>
    <col min="7" max="7" width="17.7109375" style="127" bestFit="1" customWidth="1"/>
    <col min="8" max="8" width="13" style="128" bestFit="1" customWidth="1"/>
    <col min="9" max="9" width="17.7109375" style="127" bestFit="1" customWidth="1"/>
    <col min="10" max="10" width="13" style="128" bestFit="1" customWidth="1"/>
    <col min="11" max="11" width="17.7109375" style="127" bestFit="1" customWidth="1"/>
    <col min="12" max="12" width="13.7109375" style="128" bestFit="1" customWidth="1"/>
    <col min="13" max="13" width="17.7109375" style="127" bestFit="1" customWidth="1"/>
    <col min="14" max="14" width="13.7109375" style="128" bestFit="1" customWidth="1"/>
    <col min="15" max="15" width="17.7109375" style="127" bestFit="1" customWidth="1"/>
    <col min="16" max="16" width="13.7109375" style="128" bestFit="1" customWidth="1"/>
    <col min="17" max="17" width="17.7109375" style="127" bestFit="1" customWidth="1"/>
    <col min="18" max="18" width="13.7109375" style="128" bestFit="1" customWidth="1"/>
    <col min="19" max="19" width="17.7109375" style="127" bestFit="1" customWidth="1"/>
    <col min="20" max="20" width="13.7109375" style="128" bestFit="1" customWidth="1"/>
    <col min="21" max="21" width="17.7109375" style="127" bestFit="1" customWidth="1"/>
    <col min="22" max="22" width="13.7109375" style="128" bestFit="1" customWidth="1"/>
    <col min="23" max="23" width="17.7109375" style="127" bestFit="1" customWidth="1"/>
    <col min="24" max="24" width="13.7109375" style="128" bestFit="1" customWidth="1"/>
    <col min="25" max="25" width="17.7109375" style="127" bestFit="1" customWidth="1"/>
    <col min="26" max="26" width="13.7109375" style="128" bestFit="1" customWidth="1"/>
    <col min="27" max="27" width="17.7109375" style="127" bestFit="1" customWidth="1"/>
    <col min="28" max="28" width="13.7109375" style="128" bestFit="1" customWidth="1"/>
    <col min="29" max="29" width="17.7109375" style="127" bestFit="1" customWidth="1"/>
    <col min="30" max="30" width="18.7109375" style="127" bestFit="1" customWidth="1"/>
    <col min="31" max="31" width="7.28515625" style="127" customWidth="1"/>
    <col min="32" max="32" width="47.28515625" style="127" bestFit="1" customWidth="1"/>
    <col min="33" max="33" width="18.140625" style="127" customWidth="1"/>
    <col min="34" max="34" width="14.42578125" style="127" bestFit="1" customWidth="1"/>
    <col min="35" max="35" width="50.140625" style="127" bestFit="1" customWidth="1"/>
    <col min="36" max="36" width="37.28515625" style="127" bestFit="1" customWidth="1"/>
    <col min="37" max="37" width="38.28515625" style="127" bestFit="1" customWidth="1"/>
    <col min="38" max="38" width="25.7109375" style="127" bestFit="1" customWidth="1"/>
    <col min="39" max="39" width="22.5703125" style="127" customWidth="1"/>
    <col min="40" max="40" width="20" style="127" customWidth="1"/>
    <col min="41" max="41" width="28.5703125" style="127" customWidth="1"/>
    <col min="42" max="42" width="20.140625" style="1" customWidth="1"/>
    <col min="43" max="16384" width="9.140625" style="1"/>
  </cols>
  <sheetData>
    <row r="1" spans="1:30" x14ac:dyDescent="0.25">
      <c r="B1" s="4" t="s">
        <v>727</v>
      </c>
    </row>
    <row r="2" spans="1:30" x14ac:dyDescent="0.25">
      <c r="B2" s="4" t="s">
        <v>728</v>
      </c>
    </row>
    <row r="3" spans="1:30" x14ac:dyDescent="0.25">
      <c r="B3" s="4" t="s">
        <v>729</v>
      </c>
    </row>
    <row r="4" spans="1:30" ht="57" customHeight="1" x14ac:dyDescent="0.25">
      <c r="A4" s="1">
        <v>1</v>
      </c>
      <c r="C4" s="161" t="s">
        <v>379</v>
      </c>
      <c r="D4" s="161"/>
      <c r="E4" s="161" t="s">
        <v>380</v>
      </c>
      <c r="F4" s="312" t="s">
        <v>415</v>
      </c>
      <c r="G4" s="320">
        <v>43101</v>
      </c>
      <c r="H4" s="314" t="s">
        <v>415</v>
      </c>
      <c r="I4" s="320">
        <v>43132</v>
      </c>
      <c r="J4" s="314" t="s">
        <v>415</v>
      </c>
      <c r="K4" s="320">
        <v>43160</v>
      </c>
      <c r="L4" s="314" t="s">
        <v>415</v>
      </c>
      <c r="M4" s="320">
        <v>43191</v>
      </c>
      <c r="N4" s="314" t="s">
        <v>415</v>
      </c>
      <c r="O4" s="320">
        <v>43221</v>
      </c>
      <c r="P4" s="314" t="s">
        <v>415</v>
      </c>
      <c r="Q4" s="321">
        <v>43252</v>
      </c>
      <c r="R4" s="314" t="s">
        <v>415</v>
      </c>
      <c r="S4" s="320">
        <v>43282</v>
      </c>
      <c r="T4" s="314" t="s">
        <v>415</v>
      </c>
      <c r="U4" s="320">
        <v>43313</v>
      </c>
      <c r="V4" s="314" t="s">
        <v>415</v>
      </c>
      <c r="W4" s="320">
        <v>43344</v>
      </c>
      <c r="X4" s="314" t="s">
        <v>415</v>
      </c>
      <c r="Y4" s="320">
        <v>43374</v>
      </c>
      <c r="Z4" s="314" t="s">
        <v>415</v>
      </c>
      <c r="AA4" s="320">
        <v>43405</v>
      </c>
      <c r="AB4" s="314" t="s">
        <v>415</v>
      </c>
      <c r="AC4" s="320">
        <v>43435</v>
      </c>
      <c r="AD4" s="306" t="s">
        <v>398</v>
      </c>
    </row>
    <row r="5" spans="1:30" x14ac:dyDescent="0.25">
      <c r="A5" s="1">
        <v>2</v>
      </c>
      <c r="B5" s="30" t="s">
        <v>195</v>
      </c>
      <c r="C5" s="4"/>
      <c r="D5" s="4"/>
      <c r="E5" s="4"/>
      <c r="F5" s="313"/>
    </row>
    <row r="6" spans="1:30" x14ac:dyDescent="0.25">
      <c r="A6" s="1">
        <v>3</v>
      </c>
      <c r="B6" s="19" t="s">
        <v>9</v>
      </c>
      <c r="C6" s="127">
        <v>14</v>
      </c>
      <c r="D6" s="127"/>
      <c r="E6" s="127"/>
      <c r="F6" s="128">
        <f>G6/$C$6</f>
        <v>795</v>
      </c>
      <c r="G6" s="127">
        <v>11130</v>
      </c>
      <c r="H6" s="128">
        <f>I6/$C$6</f>
        <v>785</v>
      </c>
      <c r="I6" s="301">
        <v>10990</v>
      </c>
      <c r="J6" s="128">
        <f>K6/$C$6</f>
        <v>811</v>
      </c>
      <c r="K6" s="302">
        <v>11354</v>
      </c>
      <c r="L6" s="128">
        <f>M6/$C$6</f>
        <v>759</v>
      </c>
      <c r="M6" s="127">
        <v>10626</v>
      </c>
      <c r="N6" s="128">
        <f>O6/$C$6</f>
        <v>707</v>
      </c>
      <c r="O6" s="302">
        <v>9898</v>
      </c>
      <c r="P6" s="128">
        <f>Q6/$C$6</f>
        <v>670</v>
      </c>
      <c r="Q6" s="302">
        <v>9380</v>
      </c>
      <c r="R6" s="128">
        <f>S6/$C$6</f>
        <v>696</v>
      </c>
      <c r="S6" s="302">
        <v>9744</v>
      </c>
      <c r="T6" s="128">
        <f>U6/$C$6</f>
        <v>130</v>
      </c>
      <c r="U6" s="303">
        <v>1820</v>
      </c>
      <c r="V6" s="128">
        <f>W6/$C$6</f>
        <v>0</v>
      </c>
      <c r="W6" s="127">
        <v>0</v>
      </c>
      <c r="X6" s="128">
        <v>0</v>
      </c>
      <c r="Y6" s="127">
        <v>0</v>
      </c>
      <c r="Z6" s="128">
        <v>0</v>
      </c>
      <c r="AA6" s="302">
        <v>0</v>
      </c>
      <c r="AB6" s="183">
        <v>0</v>
      </c>
      <c r="AC6" s="127">
        <v>0</v>
      </c>
      <c r="AD6" s="127">
        <f>SUM(G6,I6,K6,M6,O6,Q6,S6,U6,W6)</f>
        <v>74942</v>
      </c>
    </row>
    <row r="7" spans="1:30" x14ac:dyDescent="0.25">
      <c r="A7" s="1">
        <v>4</v>
      </c>
      <c r="B7" s="19" t="s">
        <v>28</v>
      </c>
      <c r="G7" s="127">
        <v>9287.84</v>
      </c>
      <c r="I7" s="301">
        <v>7055.65</v>
      </c>
      <c r="J7" s="315"/>
      <c r="K7" s="302">
        <v>8453.1899999999987</v>
      </c>
      <c r="L7" s="183"/>
      <c r="M7" s="127">
        <v>5180.72</v>
      </c>
      <c r="O7" s="302">
        <v>2620.5300000000002</v>
      </c>
      <c r="P7" s="183"/>
      <c r="Q7" s="302">
        <v>937.08</v>
      </c>
      <c r="R7" s="183"/>
      <c r="S7" s="302">
        <v>454.28</v>
      </c>
      <c r="T7" s="183"/>
      <c r="U7" s="303">
        <v>51.97</v>
      </c>
      <c r="V7" s="316"/>
      <c r="W7" s="127">
        <v>0</v>
      </c>
      <c r="Y7" s="127">
        <v>0</v>
      </c>
      <c r="AA7" s="127">
        <v>0</v>
      </c>
      <c r="AC7" s="127">
        <v>0</v>
      </c>
      <c r="AD7" s="127">
        <f t="shared" ref="AD7:AD17" si="0">SUM(G7:AC7)</f>
        <v>34041.26</v>
      </c>
    </row>
    <row r="8" spans="1:30" x14ac:dyDescent="0.25">
      <c r="A8" s="1">
        <v>5</v>
      </c>
      <c r="B8" s="19" t="s">
        <v>11</v>
      </c>
      <c r="G8" s="127">
        <v>46295.199999999997</v>
      </c>
      <c r="I8" s="301">
        <v>35169</v>
      </c>
      <c r="J8" s="315"/>
      <c r="K8" s="302">
        <v>42133.630000000005</v>
      </c>
      <c r="L8" s="183"/>
      <c r="M8" s="127">
        <v>25822.809999999998</v>
      </c>
      <c r="O8" s="302">
        <v>13062.5</v>
      </c>
      <c r="P8" s="183"/>
      <c r="Q8" s="302">
        <v>4671.6400000000003</v>
      </c>
      <c r="R8" s="183"/>
      <c r="S8" s="302">
        <v>2264.84</v>
      </c>
      <c r="T8" s="183"/>
      <c r="U8" s="303">
        <v>259.08</v>
      </c>
      <c r="V8" s="316"/>
      <c r="W8" s="127">
        <v>0</v>
      </c>
      <c r="Y8" s="127">
        <v>0</v>
      </c>
      <c r="AA8" s="127">
        <v>0</v>
      </c>
      <c r="AC8" s="127">
        <v>0</v>
      </c>
      <c r="AD8" s="127">
        <f t="shared" si="0"/>
        <v>169678.7</v>
      </c>
    </row>
    <row r="9" spans="1:30" x14ac:dyDescent="0.25">
      <c r="A9" s="1">
        <v>6</v>
      </c>
      <c r="B9" s="19" t="s">
        <v>139</v>
      </c>
      <c r="G9" s="127">
        <v>316.64</v>
      </c>
      <c r="I9" s="301">
        <v>240.56</v>
      </c>
      <c r="J9" s="315"/>
      <c r="K9" s="302">
        <v>288.15000000000003</v>
      </c>
      <c r="L9" s="183"/>
      <c r="M9" s="127">
        <v>176.60000000000002</v>
      </c>
      <c r="O9" s="302">
        <v>89.48</v>
      </c>
      <c r="P9" s="183"/>
      <c r="Q9" s="302">
        <v>32.01</v>
      </c>
      <c r="R9" s="183"/>
      <c r="S9" s="302">
        <v>15.48</v>
      </c>
      <c r="T9" s="183"/>
      <c r="U9" s="303">
        <v>1.78</v>
      </c>
      <c r="V9" s="316"/>
      <c r="W9" s="127">
        <v>0</v>
      </c>
      <c r="Y9" s="127">
        <v>0</v>
      </c>
      <c r="AA9" s="127">
        <v>0</v>
      </c>
      <c r="AC9" s="127">
        <v>0</v>
      </c>
      <c r="AD9" s="127">
        <f t="shared" si="0"/>
        <v>1160.7</v>
      </c>
    </row>
    <row r="10" spans="1:30" x14ac:dyDescent="0.25">
      <c r="A10" s="1">
        <v>7</v>
      </c>
      <c r="B10" s="19" t="s">
        <v>140</v>
      </c>
      <c r="G10" s="127">
        <v>1294.6000000000001</v>
      </c>
      <c r="I10" s="301">
        <v>983.44</v>
      </c>
      <c r="J10" s="315"/>
      <c r="K10" s="302">
        <v>1178.2900000000002</v>
      </c>
      <c r="L10" s="183"/>
      <c r="M10" s="127">
        <v>722.04</v>
      </c>
      <c r="O10" s="302">
        <v>365.46</v>
      </c>
      <c r="P10" s="183"/>
      <c r="Q10" s="302">
        <v>130.71</v>
      </c>
      <c r="R10" s="183"/>
      <c r="S10" s="302">
        <v>63.42</v>
      </c>
      <c r="T10" s="183"/>
      <c r="U10" s="303">
        <v>7.25</v>
      </c>
      <c r="V10" s="316"/>
      <c r="W10" s="127">
        <v>0</v>
      </c>
      <c r="Y10" s="127">
        <v>0</v>
      </c>
      <c r="AA10" s="127">
        <v>0</v>
      </c>
      <c r="AC10" s="127">
        <v>0</v>
      </c>
      <c r="AD10" s="127">
        <f t="shared" si="0"/>
        <v>4745.21</v>
      </c>
    </row>
    <row r="11" spans="1:30" x14ac:dyDescent="0.25">
      <c r="A11" s="1">
        <v>8</v>
      </c>
      <c r="B11" s="19" t="s">
        <v>141</v>
      </c>
      <c r="G11" s="127">
        <v>-162.92000000000002</v>
      </c>
      <c r="I11" s="301">
        <v>-123.56</v>
      </c>
      <c r="J11" s="315"/>
      <c r="K11" s="302">
        <v>-148.18</v>
      </c>
      <c r="L11" s="183"/>
      <c r="M11" s="127">
        <v>-90.75</v>
      </c>
      <c r="O11" s="302">
        <v>-45.86</v>
      </c>
      <c r="P11" s="183"/>
      <c r="Q11" s="302">
        <v>-16.22</v>
      </c>
      <c r="R11" s="183"/>
      <c r="S11" s="302">
        <v>-7.71</v>
      </c>
      <c r="T11" s="183"/>
      <c r="U11" s="303">
        <v>-0.87</v>
      </c>
      <c r="V11" s="316"/>
      <c r="W11" s="127">
        <v>0</v>
      </c>
      <c r="Y11" s="127">
        <v>0</v>
      </c>
      <c r="AA11" s="127">
        <v>0</v>
      </c>
      <c r="AC11" s="127">
        <v>0</v>
      </c>
      <c r="AD11" s="127">
        <f t="shared" si="0"/>
        <v>-596.07000000000016</v>
      </c>
    </row>
    <row r="12" spans="1:30" x14ac:dyDescent="0.25">
      <c r="A12" s="1">
        <v>9</v>
      </c>
      <c r="B12" s="19" t="s">
        <v>142</v>
      </c>
      <c r="G12" s="127">
        <v>5634.79</v>
      </c>
      <c r="I12" s="301">
        <v>4280.6099999999997</v>
      </c>
      <c r="J12" s="315"/>
      <c r="K12" s="302">
        <v>5128.2300000000005</v>
      </c>
      <c r="L12" s="183"/>
      <c r="M12" s="127">
        <v>3142.97</v>
      </c>
      <c r="O12" s="302">
        <v>1589.98</v>
      </c>
      <c r="P12" s="183"/>
      <c r="Q12" s="302">
        <v>568.66999999999996</v>
      </c>
      <c r="R12" s="183"/>
      <c r="S12" s="302">
        <v>275.79000000000002</v>
      </c>
      <c r="T12" s="183"/>
      <c r="U12" s="303">
        <v>31.57</v>
      </c>
      <c r="V12" s="316"/>
      <c r="W12" s="127">
        <v>0</v>
      </c>
      <c r="Y12" s="127">
        <v>0</v>
      </c>
      <c r="AA12" s="127">
        <v>0</v>
      </c>
      <c r="AC12" s="127">
        <v>0</v>
      </c>
      <c r="AD12" s="127">
        <f t="shared" si="0"/>
        <v>20652.61</v>
      </c>
    </row>
    <row r="13" spans="1:30" x14ac:dyDescent="0.25">
      <c r="A13" s="1">
        <v>10</v>
      </c>
      <c r="B13" s="19" t="s">
        <v>143</v>
      </c>
      <c r="G13" s="127">
        <v>1380.76</v>
      </c>
      <c r="I13" s="301">
        <v>1048.92</v>
      </c>
      <c r="J13" s="315"/>
      <c r="K13" s="302">
        <v>1256.31</v>
      </c>
      <c r="L13" s="183"/>
      <c r="M13" s="127">
        <v>770.16</v>
      </c>
      <c r="O13" s="302">
        <v>389.45</v>
      </c>
      <c r="P13" s="183"/>
      <c r="Q13" s="302">
        <v>139.12</v>
      </c>
      <c r="R13" s="183"/>
      <c r="S13" s="302">
        <v>67.38</v>
      </c>
      <c r="T13" s="183"/>
      <c r="U13" s="303">
        <v>7.7</v>
      </c>
      <c r="V13" s="316"/>
      <c r="W13" s="127">
        <v>0</v>
      </c>
      <c r="Y13" s="127">
        <v>0</v>
      </c>
      <c r="AA13" s="127">
        <v>0</v>
      </c>
      <c r="AC13" s="127">
        <v>0</v>
      </c>
      <c r="AD13" s="127">
        <f t="shared" si="0"/>
        <v>5059.8</v>
      </c>
    </row>
    <row r="14" spans="1:30" x14ac:dyDescent="0.25">
      <c r="A14" s="1">
        <v>11</v>
      </c>
      <c r="B14" s="19" t="s">
        <v>144</v>
      </c>
      <c r="C14" s="5"/>
      <c r="D14" s="5"/>
      <c r="E14" s="5"/>
      <c r="G14" s="127">
        <v>4589.46</v>
      </c>
      <c r="I14" s="301">
        <v>3495.29</v>
      </c>
      <c r="J14" s="315"/>
      <c r="K14" s="302">
        <v>3999.5099999999998</v>
      </c>
      <c r="L14" s="183"/>
      <c r="M14" s="127">
        <v>2509.3200000000002</v>
      </c>
      <c r="O14" s="302">
        <v>1489.18</v>
      </c>
      <c r="P14" s="183"/>
      <c r="Q14" s="302">
        <v>839.93</v>
      </c>
      <c r="R14" s="183"/>
      <c r="S14" s="302">
        <v>716.16</v>
      </c>
      <c r="T14" s="183"/>
      <c r="U14" s="303">
        <v>129.42000000000002</v>
      </c>
      <c r="V14" s="316"/>
      <c r="W14" s="127">
        <v>0</v>
      </c>
      <c r="Y14" s="127">
        <v>0</v>
      </c>
      <c r="AA14" s="302">
        <v>0</v>
      </c>
      <c r="AB14" s="183"/>
      <c r="AC14" s="127">
        <v>0</v>
      </c>
      <c r="AD14" s="127">
        <f t="shared" si="0"/>
        <v>17768.269999999997</v>
      </c>
    </row>
    <row r="15" spans="1:30" x14ac:dyDescent="0.25">
      <c r="A15" s="1">
        <v>12</v>
      </c>
      <c r="B15" s="19" t="s">
        <v>145</v>
      </c>
      <c r="G15" s="127">
        <v>5.59</v>
      </c>
      <c r="I15" s="301">
        <v>2.27</v>
      </c>
      <c r="J15" s="315"/>
      <c r="K15" s="302">
        <v>1.1599999999999999</v>
      </c>
      <c r="L15" s="183"/>
      <c r="S15" s="302">
        <v>0.28000000000000003</v>
      </c>
      <c r="T15" s="183"/>
      <c r="W15" s="127">
        <v>0</v>
      </c>
      <c r="Y15" s="127">
        <v>0</v>
      </c>
      <c r="AA15" s="127">
        <v>0</v>
      </c>
      <c r="AC15" s="127">
        <v>0</v>
      </c>
      <c r="AD15" s="127">
        <f t="shared" si="0"/>
        <v>9.2999999999999989</v>
      </c>
    </row>
    <row r="16" spans="1:30" x14ac:dyDescent="0.25">
      <c r="A16" s="1">
        <v>13</v>
      </c>
      <c r="B16" s="1" t="s">
        <v>29</v>
      </c>
      <c r="G16" s="127">
        <v>-14</v>
      </c>
      <c r="W16" s="127">
        <v>0</v>
      </c>
      <c r="Y16" s="127">
        <v>0</v>
      </c>
      <c r="AA16" s="127">
        <v>0</v>
      </c>
      <c r="AC16" s="127">
        <v>0</v>
      </c>
      <c r="AD16" s="127">
        <f t="shared" si="0"/>
        <v>-14</v>
      </c>
    </row>
    <row r="17" spans="1:30" x14ac:dyDescent="0.25">
      <c r="A17" s="1">
        <v>14</v>
      </c>
      <c r="B17" s="19" t="s">
        <v>30</v>
      </c>
      <c r="G17" s="302">
        <f>SUM(G6:G16)</f>
        <v>79757.959999999992</v>
      </c>
      <c r="H17" s="302"/>
      <c r="I17" s="302">
        <f t="shared" ref="I17" si="1">SUM(I6:I16)</f>
        <v>63142.18</v>
      </c>
      <c r="J17" s="302"/>
      <c r="K17" s="302">
        <f t="shared" ref="K17" si="2">SUM(K6:K16)</f>
        <v>73644.290000000008</v>
      </c>
      <c r="L17" s="302"/>
      <c r="M17" s="302">
        <f t="shared" ref="M17" si="3">SUM(M6:M16)</f>
        <v>48859.87</v>
      </c>
      <c r="N17" s="302"/>
      <c r="O17" s="302">
        <f t="shared" ref="O17" si="4">SUM(O6:O16)</f>
        <v>29458.719999999998</v>
      </c>
      <c r="P17" s="302"/>
      <c r="Q17" s="302">
        <f t="shared" ref="Q17" si="5">SUM(Q6:Q16)</f>
        <v>16682.940000000002</v>
      </c>
      <c r="R17" s="302"/>
      <c r="S17" s="302">
        <f t="shared" ref="S17" si="6">SUM(S6:S16)</f>
        <v>13593.920000000002</v>
      </c>
      <c r="T17" s="302"/>
      <c r="U17" s="302">
        <f t="shared" ref="U17:V17" si="7">SUM(U6:U16)</f>
        <v>2307.9000000000005</v>
      </c>
      <c r="V17" s="302">
        <f t="shared" si="7"/>
        <v>0</v>
      </c>
      <c r="W17" s="302">
        <f t="shared" ref="W17" si="8">SUM(W6:W16)</f>
        <v>0</v>
      </c>
      <c r="X17" s="302">
        <f t="shared" ref="X17:Y17" si="9">SUM(X6:X16)</f>
        <v>0</v>
      </c>
      <c r="Y17" s="302">
        <f t="shared" si="9"/>
        <v>0</v>
      </c>
      <c r="Z17" s="302">
        <f t="shared" ref="Z17" si="10">SUM(Z6:Z16)</f>
        <v>0</v>
      </c>
      <c r="AA17" s="302">
        <f t="shared" ref="AA17:AB17" si="11">SUM(AA6:AA16)</f>
        <v>0</v>
      </c>
      <c r="AB17" s="302">
        <f t="shared" si="11"/>
        <v>0</v>
      </c>
      <c r="AC17" s="302">
        <f t="shared" ref="AC17" si="12">SUM(AC6:AC16)</f>
        <v>0</v>
      </c>
      <c r="AD17" s="127">
        <f t="shared" si="0"/>
        <v>327447.77999999997</v>
      </c>
    </row>
    <row r="18" spans="1:30" x14ac:dyDescent="0.25">
      <c r="A18" s="1">
        <v>15</v>
      </c>
      <c r="B18" s="19" t="s">
        <v>31</v>
      </c>
      <c r="F18" s="98"/>
      <c r="G18" s="550">
        <v>101143</v>
      </c>
      <c r="H18" s="550"/>
      <c r="I18" s="551">
        <v>76835</v>
      </c>
      <c r="J18" s="551"/>
      <c r="K18" s="550">
        <v>92051</v>
      </c>
      <c r="L18" s="550"/>
      <c r="M18" s="550">
        <v>56416</v>
      </c>
      <c r="N18" s="550"/>
      <c r="O18" s="550">
        <v>28538</v>
      </c>
      <c r="P18" s="550"/>
      <c r="Q18" s="550">
        <v>10206</v>
      </c>
      <c r="R18" s="550"/>
      <c r="S18" s="550">
        <v>4948</v>
      </c>
      <c r="T18" s="550"/>
      <c r="U18" s="98"/>
      <c r="V18" s="98"/>
      <c r="W18" s="98">
        <v>0</v>
      </c>
      <c r="X18" s="98"/>
      <c r="Y18" s="98">
        <v>0</v>
      </c>
      <c r="Z18" s="98"/>
      <c r="AA18" s="98">
        <v>0</v>
      </c>
      <c r="AB18" s="98"/>
      <c r="AC18" s="98">
        <v>0</v>
      </c>
      <c r="AD18" s="98">
        <f t="shared" ref="AD18:AD67" si="13">SUM(G18:AC18)</f>
        <v>370137</v>
      </c>
    </row>
    <row r="19" spans="1:30" x14ac:dyDescent="0.25">
      <c r="A19" s="1">
        <v>16</v>
      </c>
      <c r="B19" s="1" t="s">
        <v>32</v>
      </c>
      <c r="F19" s="98"/>
      <c r="G19" s="98"/>
      <c r="H19" s="98"/>
      <c r="I19" s="98"/>
      <c r="J19" s="98"/>
      <c r="K19" s="98"/>
      <c r="L19" s="98"/>
      <c r="M19" s="98"/>
      <c r="N19" s="98"/>
      <c r="O19" s="98"/>
      <c r="P19" s="98"/>
      <c r="Q19" s="98"/>
      <c r="R19" s="98"/>
      <c r="S19" s="98"/>
      <c r="T19" s="98"/>
      <c r="U19" s="98"/>
      <c r="V19" s="98"/>
      <c r="W19" s="98">
        <v>0</v>
      </c>
      <c r="X19" s="98"/>
      <c r="Y19" s="98">
        <v>0</v>
      </c>
      <c r="Z19" s="98"/>
      <c r="AA19" s="98">
        <v>0</v>
      </c>
      <c r="AB19" s="98"/>
      <c r="AC19" s="98">
        <v>0</v>
      </c>
      <c r="AD19" s="98">
        <f t="shared" si="13"/>
        <v>0</v>
      </c>
    </row>
    <row r="20" spans="1:30" x14ac:dyDescent="0.25">
      <c r="A20" s="1">
        <v>17</v>
      </c>
      <c r="B20" s="1" t="s">
        <v>33</v>
      </c>
      <c r="F20" s="98"/>
      <c r="G20" s="550">
        <f>SUM(G18:G19)</f>
        <v>101143</v>
      </c>
      <c r="H20" s="550"/>
      <c r="I20" s="550">
        <f t="shared" ref="I20:U20" si="14">SUM(I18:I19)</f>
        <v>76835</v>
      </c>
      <c r="J20" s="550"/>
      <c r="K20" s="550">
        <f t="shared" si="14"/>
        <v>92051</v>
      </c>
      <c r="L20" s="550"/>
      <c r="M20" s="550">
        <f t="shared" si="14"/>
        <v>56416</v>
      </c>
      <c r="N20" s="550"/>
      <c r="O20" s="550">
        <f t="shared" si="14"/>
        <v>28538</v>
      </c>
      <c r="P20" s="550"/>
      <c r="Q20" s="550">
        <f t="shared" si="14"/>
        <v>10206</v>
      </c>
      <c r="R20" s="550"/>
      <c r="S20" s="550">
        <f t="shared" si="14"/>
        <v>4948</v>
      </c>
      <c r="T20" s="550"/>
      <c r="U20" s="550">
        <f t="shared" si="14"/>
        <v>0</v>
      </c>
      <c r="V20" s="550"/>
      <c r="W20" s="98">
        <v>0</v>
      </c>
      <c r="X20" s="98"/>
      <c r="Y20" s="98">
        <v>0</v>
      </c>
      <c r="Z20" s="98"/>
      <c r="AA20" s="98">
        <v>0</v>
      </c>
      <c r="AB20" s="98"/>
      <c r="AC20" s="98">
        <v>0</v>
      </c>
      <c r="AD20" s="98">
        <f>SUM(G20:AC20)</f>
        <v>370137</v>
      </c>
    </row>
    <row r="21" spans="1:30" x14ac:dyDescent="0.25">
      <c r="A21" s="1">
        <v>18</v>
      </c>
      <c r="B21" s="19"/>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row>
    <row r="22" spans="1:30" x14ac:dyDescent="0.25">
      <c r="A22" s="1">
        <v>19</v>
      </c>
      <c r="B22" s="4" t="s">
        <v>194</v>
      </c>
    </row>
    <row r="23" spans="1:30" x14ac:dyDescent="0.25">
      <c r="A23" s="1">
        <v>20</v>
      </c>
      <c r="B23" s="19" t="s">
        <v>9</v>
      </c>
      <c r="C23" s="127">
        <v>4</v>
      </c>
      <c r="D23" s="127"/>
      <c r="E23" s="127">
        <v>5</v>
      </c>
      <c r="F23" s="128">
        <f>G23/$C$23</f>
        <v>188060</v>
      </c>
      <c r="G23" s="302">
        <v>752240</v>
      </c>
      <c r="H23" s="128">
        <f>I23/$C$23</f>
        <v>188329</v>
      </c>
      <c r="I23" s="301">
        <v>753316</v>
      </c>
      <c r="J23" s="128">
        <f>K23/$C$23</f>
        <v>189019</v>
      </c>
      <c r="K23" s="302">
        <v>756076</v>
      </c>
      <c r="L23" s="128">
        <f>M23/$C$23</f>
        <v>189190</v>
      </c>
      <c r="M23" s="302">
        <v>756760</v>
      </c>
      <c r="N23" s="128">
        <f>O23/$C$23</f>
        <v>189223</v>
      </c>
      <c r="O23" s="302">
        <v>756892</v>
      </c>
      <c r="P23" s="128">
        <f>Q23/$C$23</f>
        <v>189291</v>
      </c>
      <c r="Q23" s="302">
        <v>757164</v>
      </c>
      <c r="R23" s="128">
        <f>S23/$C$23</f>
        <v>189220</v>
      </c>
      <c r="S23" s="302">
        <v>756880</v>
      </c>
      <c r="T23" s="128">
        <f>AVERAGE(V23,R23)</f>
        <v>189363.84</v>
      </c>
      <c r="U23" s="303">
        <v>829259.5</v>
      </c>
      <c r="V23" s="128">
        <f>W23/$E$23</f>
        <v>189507.68</v>
      </c>
      <c r="W23" s="304">
        <v>947538.4</v>
      </c>
      <c r="X23" s="128">
        <f>Y23/$E$23</f>
        <v>190371.4</v>
      </c>
      <c r="Y23" s="302">
        <v>951857</v>
      </c>
      <c r="Z23" s="128">
        <f>AA23/$E$23</f>
        <v>191062.8</v>
      </c>
      <c r="AA23" s="307">
        <f>955342-28</f>
        <v>955314</v>
      </c>
      <c r="AB23" s="128">
        <f>AC23/$E$23</f>
        <v>191815.86000000002</v>
      </c>
      <c r="AC23" s="302">
        <v>959079.3</v>
      </c>
      <c r="AD23" s="127">
        <f>SUM(G23,I23,K23,M23,O23,Q23,S23,U23,W23,Y23,AA23,AC23)</f>
        <v>9932376.2000000011</v>
      </c>
    </row>
    <row r="24" spans="1:30" x14ac:dyDescent="0.25">
      <c r="A24" s="1">
        <v>21</v>
      </c>
      <c r="B24" s="19" t="s">
        <v>28</v>
      </c>
      <c r="G24" s="302">
        <v>6636822.8899999997</v>
      </c>
      <c r="H24" s="183"/>
      <c r="I24" s="301">
        <v>4674307.9000000004</v>
      </c>
      <c r="J24" s="315"/>
      <c r="K24" s="302">
        <v>5539638.3799999999</v>
      </c>
      <c r="L24" s="183"/>
      <c r="M24" s="302">
        <v>3685135.57</v>
      </c>
      <c r="N24" s="183"/>
      <c r="O24" s="302">
        <v>2174874.87</v>
      </c>
      <c r="P24" s="183"/>
      <c r="Q24" s="302">
        <v>1181931.1100000001</v>
      </c>
      <c r="R24" s="183"/>
      <c r="S24" s="302">
        <v>919203.33</v>
      </c>
      <c r="T24" s="183"/>
      <c r="U24" s="303">
        <v>777387.89</v>
      </c>
      <c r="V24" s="316"/>
      <c r="W24" s="304">
        <v>764273.83</v>
      </c>
      <c r="X24" s="317"/>
      <c r="Y24" s="302">
        <v>1443787.66</v>
      </c>
      <c r="Z24" s="183"/>
      <c r="AA24" s="307">
        <v>2437827.89</v>
      </c>
      <c r="AB24" s="319"/>
      <c r="AC24" s="302">
        <v>4633347.3600000003</v>
      </c>
      <c r="AD24" s="127">
        <f t="shared" si="13"/>
        <v>34868538.68</v>
      </c>
    </row>
    <row r="25" spans="1:30" x14ac:dyDescent="0.25">
      <c r="A25" s="1">
        <v>22</v>
      </c>
      <c r="B25" s="19" t="s">
        <v>11</v>
      </c>
      <c r="G25" s="302">
        <v>10362420.59</v>
      </c>
      <c r="H25" s="183"/>
      <c r="I25" s="301">
        <v>7298295.7999999998</v>
      </c>
      <c r="J25" s="315"/>
      <c r="K25" s="302">
        <v>8649362.8800000008</v>
      </c>
      <c r="L25" s="183"/>
      <c r="M25" s="302">
        <v>5753831.6799999997</v>
      </c>
      <c r="N25" s="183"/>
      <c r="O25" s="302">
        <v>3395674.21</v>
      </c>
      <c r="P25" s="183"/>
      <c r="Q25" s="302">
        <v>1845448.5</v>
      </c>
      <c r="R25" s="183"/>
      <c r="S25" s="302">
        <v>1435220.26</v>
      </c>
      <c r="T25" s="183"/>
      <c r="U25" s="303">
        <v>1249224.8999999999</v>
      </c>
      <c r="V25" s="316"/>
      <c r="W25" s="304">
        <v>1293090.71</v>
      </c>
      <c r="X25" s="317"/>
      <c r="Y25" s="302">
        <v>2443110.36</v>
      </c>
      <c r="Z25" s="183"/>
      <c r="AA25" s="307">
        <v>4046088.95</v>
      </c>
      <c r="AB25" s="319"/>
      <c r="AC25" s="302">
        <v>7432096.4800000004</v>
      </c>
      <c r="AD25" s="127">
        <f t="shared" si="13"/>
        <v>55203865.320000008</v>
      </c>
    </row>
    <row r="26" spans="1:30" x14ac:dyDescent="0.25">
      <c r="A26" s="1">
        <v>23</v>
      </c>
      <c r="B26" s="19" t="s">
        <v>139</v>
      </c>
      <c r="G26" s="302">
        <v>65735.14</v>
      </c>
      <c r="H26" s="183"/>
      <c r="I26" s="301">
        <v>46298.94</v>
      </c>
      <c r="J26" s="315"/>
      <c r="K26" s="302">
        <v>54868.26</v>
      </c>
      <c r="L26" s="183"/>
      <c r="M26" s="302">
        <v>36495.599999999999</v>
      </c>
      <c r="N26" s="183"/>
      <c r="O26" s="302">
        <v>21558.01</v>
      </c>
      <c r="P26" s="183"/>
      <c r="Q26" s="302">
        <v>11733.6</v>
      </c>
      <c r="R26" s="183"/>
      <c r="S26" s="302">
        <v>9130.76</v>
      </c>
      <c r="T26" s="183"/>
      <c r="U26" s="303">
        <v>7909.8200000000015</v>
      </c>
      <c r="V26" s="316"/>
      <c r="W26" s="304">
        <v>8242.23</v>
      </c>
      <c r="X26" s="317"/>
      <c r="Y26" s="302">
        <v>15527.55</v>
      </c>
      <c r="Z26" s="183"/>
      <c r="AA26" s="307">
        <v>26174.799999999999</v>
      </c>
      <c r="AB26" s="319"/>
      <c r="AC26" s="302">
        <v>52329.68</v>
      </c>
      <c r="AD26" s="127">
        <f t="shared" si="13"/>
        <v>356004.39</v>
      </c>
    </row>
    <row r="27" spans="1:30" x14ac:dyDescent="0.25">
      <c r="A27" s="1">
        <v>24</v>
      </c>
      <c r="B27" s="19" t="s">
        <v>140</v>
      </c>
      <c r="G27" s="302">
        <v>288132.23</v>
      </c>
      <c r="H27" s="183"/>
      <c r="I27" s="301">
        <v>202925.42</v>
      </c>
      <c r="J27" s="315"/>
      <c r="K27" s="302">
        <v>240497.02</v>
      </c>
      <c r="L27" s="183"/>
      <c r="M27" s="302">
        <v>159989.83000000002</v>
      </c>
      <c r="N27" s="183"/>
      <c r="O27" s="302">
        <v>94439.64</v>
      </c>
      <c r="P27" s="183"/>
      <c r="Q27" s="302">
        <v>51320.39</v>
      </c>
      <c r="R27" s="183"/>
      <c r="S27" s="302">
        <v>39928.29</v>
      </c>
      <c r="T27" s="183"/>
      <c r="U27" s="303">
        <v>26619.68</v>
      </c>
      <c r="V27" s="316"/>
      <c r="W27" s="304">
        <v>13600.38</v>
      </c>
      <c r="X27" s="317"/>
      <c r="Y27" s="302">
        <v>25844.37</v>
      </c>
      <c r="Z27" s="183"/>
      <c r="AA27" s="307">
        <v>71255.820000000007</v>
      </c>
      <c r="AB27" s="319"/>
      <c r="AC27" s="302">
        <v>225427.28</v>
      </c>
      <c r="AD27" s="127">
        <f t="shared" si="13"/>
        <v>1439980.35</v>
      </c>
    </row>
    <row r="28" spans="1:30" x14ac:dyDescent="0.25">
      <c r="A28" s="1">
        <v>25</v>
      </c>
      <c r="B28" s="19" t="s">
        <v>141</v>
      </c>
      <c r="G28" s="302">
        <v>-31726.3</v>
      </c>
      <c r="H28" s="183"/>
      <c r="I28" s="301">
        <v>-22342.29</v>
      </c>
      <c r="J28" s="315"/>
      <c r="K28" s="302">
        <v>-26479.99</v>
      </c>
      <c r="L28" s="183"/>
      <c r="M28" s="302">
        <v>-17606.920000000002</v>
      </c>
      <c r="N28" s="183"/>
      <c r="O28" s="302">
        <v>-10402.280000000001</v>
      </c>
      <c r="P28" s="183"/>
      <c r="Q28" s="302">
        <v>-5672.17</v>
      </c>
      <c r="R28" s="183"/>
      <c r="S28" s="302">
        <v>-4421.7</v>
      </c>
      <c r="T28" s="183"/>
      <c r="U28" s="303">
        <v>-3823.39</v>
      </c>
      <c r="V28" s="316"/>
      <c r="W28" s="304">
        <v>-3974.69</v>
      </c>
      <c r="X28" s="317"/>
      <c r="Y28" s="302">
        <v>-7493.17</v>
      </c>
      <c r="Z28" s="183"/>
      <c r="AA28" s="307">
        <v>-91711.46</v>
      </c>
      <c r="AB28" s="319"/>
      <c r="AC28" s="302">
        <v>-431875.57</v>
      </c>
      <c r="AD28" s="127">
        <f t="shared" si="13"/>
        <v>-657529.92999999993</v>
      </c>
    </row>
    <row r="29" spans="1:30" x14ac:dyDescent="0.25">
      <c r="A29" s="1">
        <v>26</v>
      </c>
      <c r="B29" s="19" t="s">
        <v>142</v>
      </c>
      <c r="G29" s="302">
        <v>1254147.44</v>
      </c>
      <c r="H29" s="183"/>
      <c r="I29" s="301">
        <v>883239.97</v>
      </c>
      <c r="J29" s="315"/>
      <c r="K29" s="302">
        <v>1046772.96</v>
      </c>
      <c r="L29" s="183"/>
      <c r="M29" s="302">
        <v>696363.9</v>
      </c>
      <c r="N29" s="183"/>
      <c r="O29" s="302">
        <v>411099.8</v>
      </c>
      <c r="P29" s="183"/>
      <c r="Q29" s="302">
        <v>223378.18</v>
      </c>
      <c r="R29" s="183"/>
      <c r="S29" s="302">
        <v>173728.51</v>
      </c>
      <c r="T29" s="183"/>
      <c r="U29" s="303">
        <v>151307.35</v>
      </c>
      <c r="V29" s="316"/>
      <c r="W29" s="304">
        <v>156539.76</v>
      </c>
      <c r="X29" s="317"/>
      <c r="Y29" s="302">
        <v>295694.99</v>
      </c>
      <c r="Z29" s="183"/>
      <c r="AA29" s="307">
        <v>344172.15</v>
      </c>
      <c r="AB29" s="319"/>
      <c r="AC29" s="302">
        <v>148303.97</v>
      </c>
      <c r="AD29" s="127">
        <f t="shared" si="13"/>
        <v>5784748.9799999995</v>
      </c>
    </row>
    <row r="30" spans="1:30" x14ac:dyDescent="0.25">
      <c r="A30" s="1">
        <v>27</v>
      </c>
      <c r="B30" s="19" t="s">
        <v>143</v>
      </c>
      <c r="G30" s="302">
        <v>307265</v>
      </c>
      <c r="H30" s="183"/>
      <c r="I30" s="301">
        <v>216414.13</v>
      </c>
      <c r="J30" s="315"/>
      <c r="K30" s="302">
        <v>256471.07</v>
      </c>
      <c r="L30" s="183"/>
      <c r="M30" s="302">
        <v>170617.18</v>
      </c>
      <c r="N30" s="183"/>
      <c r="O30" s="302">
        <v>100697.38</v>
      </c>
      <c r="P30" s="183"/>
      <c r="Q30" s="302">
        <v>54690.05</v>
      </c>
      <c r="R30" s="183"/>
      <c r="S30" s="302">
        <v>42523.79</v>
      </c>
      <c r="T30" s="183"/>
      <c r="U30" s="303">
        <v>36965.58</v>
      </c>
      <c r="V30" s="316"/>
      <c r="W30" s="304">
        <v>38308.480000000003</v>
      </c>
      <c r="X30" s="317"/>
      <c r="Y30" s="302">
        <v>72429.540000000008</v>
      </c>
      <c r="Z30" s="183"/>
      <c r="AA30" s="307">
        <v>167302.68</v>
      </c>
      <c r="AB30" s="319"/>
      <c r="AC30" s="302">
        <v>464274.12</v>
      </c>
      <c r="AD30" s="127">
        <f t="shared" si="13"/>
        <v>1927959</v>
      </c>
    </row>
    <row r="31" spans="1:30" x14ac:dyDescent="0.25">
      <c r="A31" s="1">
        <v>28</v>
      </c>
      <c r="B31" s="63" t="s">
        <v>224</v>
      </c>
      <c r="G31" s="302"/>
      <c r="H31" s="183"/>
      <c r="I31" s="301"/>
      <c r="J31" s="315"/>
      <c r="K31" s="302"/>
      <c r="L31" s="183"/>
      <c r="M31" s="302"/>
      <c r="N31" s="183"/>
      <c r="O31" s="302"/>
      <c r="P31" s="183"/>
      <c r="Q31" s="302"/>
      <c r="R31" s="183"/>
      <c r="S31" s="302"/>
      <c r="T31" s="183"/>
      <c r="U31" s="303">
        <v>-6534.62</v>
      </c>
      <c r="V31" s="316"/>
      <c r="W31" s="304">
        <v>-18168.41</v>
      </c>
      <c r="X31" s="317"/>
      <c r="Y31" s="302">
        <v>-34347.99</v>
      </c>
      <c r="Z31" s="183"/>
      <c r="AA31" s="307">
        <v>-60221.06</v>
      </c>
      <c r="AB31" s="319"/>
      <c r="AC31" s="302">
        <v>-121861.86</v>
      </c>
      <c r="AD31" s="127">
        <f t="shared" si="13"/>
        <v>-241133.94</v>
      </c>
    </row>
    <row r="32" spans="1:30" x14ac:dyDescent="0.25">
      <c r="A32" s="1">
        <v>29</v>
      </c>
      <c r="B32" s="63" t="s">
        <v>225</v>
      </c>
      <c r="G32" s="302"/>
      <c r="H32" s="183"/>
      <c r="I32" s="301"/>
      <c r="J32" s="315"/>
      <c r="K32" s="302"/>
      <c r="L32" s="183"/>
      <c r="M32" s="302"/>
      <c r="N32" s="183"/>
      <c r="O32" s="302"/>
      <c r="P32" s="183"/>
      <c r="Q32" s="302"/>
      <c r="R32" s="183"/>
      <c r="S32" s="302"/>
      <c r="T32" s="183"/>
      <c r="U32" s="303">
        <v>-3099.43</v>
      </c>
      <c r="V32" s="316"/>
      <c r="W32" s="304">
        <v>-8660.58</v>
      </c>
      <c r="X32" s="317"/>
      <c r="Y32" s="302">
        <v>-16459.990000000002</v>
      </c>
      <c r="Z32" s="183"/>
      <c r="AA32" s="307">
        <v>-28535.22</v>
      </c>
      <c r="AB32" s="319"/>
      <c r="AC32" s="302">
        <v>-56690.7</v>
      </c>
      <c r="AD32" s="127">
        <f t="shared" si="13"/>
        <v>-113445.92</v>
      </c>
    </row>
    <row r="33" spans="1:30" x14ac:dyDescent="0.25">
      <c r="A33" s="1">
        <v>30</v>
      </c>
      <c r="B33" s="63" t="s">
        <v>226</v>
      </c>
      <c r="G33" s="302"/>
      <c r="H33" s="183"/>
      <c r="I33" s="301"/>
      <c r="J33" s="315"/>
      <c r="K33" s="302"/>
      <c r="L33" s="183"/>
      <c r="M33" s="302"/>
      <c r="N33" s="183"/>
      <c r="O33" s="302"/>
      <c r="P33" s="183"/>
      <c r="Q33" s="302"/>
      <c r="R33" s="183"/>
      <c r="S33" s="302"/>
      <c r="T33" s="183"/>
      <c r="U33" s="303">
        <v>-6076.36</v>
      </c>
      <c r="V33" s="316"/>
      <c r="W33" s="304">
        <v>-17110.78</v>
      </c>
      <c r="X33" s="317"/>
      <c r="Y33" s="302">
        <v>-32389.1</v>
      </c>
      <c r="Z33" s="183"/>
      <c r="AA33" s="307">
        <v>-54705.59</v>
      </c>
      <c r="AB33" s="319"/>
      <c r="AC33" s="302">
        <v>-104028.09</v>
      </c>
      <c r="AD33" s="127">
        <f t="shared" si="13"/>
        <v>-214309.91999999998</v>
      </c>
    </row>
    <row r="34" spans="1:30" x14ac:dyDescent="0.25">
      <c r="A34" s="1">
        <v>31</v>
      </c>
      <c r="B34" s="19" t="s">
        <v>144</v>
      </c>
      <c r="G34" s="302">
        <v>946048.91</v>
      </c>
      <c r="H34" s="183"/>
      <c r="I34" s="301">
        <v>670667.59</v>
      </c>
      <c r="J34" s="315"/>
      <c r="K34" s="302">
        <v>780089.8</v>
      </c>
      <c r="L34" s="183"/>
      <c r="M34" s="302">
        <v>526371.62</v>
      </c>
      <c r="N34" s="183"/>
      <c r="O34" s="302">
        <v>323501.76</v>
      </c>
      <c r="P34" s="183"/>
      <c r="Q34" s="302">
        <v>189949.48</v>
      </c>
      <c r="R34" s="183"/>
      <c r="S34" s="302">
        <v>156301.88</v>
      </c>
      <c r="T34" s="183"/>
      <c r="U34" s="303">
        <v>144381.43</v>
      </c>
      <c r="V34" s="316"/>
      <c r="W34" s="304">
        <v>147006.73000000001</v>
      </c>
      <c r="X34" s="317"/>
      <c r="Y34" s="302">
        <v>233146.21</v>
      </c>
      <c r="Z34" s="183"/>
      <c r="AA34" s="307">
        <f>364675.28-2.03</f>
        <v>364673.25</v>
      </c>
      <c r="AB34" s="319"/>
      <c r="AC34" s="302">
        <v>651463.68000000005</v>
      </c>
      <c r="AD34" s="127">
        <f t="shared" si="13"/>
        <v>5133602.34</v>
      </c>
    </row>
    <row r="35" spans="1:30" x14ac:dyDescent="0.25">
      <c r="A35" s="1">
        <v>32</v>
      </c>
      <c r="B35" s="19" t="s">
        <v>146</v>
      </c>
      <c r="G35" s="302">
        <v>3795.88</v>
      </c>
      <c r="H35" s="183"/>
      <c r="I35" s="301">
        <v>2554.75</v>
      </c>
      <c r="J35" s="315"/>
      <c r="K35" s="302">
        <v>2905.51</v>
      </c>
      <c r="L35" s="183"/>
      <c r="M35" s="302">
        <v>1850.81</v>
      </c>
      <c r="N35" s="183"/>
      <c r="O35" s="302">
        <v>1015.74</v>
      </c>
      <c r="P35" s="183"/>
      <c r="Q35" s="302">
        <v>599.49</v>
      </c>
      <c r="R35" s="183"/>
      <c r="S35" s="302">
        <v>527.94000000000005</v>
      </c>
      <c r="T35" s="183"/>
      <c r="U35" s="303">
        <v>527.08000000000004</v>
      </c>
      <c r="V35" s="316"/>
      <c r="W35" s="304">
        <v>554.04</v>
      </c>
      <c r="X35" s="317"/>
      <c r="Y35" s="302">
        <v>728.08</v>
      </c>
      <c r="Z35" s="183"/>
      <c r="AA35" s="307">
        <v>1153.74</v>
      </c>
      <c r="AB35" s="319"/>
      <c r="AC35" s="302">
        <v>2964.9</v>
      </c>
      <c r="AD35" s="127">
        <f t="shared" si="13"/>
        <v>19177.96</v>
      </c>
    </row>
    <row r="36" spans="1:30" x14ac:dyDescent="0.25">
      <c r="A36" s="1">
        <v>33</v>
      </c>
      <c r="B36" s="19" t="s">
        <v>145</v>
      </c>
      <c r="G36" s="302">
        <v>361.03</v>
      </c>
      <c r="H36" s="183"/>
      <c r="I36" s="301">
        <v>299.05</v>
      </c>
      <c r="J36" s="315"/>
      <c r="K36" s="302">
        <v>317.20999999999998</v>
      </c>
      <c r="L36" s="183"/>
      <c r="M36" s="302">
        <v>221.21</v>
      </c>
      <c r="N36" s="183"/>
      <c r="O36" s="302">
        <v>148.04</v>
      </c>
      <c r="P36" s="183"/>
      <c r="Q36" s="302">
        <v>78.17</v>
      </c>
      <c r="R36" s="183"/>
      <c r="S36" s="302">
        <v>69.09</v>
      </c>
      <c r="T36" s="183"/>
      <c r="U36" s="303">
        <v>62.3</v>
      </c>
      <c r="V36" s="316"/>
      <c r="W36" s="304">
        <v>61.32</v>
      </c>
      <c r="X36" s="317"/>
      <c r="Y36" s="302">
        <v>97.85</v>
      </c>
      <c r="Z36" s="183"/>
      <c r="AA36" s="307">
        <v>125.77</v>
      </c>
      <c r="AB36" s="319"/>
      <c r="AC36" s="302">
        <v>222.78</v>
      </c>
      <c r="AD36" s="127">
        <f t="shared" si="13"/>
        <v>2063.8199999999997</v>
      </c>
    </row>
    <row r="37" spans="1:30" x14ac:dyDescent="0.25">
      <c r="A37" s="1">
        <v>34</v>
      </c>
      <c r="B37" s="19" t="s">
        <v>147</v>
      </c>
      <c r="C37" s="5"/>
      <c r="D37" s="5"/>
      <c r="E37" s="5"/>
      <c r="G37" s="302">
        <v>-145.06</v>
      </c>
      <c r="H37" s="183"/>
      <c r="I37" s="301">
        <v>-95.59</v>
      </c>
      <c r="J37" s="315"/>
      <c r="K37" s="302">
        <v>-128.62</v>
      </c>
      <c r="L37" s="183"/>
      <c r="M37" s="302">
        <v>-87.41</v>
      </c>
      <c r="N37" s="183"/>
      <c r="O37" s="302">
        <v>-55.33</v>
      </c>
      <c r="P37" s="183"/>
      <c r="Q37" s="302">
        <v>-28.75</v>
      </c>
      <c r="R37" s="183"/>
      <c r="S37" s="302">
        <v>-23.7</v>
      </c>
      <c r="T37" s="183"/>
      <c r="U37" s="303">
        <v>-18.73</v>
      </c>
      <c r="V37" s="316"/>
      <c r="W37" s="304">
        <v>-19.68</v>
      </c>
      <c r="X37" s="317"/>
      <c r="Y37" s="302">
        <v>-29.44</v>
      </c>
      <c r="Z37" s="183"/>
      <c r="AA37" s="307">
        <v>-47.47</v>
      </c>
      <c r="AB37" s="319"/>
      <c r="AC37" s="302">
        <v>-80.06</v>
      </c>
      <c r="AD37" s="127">
        <f t="shared" si="13"/>
        <v>-759.84000000000015</v>
      </c>
    </row>
    <row r="38" spans="1:30" x14ac:dyDescent="0.25">
      <c r="A38" s="1">
        <v>35</v>
      </c>
      <c r="B38" s="1" t="s">
        <v>148</v>
      </c>
      <c r="G38" s="302">
        <v>3966.15</v>
      </c>
      <c r="H38" s="183"/>
      <c r="I38" s="301">
        <v>2390.9700000000003</v>
      </c>
      <c r="J38" s="315"/>
      <c r="K38" s="302">
        <v>2897.55</v>
      </c>
      <c r="L38" s="183"/>
      <c r="M38" s="302">
        <v>1742.32</v>
      </c>
      <c r="N38" s="183"/>
      <c r="O38" s="302">
        <v>894.38</v>
      </c>
      <c r="P38" s="183"/>
      <c r="Q38" s="302">
        <v>525.76</v>
      </c>
      <c r="R38" s="183"/>
      <c r="S38" s="302">
        <v>494.63</v>
      </c>
      <c r="T38" s="183"/>
      <c r="U38" s="303">
        <v>480.28</v>
      </c>
      <c r="V38" s="316"/>
      <c r="W38" s="304">
        <v>489.57</v>
      </c>
      <c r="X38" s="317"/>
      <c r="Y38" s="302">
        <v>889.13</v>
      </c>
      <c r="Z38" s="183"/>
      <c r="AA38" s="307">
        <v>1590.26</v>
      </c>
      <c r="AB38" s="319"/>
      <c r="AC38" s="302">
        <v>2794.52</v>
      </c>
      <c r="AD38" s="127">
        <f t="shared" si="13"/>
        <v>19155.52</v>
      </c>
    </row>
    <row r="39" spans="1:30" x14ac:dyDescent="0.25">
      <c r="A39" s="1">
        <v>36</v>
      </c>
      <c r="B39" s="19" t="s">
        <v>29</v>
      </c>
      <c r="G39" s="302">
        <v>-488.74</v>
      </c>
      <c r="H39" s="183"/>
      <c r="I39" s="301">
        <v>-146.69</v>
      </c>
      <c r="J39" s="315"/>
      <c r="K39" s="302">
        <v>-20.75</v>
      </c>
      <c r="L39" s="183"/>
      <c r="M39" s="302">
        <v>-355.38</v>
      </c>
      <c r="N39" s="183"/>
      <c r="O39" s="302">
        <v>-38.24</v>
      </c>
      <c r="P39" s="183"/>
      <c r="Q39" s="302">
        <v>-76.12</v>
      </c>
      <c r="R39" s="183"/>
      <c r="S39" s="302">
        <v>2.6</v>
      </c>
      <c r="T39" s="183"/>
      <c r="U39" s="303">
        <v>-27.56</v>
      </c>
      <c r="V39" s="316"/>
      <c r="W39" s="304">
        <v>-132.32</v>
      </c>
      <c r="X39" s="317"/>
      <c r="Y39" s="302">
        <v>-15.9</v>
      </c>
      <c r="Z39" s="183"/>
      <c r="AA39" s="307">
        <v>-0.89</v>
      </c>
      <c r="AB39" s="319"/>
      <c r="AC39" s="302">
        <v>-15.96</v>
      </c>
      <c r="AD39" s="127">
        <f t="shared" si="13"/>
        <v>-1315.9500000000003</v>
      </c>
    </row>
    <row r="40" spans="1:30" x14ac:dyDescent="0.25">
      <c r="A40" s="1">
        <v>37</v>
      </c>
      <c r="B40" s="19" t="s">
        <v>30</v>
      </c>
      <c r="G40" s="302">
        <f>SUM(G23:G39)</f>
        <v>20588575.160000004</v>
      </c>
      <c r="H40" s="302"/>
      <c r="I40" s="302">
        <f t="shared" ref="I40:AC40" si="15">SUM(I23:I39)</f>
        <v>14728125.950000003</v>
      </c>
      <c r="J40" s="302"/>
      <c r="K40" s="302">
        <f t="shared" si="15"/>
        <v>17303267.280000005</v>
      </c>
      <c r="L40" s="302"/>
      <c r="M40" s="302">
        <f t="shared" si="15"/>
        <v>11771330.01</v>
      </c>
      <c r="N40" s="302"/>
      <c r="O40" s="302">
        <f t="shared" si="15"/>
        <v>7270299.9799999986</v>
      </c>
      <c r="P40" s="302"/>
      <c r="Q40" s="302">
        <f t="shared" si="15"/>
        <v>4311041.6900000004</v>
      </c>
      <c r="R40" s="302"/>
      <c r="S40" s="302">
        <f t="shared" si="15"/>
        <v>3529565.6799999988</v>
      </c>
      <c r="T40" s="302"/>
      <c r="U40" s="302">
        <f t="shared" si="15"/>
        <v>3204545.7199999997</v>
      </c>
      <c r="V40" s="302"/>
      <c r="W40" s="302">
        <f t="shared" si="15"/>
        <v>3321638.9899999998</v>
      </c>
      <c r="X40" s="302"/>
      <c r="Y40" s="302">
        <f t="shared" si="15"/>
        <v>5392377.1499999985</v>
      </c>
      <c r="Z40" s="302"/>
      <c r="AA40" s="302">
        <f t="shared" si="15"/>
        <v>8180457.620000001</v>
      </c>
      <c r="AB40" s="302"/>
      <c r="AC40" s="302">
        <f t="shared" si="15"/>
        <v>13857751.829999998</v>
      </c>
      <c r="AD40" s="127">
        <f t="shared" si="13"/>
        <v>113458977.05999999</v>
      </c>
    </row>
    <row r="41" spans="1:30" x14ac:dyDescent="0.25">
      <c r="A41" s="1">
        <v>38</v>
      </c>
      <c r="B41" s="19" t="s">
        <v>31</v>
      </c>
      <c r="E41" s="98"/>
      <c r="F41" s="98"/>
      <c r="G41" s="550">
        <v>22509918</v>
      </c>
      <c r="H41" s="550"/>
      <c r="I41" s="551">
        <v>15853765</v>
      </c>
      <c r="J41" s="551"/>
      <c r="K41" s="550">
        <v>18788656</v>
      </c>
      <c r="L41" s="550"/>
      <c r="M41" s="98">
        <v>12498819</v>
      </c>
      <c r="N41" s="98"/>
      <c r="O41" s="550">
        <v>7376490</v>
      </c>
      <c r="P41" s="550"/>
      <c r="Q41" s="550">
        <v>4008857</v>
      </c>
      <c r="R41" s="550"/>
      <c r="S41" s="550">
        <v>3117853</v>
      </c>
      <c r="T41" s="550"/>
      <c r="U41" s="552">
        <v>2714543</v>
      </c>
      <c r="V41" s="552"/>
      <c r="W41" s="554">
        <v>2809209</v>
      </c>
      <c r="X41" s="554"/>
      <c r="Y41" s="550">
        <v>5307116</v>
      </c>
      <c r="Z41" s="550"/>
      <c r="AA41" s="553">
        <v>8960931</v>
      </c>
      <c r="AB41" s="553"/>
      <c r="AC41" s="550">
        <v>17031202</v>
      </c>
      <c r="AD41" s="98">
        <f t="shared" si="13"/>
        <v>120977359</v>
      </c>
    </row>
    <row r="42" spans="1:30" x14ac:dyDescent="0.25">
      <c r="A42" s="1">
        <v>39</v>
      </c>
      <c r="B42" s="1" t="s">
        <v>32</v>
      </c>
      <c r="E42" s="98"/>
      <c r="F42" s="98"/>
      <c r="G42" s="550">
        <v>-564.26</v>
      </c>
      <c r="H42" s="550"/>
      <c r="I42" s="551">
        <v>-171</v>
      </c>
      <c r="J42" s="551"/>
      <c r="K42" s="550">
        <v>-17</v>
      </c>
      <c r="L42" s="550"/>
      <c r="M42" s="550">
        <v>-430</v>
      </c>
      <c r="N42" s="550"/>
      <c r="O42" s="550">
        <v>-44</v>
      </c>
      <c r="P42" s="550"/>
      <c r="Q42" s="550">
        <v>-73</v>
      </c>
      <c r="R42" s="550"/>
      <c r="S42" s="550">
        <v>7</v>
      </c>
      <c r="T42" s="550"/>
      <c r="U42" s="98"/>
      <c r="V42" s="98"/>
      <c r="W42" s="554">
        <v>-21</v>
      </c>
      <c r="X42" s="554"/>
      <c r="Y42" s="98"/>
      <c r="Z42" s="98"/>
      <c r="AA42" s="553">
        <v>-1</v>
      </c>
      <c r="AB42" s="553"/>
      <c r="AC42" s="98"/>
      <c r="AD42" s="98">
        <f t="shared" si="13"/>
        <v>-1314.26</v>
      </c>
    </row>
    <row r="43" spans="1:30" x14ac:dyDescent="0.25">
      <c r="A43" s="1">
        <v>40</v>
      </c>
      <c r="B43" s="1" t="s">
        <v>33</v>
      </c>
      <c r="C43" s="4"/>
      <c r="D43" s="4"/>
      <c r="E43" s="555"/>
      <c r="F43" s="98"/>
      <c r="G43" s="550">
        <f>SUM(G41:G42)</f>
        <v>22509353.739999998</v>
      </c>
      <c r="H43" s="550"/>
      <c r="I43" s="550">
        <f t="shared" ref="I43:AC43" si="16">SUM(I41:I42)</f>
        <v>15853594</v>
      </c>
      <c r="J43" s="550"/>
      <c r="K43" s="550">
        <f t="shared" si="16"/>
        <v>18788639</v>
      </c>
      <c r="L43" s="550"/>
      <c r="M43" s="550">
        <f t="shared" si="16"/>
        <v>12498389</v>
      </c>
      <c r="N43" s="550"/>
      <c r="O43" s="550">
        <f t="shared" si="16"/>
        <v>7376446</v>
      </c>
      <c r="P43" s="550"/>
      <c r="Q43" s="550">
        <f t="shared" si="16"/>
        <v>4008784</v>
      </c>
      <c r="R43" s="550"/>
      <c r="S43" s="550">
        <f t="shared" si="16"/>
        <v>3117860</v>
      </c>
      <c r="T43" s="550"/>
      <c r="U43" s="550">
        <f t="shared" si="16"/>
        <v>2714543</v>
      </c>
      <c r="V43" s="550"/>
      <c r="W43" s="550">
        <f t="shared" si="16"/>
        <v>2809188</v>
      </c>
      <c r="X43" s="550"/>
      <c r="Y43" s="550">
        <f t="shared" si="16"/>
        <v>5307116</v>
      </c>
      <c r="Z43" s="550"/>
      <c r="AA43" s="550">
        <f t="shared" si="16"/>
        <v>8960930</v>
      </c>
      <c r="AB43" s="550"/>
      <c r="AC43" s="550">
        <f t="shared" si="16"/>
        <v>17031202</v>
      </c>
      <c r="AD43" s="98">
        <f t="shared" si="13"/>
        <v>120976044.73999999</v>
      </c>
    </row>
    <row r="44" spans="1:30" x14ac:dyDescent="0.25">
      <c r="A44" s="1">
        <v>41</v>
      </c>
      <c r="C44" s="4"/>
      <c r="D44" s="4"/>
      <c r="E44" s="4"/>
    </row>
    <row r="45" spans="1:30" x14ac:dyDescent="0.25">
      <c r="A45" s="1">
        <v>42</v>
      </c>
      <c r="B45" s="31" t="s">
        <v>205</v>
      </c>
      <c r="C45" s="4"/>
      <c r="D45" s="4"/>
      <c r="E45" s="4"/>
    </row>
    <row r="46" spans="1:30" x14ac:dyDescent="0.25">
      <c r="A46" s="1">
        <v>43</v>
      </c>
      <c r="B46" s="1" t="s">
        <v>9</v>
      </c>
      <c r="C46" s="127">
        <v>10</v>
      </c>
      <c r="D46" s="127"/>
      <c r="E46" s="127">
        <v>13</v>
      </c>
      <c r="F46" s="128">
        <f>G46/$C$46</f>
        <v>26341</v>
      </c>
      <c r="G46" s="302">
        <v>263410</v>
      </c>
      <c r="H46" s="128">
        <f>I46/$C$46</f>
        <v>26376</v>
      </c>
      <c r="I46" s="301">
        <v>263760</v>
      </c>
      <c r="J46" s="128">
        <f>K46/$C$46</f>
        <v>26440</v>
      </c>
      <c r="K46" s="302">
        <v>264400</v>
      </c>
      <c r="L46" s="128">
        <f>M46/$C$46</f>
        <v>26385</v>
      </c>
      <c r="M46" s="302">
        <v>263850</v>
      </c>
      <c r="N46" s="128">
        <f>O46/$C$46</f>
        <v>26378</v>
      </c>
      <c r="O46" s="302">
        <v>263780</v>
      </c>
      <c r="P46" s="128">
        <f>Q46/$C$46</f>
        <v>26294</v>
      </c>
      <c r="Q46" s="302">
        <v>262940</v>
      </c>
      <c r="R46" s="128">
        <f>S46/$C$46</f>
        <v>26199</v>
      </c>
      <c r="S46" s="302">
        <v>261990</v>
      </c>
      <c r="T46" s="128">
        <f>AVERAGE(V46,R46)</f>
        <v>26176.5</v>
      </c>
      <c r="U46" s="303">
        <v>287960.10000000003</v>
      </c>
      <c r="V46" s="128">
        <f>W46/$E$46</f>
        <v>26154</v>
      </c>
      <c r="W46" s="304">
        <v>340002</v>
      </c>
      <c r="X46" s="128">
        <f>Y46/$E$46</f>
        <v>26205.415384615386</v>
      </c>
      <c r="Y46" s="302">
        <v>340670.4</v>
      </c>
      <c r="Z46" s="128">
        <f>AA46/$E$46</f>
        <v>26396.746153846154</v>
      </c>
      <c r="AA46" s="307">
        <v>343157.7</v>
      </c>
      <c r="AB46" s="128">
        <f>AC46/$E$46</f>
        <v>26578.415384615386</v>
      </c>
      <c r="AC46" s="302">
        <v>345519.4</v>
      </c>
      <c r="AD46" s="127">
        <f>SUM(G46,I46,K46,M46,O46,Q46,S46,U46,W46,Y46,AA46,AC46)</f>
        <v>3501439.6</v>
      </c>
    </row>
    <row r="47" spans="1:30" x14ac:dyDescent="0.25">
      <c r="A47" s="1">
        <v>44</v>
      </c>
      <c r="B47" s="1" t="s">
        <v>28</v>
      </c>
      <c r="C47" s="4"/>
      <c r="D47" s="4"/>
      <c r="E47" s="4"/>
      <c r="G47" s="302">
        <v>3747378.62</v>
      </c>
      <c r="H47" s="183"/>
      <c r="I47" s="301">
        <v>2679131.08</v>
      </c>
      <c r="J47" s="315"/>
      <c r="K47" s="302">
        <v>3103331.87</v>
      </c>
      <c r="L47" s="183"/>
      <c r="M47" s="302">
        <v>2141220</v>
      </c>
      <c r="N47" s="183"/>
      <c r="O47" s="302">
        <v>1349757.98</v>
      </c>
      <c r="P47" s="183"/>
      <c r="Q47" s="302">
        <v>844546.7</v>
      </c>
      <c r="R47" s="183"/>
      <c r="S47" s="302">
        <v>711414.76</v>
      </c>
      <c r="T47" s="183"/>
      <c r="U47" s="303">
        <v>676165.17</v>
      </c>
      <c r="V47" s="316"/>
      <c r="W47" s="304">
        <v>646022.94999999995</v>
      </c>
      <c r="X47" s="317"/>
      <c r="Y47" s="302">
        <v>987518.65</v>
      </c>
      <c r="Z47" s="183"/>
      <c r="AA47" s="307">
        <v>1426740.68</v>
      </c>
      <c r="AB47" s="319"/>
      <c r="AC47" s="302">
        <v>2657414.36</v>
      </c>
      <c r="AD47" s="127">
        <f t="shared" si="13"/>
        <v>20970642.819999997</v>
      </c>
    </row>
    <row r="48" spans="1:30" x14ac:dyDescent="0.25">
      <c r="A48" s="1">
        <v>45</v>
      </c>
      <c r="B48" s="1" t="s">
        <v>11</v>
      </c>
      <c r="C48" s="4"/>
      <c r="D48" s="4"/>
      <c r="E48" s="4"/>
      <c r="G48" s="302">
        <v>6970889.6200000001</v>
      </c>
      <c r="H48" s="183"/>
      <c r="I48" s="301">
        <v>4983306.0600000005</v>
      </c>
      <c r="J48" s="315"/>
      <c r="K48" s="302">
        <v>5772309.54</v>
      </c>
      <c r="L48" s="183"/>
      <c r="M48" s="302">
        <v>3983352.98</v>
      </c>
      <c r="N48" s="183"/>
      <c r="O48" s="302">
        <v>2510594.15</v>
      </c>
      <c r="P48" s="183"/>
      <c r="Q48" s="302">
        <v>1570894.66</v>
      </c>
      <c r="R48" s="183"/>
      <c r="S48" s="302">
        <v>1323215.31</v>
      </c>
      <c r="T48" s="183"/>
      <c r="U48" s="303">
        <v>1284743</v>
      </c>
      <c r="V48" s="316"/>
      <c r="W48" s="304">
        <v>1277272.04</v>
      </c>
      <c r="X48" s="317"/>
      <c r="Y48" s="302">
        <v>1953202.56</v>
      </c>
      <c r="Z48" s="183"/>
      <c r="AA48" s="307">
        <v>2769426.84</v>
      </c>
      <c r="AB48" s="319"/>
      <c r="AC48" s="302">
        <v>4981768.76</v>
      </c>
      <c r="AD48" s="127">
        <f t="shared" si="13"/>
        <v>39380975.519999988</v>
      </c>
    </row>
    <row r="49" spans="1:30" x14ac:dyDescent="0.25">
      <c r="A49" s="1">
        <v>46</v>
      </c>
      <c r="B49" s="1" t="s">
        <v>139</v>
      </c>
      <c r="C49" s="4"/>
      <c r="D49" s="4"/>
      <c r="E49" s="4"/>
      <c r="G49" s="302">
        <v>35963</v>
      </c>
      <c r="H49" s="183"/>
      <c r="I49" s="301">
        <v>25692.81</v>
      </c>
      <c r="J49" s="315"/>
      <c r="K49" s="302">
        <v>29761.17</v>
      </c>
      <c r="L49" s="183"/>
      <c r="M49" s="302">
        <v>20557.28</v>
      </c>
      <c r="N49" s="183"/>
      <c r="O49" s="302">
        <v>12940.79</v>
      </c>
      <c r="P49" s="183"/>
      <c r="Q49" s="302">
        <v>8094.5</v>
      </c>
      <c r="R49" s="183"/>
      <c r="S49" s="302">
        <v>6809.91</v>
      </c>
      <c r="T49" s="183"/>
      <c r="U49" s="303">
        <v>6610.43</v>
      </c>
      <c r="V49" s="316"/>
      <c r="W49" s="304">
        <v>6579.46</v>
      </c>
      <c r="X49" s="317"/>
      <c r="Y49" s="302">
        <v>10065.65</v>
      </c>
      <c r="Z49" s="183"/>
      <c r="AA49" s="307">
        <v>14547.52</v>
      </c>
      <c r="AB49" s="319"/>
      <c r="AC49" s="302">
        <v>28463.57</v>
      </c>
      <c r="AD49" s="127">
        <f t="shared" si="13"/>
        <v>206086.08999999997</v>
      </c>
    </row>
    <row r="50" spans="1:30" x14ac:dyDescent="0.25">
      <c r="A50" s="1">
        <v>47</v>
      </c>
      <c r="B50" s="1" t="s">
        <v>140</v>
      </c>
      <c r="C50" s="4"/>
      <c r="D50" s="4"/>
      <c r="E50" s="4"/>
      <c r="G50" s="302">
        <v>145065.9</v>
      </c>
      <c r="H50" s="183"/>
      <c r="I50" s="301">
        <v>103757.06</v>
      </c>
      <c r="J50" s="315"/>
      <c r="K50" s="302">
        <v>120188.2</v>
      </c>
      <c r="L50" s="183"/>
      <c r="M50" s="302">
        <v>82865.8</v>
      </c>
      <c r="N50" s="183"/>
      <c r="O50" s="302">
        <v>52276.75</v>
      </c>
      <c r="P50" s="183"/>
      <c r="Q50" s="302">
        <v>32714.55</v>
      </c>
      <c r="R50" s="183"/>
      <c r="S50" s="302">
        <v>27607.119999999999</v>
      </c>
      <c r="T50" s="183"/>
      <c r="U50" s="303">
        <v>20874.37</v>
      </c>
      <c r="V50" s="316"/>
      <c r="W50" s="304">
        <v>10142.719999999999</v>
      </c>
      <c r="X50" s="317"/>
      <c r="Y50" s="302">
        <v>15357.84</v>
      </c>
      <c r="Z50" s="183"/>
      <c r="AA50" s="307">
        <v>33921.54</v>
      </c>
      <c r="AB50" s="319"/>
      <c r="AC50" s="302">
        <v>102600.4</v>
      </c>
      <c r="AD50" s="127">
        <f t="shared" si="13"/>
        <v>747372.25</v>
      </c>
    </row>
    <row r="51" spans="1:30" x14ac:dyDescent="0.25">
      <c r="A51" s="1">
        <v>48</v>
      </c>
      <c r="B51" s="1" t="s">
        <v>141</v>
      </c>
      <c r="C51" s="4"/>
      <c r="D51" s="4"/>
      <c r="E51" s="4"/>
      <c r="G51" s="302">
        <v>19167.75</v>
      </c>
      <c r="H51" s="183"/>
      <c r="I51" s="301">
        <v>13719.21</v>
      </c>
      <c r="J51" s="315"/>
      <c r="K51" s="302">
        <v>15892.54</v>
      </c>
      <c r="L51" s="183"/>
      <c r="M51" s="302">
        <v>10943.87</v>
      </c>
      <c r="N51" s="183"/>
      <c r="O51" s="302">
        <v>6912.71</v>
      </c>
      <c r="P51" s="183"/>
      <c r="Q51" s="302">
        <v>4324.8900000000003</v>
      </c>
      <c r="R51" s="183"/>
      <c r="S51" s="302">
        <v>3649.81</v>
      </c>
      <c r="T51" s="183"/>
      <c r="U51" s="303">
        <v>3536.96</v>
      </c>
      <c r="V51" s="316"/>
      <c r="W51" s="304">
        <v>3517.31</v>
      </c>
      <c r="X51" s="317"/>
      <c r="Y51" s="302">
        <v>5377.86</v>
      </c>
      <c r="Z51" s="183"/>
      <c r="AA51" s="307">
        <v>-59881.71</v>
      </c>
      <c r="AB51" s="319"/>
      <c r="AC51" s="302">
        <v>-339360.99</v>
      </c>
      <c r="AD51" s="127">
        <f t="shared" si="13"/>
        <v>-312199.78999999998</v>
      </c>
    </row>
    <row r="52" spans="1:30" x14ac:dyDescent="0.25">
      <c r="A52" s="1">
        <v>49</v>
      </c>
      <c r="B52" s="1" t="s">
        <v>142</v>
      </c>
      <c r="C52" s="4"/>
      <c r="D52" s="4"/>
      <c r="E52" s="4"/>
      <c r="G52" s="302">
        <v>846808.62</v>
      </c>
      <c r="H52" s="183"/>
      <c r="I52" s="301">
        <v>606529.67000000004</v>
      </c>
      <c r="J52" s="315"/>
      <c r="K52" s="302">
        <v>702642.03</v>
      </c>
      <c r="L52" s="183"/>
      <c r="M52" s="302">
        <v>483220.49</v>
      </c>
      <c r="N52" s="183"/>
      <c r="O52" s="302">
        <v>305617.02</v>
      </c>
      <c r="P52" s="183"/>
      <c r="Q52" s="302">
        <v>191202.17</v>
      </c>
      <c r="R52" s="183"/>
      <c r="S52" s="302">
        <v>161346.74</v>
      </c>
      <c r="T52" s="183"/>
      <c r="U52" s="303">
        <v>156378.99</v>
      </c>
      <c r="V52" s="316"/>
      <c r="W52" s="304">
        <v>155465.68</v>
      </c>
      <c r="X52" s="317"/>
      <c r="Y52" s="302">
        <v>237734.14</v>
      </c>
      <c r="Z52" s="183"/>
      <c r="AA52" s="307">
        <v>241079.63</v>
      </c>
      <c r="AB52" s="319"/>
      <c r="AC52" s="302">
        <v>104459.18</v>
      </c>
      <c r="AD52" s="127">
        <f t="shared" si="13"/>
        <v>4192484.3600000008</v>
      </c>
    </row>
    <row r="53" spans="1:30" x14ac:dyDescent="0.25">
      <c r="A53" s="1">
        <v>50</v>
      </c>
      <c r="B53" s="1" t="s">
        <v>143</v>
      </c>
      <c r="C53" s="4"/>
      <c r="D53" s="4"/>
      <c r="E53" s="4"/>
      <c r="G53" s="302">
        <v>207876.57</v>
      </c>
      <c r="H53" s="183"/>
      <c r="I53" s="301">
        <v>148611.1</v>
      </c>
      <c r="J53" s="315"/>
      <c r="K53" s="302">
        <v>172140.96</v>
      </c>
      <c r="L53" s="183"/>
      <c r="M53" s="302">
        <v>118783.29</v>
      </c>
      <c r="N53" s="183"/>
      <c r="O53" s="302">
        <v>74867.92</v>
      </c>
      <c r="P53" s="183"/>
      <c r="Q53" s="302">
        <v>46841.55</v>
      </c>
      <c r="R53" s="183"/>
      <c r="S53" s="302">
        <v>39526.090000000004</v>
      </c>
      <c r="T53" s="183"/>
      <c r="U53" s="303">
        <v>38303.24</v>
      </c>
      <c r="V53" s="316"/>
      <c r="W53" s="304">
        <v>38084.29</v>
      </c>
      <c r="X53" s="317"/>
      <c r="Y53" s="302">
        <v>58243.96</v>
      </c>
      <c r="Z53" s="183"/>
      <c r="AA53" s="307">
        <v>113795.87</v>
      </c>
      <c r="AB53" s="319"/>
      <c r="AC53" s="302">
        <v>311735.10000000003</v>
      </c>
      <c r="AD53" s="127">
        <f t="shared" si="13"/>
        <v>1368809.9400000002</v>
      </c>
    </row>
    <row r="54" spans="1:30" x14ac:dyDescent="0.25">
      <c r="A54" s="1">
        <v>51</v>
      </c>
      <c r="B54" s="63" t="s">
        <v>224</v>
      </c>
      <c r="C54" s="4"/>
      <c r="D54" s="4"/>
      <c r="E54" s="4"/>
      <c r="G54" s="302"/>
      <c r="H54" s="183"/>
      <c r="I54" s="301"/>
      <c r="J54" s="315"/>
      <c r="K54" s="302"/>
      <c r="L54" s="183"/>
      <c r="M54" s="302"/>
      <c r="N54" s="183"/>
      <c r="O54" s="302"/>
      <c r="P54" s="183"/>
      <c r="Q54" s="302"/>
      <c r="R54" s="183"/>
      <c r="S54" s="302"/>
      <c r="T54" s="183"/>
      <c r="U54" s="303">
        <v>-4909.8</v>
      </c>
      <c r="V54" s="316"/>
      <c r="W54" s="304">
        <v>-13763.11</v>
      </c>
      <c r="X54" s="317"/>
      <c r="Y54" s="302">
        <v>-21184.6</v>
      </c>
      <c r="Z54" s="183"/>
      <c r="AA54" s="307">
        <v>-31763.31</v>
      </c>
      <c r="AB54" s="319"/>
      <c r="AC54" s="302">
        <v>-63090.37</v>
      </c>
      <c r="AD54" s="127">
        <f t="shared" si="13"/>
        <v>-134711.19</v>
      </c>
    </row>
    <row r="55" spans="1:30" x14ac:dyDescent="0.25">
      <c r="A55" s="1">
        <v>52</v>
      </c>
      <c r="B55" s="63" t="s">
        <v>225</v>
      </c>
      <c r="C55" s="4"/>
      <c r="D55" s="4"/>
      <c r="E55" s="4"/>
      <c r="G55" s="302"/>
      <c r="H55" s="183"/>
      <c r="I55" s="301"/>
      <c r="J55" s="315"/>
      <c r="K55" s="302"/>
      <c r="L55" s="183"/>
      <c r="M55" s="302"/>
      <c r="N55" s="183"/>
      <c r="O55" s="302"/>
      <c r="P55" s="183"/>
      <c r="Q55" s="302"/>
      <c r="R55" s="183"/>
      <c r="S55" s="302"/>
      <c r="T55" s="183"/>
      <c r="U55" s="303">
        <v>-2352.79</v>
      </c>
      <c r="V55" s="316"/>
      <c r="W55" s="304">
        <v>-6597.01</v>
      </c>
      <c r="X55" s="317"/>
      <c r="Y55" s="302">
        <v>-10152.200000000001</v>
      </c>
      <c r="Z55" s="183"/>
      <c r="AA55" s="307">
        <v>-15054.19</v>
      </c>
      <c r="AB55" s="319"/>
      <c r="AC55" s="302">
        <v>-29337.68</v>
      </c>
      <c r="AD55" s="127">
        <f t="shared" si="13"/>
        <v>-63493.87</v>
      </c>
    </row>
    <row r="56" spans="1:30" x14ac:dyDescent="0.25">
      <c r="A56" s="1">
        <v>53</v>
      </c>
      <c r="B56" s="63" t="s">
        <v>226</v>
      </c>
      <c r="C56" s="4"/>
      <c r="D56" s="4"/>
      <c r="E56" s="4"/>
      <c r="G56" s="302"/>
      <c r="H56" s="183"/>
      <c r="I56" s="301"/>
      <c r="J56" s="315"/>
      <c r="K56" s="302"/>
      <c r="L56" s="183"/>
      <c r="M56" s="302"/>
      <c r="N56" s="183"/>
      <c r="O56" s="302"/>
      <c r="P56" s="183"/>
      <c r="Q56" s="302"/>
      <c r="R56" s="183"/>
      <c r="S56" s="302"/>
      <c r="T56" s="183"/>
      <c r="U56" s="303">
        <v>-4642.03</v>
      </c>
      <c r="V56" s="316"/>
      <c r="W56" s="304">
        <v>-13002.52</v>
      </c>
      <c r="X56" s="317"/>
      <c r="Y56" s="302">
        <v>-20009.02</v>
      </c>
      <c r="Z56" s="183"/>
      <c r="AA56" s="307">
        <v>-28903.09</v>
      </c>
      <c r="AB56" s="319"/>
      <c r="AC56" s="302">
        <v>-53856.2</v>
      </c>
      <c r="AD56" s="127">
        <f t="shared" si="13"/>
        <v>-120412.86</v>
      </c>
    </row>
    <row r="57" spans="1:30" x14ac:dyDescent="0.25">
      <c r="A57" s="1">
        <v>54</v>
      </c>
      <c r="B57" s="1" t="s">
        <v>144</v>
      </c>
      <c r="C57" s="4"/>
      <c r="D57" s="4"/>
      <c r="E57" s="4"/>
      <c r="G57" s="302">
        <v>663806.62</v>
      </c>
      <c r="H57" s="183"/>
      <c r="I57" s="301">
        <v>474111.73</v>
      </c>
      <c r="J57" s="315"/>
      <c r="K57" s="302">
        <v>544444.19999999995</v>
      </c>
      <c r="L57" s="183"/>
      <c r="M57" s="302">
        <v>381780.99</v>
      </c>
      <c r="N57" s="183"/>
      <c r="O57" s="302">
        <v>245569.01</v>
      </c>
      <c r="P57" s="183"/>
      <c r="Q57" s="302">
        <v>162688.41</v>
      </c>
      <c r="R57" s="183"/>
      <c r="S57" s="302">
        <v>138419.54999999999</v>
      </c>
      <c r="T57" s="183"/>
      <c r="U57" s="303">
        <v>134640.45000000001</v>
      </c>
      <c r="V57" s="316"/>
      <c r="W57" s="304">
        <v>129516.31</v>
      </c>
      <c r="X57" s="317"/>
      <c r="Y57" s="302">
        <v>181617.73</v>
      </c>
      <c r="Z57" s="183"/>
      <c r="AA57" s="307">
        <v>258821.31</v>
      </c>
      <c r="AB57" s="319"/>
      <c r="AC57" s="302">
        <v>447571.99</v>
      </c>
      <c r="AD57" s="127">
        <f t="shared" si="13"/>
        <v>3762988.3</v>
      </c>
    </row>
    <row r="58" spans="1:30" x14ac:dyDescent="0.25">
      <c r="A58" s="1">
        <v>55</v>
      </c>
      <c r="B58" s="1" t="s">
        <v>149</v>
      </c>
      <c r="C58" s="4"/>
      <c r="D58" s="4"/>
      <c r="E58" s="4"/>
      <c r="G58" s="302">
        <v>798.09</v>
      </c>
      <c r="H58" s="183"/>
      <c r="I58" s="301">
        <v>209.62</v>
      </c>
      <c r="J58" s="315"/>
      <c r="K58" s="302">
        <v>452.36</v>
      </c>
      <c r="L58" s="183"/>
      <c r="M58" s="302">
        <v>288.92</v>
      </c>
      <c r="N58" s="183"/>
      <c r="O58" s="302">
        <v>126.92</v>
      </c>
      <c r="P58" s="183"/>
      <c r="U58" s="303">
        <v>0</v>
      </c>
      <c r="V58" s="316"/>
      <c r="AA58" s="307">
        <v>35.230000000000004</v>
      </c>
      <c r="AB58" s="319"/>
      <c r="AC58" s="302">
        <v>125.51</v>
      </c>
      <c r="AD58" s="127">
        <f t="shared" si="13"/>
        <v>2036.6500000000003</v>
      </c>
    </row>
    <row r="59" spans="1:30" x14ac:dyDescent="0.25">
      <c r="A59" s="1">
        <v>56</v>
      </c>
      <c r="B59" s="1" t="s">
        <v>146</v>
      </c>
      <c r="C59" s="4"/>
      <c r="D59" s="4"/>
      <c r="E59" s="4"/>
      <c r="G59" s="302">
        <v>14223.16</v>
      </c>
      <c r="H59" s="183"/>
      <c r="I59" s="301">
        <v>9319.4600000000009</v>
      </c>
      <c r="J59" s="315"/>
      <c r="K59" s="302">
        <v>10934.38</v>
      </c>
      <c r="L59" s="183"/>
      <c r="M59" s="302">
        <v>7217.85</v>
      </c>
      <c r="N59" s="183"/>
      <c r="O59" s="302">
        <v>4585.04</v>
      </c>
      <c r="P59" s="183"/>
      <c r="Q59" s="302">
        <v>3849</v>
      </c>
      <c r="R59" s="183"/>
      <c r="S59" s="302">
        <v>3423.93</v>
      </c>
      <c r="T59" s="183"/>
      <c r="U59" s="303">
        <v>3098.23</v>
      </c>
      <c r="V59" s="316"/>
      <c r="W59" s="304">
        <v>3561.34</v>
      </c>
      <c r="X59" s="317"/>
      <c r="Y59" s="302">
        <v>4461.26</v>
      </c>
      <c r="Z59" s="183"/>
      <c r="AA59" s="307">
        <v>3528.12</v>
      </c>
      <c r="AB59" s="319"/>
      <c r="AC59" s="302">
        <v>11359.27</v>
      </c>
      <c r="AD59" s="127">
        <f t="shared" si="13"/>
        <v>79561.040000000008</v>
      </c>
    </row>
    <row r="60" spans="1:30" x14ac:dyDescent="0.25">
      <c r="A60" s="1">
        <v>57</v>
      </c>
      <c r="B60" s="1" t="s">
        <v>145</v>
      </c>
      <c r="C60" s="4"/>
      <c r="D60" s="4"/>
      <c r="E60" s="4"/>
      <c r="G60" s="302">
        <v>161.96</v>
      </c>
      <c r="H60" s="183"/>
      <c r="I60" s="301">
        <v>133.43</v>
      </c>
      <c r="J60" s="315"/>
      <c r="K60" s="302">
        <v>146.63</v>
      </c>
      <c r="L60" s="183"/>
      <c r="M60" s="302">
        <v>92.94</v>
      </c>
      <c r="N60" s="183"/>
      <c r="O60" s="302">
        <v>66.430000000000007</v>
      </c>
      <c r="P60" s="183"/>
      <c r="Q60" s="302">
        <v>41.56</v>
      </c>
      <c r="R60" s="183"/>
      <c r="S60" s="302">
        <v>33.840000000000003</v>
      </c>
      <c r="T60" s="183"/>
      <c r="U60" s="303">
        <v>33.65</v>
      </c>
      <c r="V60" s="316"/>
      <c r="W60" s="127">
        <v>32.64</v>
      </c>
      <c r="Y60" s="302">
        <v>44.14</v>
      </c>
      <c r="Z60" s="183"/>
      <c r="AA60" s="307">
        <v>49.07</v>
      </c>
      <c r="AB60" s="319"/>
      <c r="AC60" s="302">
        <v>89.96</v>
      </c>
      <c r="AD60" s="127">
        <f t="shared" si="13"/>
        <v>926.25000000000011</v>
      </c>
    </row>
    <row r="61" spans="1:30" x14ac:dyDescent="0.25">
      <c r="A61" s="1">
        <v>58</v>
      </c>
      <c r="B61" s="1" t="s">
        <v>147</v>
      </c>
      <c r="C61" s="4"/>
      <c r="D61" s="4"/>
      <c r="E61" s="4"/>
      <c r="G61" s="302">
        <v>-750.87</v>
      </c>
      <c r="H61" s="183"/>
      <c r="I61" s="301">
        <v>-511.6</v>
      </c>
      <c r="J61" s="315"/>
      <c r="K61" s="302">
        <v>-549.56000000000006</v>
      </c>
      <c r="L61" s="183"/>
      <c r="M61" s="302">
        <v>-452.89</v>
      </c>
      <c r="N61" s="183"/>
      <c r="O61" s="302">
        <v>-364.08</v>
      </c>
      <c r="P61" s="183"/>
      <c r="Q61" s="302">
        <v>-278.41000000000003</v>
      </c>
      <c r="R61" s="183"/>
      <c r="S61" s="302">
        <v>-292.7</v>
      </c>
      <c r="T61" s="183"/>
      <c r="U61" s="303">
        <v>-242.28</v>
      </c>
      <c r="V61" s="316"/>
      <c r="W61" s="127">
        <v>-229.5</v>
      </c>
      <c r="Y61" s="302">
        <v>-364.38</v>
      </c>
      <c r="Z61" s="183"/>
      <c r="AA61" s="307">
        <v>-407.63</v>
      </c>
      <c r="AB61" s="319"/>
      <c r="AC61" s="302">
        <v>-501.18</v>
      </c>
      <c r="AD61" s="127">
        <f t="shared" si="13"/>
        <v>-4945.08</v>
      </c>
    </row>
    <row r="62" spans="1:30" x14ac:dyDescent="0.25">
      <c r="A62" s="1">
        <v>59</v>
      </c>
      <c r="B62" s="1" t="s">
        <v>148</v>
      </c>
      <c r="C62" s="4"/>
      <c r="D62" s="4"/>
      <c r="E62" s="4"/>
      <c r="G62" s="302">
        <v>7913.33</v>
      </c>
      <c r="H62" s="183"/>
      <c r="I62" s="301">
        <v>4233.13</v>
      </c>
      <c r="J62" s="315"/>
      <c r="K62" s="302">
        <v>5436.99</v>
      </c>
      <c r="L62" s="183"/>
      <c r="M62" s="302">
        <v>2799.37</v>
      </c>
      <c r="N62" s="183"/>
      <c r="O62" s="302">
        <v>1621.95</v>
      </c>
      <c r="P62" s="183"/>
      <c r="Q62" s="302">
        <v>1141.24</v>
      </c>
      <c r="R62" s="183"/>
      <c r="S62" s="302">
        <v>1026.3700000000001</v>
      </c>
      <c r="T62" s="183"/>
      <c r="U62" s="303">
        <v>923.81</v>
      </c>
      <c r="V62" s="316"/>
      <c r="W62" s="127">
        <v>1084.54</v>
      </c>
      <c r="Y62" s="302">
        <v>1608.86</v>
      </c>
      <c r="Z62" s="183"/>
      <c r="AA62" s="307">
        <v>2625.54</v>
      </c>
      <c r="AB62" s="319"/>
      <c r="AC62" s="302">
        <v>4890.7</v>
      </c>
      <c r="AD62" s="127">
        <f t="shared" si="13"/>
        <v>35305.83</v>
      </c>
    </row>
    <row r="63" spans="1:30" x14ac:dyDescent="0.25">
      <c r="A63" s="1">
        <v>60</v>
      </c>
      <c r="B63" s="1" t="s">
        <v>29</v>
      </c>
      <c r="C63" s="4"/>
      <c r="D63" s="4"/>
      <c r="E63" s="4"/>
      <c r="G63" s="302">
        <v>-42850.35</v>
      </c>
      <c r="H63" s="183"/>
      <c r="I63" s="301">
        <v>-17347.13</v>
      </c>
      <c r="J63" s="315"/>
      <c r="K63" s="302">
        <v>-25735.43</v>
      </c>
      <c r="L63" s="183"/>
      <c r="M63" s="302">
        <v>-12218.61</v>
      </c>
      <c r="N63" s="183"/>
      <c r="O63" s="302">
        <v>-10587.53</v>
      </c>
      <c r="P63" s="183"/>
      <c r="Q63" s="302">
        <v>-5127.5</v>
      </c>
      <c r="R63" s="183"/>
      <c r="S63" s="302">
        <v>-4398.01</v>
      </c>
      <c r="T63" s="183"/>
      <c r="U63" s="303">
        <v>-4582.99</v>
      </c>
      <c r="V63" s="316"/>
      <c r="W63" s="127">
        <v>-5138.76</v>
      </c>
      <c r="Y63" s="302">
        <v>-6213.38</v>
      </c>
      <c r="Z63" s="183"/>
      <c r="AA63" s="307">
        <v>-8701.41</v>
      </c>
      <c r="AB63" s="319"/>
      <c r="AC63" s="302">
        <v>-16341.2</v>
      </c>
      <c r="AD63" s="127">
        <f t="shared" si="13"/>
        <v>-159242.30000000002</v>
      </c>
    </row>
    <row r="64" spans="1:30" x14ac:dyDescent="0.25">
      <c r="A64" s="1">
        <v>61</v>
      </c>
      <c r="B64" s="19" t="s">
        <v>30</v>
      </c>
      <c r="C64" s="4"/>
      <c r="D64" s="4"/>
      <c r="E64" s="4"/>
      <c r="G64" s="302">
        <f>SUM(G46:G63)</f>
        <v>12879862.020000001</v>
      </c>
      <c r="H64" s="302"/>
      <c r="I64" s="302">
        <f t="shared" ref="I64:AC64" si="17">SUM(I46:I63)</f>
        <v>9294655.6300000008</v>
      </c>
      <c r="J64" s="302"/>
      <c r="K64" s="302">
        <f t="shared" si="17"/>
        <v>10715795.879999999</v>
      </c>
      <c r="L64" s="302"/>
      <c r="M64" s="302">
        <f t="shared" si="17"/>
        <v>7484302.2800000012</v>
      </c>
      <c r="N64" s="302"/>
      <c r="O64" s="302">
        <f t="shared" si="17"/>
        <v>4817765.0599999996</v>
      </c>
      <c r="P64" s="302"/>
      <c r="Q64" s="302">
        <f t="shared" si="17"/>
        <v>3123873.32</v>
      </c>
      <c r="R64" s="302"/>
      <c r="S64" s="302">
        <f t="shared" si="17"/>
        <v>2673772.7200000002</v>
      </c>
      <c r="T64" s="302"/>
      <c r="U64" s="302">
        <f t="shared" si="17"/>
        <v>2596538.5100000012</v>
      </c>
      <c r="V64" s="302"/>
      <c r="W64" s="302">
        <f t="shared" si="17"/>
        <v>2572550.3800000013</v>
      </c>
      <c r="X64" s="302"/>
      <c r="Y64" s="302">
        <f t="shared" si="17"/>
        <v>3737979.4699999997</v>
      </c>
      <c r="Z64" s="302"/>
      <c r="AA64" s="302">
        <f t="shared" si="17"/>
        <v>5063017.71</v>
      </c>
      <c r="AB64" s="302"/>
      <c r="AC64" s="302">
        <f t="shared" si="17"/>
        <v>8493510.5800000001</v>
      </c>
      <c r="AD64" s="127">
        <f t="shared" si="13"/>
        <v>73453623.560000002</v>
      </c>
    </row>
    <row r="65" spans="1:30" x14ac:dyDescent="0.25">
      <c r="A65" s="1">
        <v>62</v>
      </c>
      <c r="B65" s="19" t="s">
        <v>31</v>
      </c>
      <c r="C65" s="4"/>
      <c r="D65" s="4"/>
      <c r="E65" s="555"/>
      <c r="F65" s="98"/>
      <c r="G65" s="550">
        <v>15228292</v>
      </c>
      <c r="H65" s="550"/>
      <c r="I65" s="551">
        <v>10887233</v>
      </c>
      <c r="J65" s="551"/>
      <c r="K65" s="550">
        <v>12580071</v>
      </c>
      <c r="L65" s="550"/>
      <c r="M65" s="550">
        <v>8686632</v>
      </c>
      <c r="N65" s="550"/>
      <c r="O65" s="550">
        <v>5485029</v>
      </c>
      <c r="P65" s="550"/>
      <c r="Q65" s="550">
        <v>3431993</v>
      </c>
      <c r="R65" s="550"/>
      <c r="S65" s="550">
        <v>2890979</v>
      </c>
      <c r="T65" s="550"/>
      <c r="U65" s="552">
        <v>2806811</v>
      </c>
      <c r="V65" s="552"/>
      <c r="W65" s="554">
        <v>2790503</v>
      </c>
      <c r="X65" s="554"/>
      <c r="Y65" s="550">
        <v>4267238</v>
      </c>
      <c r="Z65" s="550"/>
      <c r="AA65" s="553">
        <v>6165035</v>
      </c>
      <c r="AB65" s="553"/>
      <c r="AC65" s="550">
        <v>11483089</v>
      </c>
      <c r="AD65" s="98">
        <f t="shared" si="13"/>
        <v>86702905</v>
      </c>
    </row>
    <row r="66" spans="1:30" x14ac:dyDescent="0.25">
      <c r="A66" s="1">
        <v>63</v>
      </c>
      <c r="B66" s="1" t="s">
        <v>32</v>
      </c>
      <c r="C66" s="4"/>
      <c r="D66" s="4"/>
      <c r="E66" s="555"/>
      <c r="F66" s="98"/>
      <c r="G66" s="550">
        <v>-47992</v>
      </c>
      <c r="H66" s="550"/>
      <c r="I66" s="551">
        <v>-21062</v>
      </c>
      <c r="J66" s="551"/>
      <c r="K66" s="98"/>
      <c r="L66" s="98"/>
      <c r="M66" s="98"/>
      <c r="N66" s="98"/>
      <c r="O66" s="550">
        <v>-12647</v>
      </c>
      <c r="P66" s="550"/>
      <c r="Q66" s="550">
        <v>-5961</v>
      </c>
      <c r="R66" s="550"/>
      <c r="S66" s="550">
        <v>-3963</v>
      </c>
      <c r="T66" s="550"/>
      <c r="U66" s="552">
        <v>-5337</v>
      </c>
      <c r="V66" s="552"/>
      <c r="W66" s="98">
        <v>-6320</v>
      </c>
      <c r="X66" s="98"/>
      <c r="Y66" s="550">
        <v>-7472</v>
      </c>
      <c r="Z66" s="550"/>
      <c r="AA66" s="553">
        <v>-11154</v>
      </c>
      <c r="AB66" s="553"/>
      <c r="AC66" s="550">
        <v>-22899</v>
      </c>
      <c r="AD66" s="98">
        <f t="shared" si="13"/>
        <v>-144807</v>
      </c>
    </row>
    <row r="67" spans="1:30" x14ac:dyDescent="0.25">
      <c r="A67" s="1">
        <v>64</v>
      </c>
      <c r="B67" s="1" t="s">
        <v>33</v>
      </c>
      <c r="C67" s="4"/>
      <c r="D67" s="4"/>
      <c r="E67" s="555"/>
      <c r="F67" s="98"/>
      <c r="G67" s="550">
        <f>SUM(G65:G66)</f>
        <v>15180300</v>
      </c>
      <c r="H67" s="550"/>
      <c r="I67" s="550">
        <f t="shared" ref="I67:AC67" si="18">SUM(I65:I66)</f>
        <v>10866171</v>
      </c>
      <c r="J67" s="550"/>
      <c r="K67" s="550">
        <f t="shared" si="18"/>
        <v>12580071</v>
      </c>
      <c r="L67" s="550"/>
      <c r="M67" s="550">
        <f t="shared" si="18"/>
        <v>8686632</v>
      </c>
      <c r="N67" s="550"/>
      <c r="O67" s="550">
        <f t="shared" si="18"/>
        <v>5472382</v>
      </c>
      <c r="P67" s="550"/>
      <c r="Q67" s="550">
        <f t="shared" si="18"/>
        <v>3426032</v>
      </c>
      <c r="R67" s="550"/>
      <c r="S67" s="550">
        <f t="shared" si="18"/>
        <v>2887016</v>
      </c>
      <c r="T67" s="550"/>
      <c r="U67" s="550">
        <f t="shared" si="18"/>
        <v>2801474</v>
      </c>
      <c r="V67" s="550"/>
      <c r="W67" s="550">
        <f t="shared" si="18"/>
        <v>2784183</v>
      </c>
      <c r="X67" s="550"/>
      <c r="Y67" s="550">
        <f t="shared" si="18"/>
        <v>4259766</v>
      </c>
      <c r="Z67" s="550"/>
      <c r="AA67" s="550">
        <f t="shared" si="18"/>
        <v>6153881</v>
      </c>
      <c r="AB67" s="550"/>
      <c r="AC67" s="550">
        <f t="shared" si="18"/>
        <v>11460190</v>
      </c>
      <c r="AD67" s="98">
        <f t="shared" si="13"/>
        <v>86558098</v>
      </c>
    </row>
    <row r="68" spans="1:30" x14ac:dyDescent="0.25">
      <c r="A68" s="1">
        <v>65</v>
      </c>
      <c r="C68" s="4"/>
      <c r="D68" s="4"/>
      <c r="E68" s="555"/>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0" x14ac:dyDescent="0.25">
      <c r="A69" s="1">
        <v>66</v>
      </c>
      <c r="B69" s="31" t="s">
        <v>196</v>
      </c>
    </row>
    <row r="70" spans="1:30" x14ac:dyDescent="0.25">
      <c r="A70" s="1">
        <v>67</v>
      </c>
      <c r="B70" s="19" t="s">
        <v>9</v>
      </c>
      <c r="C70" s="127">
        <v>48</v>
      </c>
      <c r="D70" s="127"/>
      <c r="E70" s="127">
        <v>60</v>
      </c>
      <c r="F70" s="128">
        <f>G70/$C$70</f>
        <v>470</v>
      </c>
      <c r="G70" s="302">
        <v>22560</v>
      </c>
      <c r="H70" s="128">
        <f>I70/$C$70</f>
        <v>467</v>
      </c>
      <c r="I70" s="301">
        <v>22416</v>
      </c>
      <c r="J70" s="128">
        <f>K70/$C$70</f>
        <v>470</v>
      </c>
      <c r="K70" s="302">
        <v>22560</v>
      </c>
      <c r="L70" s="128">
        <f>M70/$C$70</f>
        <v>474</v>
      </c>
      <c r="M70" s="302">
        <v>22752</v>
      </c>
      <c r="N70" s="128">
        <f>O70/$C$70</f>
        <v>472</v>
      </c>
      <c r="O70" s="302">
        <v>22656</v>
      </c>
      <c r="P70" s="128">
        <f>Q70/$C$70</f>
        <v>472</v>
      </c>
      <c r="Q70" s="302">
        <v>22656</v>
      </c>
      <c r="R70" s="128">
        <f>S70/$C$70</f>
        <v>471</v>
      </c>
      <c r="S70" s="302">
        <v>22608</v>
      </c>
      <c r="T70" s="128">
        <f>AVERAGE(V70,R70)</f>
        <v>474.31</v>
      </c>
      <c r="U70" s="303">
        <v>24160.799999999999</v>
      </c>
      <c r="V70" s="128">
        <f>W70/$E$70</f>
        <v>477.62</v>
      </c>
      <c r="W70" s="304">
        <v>28657.200000000001</v>
      </c>
      <c r="X70" s="128">
        <f>Y70/$E$70</f>
        <v>474</v>
      </c>
      <c r="Y70" s="302">
        <v>28440</v>
      </c>
      <c r="Z70" s="128">
        <f>AA70/$E$70</f>
        <v>477</v>
      </c>
      <c r="AA70" s="307">
        <v>28620</v>
      </c>
      <c r="AB70" s="128">
        <f>AC70/$E$70</f>
        <v>479</v>
      </c>
      <c r="AC70" s="302">
        <v>28740</v>
      </c>
      <c r="AD70" s="127">
        <f>SUM(G70,I70,K70,M70,O70,Q70,S70,U70,W70,Y70,AA70,AC70)</f>
        <v>296826</v>
      </c>
    </row>
    <row r="71" spans="1:30" x14ac:dyDescent="0.25">
      <c r="A71" s="1">
        <v>68</v>
      </c>
      <c r="B71" s="19" t="s">
        <v>197</v>
      </c>
      <c r="C71" s="1">
        <f>'Exh IDM-2 - Revenue Summary'!D113</f>
        <v>0.18842999999999999</v>
      </c>
      <c r="E71" s="1">
        <f>'Exh IDM-2 - Revenue Summary'!D116</f>
        <v>0.17851</v>
      </c>
      <c r="F71" s="128">
        <f>G71/$C$71</f>
        <v>194152.20506288807</v>
      </c>
      <c r="G71" s="302">
        <v>36584.1</v>
      </c>
      <c r="H71" s="128">
        <f>I71/$C$71</f>
        <v>183009.49954890413</v>
      </c>
      <c r="I71" s="301">
        <v>34484.480000000003</v>
      </c>
      <c r="J71" s="128">
        <f>K71/$C$71</f>
        <v>190478.85156291461</v>
      </c>
      <c r="K71" s="302">
        <v>35891.93</v>
      </c>
      <c r="L71" s="128">
        <f>M71/$C$71</f>
        <v>174937.53648569764</v>
      </c>
      <c r="M71" s="302">
        <v>32963.480000000003</v>
      </c>
      <c r="N71" s="128">
        <f>O71/$C$71</f>
        <v>141574.6431035398</v>
      </c>
      <c r="O71" s="302">
        <v>26676.91</v>
      </c>
      <c r="P71" s="128">
        <f>Q71/$C$71</f>
        <v>100308.01889295761</v>
      </c>
      <c r="Q71" s="302">
        <v>18901.04</v>
      </c>
      <c r="R71" s="128">
        <f>S71/$C$71</f>
        <v>88447.009499548905</v>
      </c>
      <c r="S71" s="302">
        <v>16666.07</v>
      </c>
      <c r="T71" s="128">
        <f>U71/$E$71</f>
        <v>84521.651448098142</v>
      </c>
      <c r="U71" s="303">
        <v>15087.96</v>
      </c>
      <c r="V71" s="316">
        <f>W71/$E$71</f>
        <v>89166.097137415272</v>
      </c>
      <c r="W71" s="304">
        <v>15917.04</v>
      </c>
      <c r="X71" s="316">
        <f>Y71/$E$71</f>
        <v>120158.81463223348</v>
      </c>
      <c r="Y71" s="302">
        <v>21449.55</v>
      </c>
      <c r="Z71" s="316">
        <f>AA71/$E$71</f>
        <v>156667.80572516946</v>
      </c>
      <c r="AA71" s="307">
        <v>27966.77</v>
      </c>
      <c r="AB71" s="316">
        <f>AC71/$E$71</f>
        <v>186797.43431740519</v>
      </c>
      <c r="AC71" s="302">
        <v>33345.21</v>
      </c>
      <c r="AD71" s="127">
        <f t="shared" ref="AD71:AD73" si="19">SUM(G71,I71,K71,M71,O71,Q71,S71,U71,W71,Y71,AA71,AC71)</f>
        <v>315934.54000000004</v>
      </c>
    </row>
    <row r="72" spans="1:30" x14ac:dyDescent="0.25">
      <c r="A72" s="1">
        <v>69</v>
      </c>
      <c r="B72" s="19" t="s">
        <v>198</v>
      </c>
      <c r="C72" s="1">
        <f>'Exh IDM-2 - Revenue Summary'!D114</f>
        <v>0.15175</v>
      </c>
      <c r="E72" s="1">
        <f>'Exh IDM-2 - Revenue Summary'!D117</f>
        <v>0.14457</v>
      </c>
      <c r="F72" s="128">
        <f>G72/$C$72</f>
        <v>727864.31630971993</v>
      </c>
      <c r="G72" s="302">
        <v>110453.41</v>
      </c>
      <c r="H72" s="128">
        <f>I72/$C$72</f>
        <v>614466.82042833604</v>
      </c>
      <c r="I72" s="301">
        <v>93245.34</v>
      </c>
      <c r="J72" s="128">
        <f>K72/$C$72</f>
        <v>668987.54530477757</v>
      </c>
      <c r="K72" s="302">
        <v>101518.86</v>
      </c>
      <c r="L72" s="128">
        <f>M72/$C$72</f>
        <v>549229.12685337733</v>
      </c>
      <c r="M72" s="302">
        <v>83345.52</v>
      </c>
      <c r="N72" s="128">
        <f>O72/$C$72</f>
        <v>400829.98352553538</v>
      </c>
      <c r="O72" s="302">
        <v>60825.95</v>
      </c>
      <c r="P72" s="128">
        <f>Q72/$C$72</f>
        <v>297621.68039538711</v>
      </c>
      <c r="Q72" s="302">
        <v>45164.09</v>
      </c>
      <c r="R72" s="128">
        <f>S72/$C$72</f>
        <v>258606.85337726527</v>
      </c>
      <c r="S72" s="302">
        <v>39243.590000000004</v>
      </c>
      <c r="T72" s="128">
        <f>U72/$E$72</f>
        <v>258409.90523621775</v>
      </c>
      <c r="U72" s="303">
        <v>37358.32</v>
      </c>
      <c r="V72" s="316">
        <f>W72/$E$72</f>
        <v>273639.13675036316</v>
      </c>
      <c r="W72" s="304">
        <v>39560.01</v>
      </c>
      <c r="X72" s="316">
        <f>Y72/$E$72</f>
        <v>366592.37739503355</v>
      </c>
      <c r="Y72" s="302">
        <v>52998.26</v>
      </c>
      <c r="Z72" s="316">
        <f>AA72/$E$72</f>
        <v>482851.90565124154</v>
      </c>
      <c r="AA72" s="307">
        <v>69805.899999999994</v>
      </c>
      <c r="AB72" s="316">
        <f>AC72/$E$72</f>
        <v>660569.75859445252</v>
      </c>
      <c r="AC72" s="302">
        <v>95498.57</v>
      </c>
      <c r="AD72" s="127">
        <f t="shared" si="19"/>
        <v>829017.82000000007</v>
      </c>
    </row>
    <row r="73" spans="1:30" x14ac:dyDescent="0.25">
      <c r="A73" s="1">
        <v>70</v>
      </c>
      <c r="B73" s="19" t="s">
        <v>199</v>
      </c>
      <c r="C73" s="1">
        <f>'Exh IDM-2 - Revenue Summary'!D115</f>
        <v>0.1462</v>
      </c>
      <c r="E73" s="1">
        <f>'Exh IDM-2 - Revenue Summary'!D118</f>
        <v>0.13944000000000001</v>
      </c>
      <c r="F73" s="128">
        <f>G73/$C$73</f>
        <v>664293.0916552667</v>
      </c>
      <c r="G73" s="302">
        <v>97119.65</v>
      </c>
      <c r="H73" s="128">
        <f>I73/$C$73</f>
        <v>459003.6935704514</v>
      </c>
      <c r="I73" s="301">
        <v>67106.34</v>
      </c>
      <c r="J73" s="128">
        <f>K73/$C$73</f>
        <v>544043.29685362522</v>
      </c>
      <c r="K73" s="302">
        <v>79539.13</v>
      </c>
      <c r="L73" s="128">
        <f>M73/$C$73</f>
        <v>387261.96990424074</v>
      </c>
      <c r="M73" s="302">
        <v>56617.7</v>
      </c>
      <c r="N73" s="128">
        <f>O73/$C$73</f>
        <v>260841.10807113544</v>
      </c>
      <c r="O73" s="302">
        <v>38134.97</v>
      </c>
      <c r="P73" s="128">
        <f>Q73/$C$73</f>
        <v>198751.02599179209</v>
      </c>
      <c r="Q73" s="302">
        <v>29057.4</v>
      </c>
      <c r="R73" s="128">
        <f>S73/$C$73</f>
        <v>179596.03283173734</v>
      </c>
      <c r="S73" s="302">
        <v>26256.94</v>
      </c>
      <c r="T73" s="128">
        <f>U73/$E$73</f>
        <v>219839.42914515201</v>
      </c>
      <c r="U73" s="303">
        <v>30654.41</v>
      </c>
      <c r="V73" s="316">
        <f>W73/$E$73</f>
        <v>286115.60527825588</v>
      </c>
      <c r="W73" s="304">
        <v>39895.96</v>
      </c>
      <c r="X73" s="316">
        <f>Y73/$E$73</f>
        <v>544843.08663224324</v>
      </c>
      <c r="Y73" s="302">
        <v>75972.92</v>
      </c>
      <c r="Z73" s="316">
        <f>AA73/$E$73</f>
        <v>349850.2581755594</v>
      </c>
      <c r="AA73" s="307">
        <v>48783.12</v>
      </c>
      <c r="AB73" s="316">
        <f>AC73/$E$73</f>
        <v>627938.9701663797</v>
      </c>
      <c r="AC73" s="302">
        <v>87559.81</v>
      </c>
      <c r="AD73" s="127">
        <f t="shared" si="19"/>
        <v>676698.35000000009</v>
      </c>
    </row>
    <row r="74" spans="1:30" x14ac:dyDescent="0.25">
      <c r="A74" s="1">
        <v>71</v>
      </c>
      <c r="B74" s="19" t="s">
        <v>11</v>
      </c>
      <c r="G74" s="302">
        <v>704949.13</v>
      </c>
      <c r="I74" s="301">
        <v>558713.62</v>
      </c>
      <c r="K74" s="302">
        <v>624092.89</v>
      </c>
      <c r="M74" s="302">
        <v>494214.22</v>
      </c>
      <c r="O74" s="302">
        <v>357175.91</v>
      </c>
      <c r="Q74" s="302">
        <v>265323.40000000002</v>
      </c>
      <c r="S74" s="302">
        <v>234182.71</v>
      </c>
      <c r="U74" s="303">
        <v>241713.08</v>
      </c>
      <c r="W74" s="304">
        <v>288153.24</v>
      </c>
      <c r="Y74" s="302">
        <v>458715.42</v>
      </c>
      <c r="AA74" s="307">
        <v>432435.99</v>
      </c>
      <c r="AC74" s="302">
        <v>620118.15</v>
      </c>
      <c r="AD74" s="127">
        <f>SUM(G74:AC74)</f>
        <v>5279787.7600000007</v>
      </c>
    </row>
    <row r="75" spans="1:30" x14ac:dyDescent="0.25">
      <c r="A75" s="1">
        <v>72</v>
      </c>
      <c r="B75" s="19" t="s">
        <v>139</v>
      </c>
      <c r="C75" s="4"/>
      <c r="D75" s="4"/>
      <c r="E75" s="4"/>
      <c r="G75" s="302">
        <v>2304.87</v>
      </c>
      <c r="H75" s="183"/>
      <c r="I75" s="301">
        <v>1834.44</v>
      </c>
      <c r="J75" s="315"/>
      <c r="K75" s="302">
        <v>2049.08</v>
      </c>
      <c r="L75" s="183"/>
      <c r="M75" s="302">
        <v>1622.66</v>
      </c>
      <c r="N75" s="183"/>
      <c r="O75" s="302">
        <v>1172.68</v>
      </c>
      <c r="P75" s="183"/>
      <c r="Q75" s="302">
        <v>871.07</v>
      </c>
      <c r="R75" s="183"/>
      <c r="S75" s="302">
        <v>768.89</v>
      </c>
      <c r="T75" s="183"/>
      <c r="U75" s="303">
        <v>793.56</v>
      </c>
      <c r="V75" s="316"/>
      <c r="W75" s="304">
        <v>946.07</v>
      </c>
      <c r="X75" s="317"/>
      <c r="Y75" s="302">
        <v>1505.96</v>
      </c>
      <c r="Z75" s="183"/>
      <c r="AA75" s="307">
        <v>1444.56</v>
      </c>
      <c r="AB75" s="319"/>
      <c r="AC75" s="302">
        <v>2256.08</v>
      </c>
      <c r="AD75" s="127">
        <f t="shared" ref="AD75:AD135" si="20">SUM(G75:AC75)</f>
        <v>17569.919999999998</v>
      </c>
    </row>
    <row r="76" spans="1:30" x14ac:dyDescent="0.25">
      <c r="A76" s="1">
        <v>73</v>
      </c>
      <c r="B76" s="19" t="s">
        <v>140</v>
      </c>
      <c r="G76" s="302">
        <v>12285.15</v>
      </c>
      <c r="H76" s="183"/>
      <c r="I76" s="301">
        <v>9699.9</v>
      </c>
      <c r="J76" s="315"/>
      <c r="K76" s="302">
        <v>10835.04</v>
      </c>
      <c r="L76" s="183"/>
      <c r="M76" s="302">
        <v>8580.1</v>
      </c>
      <c r="N76" s="183"/>
      <c r="O76" s="302">
        <v>6201.03</v>
      </c>
      <c r="P76" s="183"/>
      <c r="Q76" s="302">
        <v>4606.32</v>
      </c>
      <c r="R76" s="183"/>
      <c r="S76" s="302">
        <v>4065.75</v>
      </c>
      <c r="T76" s="183"/>
      <c r="U76" s="303">
        <v>3472.89</v>
      </c>
      <c r="V76" s="316"/>
      <c r="W76" s="304">
        <v>2156.64</v>
      </c>
      <c r="X76" s="317"/>
      <c r="Y76" s="302">
        <v>3301.14</v>
      </c>
      <c r="Z76" s="183"/>
      <c r="AA76" s="307">
        <v>4250.93</v>
      </c>
      <c r="AB76" s="319"/>
      <c r="AC76" s="302">
        <v>9912.52</v>
      </c>
      <c r="AD76" s="127">
        <f t="shared" si="20"/>
        <v>79367.409999999989</v>
      </c>
    </row>
    <row r="77" spans="1:30" x14ac:dyDescent="0.25">
      <c r="A77" s="1">
        <v>74</v>
      </c>
      <c r="B77" s="19" t="s">
        <v>141</v>
      </c>
      <c r="G77" s="302">
        <v>12867.66</v>
      </c>
      <c r="H77" s="183"/>
      <c r="I77" s="301">
        <v>10114.57</v>
      </c>
      <c r="J77" s="315"/>
      <c r="K77" s="302">
        <v>11298.18</v>
      </c>
      <c r="L77" s="183"/>
      <c r="M77" s="302">
        <v>8946.84</v>
      </c>
      <c r="N77" s="183"/>
      <c r="O77" s="302">
        <v>6466.13</v>
      </c>
      <c r="P77" s="183"/>
      <c r="Q77" s="302">
        <v>4803.2700000000004</v>
      </c>
      <c r="R77" s="183"/>
      <c r="S77" s="302">
        <v>4239.5200000000004</v>
      </c>
      <c r="T77" s="183"/>
      <c r="U77" s="303">
        <v>4375.8500000000004</v>
      </c>
      <c r="V77" s="316"/>
      <c r="W77" s="304">
        <v>5216.59</v>
      </c>
      <c r="X77" s="317"/>
      <c r="Y77" s="302">
        <v>8304.2900000000009</v>
      </c>
      <c r="Z77" s="183"/>
      <c r="AA77" s="307">
        <v>6521.77</v>
      </c>
      <c r="AB77" s="319"/>
      <c r="AC77" s="302">
        <v>4972.67</v>
      </c>
      <c r="AD77" s="127">
        <f t="shared" si="20"/>
        <v>88127.34</v>
      </c>
    </row>
    <row r="78" spans="1:30" x14ac:dyDescent="0.25">
      <c r="A78" s="1">
        <v>75</v>
      </c>
      <c r="B78" s="19" t="s">
        <v>142</v>
      </c>
      <c r="G78" s="302">
        <v>89501.06</v>
      </c>
      <c r="H78" s="183"/>
      <c r="I78" s="301">
        <v>69997.759999999995</v>
      </c>
      <c r="J78" s="315"/>
      <c r="K78" s="302">
        <v>78188.89</v>
      </c>
      <c r="L78" s="183"/>
      <c r="M78" s="302">
        <v>61917.02</v>
      </c>
      <c r="N78" s="183"/>
      <c r="O78" s="302">
        <v>44748.480000000003</v>
      </c>
      <c r="P78" s="183"/>
      <c r="Q78" s="302">
        <v>33240.86</v>
      </c>
      <c r="R78" s="183"/>
      <c r="S78" s="302">
        <v>29339.33</v>
      </c>
      <c r="T78" s="183"/>
      <c r="U78" s="303">
        <v>30282.97</v>
      </c>
      <c r="V78" s="316"/>
      <c r="W78" s="304">
        <v>36101.08</v>
      </c>
      <c r="X78" s="317"/>
      <c r="Y78" s="302">
        <v>57469.64</v>
      </c>
      <c r="Z78" s="183"/>
      <c r="AA78" s="307">
        <v>40818.379999999997</v>
      </c>
      <c r="AB78" s="319"/>
      <c r="AC78" s="302">
        <v>13767.97</v>
      </c>
      <c r="AD78" s="127">
        <f t="shared" si="20"/>
        <v>585373.43999999994</v>
      </c>
    </row>
    <row r="79" spans="1:30" x14ac:dyDescent="0.25">
      <c r="A79" s="1">
        <v>76</v>
      </c>
      <c r="B79" s="19" t="s">
        <v>143</v>
      </c>
      <c r="G79" s="302">
        <v>21645.52</v>
      </c>
      <c r="H79" s="183"/>
      <c r="I79" s="301">
        <v>17150.88</v>
      </c>
      <c r="J79" s="315"/>
      <c r="K79" s="302">
        <v>19157.8</v>
      </c>
      <c r="L79" s="183"/>
      <c r="M79" s="302">
        <v>15170.85</v>
      </c>
      <c r="N79" s="183"/>
      <c r="O79" s="302">
        <v>10964.19</v>
      </c>
      <c r="P79" s="183"/>
      <c r="Q79" s="302">
        <v>8144.51</v>
      </c>
      <c r="R79" s="183"/>
      <c r="S79" s="302">
        <v>7188.58</v>
      </c>
      <c r="T79" s="183"/>
      <c r="U79" s="303">
        <v>7419.63</v>
      </c>
      <c r="V79" s="316"/>
      <c r="W79" s="304">
        <v>8845.2999999999993</v>
      </c>
      <c r="X79" s="317"/>
      <c r="Y79" s="302">
        <v>14081.02</v>
      </c>
      <c r="Z79" s="183"/>
      <c r="AA79" s="307">
        <v>17645.080000000002</v>
      </c>
      <c r="AB79" s="319"/>
      <c r="AC79" s="302">
        <v>39949.340000000004</v>
      </c>
      <c r="AD79" s="127">
        <f t="shared" si="20"/>
        <v>187362.7</v>
      </c>
    </row>
    <row r="80" spans="1:30" x14ac:dyDescent="0.25">
      <c r="A80" s="1">
        <v>77</v>
      </c>
      <c r="B80" s="63" t="s">
        <v>224</v>
      </c>
      <c r="G80" s="302"/>
      <c r="H80" s="183"/>
      <c r="I80" s="301"/>
      <c r="J80" s="315"/>
      <c r="K80" s="302"/>
      <c r="L80" s="183"/>
      <c r="M80" s="302"/>
      <c r="N80" s="183"/>
      <c r="O80" s="302"/>
      <c r="P80" s="183"/>
      <c r="Q80" s="302"/>
      <c r="R80" s="183"/>
      <c r="S80" s="302"/>
      <c r="T80" s="183"/>
      <c r="U80" s="303">
        <v>-502.67</v>
      </c>
      <c r="V80" s="316"/>
      <c r="W80" s="304">
        <v>-1977.14</v>
      </c>
      <c r="X80" s="317"/>
      <c r="Y80" s="302">
        <v>-3239.2</v>
      </c>
      <c r="Z80" s="183"/>
      <c r="AA80" s="307">
        <v>-3210.78</v>
      </c>
      <c r="AB80" s="319"/>
      <c r="AC80" s="302">
        <v>-5131.49</v>
      </c>
      <c r="AD80" s="127">
        <f t="shared" si="20"/>
        <v>-14061.28</v>
      </c>
    </row>
    <row r="81" spans="1:33" x14ac:dyDescent="0.25">
      <c r="A81" s="1">
        <v>78</v>
      </c>
      <c r="B81" s="63" t="s">
        <v>225</v>
      </c>
      <c r="G81" s="302"/>
      <c r="H81" s="183"/>
      <c r="I81" s="301"/>
      <c r="J81" s="315"/>
      <c r="K81" s="302"/>
      <c r="L81" s="183"/>
      <c r="M81" s="302"/>
      <c r="N81" s="183"/>
      <c r="O81" s="302"/>
      <c r="P81" s="183"/>
      <c r="Q81" s="302"/>
      <c r="R81" s="183"/>
      <c r="S81" s="302"/>
      <c r="T81" s="183"/>
      <c r="U81" s="303">
        <v>-241.72</v>
      </c>
      <c r="V81" s="316"/>
      <c r="W81" s="304">
        <v>-950.8</v>
      </c>
      <c r="X81" s="317"/>
      <c r="Y81" s="302">
        <v>-1557.71</v>
      </c>
      <c r="Z81" s="183"/>
      <c r="AA81" s="307">
        <v>-1526.85</v>
      </c>
      <c r="AB81" s="319"/>
      <c r="AC81" s="302">
        <v>-2384.7000000000003</v>
      </c>
      <c r="AD81" s="127">
        <f t="shared" si="20"/>
        <v>-6661.7800000000007</v>
      </c>
    </row>
    <row r="82" spans="1:33" x14ac:dyDescent="0.25">
      <c r="A82" s="1">
        <v>79</v>
      </c>
      <c r="B82" s="63" t="s">
        <v>226</v>
      </c>
      <c r="G82" s="302"/>
      <c r="H82" s="183"/>
      <c r="I82" s="301"/>
      <c r="J82" s="315"/>
      <c r="K82" s="302"/>
      <c r="L82" s="183"/>
      <c r="M82" s="302"/>
      <c r="N82" s="183"/>
      <c r="O82" s="302"/>
      <c r="P82" s="183"/>
      <c r="Q82" s="302"/>
      <c r="R82" s="183"/>
      <c r="S82" s="302"/>
      <c r="T82" s="183"/>
      <c r="U82" s="303">
        <v>-475.39</v>
      </c>
      <c r="V82" s="316"/>
      <c r="W82" s="304">
        <v>-1870.05</v>
      </c>
      <c r="X82" s="317"/>
      <c r="Y82" s="302">
        <v>-3063.71</v>
      </c>
      <c r="Z82" s="183"/>
      <c r="AA82" s="307">
        <v>-2938.42</v>
      </c>
      <c r="AB82" s="319"/>
      <c r="AC82" s="302">
        <v>-4381.54</v>
      </c>
      <c r="AD82" s="127">
        <f t="shared" si="20"/>
        <v>-12729.11</v>
      </c>
    </row>
    <row r="83" spans="1:33" x14ac:dyDescent="0.25">
      <c r="A83" s="1">
        <v>80</v>
      </c>
      <c r="B83" s="19" t="s">
        <v>144</v>
      </c>
      <c r="G83" s="302">
        <v>44896.35</v>
      </c>
      <c r="H83" s="183"/>
      <c r="I83" s="301">
        <v>36008.67</v>
      </c>
      <c r="J83" s="315"/>
      <c r="K83" s="302">
        <v>40759.65</v>
      </c>
      <c r="L83" s="183"/>
      <c r="M83" s="302">
        <v>32087.030000000006</v>
      </c>
      <c r="N83" s="183"/>
      <c r="O83" s="302">
        <v>23966.62</v>
      </c>
      <c r="P83" s="183"/>
      <c r="Q83" s="302">
        <v>17547.580000000002</v>
      </c>
      <c r="R83" s="183"/>
      <c r="S83" s="302">
        <v>15033.23</v>
      </c>
      <c r="T83" s="183"/>
      <c r="U83" s="303">
        <v>15402.13</v>
      </c>
      <c r="V83" s="316"/>
      <c r="W83" s="304">
        <v>13629.84</v>
      </c>
      <c r="X83" s="317"/>
      <c r="Y83" s="302">
        <v>19261.810000000001</v>
      </c>
      <c r="Z83" s="183"/>
      <c r="AA83" s="307">
        <v>26039.64</v>
      </c>
      <c r="AB83" s="319"/>
      <c r="AC83" s="302">
        <v>36025.18</v>
      </c>
      <c r="AD83" s="127">
        <f t="shared" si="20"/>
        <v>320657.73</v>
      </c>
    </row>
    <row r="84" spans="1:33" x14ac:dyDescent="0.25">
      <c r="A84" s="1">
        <v>81</v>
      </c>
      <c r="B84" s="19" t="s">
        <v>149</v>
      </c>
      <c r="G84" s="302">
        <v>273.45999999999998</v>
      </c>
      <c r="H84" s="183"/>
      <c r="I84" s="301">
        <v>203.42</v>
      </c>
      <c r="J84" s="315"/>
      <c r="K84" s="302">
        <v>276.38</v>
      </c>
      <c r="L84" s="183"/>
      <c r="M84" s="302">
        <v>224.16</v>
      </c>
      <c r="N84" s="183"/>
      <c r="O84" s="302">
        <v>194.65</v>
      </c>
      <c r="P84" s="183"/>
      <c r="Q84" s="302">
        <v>110.69</v>
      </c>
      <c r="R84" s="183"/>
      <c r="S84" s="302">
        <v>64.849999999999994</v>
      </c>
      <c r="T84" s="183"/>
      <c r="U84" s="303">
        <v>122.29</v>
      </c>
      <c r="V84" s="316"/>
      <c r="W84" s="127">
        <v>42.93</v>
      </c>
      <c r="Y84" s="302">
        <v>137.5</v>
      </c>
      <c r="Z84" s="183"/>
      <c r="AA84" s="307">
        <v>30.35</v>
      </c>
      <c r="AB84" s="319"/>
      <c r="AC84" s="302">
        <v>243.72</v>
      </c>
      <c r="AD84" s="127">
        <f t="shared" si="20"/>
        <v>1924.3999999999999</v>
      </c>
    </row>
    <row r="85" spans="1:33" x14ac:dyDescent="0.25">
      <c r="A85" s="1">
        <v>82</v>
      </c>
      <c r="B85" s="19" t="s">
        <v>150</v>
      </c>
      <c r="G85" s="302">
        <v>240</v>
      </c>
      <c r="H85" s="183"/>
      <c r="I85" s="301">
        <v>240</v>
      </c>
      <c r="J85" s="315"/>
      <c r="K85" s="302">
        <v>240</v>
      </c>
      <c r="L85" s="183"/>
      <c r="M85" s="302">
        <v>240</v>
      </c>
      <c r="N85" s="183"/>
      <c r="AC85" s="302">
        <v>240</v>
      </c>
      <c r="AD85" s="127">
        <f t="shared" si="20"/>
        <v>1200</v>
      </c>
    </row>
    <row r="86" spans="1:33" x14ac:dyDescent="0.25">
      <c r="A86" s="1">
        <v>83</v>
      </c>
      <c r="B86" s="19" t="s">
        <v>146</v>
      </c>
      <c r="C86" s="5"/>
      <c r="D86" s="5"/>
      <c r="E86" s="5"/>
      <c r="G86" s="302">
        <v>191.56</v>
      </c>
      <c r="H86" s="183"/>
      <c r="I86" s="301">
        <v>168.31</v>
      </c>
      <c r="J86" s="315"/>
      <c r="K86" s="302">
        <v>94.79</v>
      </c>
      <c r="L86" s="183"/>
      <c r="M86" s="302">
        <v>158.81</v>
      </c>
      <c r="N86" s="183"/>
      <c r="O86" s="302">
        <v>110.86</v>
      </c>
      <c r="P86" s="183"/>
      <c r="Q86" s="302">
        <v>31.03</v>
      </c>
      <c r="R86" s="183"/>
      <c r="S86" s="302">
        <v>38.730000000000004</v>
      </c>
      <c r="T86" s="183"/>
      <c r="U86" s="303">
        <v>39</v>
      </c>
      <c r="V86" s="316"/>
      <c r="W86" s="127">
        <v>45</v>
      </c>
      <c r="Y86" s="302">
        <v>101.82</v>
      </c>
      <c r="Z86" s="183"/>
      <c r="AA86" s="307">
        <v>143.17000000000002</v>
      </c>
      <c r="AB86" s="319"/>
      <c r="AC86" s="302">
        <v>199.62</v>
      </c>
      <c r="AD86" s="127">
        <f t="shared" si="20"/>
        <v>1322.7000000000003</v>
      </c>
    </row>
    <row r="87" spans="1:33" x14ac:dyDescent="0.25">
      <c r="A87" s="1">
        <v>84</v>
      </c>
      <c r="B87" s="19" t="s">
        <v>145</v>
      </c>
      <c r="G87" s="302">
        <v>0.96</v>
      </c>
      <c r="H87" s="183"/>
      <c r="I87" s="301">
        <v>0.96</v>
      </c>
      <c r="J87" s="315"/>
      <c r="K87" s="302">
        <v>2.4</v>
      </c>
      <c r="L87" s="183"/>
      <c r="M87" s="302">
        <v>4.57</v>
      </c>
      <c r="N87" s="183"/>
      <c r="O87" s="302">
        <v>1.3</v>
      </c>
      <c r="P87" s="183"/>
      <c r="Q87" s="302">
        <v>2.4</v>
      </c>
      <c r="R87" s="183"/>
      <c r="S87" s="302">
        <v>0.96</v>
      </c>
      <c r="T87" s="183"/>
      <c r="U87" s="303">
        <v>3.65</v>
      </c>
      <c r="V87" s="316"/>
      <c r="W87" s="127">
        <v>1.2</v>
      </c>
      <c r="Y87" s="302">
        <v>3.79</v>
      </c>
      <c r="Z87" s="183"/>
      <c r="AA87" s="307">
        <v>58.88</v>
      </c>
      <c r="AB87" s="319"/>
      <c r="AC87" s="302">
        <v>370.77</v>
      </c>
      <c r="AD87" s="127">
        <f t="shared" si="20"/>
        <v>451.84</v>
      </c>
    </row>
    <row r="88" spans="1:33" x14ac:dyDescent="0.25">
      <c r="A88" s="1">
        <v>85</v>
      </c>
      <c r="B88" s="19" t="s">
        <v>148</v>
      </c>
      <c r="C88" s="5"/>
      <c r="D88" s="5"/>
      <c r="E88" s="5"/>
      <c r="G88" s="302">
        <v>713.71</v>
      </c>
      <c r="H88" s="183"/>
      <c r="I88" s="301">
        <v>990.67</v>
      </c>
      <c r="J88" s="315"/>
      <c r="K88" s="302">
        <v>1066.31</v>
      </c>
      <c r="L88" s="183"/>
      <c r="M88" s="302">
        <v>844.27</v>
      </c>
      <c r="N88" s="183"/>
      <c r="O88" s="302">
        <v>580.45000000000005</v>
      </c>
      <c r="P88" s="183"/>
      <c r="Q88" s="302">
        <v>358.37</v>
      </c>
      <c r="R88" s="183"/>
      <c r="S88" s="302">
        <v>271.41000000000003</v>
      </c>
      <c r="T88" s="183"/>
      <c r="U88" s="303">
        <v>810.23</v>
      </c>
      <c r="V88" s="316"/>
      <c r="W88" s="127">
        <v>316.36</v>
      </c>
      <c r="Y88" s="302">
        <v>1191.45</v>
      </c>
      <c r="Z88" s="183"/>
      <c r="AA88" s="307">
        <v>1117.52</v>
      </c>
      <c r="AB88" s="319"/>
      <c r="AC88" s="302">
        <v>1804.5</v>
      </c>
      <c r="AD88" s="127">
        <f t="shared" si="20"/>
        <v>10065.25</v>
      </c>
    </row>
    <row r="89" spans="1:33" x14ac:dyDescent="0.25">
      <c r="A89" s="1">
        <v>86</v>
      </c>
      <c r="B89" s="19" t="s">
        <v>29</v>
      </c>
      <c r="G89" s="302">
        <v>-2376.39</v>
      </c>
      <c r="H89" s="183"/>
      <c r="M89" s="302">
        <v>-19.93</v>
      </c>
      <c r="N89" s="183"/>
      <c r="Q89" s="302">
        <v>-53.52</v>
      </c>
      <c r="R89" s="183"/>
      <c r="U89" s="303">
        <v>-101.76</v>
      </c>
      <c r="V89" s="316"/>
      <c r="AD89" s="127">
        <f t="shared" si="20"/>
        <v>-2551.6</v>
      </c>
    </row>
    <row r="90" spans="1:33" x14ac:dyDescent="0.25">
      <c r="A90" s="1">
        <v>87</v>
      </c>
      <c r="B90" s="19" t="s">
        <v>30</v>
      </c>
      <c r="C90" s="4"/>
      <c r="D90" s="4"/>
      <c r="E90" s="4"/>
      <c r="G90" s="302">
        <f>SUM(G70:G89)</f>
        <v>1154210.2000000002</v>
      </c>
      <c r="H90" s="302"/>
      <c r="I90" s="302">
        <f t="shared" ref="I90:AC90" si="21">SUM(I70:I89)</f>
        <v>922375.3600000001</v>
      </c>
      <c r="J90" s="302"/>
      <c r="K90" s="302">
        <f t="shared" si="21"/>
        <v>1027571.3300000003</v>
      </c>
      <c r="L90" s="302"/>
      <c r="M90" s="302">
        <f t="shared" si="21"/>
        <v>819669.29999999993</v>
      </c>
      <c r="N90" s="302"/>
      <c r="O90" s="302">
        <f t="shared" si="21"/>
        <v>599876.13</v>
      </c>
      <c r="P90" s="302"/>
      <c r="Q90" s="302">
        <f t="shared" si="21"/>
        <v>450764.51000000013</v>
      </c>
      <c r="R90" s="302"/>
      <c r="S90" s="302">
        <f t="shared" si="21"/>
        <v>399968.56</v>
      </c>
      <c r="T90" s="302"/>
      <c r="U90" s="302">
        <f t="shared" si="21"/>
        <v>410375.23</v>
      </c>
      <c r="V90" s="302"/>
      <c r="W90" s="302">
        <f t="shared" si="21"/>
        <v>474686.47000000003</v>
      </c>
      <c r="X90" s="302"/>
      <c r="Y90" s="302">
        <f t="shared" si="21"/>
        <v>735073.95000000007</v>
      </c>
      <c r="Z90" s="302"/>
      <c r="AA90" s="302">
        <f t="shared" si="21"/>
        <v>698006.01000000013</v>
      </c>
      <c r="AB90" s="302"/>
      <c r="AC90" s="302">
        <f t="shared" si="21"/>
        <v>963106.38</v>
      </c>
      <c r="AD90" s="127">
        <f t="shared" si="20"/>
        <v>8655683.4299999997</v>
      </c>
    </row>
    <row r="91" spans="1:33" x14ac:dyDescent="0.25">
      <c r="A91" s="1">
        <v>88</v>
      </c>
      <c r="B91" s="19" t="s">
        <v>31</v>
      </c>
      <c r="C91" s="98"/>
      <c r="D91" s="98"/>
      <c r="E91" s="98"/>
      <c r="F91" s="98"/>
      <c r="G91" s="550">
        <v>1586296</v>
      </c>
      <c r="H91" s="550"/>
      <c r="I91" s="551">
        <v>1256468</v>
      </c>
      <c r="J91" s="551"/>
      <c r="K91" s="550">
        <v>1403497</v>
      </c>
      <c r="L91" s="550"/>
      <c r="M91" s="550">
        <v>1111390</v>
      </c>
      <c r="N91" s="550"/>
      <c r="O91" s="550">
        <v>803238</v>
      </c>
      <c r="P91" s="550"/>
      <c r="Q91" s="550">
        <v>596675</v>
      </c>
      <c r="R91" s="550"/>
      <c r="S91" s="550">
        <v>526644</v>
      </c>
      <c r="T91" s="550"/>
      <c r="U91" s="552">
        <v>543579</v>
      </c>
      <c r="V91" s="552"/>
      <c r="W91" s="554">
        <v>648016</v>
      </c>
      <c r="X91" s="554"/>
      <c r="Y91" s="550">
        <v>1031586</v>
      </c>
      <c r="Z91" s="550"/>
      <c r="AA91" s="553">
        <v>989360</v>
      </c>
      <c r="AB91" s="553"/>
      <c r="AC91" s="550">
        <v>1475293</v>
      </c>
      <c r="AD91" s="98">
        <f t="shared" si="20"/>
        <v>11972042</v>
      </c>
    </row>
    <row r="92" spans="1:33" x14ac:dyDescent="0.25">
      <c r="A92" s="1">
        <v>89</v>
      </c>
      <c r="B92" s="1" t="s">
        <v>32</v>
      </c>
      <c r="C92" s="98"/>
      <c r="D92" s="98"/>
      <c r="E92" s="98"/>
      <c r="F92" s="98"/>
      <c r="G92" s="550">
        <v>-43099</v>
      </c>
      <c r="H92" s="550"/>
      <c r="I92" s="98"/>
      <c r="J92" s="98"/>
      <c r="K92" s="98"/>
      <c r="L92" s="98"/>
      <c r="M92" s="98"/>
      <c r="N92" s="98"/>
      <c r="O92" s="98"/>
      <c r="P92" s="98"/>
      <c r="Q92" s="98"/>
      <c r="R92" s="98"/>
      <c r="S92" s="98"/>
      <c r="T92" s="98"/>
      <c r="U92" s="98"/>
      <c r="V92" s="98"/>
      <c r="W92" s="98"/>
      <c r="X92" s="98"/>
      <c r="Y92" s="98"/>
      <c r="Z92" s="98"/>
      <c r="AA92" s="98"/>
      <c r="AB92" s="98"/>
      <c r="AC92" s="98"/>
      <c r="AD92" s="98">
        <f t="shared" si="20"/>
        <v>-43099</v>
      </c>
    </row>
    <row r="93" spans="1:33" x14ac:dyDescent="0.25">
      <c r="A93" s="1">
        <v>90</v>
      </c>
      <c r="B93" s="1" t="s">
        <v>33</v>
      </c>
      <c r="C93" s="98"/>
      <c r="D93" s="98"/>
      <c r="E93" s="98"/>
      <c r="F93" s="98"/>
      <c r="G93" s="550">
        <f>SUM(G91:G92)</f>
        <v>1543197</v>
      </c>
      <c r="H93" s="550"/>
      <c r="I93" s="550">
        <f t="shared" ref="I93:AC93" si="22">SUM(I91:I92)</f>
        <v>1256468</v>
      </c>
      <c r="J93" s="550"/>
      <c r="K93" s="550">
        <f t="shared" si="22"/>
        <v>1403497</v>
      </c>
      <c r="L93" s="550"/>
      <c r="M93" s="550">
        <f t="shared" si="22"/>
        <v>1111390</v>
      </c>
      <c r="N93" s="550"/>
      <c r="O93" s="550">
        <f t="shared" si="22"/>
        <v>803238</v>
      </c>
      <c r="P93" s="550"/>
      <c r="Q93" s="550">
        <f t="shared" si="22"/>
        <v>596675</v>
      </c>
      <c r="R93" s="550"/>
      <c r="S93" s="550">
        <f t="shared" si="22"/>
        <v>526644</v>
      </c>
      <c r="T93" s="550"/>
      <c r="U93" s="550">
        <f t="shared" si="22"/>
        <v>543579</v>
      </c>
      <c r="V93" s="550"/>
      <c r="W93" s="550">
        <f t="shared" si="22"/>
        <v>648016</v>
      </c>
      <c r="X93" s="550"/>
      <c r="Y93" s="550">
        <f t="shared" si="22"/>
        <v>1031586</v>
      </c>
      <c r="Z93" s="550"/>
      <c r="AA93" s="550">
        <f t="shared" si="22"/>
        <v>989360</v>
      </c>
      <c r="AB93" s="550"/>
      <c r="AC93" s="550">
        <f t="shared" si="22"/>
        <v>1475293</v>
      </c>
      <c r="AD93" s="98">
        <f t="shared" si="20"/>
        <v>11928943</v>
      </c>
    </row>
    <row r="94" spans="1:33" x14ac:dyDescent="0.25">
      <c r="A94" s="1">
        <v>91</v>
      </c>
      <c r="B94" s="1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row>
    <row r="95" spans="1:33" x14ac:dyDescent="0.25">
      <c r="A95" s="1">
        <v>92</v>
      </c>
      <c r="B95" s="32" t="s">
        <v>200</v>
      </c>
    </row>
    <row r="96" spans="1:33" x14ac:dyDescent="0.25">
      <c r="A96" s="1">
        <v>93</v>
      </c>
      <c r="B96" s="19" t="s">
        <v>9</v>
      </c>
      <c r="C96" s="127">
        <v>100</v>
      </c>
      <c r="D96" s="127"/>
      <c r="E96" s="127">
        <v>125</v>
      </c>
      <c r="F96" s="128">
        <f>G96/$C$96</f>
        <v>83</v>
      </c>
      <c r="G96" s="127">
        <v>8300</v>
      </c>
      <c r="H96" s="128">
        <f>I96/$C$96</f>
        <v>87</v>
      </c>
      <c r="I96" s="127">
        <v>8700</v>
      </c>
      <c r="J96" s="128">
        <f>K96/$C$96</f>
        <v>86</v>
      </c>
      <c r="K96" s="127">
        <v>8600</v>
      </c>
      <c r="L96" s="128">
        <f>M96/$C$96</f>
        <v>87</v>
      </c>
      <c r="M96" s="127">
        <v>8700</v>
      </c>
      <c r="N96" s="128">
        <f>O96/$C$96</f>
        <v>87</v>
      </c>
      <c r="O96" s="127">
        <v>8700</v>
      </c>
      <c r="P96" s="128">
        <f>Q96/$C$96</f>
        <v>87</v>
      </c>
      <c r="Q96" s="127">
        <v>8700</v>
      </c>
      <c r="R96" s="128">
        <f>S96/$C$96</f>
        <v>86</v>
      </c>
      <c r="S96" s="127">
        <v>8600</v>
      </c>
      <c r="T96" s="128">
        <f>AVERAGE(V96,R96)</f>
        <v>85.84</v>
      </c>
      <c r="U96" s="127">
        <v>9312.5</v>
      </c>
      <c r="V96" s="128">
        <f>W96/$E$96</f>
        <v>85.68</v>
      </c>
      <c r="W96" s="127">
        <v>10710</v>
      </c>
      <c r="X96" s="128">
        <f>Y96/$E$96</f>
        <v>91</v>
      </c>
      <c r="Y96" s="127">
        <v>11375</v>
      </c>
      <c r="Z96" s="128">
        <f>AA96/$E$96</f>
        <v>86</v>
      </c>
      <c r="AA96" s="127">
        <v>10750</v>
      </c>
      <c r="AB96" s="128">
        <f>AC96/$E$96</f>
        <v>86</v>
      </c>
      <c r="AC96" s="127">
        <v>10750</v>
      </c>
      <c r="AD96" s="127">
        <f>SUM(G96,I96,K96,M96,O96,Q96,S96,U96,W96,Y96,AA96,AC96)</f>
        <v>113197.5</v>
      </c>
      <c r="AF96" s="308"/>
      <c r="AG96" s="308"/>
    </row>
    <row r="97" spans="1:33" x14ac:dyDescent="0.25">
      <c r="A97" s="1">
        <v>94</v>
      </c>
      <c r="B97" s="19" t="s">
        <v>201</v>
      </c>
      <c r="C97" s="1">
        <f>'Exh IDM-2 - Revenue Summary'!D151</f>
        <v>0.14834</v>
      </c>
      <c r="E97" s="1">
        <f>'Exh IDM-2 - Revenue Summary'!D154</f>
        <v>0.14330000000000001</v>
      </c>
      <c r="F97" s="128">
        <f>G97/$C$97</f>
        <v>1233339.9622488876</v>
      </c>
      <c r="G97" s="127">
        <v>182953.65</v>
      </c>
      <c r="H97" s="128">
        <f>I97/$C$97</f>
        <v>1001898.7461237698</v>
      </c>
      <c r="I97" s="127">
        <v>148621.66</v>
      </c>
      <c r="J97" s="128">
        <f>K97/$C$97</f>
        <v>1077637.7241472292</v>
      </c>
      <c r="K97" s="127">
        <v>159856.78</v>
      </c>
      <c r="L97" s="128">
        <f>M97/$C$97</f>
        <v>886737.76459484966</v>
      </c>
      <c r="M97" s="127">
        <v>131538.68</v>
      </c>
      <c r="N97" s="128">
        <f>O97/$C$97</f>
        <v>654374.27531346912</v>
      </c>
      <c r="O97" s="127">
        <v>97069.88</v>
      </c>
      <c r="P97" s="128">
        <f>Q97/$C$97</f>
        <v>461793.24524740461</v>
      </c>
      <c r="Q97" s="127">
        <v>68502.41</v>
      </c>
      <c r="R97" s="128">
        <f>S97/$C$97</f>
        <v>393569.03060536605</v>
      </c>
      <c r="S97" s="127">
        <v>58382.03</v>
      </c>
      <c r="T97" s="128">
        <f>U97/$E$97</f>
        <v>385878.08792742499</v>
      </c>
      <c r="U97" s="127">
        <v>55296.33</v>
      </c>
      <c r="V97" s="128">
        <f>W97/$E$97</f>
        <v>366436.56664340541</v>
      </c>
      <c r="W97" s="127">
        <v>52510.36</v>
      </c>
      <c r="X97" s="128">
        <f>Y97/$E$97</f>
        <v>570275.01744591759</v>
      </c>
      <c r="Y97" s="127">
        <v>81720.41</v>
      </c>
      <c r="Z97" s="128">
        <f>AA97/$E$97</f>
        <v>696754.7103977669</v>
      </c>
      <c r="AA97" s="127">
        <v>99844.95</v>
      </c>
      <c r="AB97" s="128">
        <f>AC97/$E$97</f>
        <v>1030080.8094905791</v>
      </c>
      <c r="AC97" s="127">
        <v>147610.57999999999</v>
      </c>
      <c r="AD97" s="127">
        <f t="shared" ref="AD97:AD99" si="23">SUM(G97,I97,K97,M97,O97,Q97,S97,U97,W97,Y97,AA97,AC97)</f>
        <v>1283907.7200000002</v>
      </c>
      <c r="AF97" s="308"/>
      <c r="AG97" s="308"/>
    </row>
    <row r="98" spans="1:33" x14ac:dyDescent="0.25">
      <c r="A98" s="1">
        <v>95</v>
      </c>
      <c r="B98" s="1" t="s">
        <v>202</v>
      </c>
      <c r="C98" s="1">
        <f>'Exh IDM-2 - Revenue Summary'!D152</f>
        <v>0.11294999999999999</v>
      </c>
      <c r="E98" s="1">
        <f>'Exh IDM-2 - Revenue Summary'!D155</f>
        <v>0.10983999999999999</v>
      </c>
      <c r="F98" s="128">
        <f>G98/$C$98</f>
        <v>561288.00354138995</v>
      </c>
      <c r="G98" s="127">
        <v>63397.479999999996</v>
      </c>
      <c r="H98" s="128">
        <f>I98/$C$98</f>
        <v>358801.1509517486</v>
      </c>
      <c r="I98" s="127">
        <v>40526.590000000004</v>
      </c>
      <c r="J98" s="128">
        <f>K98/$C$98</f>
        <v>476001.06241699867</v>
      </c>
      <c r="K98" s="127">
        <v>53764.32</v>
      </c>
      <c r="L98" s="128">
        <f>M98/$C$98</f>
        <v>445041.96547144756</v>
      </c>
      <c r="M98" s="127">
        <v>50267.49</v>
      </c>
      <c r="N98" s="128">
        <f>O98/$C$98</f>
        <v>356830.01328021247</v>
      </c>
      <c r="O98" s="127">
        <v>40303.949999999997</v>
      </c>
      <c r="P98" s="128">
        <f>Q98/$C$98</f>
        <v>301081.00929614872</v>
      </c>
      <c r="Q98" s="127">
        <v>34007.1</v>
      </c>
      <c r="R98" s="128">
        <f>S98/$C$98</f>
        <v>264189.02169101377</v>
      </c>
      <c r="S98" s="127">
        <v>29840.15</v>
      </c>
      <c r="T98" s="128">
        <f>U98/$E$98</f>
        <v>278905.58994901681</v>
      </c>
      <c r="U98" s="127">
        <v>30634.99</v>
      </c>
      <c r="V98" s="128">
        <f>W98/$E$98</f>
        <v>258984.52294246177</v>
      </c>
      <c r="W98" s="127">
        <v>28446.86</v>
      </c>
      <c r="X98" s="128">
        <f>Y98/$E$98</f>
        <v>507322.1048798252</v>
      </c>
      <c r="Y98" s="127">
        <v>55724.259999999995</v>
      </c>
      <c r="Z98" s="128">
        <f>AA98/$E$98</f>
        <v>233403.76911871813</v>
      </c>
      <c r="AA98" s="127">
        <v>25637.07</v>
      </c>
      <c r="AB98" s="128">
        <f>AC98/$E$98</f>
        <v>484403.86016023316</v>
      </c>
      <c r="AC98" s="127">
        <v>53206.920000000006</v>
      </c>
      <c r="AD98" s="127">
        <f t="shared" si="23"/>
        <v>505757.18</v>
      </c>
      <c r="AF98" s="308"/>
      <c r="AG98" s="308"/>
    </row>
    <row r="99" spans="1:33" x14ac:dyDescent="0.25">
      <c r="A99" s="1">
        <v>96</v>
      </c>
      <c r="B99" s="19" t="s">
        <v>203</v>
      </c>
      <c r="C99" s="1">
        <f>'Exh IDM-2 - Revenue Summary'!D153</f>
        <v>2.5409999999999999E-2</v>
      </c>
      <c r="E99" s="1">
        <f>'Exh IDM-2 - Revenue Summary'!D156</f>
        <v>2.7089999999999999E-2</v>
      </c>
      <c r="F99" s="128">
        <f>G99/$C$99</f>
        <v>175982.2904368359</v>
      </c>
      <c r="G99" s="127">
        <v>4471.71</v>
      </c>
      <c r="H99" s="128">
        <f>I99/$C$99</f>
        <v>66963.793781975604</v>
      </c>
      <c r="I99" s="127">
        <v>1701.55</v>
      </c>
      <c r="J99" s="128">
        <f>K99/$C$99</f>
        <v>105670.99567099568</v>
      </c>
      <c r="K99" s="127">
        <v>2685.1</v>
      </c>
      <c r="L99" s="128">
        <f>M99/$C$99</f>
        <v>81346.713892168438</v>
      </c>
      <c r="M99" s="127">
        <v>2067.02</v>
      </c>
      <c r="N99" s="128">
        <f>O99/$C$99</f>
        <v>67335.69460842188</v>
      </c>
      <c r="O99" s="127">
        <v>1711</v>
      </c>
      <c r="P99" s="128">
        <f>Q99/$C$99</f>
        <v>6733.9630066902801</v>
      </c>
      <c r="Q99" s="127">
        <v>171.11</v>
      </c>
      <c r="R99" s="128">
        <f>S99/$C$99</f>
        <v>1358.9138134592681</v>
      </c>
      <c r="S99" s="127">
        <v>34.53</v>
      </c>
      <c r="T99" s="128">
        <f>U99/$E$99</f>
        <v>0</v>
      </c>
      <c r="V99" s="128">
        <f>W99/$E$99</f>
        <v>0</v>
      </c>
      <c r="X99" s="128">
        <f>Y99/$E$99</f>
        <v>44160.9449981543</v>
      </c>
      <c r="Y99" s="127">
        <v>1196.32</v>
      </c>
      <c r="Z99" s="128">
        <f>AA99/$E$99</f>
        <v>46613.141380583242</v>
      </c>
      <c r="AA99" s="302">
        <v>1262.75</v>
      </c>
      <c r="AB99" s="128">
        <f>AC99/$E$99</f>
        <v>174452.93466223701</v>
      </c>
      <c r="AC99" s="127">
        <v>4725.93</v>
      </c>
      <c r="AD99" s="127">
        <f t="shared" si="23"/>
        <v>20027.020000000004</v>
      </c>
    </row>
    <row r="100" spans="1:33" x14ac:dyDescent="0.25">
      <c r="A100" s="1">
        <v>97</v>
      </c>
      <c r="B100" s="19" t="s">
        <v>11</v>
      </c>
      <c r="C100" s="5"/>
      <c r="D100" s="5"/>
      <c r="E100" s="5"/>
      <c r="G100" s="127">
        <v>876269.11</v>
      </c>
      <c r="I100" s="127">
        <v>634839.39999999991</v>
      </c>
      <c r="K100" s="127">
        <v>737845.34</v>
      </c>
      <c r="M100" s="127">
        <v>628375.16999999993</v>
      </c>
      <c r="O100" s="127">
        <v>479594.41000000003</v>
      </c>
      <c r="Q100" s="127">
        <v>342221.55</v>
      </c>
      <c r="S100" s="127">
        <v>293089.57</v>
      </c>
      <c r="U100" s="127">
        <v>289513.02</v>
      </c>
      <c r="W100" s="127">
        <v>278015.2</v>
      </c>
      <c r="Y100" s="127">
        <v>498812.19</v>
      </c>
      <c r="AA100" s="127">
        <v>424034.25</v>
      </c>
      <c r="AC100" s="127">
        <v>710001.81</v>
      </c>
      <c r="AD100" s="127">
        <f t="shared" si="20"/>
        <v>6192611.0199999996</v>
      </c>
      <c r="AF100" s="308"/>
      <c r="AG100" s="308"/>
    </row>
    <row r="101" spans="1:33" x14ac:dyDescent="0.25">
      <c r="A101" s="1">
        <v>98</v>
      </c>
      <c r="B101" s="19" t="s">
        <v>139</v>
      </c>
      <c r="G101" s="127">
        <v>2443.5400000000004</v>
      </c>
      <c r="I101" s="127">
        <v>1770.3500000000001</v>
      </c>
      <c r="K101" s="127">
        <v>2057.5500000000002</v>
      </c>
      <c r="M101" s="127">
        <v>1752.2800000000002</v>
      </c>
      <c r="O101" s="127">
        <v>1337.4</v>
      </c>
      <c r="Q101" s="127">
        <v>954.34000000000015</v>
      </c>
      <c r="S101" s="127">
        <v>817.32999999999993</v>
      </c>
      <c r="U101" s="127">
        <v>807.35</v>
      </c>
      <c r="W101" s="127">
        <v>775.25</v>
      </c>
      <c r="Y101" s="127">
        <v>1391</v>
      </c>
      <c r="AA101" s="127">
        <v>1211.19</v>
      </c>
      <c r="AC101" s="127">
        <v>2207.1800000000003</v>
      </c>
      <c r="AD101" s="127">
        <f t="shared" si="20"/>
        <v>17524.760000000002</v>
      </c>
      <c r="AF101" s="308"/>
      <c r="AG101" s="308"/>
    </row>
    <row r="102" spans="1:33" x14ac:dyDescent="0.25">
      <c r="A102" s="1">
        <v>99</v>
      </c>
      <c r="B102" s="19" t="s">
        <v>140</v>
      </c>
      <c r="G102" s="127">
        <v>10661.11</v>
      </c>
      <c r="I102" s="127">
        <v>7723.67</v>
      </c>
      <c r="K102" s="127">
        <v>8976.85</v>
      </c>
      <c r="M102" s="127">
        <v>7644.99</v>
      </c>
      <c r="O102" s="127">
        <v>5834.8899999999994</v>
      </c>
      <c r="Q102" s="127">
        <v>4163.59</v>
      </c>
      <c r="S102" s="127">
        <v>3565.87</v>
      </c>
      <c r="U102" s="127">
        <v>2788.42</v>
      </c>
      <c r="W102" s="127">
        <v>1371.3</v>
      </c>
      <c r="Y102" s="127">
        <v>2422.98</v>
      </c>
      <c r="AA102" s="127">
        <v>3162.14</v>
      </c>
      <c r="AC102" s="127">
        <v>7836.34</v>
      </c>
      <c r="AD102" s="127">
        <f t="shared" si="20"/>
        <v>66152.149999999994</v>
      </c>
      <c r="AF102" s="308"/>
      <c r="AG102" s="308"/>
    </row>
    <row r="103" spans="1:33" x14ac:dyDescent="0.25">
      <c r="A103" s="1">
        <v>100</v>
      </c>
      <c r="B103" s="19" t="s">
        <v>141</v>
      </c>
      <c r="G103" s="127">
        <v>-35688.759999999995</v>
      </c>
      <c r="I103" s="127">
        <v>-25854.93</v>
      </c>
      <c r="K103" s="127">
        <v>-30050.1</v>
      </c>
      <c r="M103" s="127">
        <v>-25591.74</v>
      </c>
      <c r="O103" s="127">
        <v>-19532.370000000003</v>
      </c>
      <c r="Q103" s="127">
        <v>-13937.6</v>
      </c>
      <c r="S103" s="127">
        <v>-11936.64</v>
      </c>
      <c r="U103" s="127">
        <v>-11790.970000000001</v>
      </c>
      <c r="W103" s="127">
        <v>-11322.7</v>
      </c>
      <c r="Y103" s="127">
        <v>-20315.04</v>
      </c>
      <c r="AA103" s="127">
        <v>-31026.52</v>
      </c>
      <c r="AC103" s="127">
        <v>-83664.39</v>
      </c>
      <c r="AD103" s="127">
        <f t="shared" si="20"/>
        <v>-320711.76</v>
      </c>
      <c r="AF103" s="308"/>
      <c r="AG103" s="308"/>
    </row>
    <row r="104" spans="1:33" x14ac:dyDescent="0.25">
      <c r="A104" s="1">
        <v>101</v>
      </c>
      <c r="B104" s="19" t="s">
        <v>142</v>
      </c>
      <c r="G104" s="127">
        <v>109788.04000000001</v>
      </c>
      <c r="I104" s="127">
        <v>79535.180000000008</v>
      </c>
      <c r="K104" s="127">
        <v>92440.14</v>
      </c>
      <c r="M104" s="127">
        <v>78725.3</v>
      </c>
      <c r="O104" s="127">
        <v>60085.42</v>
      </c>
      <c r="Q104" s="127">
        <v>42874.89</v>
      </c>
      <c r="S104" s="127">
        <v>36719.42</v>
      </c>
      <c r="U104" s="127">
        <v>36271.300000000003</v>
      </c>
      <c r="W104" s="127">
        <v>34830.869999999995</v>
      </c>
      <c r="Y104" s="127">
        <v>62493.1</v>
      </c>
      <c r="AA104" s="127">
        <v>34772.46</v>
      </c>
      <c r="AC104" s="127">
        <v>15916.460000000001</v>
      </c>
      <c r="AD104" s="127">
        <f t="shared" si="20"/>
        <v>684452.58</v>
      </c>
      <c r="AF104" s="308"/>
      <c r="AG104" s="308"/>
    </row>
    <row r="105" spans="1:33" x14ac:dyDescent="0.25">
      <c r="A105" s="1">
        <v>102</v>
      </c>
      <c r="B105" s="19" t="s">
        <v>143</v>
      </c>
      <c r="G105" s="127">
        <v>26898.800000000003</v>
      </c>
      <c r="I105" s="127">
        <v>19487.57</v>
      </c>
      <c r="K105" s="127">
        <v>22649.57</v>
      </c>
      <c r="M105" s="127">
        <v>19289.240000000002</v>
      </c>
      <c r="O105" s="127">
        <v>14722.08</v>
      </c>
      <c r="Q105" s="127">
        <v>10505.14</v>
      </c>
      <c r="S105" s="127">
        <v>8996.94</v>
      </c>
      <c r="U105" s="127">
        <v>8887.16</v>
      </c>
      <c r="W105" s="127">
        <v>8534.16</v>
      </c>
      <c r="Y105" s="127">
        <v>15312.02</v>
      </c>
      <c r="AA105" s="127">
        <v>19020.84</v>
      </c>
      <c r="AC105" s="127">
        <v>45689.78</v>
      </c>
      <c r="AD105" s="127">
        <f t="shared" si="20"/>
        <v>219993.3</v>
      </c>
      <c r="AF105" s="308"/>
      <c r="AG105" s="308"/>
    </row>
    <row r="106" spans="1:33" x14ac:dyDescent="0.25">
      <c r="A106" s="1">
        <v>103</v>
      </c>
      <c r="B106" s="63" t="s">
        <v>224</v>
      </c>
      <c r="U106" s="127">
        <v>-582.61</v>
      </c>
      <c r="W106" s="127">
        <v>-1596.58</v>
      </c>
      <c r="Y106" s="127">
        <v>-2894.1400000000003</v>
      </c>
      <c r="AA106" s="127">
        <v>-2634.77</v>
      </c>
      <c r="AC106" s="127">
        <v>-4813.78</v>
      </c>
      <c r="AD106" s="127">
        <f t="shared" si="20"/>
        <v>-12521.880000000001</v>
      </c>
      <c r="AF106" s="308"/>
      <c r="AG106" s="308"/>
    </row>
    <row r="107" spans="1:33" x14ac:dyDescent="0.25">
      <c r="A107" s="1">
        <v>104</v>
      </c>
      <c r="B107" s="63" t="s">
        <v>225</v>
      </c>
      <c r="U107" s="127">
        <v>-277.73</v>
      </c>
      <c r="W107" s="127">
        <v>-761.16</v>
      </c>
      <c r="Y107" s="127">
        <v>-1379.72</v>
      </c>
      <c r="AA107" s="127">
        <v>-1242.3399999999999</v>
      </c>
      <c r="AC107" s="127">
        <v>-2240.35</v>
      </c>
      <c r="AD107" s="127">
        <f t="shared" si="20"/>
        <v>-5901.2999999999993</v>
      </c>
      <c r="AF107" s="308"/>
      <c r="AG107" s="308"/>
    </row>
    <row r="108" spans="1:33" x14ac:dyDescent="0.25">
      <c r="A108" s="1">
        <v>105</v>
      </c>
      <c r="B108" s="63" t="s">
        <v>226</v>
      </c>
      <c r="U108" s="127">
        <v>-548.71</v>
      </c>
      <c r="W108" s="127">
        <v>-1503.72</v>
      </c>
      <c r="Y108" s="127">
        <v>-2725.91</v>
      </c>
      <c r="AA108" s="127">
        <v>-2373.6</v>
      </c>
      <c r="AC108" s="127">
        <v>-4104.12</v>
      </c>
      <c r="AD108" s="127">
        <f t="shared" si="20"/>
        <v>-11256.060000000001</v>
      </c>
      <c r="AF108" s="308"/>
      <c r="AG108" s="308"/>
    </row>
    <row r="109" spans="1:33" x14ac:dyDescent="0.25">
      <c r="A109" s="1">
        <v>106</v>
      </c>
      <c r="B109" s="19" t="s">
        <v>144</v>
      </c>
      <c r="G109" s="127">
        <v>51707.479999999996</v>
      </c>
      <c r="I109" s="127">
        <v>38909.599999999999</v>
      </c>
      <c r="K109" s="127">
        <v>42782.17</v>
      </c>
      <c r="M109" s="127">
        <v>37340.639999999999</v>
      </c>
      <c r="O109" s="127">
        <v>26254.71</v>
      </c>
      <c r="Q109" s="127">
        <v>17929.04</v>
      </c>
      <c r="S109" s="127">
        <v>15241.43</v>
      </c>
      <c r="U109" s="127">
        <v>13590.17</v>
      </c>
      <c r="W109" s="127">
        <v>13708.12</v>
      </c>
      <c r="Y109" s="127">
        <v>26159.43</v>
      </c>
      <c r="AA109" s="127">
        <v>21219.97</v>
      </c>
      <c r="AC109" s="127">
        <v>36624.83</v>
      </c>
      <c r="AD109" s="127">
        <f t="shared" si="20"/>
        <v>341467.59</v>
      </c>
      <c r="AF109" s="308"/>
      <c r="AG109" s="308"/>
    </row>
    <row r="110" spans="1:33" x14ac:dyDescent="0.25">
      <c r="A110" s="1">
        <v>107</v>
      </c>
      <c r="B110" s="19" t="s">
        <v>149</v>
      </c>
      <c r="G110" s="127">
        <v>2217.6799999999998</v>
      </c>
      <c r="I110" s="127">
        <v>888.46</v>
      </c>
      <c r="K110" s="127">
        <v>1360.71</v>
      </c>
      <c r="M110" s="127">
        <v>776.48</v>
      </c>
      <c r="O110" s="127">
        <v>446.66</v>
      </c>
      <c r="Q110" s="127">
        <v>71.19</v>
      </c>
      <c r="Y110" s="127">
        <v>122.58000000000001</v>
      </c>
      <c r="AA110" s="127">
        <v>242.12</v>
      </c>
      <c r="AC110" s="127">
        <v>528.05999999999995</v>
      </c>
      <c r="AD110" s="127">
        <f t="shared" si="20"/>
        <v>6653.9399999999987</v>
      </c>
    </row>
    <row r="111" spans="1:33" x14ac:dyDescent="0.25">
      <c r="A111" s="1">
        <v>108</v>
      </c>
      <c r="B111" s="19" t="s">
        <v>148</v>
      </c>
      <c r="G111" s="127">
        <v>680.74</v>
      </c>
      <c r="I111" s="127">
        <v>356.73</v>
      </c>
      <c r="K111" s="127">
        <v>109.26</v>
      </c>
      <c r="M111" s="127">
        <v>596.59</v>
      </c>
      <c r="O111" s="127">
        <v>86.88</v>
      </c>
      <c r="Q111" s="127">
        <v>6.2</v>
      </c>
      <c r="S111" s="127">
        <v>6.16</v>
      </c>
      <c r="U111" s="127">
        <v>107.58</v>
      </c>
      <c r="W111" s="127">
        <v>137.44999999999999</v>
      </c>
      <c r="Y111" s="127">
        <v>234.63</v>
      </c>
      <c r="AA111" s="127">
        <v>316.81</v>
      </c>
      <c r="AC111" s="127">
        <v>488.88</v>
      </c>
      <c r="AD111" s="127">
        <f t="shared" si="20"/>
        <v>3127.9100000000003</v>
      </c>
      <c r="AF111" s="308"/>
    </row>
    <row r="112" spans="1:33" x14ac:dyDescent="0.25">
      <c r="A112" s="1">
        <v>109</v>
      </c>
      <c r="B112" s="19" t="s">
        <v>29</v>
      </c>
      <c r="C112" s="5"/>
      <c r="D112" s="5"/>
      <c r="E112" s="5"/>
      <c r="G112" s="127">
        <v>-106.38</v>
      </c>
      <c r="AA112" s="127">
        <v>-135.63</v>
      </c>
      <c r="AD112" s="127">
        <f t="shared" si="20"/>
        <v>-242.01</v>
      </c>
    </row>
    <row r="113" spans="1:33" x14ac:dyDescent="0.25">
      <c r="A113" s="1">
        <v>110</v>
      </c>
      <c r="B113" s="19" t="s">
        <v>146</v>
      </c>
      <c r="C113" s="5"/>
      <c r="D113" s="5"/>
      <c r="E113" s="5"/>
      <c r="G113" s="127">
        <v>2167.29</v>
      </c>
      <c r="I113" s="127">
        <v>1652.75</v>
      </c>
      <c r="K113" s="127">
        <v>1532.46</v>
      </c>
      <c r="M113" s="127">
        <v>1096.19</v>
      </c>
      <c r="O113" s="127">
        <v>822.1</v>
      </c>
      <c r="Q113" s="127">
        <v>590.15</v>
      </c>
      <c r="S113" s="127">
        <v>469.12</v>
      </c>
      <c r="U113" s="127">
        <v>465.04</v>
      </c>
      <c r="W113" s="127">
        <v>556.25</v>
      </c>
      <c r="Y113" s="127">
        <v>874.66</v>
      </c>
      <c r="AA113" s="127">
        <v>867.05</v>
      </c>
      <c r="AC113" s="127">
        <v>1781.09</v>
      </c>
      <c r="AD113" s="127">
        <f t="shared" si="20"/>
        <v>12874.150000000001</v>
      </c>
      <c r="AG113" s="308"/>
    </row>
    <row r="114" spans="1:33" x14ac:dyDescent="0.25">
      <c r="A114" s="1">
        <v>111</v>
      </c>
      <c r="B114" s="19" t="s">
        <v>147</v>
      </c>
      <c r="C114" s="5"/>
      <c r="D114" s="5"/>
      <c r="E114" s="5"/>
      <c r="G114" s="127">
        <v>-1278.29</v>
      </c>
      <c r="I114" s="127">
        <v>-1198.9100000000001</v>
      </c>
      <c r="K114" s="127">
        <v>-1208.52</v>
      </c>
      <c r="M114" s="127">
        <v>-1156.55</v>
      </c>
      <c r="O114" s="127">
        <v>-1126.05</v>
      </c>
      <c r="Q114" s="127">
        <v>-1158.55</v>
      </c>
      <c r="S114" s="127">
        <v>-1022.55</v>
      </c>
      <c r="U114" s="127">
        <v>-1209.6500000000001</v>
      </c>
      <c r="W114" s="127">
        <v>-1012.8</v>
      </c>
      <c r="Y114" s="127">
        <v>-1254.82</v>
      </c>
      <c r="AA114" s="127">
        <v>-1108.75</v>
      </c>
      <c r="AC114" s="127">
        <v>-1157.77</v>
      </c>
      <c r="AD114" s="127">
        <f t="shared" si="20"/>
        <v>-13893.21</v>
      </c>
      <c r="AG114" s="308"/>
    </row>
    <row r="115" spans="1:33" x14ac:dyDescent="0.25">
      <c r="A115" s="1">
        <v>112</v>
      </c>
      <c r="B115" s="19" t="s">
        <v>30</v>
      </c>
      <c r="C115" s="5"/>
      <c r="D115" s="5"/>
      <c r="E115" s="5"/>
      <c r="G115" s="127">
        <f>SUM(G96:G114)</f>
        <v>1304883.2000000002</v>
      </c>
      <c r="H115" s="127"/>
      <c r="I115" s="127">
        <f t="shared" ref="I115:AC115" si="24">SUM(I96:I114)</f>
        <v>957659.66999999981</v>
      </c>
      <c r="J115" s="127"/>
      <c r="K115" s="127">
        <f t="shared" si="24"/>
        <v>1103401.6299999999</v>
      </c>
      <c r="L115" s="127"/>
      <c r="M115" s="127">
        <f t="shared" si="24"/>
        <v>941421.7799999998</v>
      </c>
      <c r="N115" s="127"/>
      <c r="O115" s="127">
        <f t="shared" si="24"/>
        <v>716310.96</v>
      </c>
      <c r="P115" s="127"/>
      <c r="Q115" s="127">
        <f t="shared" si="24"/>
        <v>515600.56000000011</v>
      </c>
      <c r="R115" s="127"/>
      <c r="S115" s="127">
        <f t="shared" si="24"/>
        <v>442803.36</v>
      </c>
      <c r="T115" s="127"/>
      <c r="U115" s="127">
        <f t="shared" si="24"/>
        <v>433264.18999999994</v>
      </c>
      <c r="V115" s="127"/>
      <c r="W115" s="127">
        <f t="shared" si="24"/>
        <v>413398.86000000004</v>
      </c>
      <c r="X115" s="127"/>
      <c r="Y115" s="127">
        <f t="shared" si="24"/>
        <v>729268.95</v>
      </c>
      <c r="Z115" s="127"/>
      <c r="AA115" s="127">
        <f t="shared" si="24"/>
        <v>603819.99</v>
      </c>
      <c r="AB115" s="127"/>
      <c r="AC115" s="127">
        <f t="shared" si="24"/>
        <v>941387.45</v>
      </c>
      <c r="AD115" s="127">
        <f t="shared" si="20"/>
        <v>9103220.5999999996</v>
      </c>
    </row>
    <row r="116" spans="1:33" x14ac:dyDescent="0.25">
      <c r="A116" s="1">
        <v>113</v>
      </c>
      <c r="B116" s="19" t="s">
        <v>31</v>
      </c>
      <c r="C116" s="98"/>
      <c r="D116" s="98"/>
      <c r="E116" s="98"/>
      <c r="F116" s="98"/>
      <c r="G116" s="550">
        <v>1970610</v>
      </c>
      <c r="H116" s="550"/>
      <c r="I116" s="551">
        <v>1427664</v>
      </c>
      <c r="J116" s="551"/>
      <c r="K116" s="98">
        <v>1659310</v>
      </c>
      <c r="L116" s="98"/>
      <c r="M116" s="550">
        <v>1413127</v>
      </c>
      <c r="N116" s="550"/>
      <c r="O116" s="550">
        <v>1078540</v>
      </c>
      <c r="P116" s="550"/>
      <c r="Q116" s="550">
        <v>769608</v>
      </c>
      <c r="R116" s="550"/>
      <c r="S116" s="552">
        <v>659117</v>
      </c>
      <c r="T116" s="552"/>
      <c r="U116" s="550">
        <v>651074</v>
      </c>
      <c r="V116" s="550"/>
      <c r="W116" s="98">
        <v>625217</v>
      </c>
      <c r="X116" s="98"/>
      <c r="Y116" s="553">
        <v>1121758</v>
      </c>
      <c r="Z116" s="553"/>
      <c r="AA116" s="550">
        <v>976772</v>
      </c>
      <c r="AB116" s="550"/>
      <c r="AC116" s="550">
        <v>1688938</v>
      </c>
      <c r="AD116" s="98">
        <f t="shared" si="20"/>
        <v>14041735</v>
      </c>
      <c r="AF116" s="309"/>
    </row>
    <row r="117" spans="1:33" x14ac:dyDescent="0.25">
      <c r="A117" s="1">
        <v>114</v>
      </c>
      <c r="B117" s="1" t="s">
        <v>32</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f t="shared" si="20"/>
        <v>0</v>
      </c>
    </row>
    <row r="118" spans="1:33" x14ac:dyDescent="0.25">
      <c r="A118" s="1">
        <v>115</v>
      </c>
      <c r="B118" s="1" t="s">
        <v>33</v>
      </c>
      <c r="C118" s="98"/>
      <c r="D118" s="98"/>
      <c r="E118" s="98"/>
      <c r="F118" s="98"/>
      <c r="G118" s="550">
        <f>SUM(G116:G117)</f>
        <v>1970610</v>
      </c>
      <c r="H118" s="550"/>
      <c r="I118" s="550">
        <f t="shared" ref="I118:AC118" si="25">SUM(I116:I117)</f>
        <v>1427664</v>
      </c>
      <c r="J118" s="550"/>
      <c r="K118" s="550">
        <f t="shared" si="25"/>
        <v>1659310</v>
      </c>
      <c r="L118" s="550"/>
      <c r="M118" s="550">
        <f t="shared" si="25"/>
        <v>1413127</v>
      </c>
      <c r="N118" s="550"/>
      <c r="O118" s="550">
        <f t="shared" si="25"/>
        <v>1078540</v>
      </c>
      <c r="P118" s="550"/>
      <c r="Q118" s="550">
        <f t="shared" si="25"/>
        <v>769608</v>
      </c>
      <c r="R118" s="550"/>
      <c r="S118" s="550">
        <f t="shared" si="25"/>
        <v>659117</v>
      </c>
      <c r="T118" s="550"/>
      <c r="U118" s="550">
        <f t="shared" si="25"/>
        <v>651074</v>
      </c>
      <c r="V118" s="550"/>
      <c r="W118" s="550">
        <f t="shared" si="25"/>
        <v>625217</v>
      </c>
      <c r="X118" s="550"/>
      <c r="Y118" s="550">
        <f t="shared" si="25"/>
        <v>1121758</v>
      </c>
      <c r="Z118" s="550"/>
      <c r="AA118" s="550">
        <f t="shared" si="25"/>
        <v>976772</v>
      </c>
      <c r="AB118" s="550"/>
      <c r="AC118" s="550">
        <f t="shared" si="25"/>
        <v>1688938</v>
      </c>
      <c r="AD118" s="98">
        <f t="shared" si="20"/>
        <v>14041735</v>
      </c>
      <c r="AF118" s="309"/>
    </row>
    <row r="119" spans="1:33" x14ac:dyDescent="0.25">
      <c r="A119" s="1">
        <v>116</v>
      </c>
      <c r="B119" s="19"/>
      <c r="W119" s="305"/>
      <c r="X119" s="318"/>
    </row>
    <row r="120" spans="1:33" x14ac:dyDescent="0.25">
      <c r="A120" s="1">
        <v>117</v>
      </c>
      <c r="B120" s="31" t="s">
        <v>204</v>
      </c>
      <c r="W120" s="305"/>
      <c r="X120" s="318"/>
    </row>
    <row r="121" spans="1:33" x14ac:dyDescent="0.25">
      <c r="A121" s="1">
        <v>118</v>
      </c>
      <c r="B121" s="19" t="s">
        <v>9</v>
      </c>
      <c r="C121" s="127">
        <v>10</v>
      </c>
      <c r="D121" s="127"/>
      <c r="E121" s="127">
        <v>13</v>
      </c>
      <c r="F121" s="128">
        <f>G121/$C$121</f>
        <v>1</v>
      </c>
      <c r="G121" s="127">
        <v>10</v>
      </c>
      <c r="H121" s="128">
        <f>I121/$C$121</f>
        <v>1</v>
      </c>
      <c r="I121" s="301">
        <v>10</v>
      </c>
      <c r="J121" s="128">
        <f>K121/$C$121</f>
        <v>1</v>
      </c>
      <c r="K121" s="302">
        <v>10</v>
      </c>
      <c r="L121" s="128">
        <f>M121/$C$121</f>
        <v>1</v>
      </c>
      <c r="M121" s="302">
        <v>10</v>
      </c>
      <c r="N121" s="128">
        <f>O121/$C$121</f>
        <v>1</v>
      </c>
      <c r="O121" s="302">
        <v>10</v>
      </c>
      <c r="P121" s="128">
        <f>Q121/$C$121</f>
        <v>1</v>
      </c>
      <c r="Q121" s="302">
        <v>10</v>
      </c>
      <c r="R121" s="128">
        <f>S121/$C$121</f>
        <v>1</v>
      </c>
      <c r="S121" s="303">
        <v>10</v>
      </c>
      <c r="T121" s="128">
        <f>U121/$C$121</f>
        <v>1</v>
      </c>
      <c r="U121" s="303">
        <v>10</v>
      </c>
      <c r="V121" s="128">
        <f>W121/$E$121</f>
        <v>1</v>
      </c>
      <c r="W121" s="304">
        <v>13</v>
      </c>
      <c r="X121" s="128">
        <f>Y121/$E$121</f>
        <v>1</v>
      </c>
      <c r="Y121" s="302">
        <v>13</v>
      </c>
      <c r="Z121" s="128">
        <f>AA121/$E$121</f>
        <v>1</v>
      </c>
      <c r="AA121" s="302">
        <v>13</v>
      </c>
      <c r="AB121" s="128">
        <f>AC121/$E$121</f>
        <v>1</v>
      </c>
      <c r="AC121" s="302">
        <v>13</v>
      </c>
      <c r="AD121" s="127">
        <f>SUM(G121,I121,K121,M121,O121,Q121,S121,U121,W121,Y121,AA121,AC121)</f>
        <v>132</v>
      </c>
    </row>
    <row r="122" spans="1:33" x14ac:dyDescent="0.25">
      <c r="A122" s="1">
        <v>119</v>
      </c>
      <c r="B122" s="19" t="s">
        <v>28</v>
      </c>
      <c r="G122" s="127">
        <v>680.9</v>
      </c>
      <c r="I122" s="301">
        <v>1071.92</v>
      </c>
      <c r="J122" s="315"/>
      <c r="K122" s="302">
        <v>1416.68</v>
      </c>
      <c r="L122" s="183"/>
      <c r="M122" s="302">
        <v>1113.76</v>
      </c>
      <c r="N122" s="183"/>
      <c r="O122" s="302">
        <v>694.68</v>
      </c>
      <c r="P122" s="183"/>
      <c r="Q122" s="302">
        <v>127.96</v>
      </c>
      <c r="R122" s="183"/>
      <c r="S122" s="303">
        <v>107.78</v>
      </c>
      <c r="T122" s="316"/>
      <c r="U122" s="303">
        <v>30.51</v>
      </c>
      <c r="V122" s="316"/>
      <c r="W122" s="304">
        <v>36.56</v>
      </c>
      <c r="X122" s="317"/>
      <c r="Y122" s="302">
        <v>115.94</v>
      </c>
      <c r="Z122" s="183"/>
      <c r="AA122" s="302">
        <v>481.12</v>
      </c>
      <c r="AB122" s="183"/>
      <c r="AC122" s="302">
        <v>801.64</v>
      </c>
      <c r="AD122" s="127">
        <f t="shared" si="20"/>
        <v>6679.4500000000007</v>
      </c>
    </row>
    <row r="123" spans="1:33" x14ac:dyDescent="0.25">
      <c r="A123" s="1">
        <v>120</v>
      </c>
      <c r="B123" s="19" t="s">
        <v>11</v>
      </c>
      <c r="G123" s="127">
        <v>1266.51</v>
      </c>
      <c r="I123" s="301">
        <v>1993.8300000000004</v>
      </c>
      <c r="J123" s="315"/>
      <c r="K123" s="302">
        <v>2635.09</v>
      </c>
      <c r="L123" s="183"/>
      <c r="M123" s="302">
        <v>2071.64</v>
      </c>
      <c r="N123" s="183"/>
      <c r="O123" s="302">
        <v>1292.1400000000001</v>
      </c>
      <c r="P123" s="183"/>
      <c r="Q123" s="302">
        <v>238.01</v>
      </c>
      <c r="R123" s="183"/>
      <c r="S123" s="303">
        <v>200.48</v>
      </c>
      <c r="T123" s="316"/>
      <c r="U123" s="303">
        <v>56.76</v>
      </c>
      <c r="V123" s="316"/>
      <c r="W123" s="304">
        <v>72.319999999999993</v>
      </c>
      <c r="X123" s="317"/>
      <c r="Y123" s="302">
        <v>229.32</v>
      </c>
      <c r="Z123" s="183"/>
      <c r="AA123" s="302">
        <v>951.6</v>
      </c>
      <c r="AB123" s="183"/>
      <c r="AC123" s="302">
        <v>1500.4</v>
      </c>
      <c r="AD123" s="127">
        <f t="shared" si="20"/>
        <v>12508.099999999999</v>
      </c>
    </row>
    <row r="124" spans="1:33" x14ac:dyDescent="0.25">
      <c r="A124" s="1">
        <v>121</v>
      </c>
      <c r="B124" s="19" t="s">
        <v>139</v>
      </c>
      <c r="G124" s="127">
        <v>6.53</v>
      </c>
      <c r="I124" s="301">
        <v>10.28</v>
      </c>
      <c r="J124" s="315"/>
      <c r="K124" s="302">
        <v>13.59</v>
      </c>
      <c r="L124" s="183"/>
      <c r="M124" s="302">
        <v>10.68</v>
      </c>
      <c r="N124" s="183"/>
      <c r="O124" s="302">
        <v>6.66</v>
      </c>
      <c r="P124" s="183"/>
      <c r="Q124" s="302">
        <v>1.23</v>
      </c>
      <c r="R124" s="183"/>
      <c r="S124" s="303">
        <v>1.03</v>
      </c>
      <c r="T124" s="316"/>
      <c r="U124" s="303">
        <v>0.28999999999999998</v>
      </c>
      <c r="V124" s="316"/>
      <c r="W124" s="304">
        <v>0.37</v>
      </c>
      <c r="X124" s="317"/>
      <c r="Y124" s="302">
        <v>1.18</v>
      </c>
      <c r="Z124" s="183"/>
      <c r="AA124" s="302">
        <v>4.91</v>
      </c>
      <c r="AB124" s="183"/>
      <c r="AC124" s="302">
        <v>8.18</v>
      </c>
      <c r="AD124" s="127">
        <f t="shared" si="20"/>
        <v>64.929999999999978</v>
      </c>
    </row>
    <row r="125" spans="1:33" x14ac:dyDescent="0.25">
      <c r="A125" s="1">
        <v>122</v>
      </c>
      <c r="B125" s="18" t="s">
        <v>140</v>
      </c>
      <c r="G125" s="127">
        <v>26.37</v>
      </c>
      <c r="I125" s="301">
        <v>41.51</v>
      </c>
      <c r="J125" s="315"/>
      <c r="K125" s="302">
        <v>54.86</v>
      </c>
      <c r="L125" s="183"/>
      <c r="M125" s="302">
        <v>43.13</v>
      </c>
      <c r="N125" s="183"/>
      <c r="O125" s="302">
        <v>26.9</v>
      </c>
      <c r="P125" s="183"/>
      <c r="Q125" s="302">
        <v>4.96</v>
      </c>
      <c r="R125" s="183"/>
      <c r="S125" s="303">
        <v>4.17</v>
      </c>
      <c r="T125" s="316"/>
      <c r="U125" s="303">
        <v>1.18</v>
      </c>
      <c r="V125" s="316"/>
      <c r="W125" s="304">
        <v>0.56999999999999995</v>
      </c>
      <c r="X125" s="317"/>
      <c r="Y125" s="302">
        <v>1.8</v>
      </c>
      <c r="Z125" s="183"/>
      <c r="AA125" s="302">
        <v>7.48</v>
      </c>
      <c r="AB125" s="183"/>
      <c r="AC125" s="302">
        <v>31.49</v>
      </c>
      <c r="AD125" s="127">
        <f t="shared" si="20"/>
        <v>244.42000000000002</v>
      </c>
    </row>
    <row r="126" spans="1:33" x14ac:dyDescent="0.25">
      <c r="A126" s="1">
        <v>123</v>
      </c>
      <c r="B126" s="18" t="s">
        <v>141</v>
      </c>
      <c r="G126" s="127">
        <v>3.49</v>
      </c>
      <c r="I126" s="301">
        <v>5.49</v>
      </c>
      <c r="J126" s="315"/>
      <c r="K126" s="302">
        <v>7.25</v>
      </c>
      <c r="L126" s="183"/>
      <c r="M126" s="302">
        <v>5.7</v>
      </c>
      <c r="N126" s="183"/>
      <c r="O126" s="302">
        <v>3.56</v>
      </c>
      <c r="P126" s="183"/>
      <c r="Q126" s="302">
        <v>0.66</v>
      </c>
      <c r="R126" s="183"/>
      <c r="S126" s="303">
        <v>0.55000000000000004</v>
      </c>
      <c r="T126" s="316"/>
      <c r="U126" s="303">
        <v>0.16</v>
      </c>
      <c r="V126" s="316"/>
      <c r="W126" s="304">
        <v>0.2</v>
      </c>
      <c r="X126" s="317"/>
      <c r="Y126" s="302">
        <v>0.63</v>
      </c>
      <c r="Z126" s="183"/>
      <c r="AA126" s="302">
        <v>2.62</v>
      </c>
      <c r="AB126" s="183"/>
      <c r="AC126" s="302">
        <v>-105.48</v>
      </c>
      <c r="AD126" s="127">
        <f t="shared" si="20"/>
        <v>-75.17</v>
      </c>
    </row>
    <row r="127" spans="1:33" x14ac:dyDescent="0.25">
      <c r="A127" s="1">
        <v>124</v>
      </c>
      <c r="B127" s="18" t="s">
        <v>142</v>
      </c>
      <c r="G127" s="127">
        <v>154.15</v>
      </c>
      <c r="I127" s="301">
        <v>242.67</v>
      </c>
      <c r="J127" s="315"/>
      <c r="K127" s="302">
        <v>320.72000000000003</v>
      </c>
      <c r="L127" s="183"/>
      <c r="M127" s="302">
        <v>252.14</v>
      </c>
      <c r="N127" s="183"/>
      <c r="O127" s="302">
        <v>157.27000000000001</v>
      </c>
      <c r="P127" s="183"/>
      <c r="Q127" s="302">
        <v>28.97</v>
      </c>
      <c r="R127" s="183"/>
      <c r="S127" s="303">
        <v>24.4</v>
      </c>
      <c r="T127" s="316"/>
      <c r="U127" s="303">
        <v>6.91</v>
      </c>
      <c r="V127" s="316"/>
      <c r="W127" s="304">
        <v>8.8000000000000007</v>
      </c>
      <c r="X127" s="317"/>
      <c r="Y127" s="302">
        <v>27.91</v>
      </c>
      <c r="Z127" s="183"/>
      <c r="AA127" s="302">
        <v>115.82</v>
      </c>
      <c r="AB127" s="183"/>
      <c r="AC127" s="302">
        <v>26.81</v>
      </c>
      <c r="AD127" s="127">
        <f t="shared" si="20"/>
        <v>1366.5700000000002</v>
      </c>
    </row>
    <row r="128" spans="1:33" x14ac:dyDescent="0.25">
      <c r="A128" s="1">
        <v>125</v>
      </c>
      <c r="B128" s="18" t="s">
        <v>143</v>
      </c>
      <c r="G128" s="127">
        <v>37.770000000000003</v>
      </c>
      <c r="I128" s="301">
        <v>59.46</v>
      </c>
      <c r="J128" s="315"/>
      <c r="K128" s="302">
        <v>78.58</v>
      </c>
      <c r="L128" s="183"/>
      <c r="M128" s="302">
        <v>61.78</v>
      </c>
      <c r="N128" s="183"/>
      <c r="O128" s="302">
        <v>38.53</v>
      </c>
      <c r="P128" s="183"/>
      <c r="Q128" s="302">
        <v>7.1</v>
      </c>
      <c r="R128" s="183"/>
      <c r="S128" s="303">
        <v>5.98</v>
      </c>
      <c r="T128" s="316"/>
      <c r="U128" s="303">
        <v>1.69</v>
      </c>
      <c r="V128" s="316"/>
      <c r="W128" s="304">
        <v>2.16</v>
      </c>
      <c r="X128" s="317"/>
      <c r="Y128" s="302">
        <v>6.84</v>
      </c>
      <c r="Z128" s="183"/>
      <c r="AA128" s="302">
        <v>28.38</v>
      </c>
      <c r="AB128" s="183"/>
      <c r="AC128" s="302">
        <v>95.4</v>
      </c>
      <c r="AD128" s="127">
        <f t="shared" si="20"/>
        <v>423.67000000000007</v>
      </c>
    </row>
    <row r="129" spans="1:31" x14ac:dyDescent="0.25">
      <c r="A129" s="1">
        <v>126</v>
      </c>
      <c r="B129" s="99" t="s">
        <v>224</v>
      </c>
      <c r="I129" s="301"/>
      <c r="J129" s="315"/>
      <c r="K129" s="302"/>
      <c r="L129" s="183"/>
      <c r="M129" s="302"/>
      <c r="N129" s="183"/>
      <c r="O129" s="302"/>
      <c r="P129" s="183"/>
      <c r="Q129" s="302"/>
      <c r="R129" s="183"/>
      <c r="S129" s="303"/>
      <c r="T129" s="316"/>
      <c r="U129" s="303"/>
      <c r="V129" s="316"/>
      <c r="W129" s="304">
        <v>-0.79</v>
      </c>
      <c r="X129" s="317"/>
      <c r="Y129" s="302">
        <v>-2.4900000000000002</v>
      </c>
      <c r="Z129" s="183"/>
      <c r="AA129" s="302">
        <v>-10.33</v>
      </c>
      <c r="AB129" s="183"/>
      <c r="AC129" s="302">
        <v>-19.09</v>
      </c>
      <c r="AD129" s="127">
        <f t="shared" si="20"/>
        <v>-32.700000000000003</v>
      </c>
    </row>
    <row r="130" spans="1:31" x14ac:dyDescent="0.25">
      <c r="A130" s="1">
        <v>127</v>
      </c>
      <c r="B130" s="99" t="s">
        <v>225</v>
      </c>
      <c r="I130" s="301"/>
      <c r="J130" s="315"/>
      <c r="K130" s="302"/>
      <c r="L130" s="183"/>
      <c r="M130" s="302"/>
      <c r="N130" s="183"/>
      <c r="O130" s="302"/>
      <c r="P130" s="183"/>
      <c r="Q130" s="302"/>
      <c r="R130" s="183"/>
      <c r="S130" s="303"/>
      <c r="T130" s="316"/>
      <c r="U130" s="303"/>
      <c r="V130" s="316"/>
      <c r="W130" s="304">
        <v>-0.38</v>
      </c>
      <c r="X130" s="317"/>
      <c r="Y130" s="302">
        <v>-1.19</v>
      </c>
      <c r="Z130" s="183"/>
      <c r="AA130" s="302">
        <v>-4.95</v>
      </c>
      <c r="AB130" s="183"/>
      <c r="AC130" s="302">
        <v>-8.870000000000001</v>
      </c>
      <c r="AD130" s="127">
        <f t="shared" si="20"/>
        <v>-15.39</v>
      </c>
    </row>
    <row r="131" spans="1:31" x14ac:dyDescent="0.25">
      <c r="A131" s="1">
        <v>128</v>
      </c>
      <c r="B131" s="99" t="s">
        <v>226</v>
      </c>
      <c r="I131" s="301"/>
      <c r="J131" s="315"/>
      <c r="K131" s="302"/>
      <c r="L131" s="183"/>
      <c r="M131" s="302"/>
      <c r="N131" s="183"/>
      <c r="O131" s="302"/>
      <c r="P131" s="183"/>
      <c r="Q131" s="302"/>
      <c r="R131" s="183"/>
      <c r="S131" s="303"/>
      <c r="T131" s="316"/>
      <c r="U131" s="303"/>
      <c r="V131" s="316"/>
      <c r="W131" s="304">
        <v>-0.74</v>
      </c>
      <c r="X131" s="317"/>
      <c r="Y131" s="302">
        <v>-2.35</v>
      </c>
      <c r="Z131" s="183"/>
      <c r="AA131" s="302">
        <v>-9.75</v>
      </c>
      <c r="AB131" s="183"/>
      <c r="AC131" s="302">
        <v>-16.25</v>
      </c>
      <c r="AD131" s="127">
        <f t="shared" si="20"/>
        <v>-29.09</v>
      </c>
    </row>
    <row r="132" spans="1:31" x14ac:dyDescent="0.25">
      <c r="A132" s="1">
        <v>129</v>
      </c>
      <c r="B132" s="18" t="s">
        <v>144</v>
      </c>
      <c r="G132" s="127">
        <v>131.14000000000001</v>
      </c>
      <c r="I132" s="301">
        <v>206.11</v>
      </c>
      <c r="J132" s="315"/>
      <c r="K132" s="302">
        <v>272.20999999999998</v>
      </c>
      <c r="L132" s="183"/>
      <c r="M132" s="302">
        <v>214.13</v>
      </c>
      <c r="N132" s="183"/>
      <c r="O132" s="302">
        <v>133.78</v>
      </c>
      <c r="P132" s="183"/>
      <c r="Q132" s="302">
        <v>25.13</v>
      </c>
      <c r="R132" s="183"/>
      <c r="S132" s="303">
        <v>21.26</v>
      </c>
      <c r="T132" s="316"/>
      <c r="U132" s="303">
        <v>6.45</v>
      </c>
      <c r="V132" s="316"/>
      <c r="W132" s="304">
        <v>7.92</v>
      </c>
      <c r="X132" s="317"/>
      <c r="Y132" s="302">
        <v>23.44</v>
      </c>
      <c r="Z132" s="183"/>
      <c r="AA132" s="302">
        <v>94.79</v>
      </c>
      <c r="AB132" s="183"/>
      <c r="AC132" s="302">
        <v>139.63</v>
      </c>
      <c r="AD132" s="127">
        <f t="shared" si="20"/>
        <v>1275.9899999999998</v>
      </c>
    </row>
    <row r="133" spans="1:31" x14ac:dyDescent="0.25">
      <c r="A133" s="1">
        <v>130</v>
      </c>
      <c r="B133" s="19" t="s">
        <v>30</v>
      </c>
      <c r="C133" s="5"/>
      <c r="D133" s="5"/>
      <c r="E133" s="5"/>
      <c r="G133" s="127">
        <f>SUM(G121:G132)</f>
        <v>2316.8599999999997</v>
      </c>
      <c r="H133" s="127"/>
      <c r="I133" s="127">
        <f t="shared" ref="I133:AC133" si="26">SUM(I121:I132)</f>
        <v>3641.2700000000009</v>
      </c>
      <c r="J133" s="127"/>
      <c r="K133" s="127">
        <f t="shared" si="26"/>
        <v>4808.9800000000005</v>
      </c>
      <c r="L133" s="127"/>
      <c r="M133" s="127">
        <f t="shared" si="26"/>
        <v>3782.9599999999996</v>
      </c>
      <c r="N133" s="127"/>
      <c r="O133" s="127">
        <f t="shared" si="26"/>
        <v>2363.5200000000009</v>
      </c>
      <c r="P133" s="127"/>
      <c r="Q133" s="127">
        <f t="shared" si="26"/>
        <v>444.02</v>
      </c>
      <c r="R133" s="127"/>
      <c r="S133" s="127">
        <f t="shared" si="26"/>
        <v>375.65</v>
      </c>
      <c r="T133" s="127"/>
      <c r="U133" s="127">
        <f t="shared" si="26"/>
        <v>113.95000000000002</v>
      </c>
      <c r="V133" s="127"/>
      <c r="W133" s="127">
        <f t="shared" si="26"/>
        <v>139.98999999999998</v>
      </c>
      <c r="X133" s="127"/>
      <c r="Y133" s="127">
        <f t="shared" si="26"/>
        <v>414.03</v>
      </c>
      <c r="Z133" s="127"/>
      <c r="AA133" s="127">
        <f t="shared" si="26"/>
        <v>1674.69</v>
      </c>
      <c r="AB133" s="127"/>
      <c r="AC133" s="127">
        <f t="shared" si="26"/>
        <v>2466.8599999999997</v>
      </c>
      <c r="AD133" s="127">
        <f t="shared" si="20"/>
        <v>22542.780000000002</v>
      </c>
    </row>
    <row r="134" spans="1:31" x14ac:dyDescent="0.25">
      <c r="A134" s="1">
        <v>131</v>
      </c>
      <c r="B134" s="19" t="s">
        <v>31</v>
      </c>
      <c r="C134" s="98"/>
      <c r="D134" s="98"/>
      <c r="E134" s="98"/>
      <c r="F134" s="98"/>
      <c r="G134" s="550">
        <v>2767</v>
      </c>
      <c r="H134" s="550"/>
      <c r="I134" s="551">
        <v>4356</v>
      </c>
      <c r="J134" s="551"/>
      <c r="K134" s="550">
        <v>5757</v>
      </c>
      <c r="L134" s="550"/>
      <c r="M134" s="550">
        <v>4526</v>
      </c>
      <c r="N134" s="550"/>
      <c r="O134" s="550">
        <v>2823</v>
      </c>
      <c r="P134" s="550"/>
      <c r="Q134" s="98">
        <v>520</v>
      </c>
      <c r="R134" s="98"/>
      <c r="S134" s="552">
        <v>438</v>
      </c>
      <c r="T134" s="552"/>
      <c r="U134" s="552">
        <v>124</v>
      </c>
      <c r="V134" s="552"/>
      <c r="W134" s="98">
        <v>158</v>
      </c>
      <c r="X134" s="98"/>
      <c r="Y134" s="550">
        <v>501</v>
      </c>
      <c r="Z134" s="550"/>
      <c r="AA134" s="550">
        <v>2079</v>
      </c>
      <c r="AB134" s="550"/>
      <c r="AC134" s="550">
        <v>3464</v>
      </c>
      <c r="AD134" s="98">
        <f t="shared" si="20"/>
        <v>27513</v>
      </c>
      <c r="AE134" s="98"/>
    </row>
    <row r="135" spans="1:31" x14ac:dyDescent="0.25">
      <c r="A135" s="1">
        <v>132</v>
      </c>
      <c r="B135" s="1" t="s">
        <v>32</v>
      </c>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f t="shared" si="20"/>
        <v>0</v>
      </c>
      <c r="AE135" s="98"/>
    </row>
    <row r="136" spans="1:31" x14ac:dyDescent="0.25">
      <c r="A136" s="1">
        <v>133</v>
      </c>
      <c r="B136" s="1" t="s">
        <v>33</v>
      </c>
      <c r="C136" s="98"/>
      <c r="D136" s="98"/>
      <c r="E136" s="98"/>
      <c r="F136" s="98"/>
      <c r="G136" s="550">
        <f>SUM(G134:G135)</f>
        <v>2767</v>
      </c>
      <c r="H136" s="550"/>
      <c r="I136" s="550">
        <f t="shared" ref="I136:AC136" si="27">SUM(I134:I135)</f>
        <v>4356</v>
      </c>
      <c r="J136" s="550"/>
      <c r="K136" s="550">
        <f t="shared" si="27"/>
        <v>5757</v>
      </c>
      <c r="L136" s="550"/>
      <c r="M136" s="550">
        <f t="shared" si="27"/>
        <v>4526</v>
      </c>
      <c r="N136" s="550"/>
      <c r="O136" s="550">
        <f t="shared" si="27"/>
        <v>2823</v>
      </c>
      <c r="P136" s="550"/>
      <c r="Q136" s="550">
        <f t="shared" si="27"/>
        <v>520</v>
      </c>
      <c r="R136" s="550"/>
      <c r="S136" s="550">
        <f t="shared" si="27"/>
        <v>438</v>
      </c>
      <c r="T136" s="550"/>
      <c r="U136" s="550">
        <f t="shared" si="27"/>
        <v>124</v>
      </c>
      <c r="V136" s="550"/>
      <c r="W136" s="550">
        <f t="shared" si="27"/>
        <v>158</v>
      </c>
      <c r="X136" s="550"/>
      <c r="Y136" s="550">
        <f t="shared" si="27"/>
        <v>501</v>
      </c>
      <c r="Z136" s="550"/>
      <c r="AA136" s="550">
        <f t="shared" si="27"/>
        <v>2079</v>
      </c>
      <c r="AB136" s="550"/>
      <c r="AC136" s="550">
        <f t="shared" si="27"/>
        <v>3464</v>
      </c>
      <c r="AD136" s="98">
        <f t="shared" ref="AD136:AD198" si="28">SUM(G136:AC136)</f>
        <v>27513</v>
      </c>
      <c r="AE136" s="98"/>
    </row>
    <row r="137" spans="1:31" x14ac:dyDescent="0.25">
      <c r="A137" s="1">
        <v>134</v>
      </c>
      <c r="B137" s="31"/>
    </row>
    <row r="138" spans="1:31" x14ac:dyDescent="0.25">
      <c r="A138" s="1">
        <v>135</v>
      </c>
      <c r="B138" s="32" t="s">
        <v>206</v>
      </c>
    </row>
    <row r="139" spans="1:31" x14ac:dyDescent="0.25">
      <c r="A139" s="1">
        <v>136</v>
      </c>
      <c r="B139" s="19" t="s">
        <v>9</v>
      </c>
      <c r="C139" s="127">
        <v>14</v>
      </c>
      <c r="D139" s="127"/>
      <c r="F139" s="128">
        <f>G139/$C$139</f>
        <v>1</v>
      </c>
      <c r="G139" s="302">
        <v>14</v>
      </c>
      <c r="H139" s="128">
        <f>I139/$C$139</f>
        <v>1</v>
      </c>
      <c r="I139" s="301">
        <v>14</v>
      </c>
      <c r="J139" s="128">
        <f>K139/$C$139</f>
        <v>1</v>
      </c>
      <c r="K139" s="302">
        <v>14</v>
      </c>
      <c r="L139" s="128">
        <f>M139/$C$139</f>
        <v>1</v>
      </c>
      <c r="M139" s="302">
        <v>14</v>
      </c>
      <c r="N139" s="128">
        <f>O139/$C$139</f>
        <v>1</v>
      </c>
      <c r="O139" s="302">
        <v>14</v>
      </c>
      <c r="P139" s="128">
        <f>Q139/$C$139</f>
        <v>1</v>
      </c>
      <c r="Q139" s="302">
        <v>14</v>
      </c>
      <c r="R139" s="128">
        <f>S139/$C$139</f>
        <v>1</v>
      </c>
      <c r="S139" s="303">
        <v>14</v>
      </c>
      <c r="T139" s="128">
        <v>0</v>
      </c>
      <c r="U139" s="127">
        <v>0</v>
      </c>
      <c r="V139" s="128">
        <v>0</v>
      </c>
      <c r="W139" s="127">
        <v>0</v>
      </c>
      <c r="X139" s="128">
        <v>0</v>
      </c>
      <c r="Y139" s="127">
        <v>0</v>
      </c>
      <c r="Z139" s="128">
        <v>0</v>
      </c>
      <c r="AA139" s="127">
        <v>0</v>
      </c>
      <c r="AB139" s="128">
        <v>0</v>
      </c>
      <c r="AC139" s="127">
        <v>0</v>
      </c>
      <c r="AD139" s="127">
        <f>SUM(G139,I139,K139,M139,O139,Q139,S139,U139,W139,Y139,AA139,AC139)</f>
        <v>98</v>
      </c>
    </row>
    <row r="140" spans="1:31" x14ac:dyDescent="0.25">
      <c r="A140" s="1">
        <v>137</v>
      </c>
      <c r="B140" s="19" t="s">
        <v>28</v>
      </c>
      <c r="G140" s="302">
        <v>953.02</v>
      </c>
      <c r="H140" s="183"/>
      <c r="I140" s="301">
        <v>766.8</v>
      </c>
      <c r="J140" s="315"/>
      <c r="K140" s="302">
        <v>894.6</v>
      </c>
      <c r="L140" s="183"/>
      <c r="M140" s="302">
        <v>822</v>
      </c>
      <c r="N140" s="183"/>
      <c r="O140" s="302">
        <v>990.18</v>
      </c>
      <c r="P140" s="183"/>
      <c r="Q140" s="302">
        <v>961.19</v>
      </c>
      <c r="R140" s="183"/>
      <c r="S140" s="303">
        <v>901.04</v>
      </c>
      <c r="T140" s="316"/>
      <c r="U140" s="127">
        <v>0</v>
      </c>
      <c r="W140" s="127">
        <v>0</v>
      </c>
      <c r="Y140" s="127">
        <v>0</v>
      </c>
      <c r="AA140" s="127">
        <v>0</v>
      </c>
      <c r="AC140" s="127">
        <v>0</v>
      </c>
      <c r="AD140" s="127">
        <f t="shared" si="28"/>
        <v>6288.8300000000008</v>
      </c>
    </row>
    <row r="141" spans="1:31" x14ac:dyDescent="0.25">
      <c r="A141" s="1">
        <v>138</v>
      </c>
      <c r="B141" s="1" t="s">
        <v>11</v>
      </c>
      <c r="G141" s="302">
        <v>2030.9</v>
      </c>
      <c r="H141" s="183"/>
      <c r="I141" s="301">
        <v>1634.06</v>
      </c>
      <c r="J141" s="315"/>
      <c r="K141" s="302">
        <v>1906.4</v>
      </c>
      <c r="L141" s="183"/>
      <c r="M141" s="302">
        <v>1751.69</v>
      </c>
      <c r="N141" s="183"/>
      <c r="O141" s="302">
        <v>2110.09</v>
      </c>
      <c r="P141" s="183"/>
      <c r="Q141" s="302">
        <v>2048.3000000000002</v>
      </c>
      <c r="R141" s="183"/>
      <c r="S141" s="303">
        <v>1920.14</v>
      </c>
      <c r="T141" s="316"/>
      <c r="U141" s="127">
        <v>0</v>
      </c>
      <c r="W141" s="127">
        <v>0</v>
      </c>
      <c r="Y141" s="127">
        <v>0</v>
      </c>
      <c r="AA141" s="127">
        <v>0</v>
      </c>
      <c r="AC141" s="127">
        <v>0</v>
      </c>
      <c r="AD141" s="127">
        <f t="shared" si="28"/>
        <v>13401.580000000002</v>
      </c>
    </row>
    <row r="142" spans="1:31" x14ac:dyDescent="0.25">
      <c r="A142" s="1">
        <v>139</v>
      </c>
      <c r="B142" s="19" t="s">
        <v>139</v>
      </c>
      <c r="G142" s="302">
        <v>8.0299999999999994</v>
      </c>
      <c r="H142" s="183"/>
      <c r="I142" s="301">
        <v>6.46</v>
      </c>
      <c r="J142" s="315"/>
      <c r="K142" s="302">
        <v>7.54</v>
      </c>
      <c r="L142" s="183"/>
      <c r="M142" s="302">
        <v>6.93</v>
      </c>
      <c r="N142" s="183"/>
      <c r="O142" s="302">
        <v>8.34</v>
      </c>
      <c r="P142" s="183"/>
      <c r="Q142" s="302">
        <v>8.1</v>
      </c>
      <c r="R142" s="183"/>
      <c r="S142" s="303">
        <v>7.59</v>
      </c>
      <c r="T142" s="316"/>
      <c r="U142" s="127">
        <v>0</v>
      </c>
      <c r="W142" s="127">
        <v>0</v>
      </c>
      <c r="Y142" s="127">
        <v>0</v>
      </c>
      <c r="AA142" s="127">
        <v>0</v>
      </c>
      <c r="AC142" s="127">
        <v>0</v>
      </c>
      <c r="AD142" s="127">
        <f t="shared" si="28"/>
        <v>52.989999999999995</v>
      </c>
    </row>
    <row r="143" spans="1:31" x14ac:dyDescent="0.25">
      <c r="A143" s="1">
        <v>140</v>
      </c>
      <c r="B143" s="19" t="s">
        <v>140</v>
      </c>
      <c r="G143" s="302">
        <v>34.25</v>
      </c>
      <c r="H143" s="183"/>
      <c r="I143" s="301">
        <v>27.56</v>
      </c>
      <c r="J143" s="315"/>
      <c r="K143" s="302">
        <v>32.15</v>
      </c>
      <c r="L143" s="183"/>
      <c r="M143" s="302">
        <v>29.54</v>
      </c>
      <c r="N143" s="183"/>
      <c r="O143" s="302">
        <v>35.590000000000003</v>
      </c>
      <c r="P143" s="183"/>
      <c r="Q143" s="302">
        <v>34.550000000000004</v>
      </c>
      <c r="R143" s="183"/>
      <c r="S143" s="303">
        <v>32.39</v>
      </c>
      <c r="T143" s="316"/>
      <c r="U143" s="127">
        <v>0</v>
      </c>
      <c r="W143" s="127">
        <v>0</v>
      </c>
      <c r="Y143" s="127">
        <v>0</v>
      </c>
      <c r="AA143" s="127">
        <v>0</v>
      </c>
      <c r="AC143" s="127">
        <v>0</v>
      </c>
      <c r="AD143" s="127">
        <f t="shared" si="28"/>
        <v>226.03000000000003</v>
      </c>
    </row>
    <row r="144" spans="1:31" x14ac:dyDescent="0.25">
      <c r="A144" s="1">
        <v>141</v>
      </c>
      <c r="B144" s="19" t="s">
        <v>141</v>
      </c>
      <c r="C144" s="5"/>
      <c r="D144" s="5"/>
      <c r="E144" s="5"/>
      <c r="G144" s="302">
        <v>1.77</v>
      </c>
      <c r="H144" s="183"/>
      <c r="I144" s="301">
        <v>1.43</v>
      </c>
      <c r="J144" s="315"/>
      <c r="K144" s="302">
        <v>1.67</v>
      </c>
      <c r="L144" s="183"/>
      <c r="M144" s="302">
        <v>1.53</v>
      </c>
      <c r="N144" s="183"/>
      <c r="O144" s="302">
        <v>1.84</v>
      </c>
      <c r="P144" s="183"/>
      <c r="Q144" s="302">
        <v>1.79</v>
      </c>
      <c r="R144" s="183"/>
      <c r="S144" s="303">
        <v>1.68</v>
      </c>
      <c r="T144" s="316"/>
      <c r="U144" s="127">
        <v>0</v>
      </c>
      <c r="W144" s="127">
        <v>0</v>
      </c>
      <c r="Y144" s="127">
        <v>0</v>
      </c>
      <c r="AA144" s="127">
        <v>0</v>
      </c>
      <c r="AC144" s="127">
        <v>0</v>
      </c>
      <c r="AD144" s="127">
        <f t="shared" si="28"/>
        <v>11.71</v>
      </c>
    </row>
    <row r="145" spans="1:30" x14ac:dyDescent="0.25">
      <c r="A145" s="1">
        <v>142</v>
      </c>
      <c r="B145" s="19" t="s">
        <v>142</v>
      </c>
      <c r="C145" s="5"/>
      <c r="D145" s="5"/>
      <c r="E145" s="5"/>
      <c r="G145" s="302">
        <v>247.19</v>
      </c>
      <c r="H145" s="183"/>
      <c r="I145" s="301">
        <v>198.88</v>
      </c>
      <c r="J145" s="315"/>
      <c r="K145" s="302">
        <v>232.03</v>
      </c>
      <c r="L145" s="183"/>
      <c r="M145" s="302">
        <v>213.2</v>
      </c>
      <c r="N145" s="183"/>
      <c r="O145" s="302">
        <v>256.82</v>
      </c>
      <c r="P145" s="183"/>
      <c r="Q145" s="302">
        <v>249.3</v>
      </c>
      <c r="R145" s="183"/>
      <c r="S145" s="303">
        <v>233.7</v>
      </c>
      <c r="T145" s="316"/>
      <c r="U145" s="127">
        <v>0</v>
      </c>
      <c r="W145" s="127">
        <v>0</v>
      </c>
      <c r="Y145" s="127">
        <v>0</v>
      </c>
      <c r="AA145" s="127">
        <v>0</v>
      </c>
      <c r="AC145" s="127">
        <v>0</v>
      </c>
      <c r="AD145" s="127">
        <f t="shared" si="28"/>
        <v>1631.12</v>
      </c>
    </row>
    <row r="146" spans="1:30" x14ac:dyDescent="0.25">
      <c r="A146" s="1">
        <v>143</v>
      </c>
      <c r="B146" s="19" t="s">
        <v>143</v>
      </c>
      <c r="C146" s="5"/>
      <c r="D146" s="5"/>
      <c r="E146" s="5"/>
      <c r="G146" s="302">
        <v>60.57</v>
      </c>
      <c r="H146" s="183"/>
      <c r="I146" s="301">
        <v>48.73</v>
      </c>
      <c r="J146" s="315"/>
      <c r="K146" s="302">
        <v>56.85</v>
      </c>
      <c r="L146" s="183"/>
      <c r="M146" s="302">
        <v>52.24</v>
      </c>
      <c r="N146" s="183"/>
      <c r="O146" s="302">
        <v>62.93</v>
      </c>
      <c r="P146" s="183"/>
      <c r="Q146" s="302">
        <v>61.08</v>
      </c>
      <c r="R146" s="183"/>
      <c r="S146" s="303">
        <v>57.26</v>
      </c>
      <c r="T146" s="316"/>
      <c r="U146" s="127">
        <v>0</v>
      </c>
      <c r="W146" s="127">
        <v>0</v>
      </c>
      <c r="Y146" s="127">
        <v>0</v>
      </c>
      <c r="AA146" s="127">
        <v>0</v>
      </c>
      <c r="AC146" s="127">
        <v>0</v>
      </c>
      <c r="AD146" s="127">
        <f t="shared" si="28"/>
        <v>399.65999999999997</v>
      </c>
    </row>
    <row r="147" spans="1:30" x14ac:dyDescent="0.25">
      <c r="A147" s="1">
        <v>144</v>
      </c>
      <c r="B147" s="19" t="s">
        <v>144</v>
      </c>
      <c r="G147" s="302">
        <v>200.98</v>
      </c>
      <c r="H147" s="183"/>
      <c r="I147" s="301">
        <v>161.88</v>
      </c>
      <c r="J147" s="315"/>
      <c r="K147" s="302">
        <v>188.71</v>
      </c>
      <c r="L147" s="183"/>
      <c r="M147" s="302">
        <v>173.47</v>
      </c>
      <c r="N147" s="183"/>
      <c r="O147" s="302">
        <v>208.79</v>
      </c>
      <c r="P147" s="183"/>
      <c r="Q147" s="302">
        <v>202.7</v>
      </c>
      <c r="R147" s="183"/>
      <c r="S147" s="303">
        <v>190.07</v>
      </c>
      <c r="T147" s="316"/>
      <c r="U147" s="127">
        <v>0</v>
      </c>
      <c r="W147" s="127">
        <v>0</v>
      </c>
      <c r="Y147" s="127">
        <v>0</v>
      </c>
      <c r="AA147" s="127">
        <v>0</v>
      </c>
      <c r="AC147" s="127">
        <v>0</v>
      </c>
      <c r="AD147" s="127">
        <f t="shared" si="28"/>
        <v>1326.6</v>
      </c>
    </row>
    <row r="148" spans="1:30" x14ac:dyDescent="0.25">
      <c r="A148" s="1">
        <v>145</v>
      </c>
      <c r="B148" s="19" t="s">
        <v>30</v>
      </c>
      <c r="G148" s="302">
        <f>SUM(G139:G147)</f>
        <v>3550.7100000000005</v>
      </c>
      <c r="H148" s="302"/>
      <c r="I148" s="302">
        <f t="shared" ref="I148:AC148" si="29">SUM(I139:I147)</f>
        <v>2859.7999999999997</v>
      </c>
      <c r="J148" s="302"/>
      <c r="K148" s="302">
        <f t="shared" si="29"/>
        <v>3333.9500000000003</v>
      </c>
      <c r="L148" s="302"/>
      <c r="M148" s="302">
        <f t="shared" si="29"/>
        <v>3064.5999999999995</v>
      </c>
      <c r="N148" s="302"/>
      <c r="O148" s="302">
        <f t="shared" si="29"/>
        <v>3688.5800000000004</v>
      </c>
      <c r="P148" s="302"/>
      <c r="Q148" s="302">
        <f t="shared" si="29"/>
        <v>3581.01</v>
      </c>
      <c r="R148" s="302"/>
      <c r="S148" s="302">
        <f t="shared" si="29"/>
        <v>3357.8700000000003</v>
      </c>
      <c r="T148" s="302"/>
      <c r="U148" s="302">
        <f t="shared" si="29"/>
        <v>0</v>
      </c>
      <c r="V148" s="302"/>
      <c r="W148" s="302">
        <f t="shared" si="29"/>
        <v>0</v>
      </c>
      <c r="X148" s="302"/>
      <c r="Y148" s="302">
        <f t="shared" si="29"/>
        <v>0</v>
      </c>
      <c r="Z148" s="302"/>
      <c r="AA148" s="302">
        <f t="shared" si="29"/>
        <v>0</v>
      </c>
      <c r="AB148" s="302"/>
      <c r="AC148" s="302">
        <f t="shared" si="29"/>
        <v>0</v>
      </c>
      <c r="AD148" s="127">
        <f t="shared" si="28"/>
        <v>23436.52</v>
      </c>
    </row>
    <row r="149" spans="1:30" x14ac:dyDescent="0.25">
      <c r="A149" s="1">
        <v>146</v>
      </c>
      <c r="B149" s="19" t="s">
        <v>31</v>
      </c>
      <c r="F149" s="98"/>
      <c r="G149" s="550">
        <v>4437</v>
      </c>
      <c r="H149" s="550"/>
      <c r="I149" s="551">
        <v>3570</v>
      </c>
      <c r="J149" s="551"/>
      <c r="K149" s="550">
        <v>4165</v>
      </c>
      <c r="L149" s="550"/>
      <c r="M149" s="550">
        <v>3827</v>
      </c>
      <c r="N149" s="550"/>
      <c r="O149" s="550">
        <v>4610</v>
      </c>
      <c r="P149" s="550"/>
      <c r="Q149" s="550">
        <v>4475</v>
      </c>
      <c r="R149" s="550"/>
      <c r="S149" s="552">
        <v>4195</v>
      </c>
      <c r="T149" s="552"/>
      <c r="U149" s="98">
        <v>0</v>
      </c>
      <c r="V149" s="98"/>
      <c r="W149" s="98">
        <v>0</v>
      </c>
      <c r="X149" s="98"/>
      <c r="Y149" s="98">
        <v>0</v>
      </c>
      <c r="Z149" s="98"/>
      <c r="AA149" s="98">
        <v>0</v>
      </c>
      <c r="AB149" s="98"/>
      <c r="AC149" s="98">
        <v>0</v>
      </c>
      <c r="AD149" s="98">
        <f t="shared" si="28"/>
        <v>29279</v>
      </c>
    </row>
    <row r="150" spans="1:30" x14ac:dyDescent="0.25">
      <c r="A150" s="1">
        <v>147</v>
      </c>
      <c r="B150" s="1" t="s">
        <v>32</v>
      </c>
      <c r="F150" s="98"/>
      <c r="G150" s="98"/>
      <c r="H150" s="98"/>
      <c r="I150" s="98"/>
      <c r="J150" s="98"/>
      <c r="K150" s="98"/>
      <c r="L150" s="98"/>
      <c r="M150" s="98"/>
      <c r="N150" s="98"/>
      <c r="O150" s="98"/>
      <c r="P150" s="98"/>
      <c r="Q150" s="98"/>
      <c r="R150" s="98"/>
      <c r="S150" s="98"/>
      <c r="T150" s="98"/>
      <c r="U150" s="98">
        <v>0</v>
      </c>
      <c r="V150" s="98"/>
      <c r="W150" s="98">
        <v>0</v>
      </c>
      <c r="X150" s="98"/>
      <c r="Y150" s="98">
        <v>0</v>
      </c>
      <c r="Z150" s="98"/>
      <c r="AA150" s="98">
        <v>0</v>
      </c>
      <c r="AB150" s="98"/>
      <c r="AC150" s="98">
        <v>0</v>
      </c>
      <c r="AD150" s="98">
        <f t="shared" si="28"/>
        <v>0</v>
      </c>
    </row>
    <row r="151" spans="1:30" x14ac:dyDescent="0.25">
      <c r="A151" s="1">
        <v>148</v>
      </c>
      <c r="B151" s="1" t="s">
        <v>33</v>
      </c>
      <c r="F151" s="98"/>
      <c r="G151" s="550">
        <f>SUM(G149:G150)</f>
        <v>4437</v>
      </c>
      <c r="H151" s="550"/>
      <c r="I151" s="550">
        <f t="shared" ref="I151:AC151" si="30">SUM(I149:I150)</f>
        <v>3570</v>
      </c>
      <c r="J151" s="550"/>
      <c r="K151" s="550">
        <f t="shared" si="30"/>
        <v>4165</v>
      </c>
      <c r="L151" s="550"/>
      <c r="M151" s="550">
        <f t="shared" si="30"/>
        <v>3827</v>
      </c>
      <c r="N151" s="550"/>
      <c r="O151" s="550">
        <f t="shared" si="30"/>
        <v>4610</v>
      </c>
      <c r="P151" s="550"/>
      <c r="Q151" s="550">
        <f t="shared" si="30"/>
        <v>4475</v>
      </c>
      <c r="R151" s="550"/>
      <c r="S151" s="550">
        <f t="shared" si="30"/>
        <v>4195</v>
      </c>
      <c r="T151" s="550"/>
      <c r="U151" s="550">
        <f t="shared" si="30"/>
        <v>0</v>
      </c>
      <c r="V151" s="550"/>
      <c r="W151" s="550">
        <f t="shared" si="30"/>
        <v>0</v>
      </c>
      <c r="X151" s="550"/>
      <c r="Y151" s="550">
        <f t="shared" si="30"/>
        <v>0</v>
      </c>
      <c r="Z151" s="550"/>
      <c r="AA151" s="550">
        <f t="shared" si="30"/>
        <v>0</v>
      </c>
      <c r="AB151" s="550"/>
      <c r="AC151" s="550">
        <f t="shared" si="30"/>
        <v>0</v>
      </c>
      <c r="AD151" s="98">
        <f t="shared" si="28"/>
        <v>29279</v>
      </c>
    </row>
    <row r="152" spans="1:30" x14ac:dyDescent="0.25">
      <c r="A152" s="1">
        <v>149</v>
      </c>
      <c r="B152" s="1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row>
    <row r="153" spans="1:30" x14ac:dyDescent="0.25">
      <c r="A153" s="1">
        <v>150</v>
      </c>
      <c r="B153" s="31" t="s">
        <v>207</v>
      </c>
    </row>
    <row r="154" spans="1:30" x14ac:dyDescent="0.25">
      <c r="A154" s="1">
        <v>151</v>
      </c>
      <c r="B154" s="1" t="s">
        <v>9</v>
      </c>
      <c r="C154" s="127">
        <v>48</v>
      </c>
      <c r="D154" s="127"/>
      <c r="E154" s="127">
        <v>60</v>
      </c>
      <c r="F154" s="128">
        <f>G154/$C$154</f>
        <v>1</v>
      </c>
      <c r="G154" s="302">
        <v>48</v>
      </c>
      <c r="H154" s="128">
        <f>I154/$C$154</f>
        <v>1</v>
      </c>
      <c r="I154" s="301">
        <v>48</v>
      </c>
      <c r="J154" s="128">
        <f>K154/$C$154</f>
        <v>1</v>
      </c>
      <c r="K154" s="302">
        <v>48</v>
      </c>
      <c r="L154" s="128">
        <f>M154/$C$154</f>
        <v>1</v>
      </c>
      <c r="M154" s="302">
        <v>48</v>
      </c>
      <c r="N154" s="128">
        <f>O154/$C$154</f>
        <v>1</v>
      </c>
      <c r="O154" s="127">
        <v>48</v>
      </c>
      <c r="P154" s="128">
        <f>Q154/$C$154</f>
        <v>1</v>
      </c>
      <c r="Q154" s="302">
        <v>48</v>
      </c>
      <c r="R154" s="128">
        <f>S154/$C$154</f>
        <v>1</v>
      </c>
      <c r="S154" s="303">
        <v>48</v>
      </c>
      <c r="T154" s="128">
        <f>U154/$C$154</f>
        <v>1</v>
      </c>
      <c r="U154" s="302">
        <v>48</v>
      </c>
      <c r="V154" s="128">
        <f>W154/$E$154</f>
        <v>1</v>
      </c>
      <c r="W154" s="304">
        <v>60</v>
      </c>
      <c r="X154" s="128">
        <f>Y154/$E$154</f>
        <v>1</v>
      </c>
      <c r="Y154" s="302">
        <v>60</v>
      </c>
      <c r="Z154" s="128">
        <f>AA154/$E$154</f>
        <v>1</v>
      </c>
      <c r="AA154" s="302">
        <v>60</v>
      </c>
      <c r="AB154" s="128">
        <f>AC154/$E$154</f>
        <v>1</v>
      </c>
      <c r="AC154" s="302">
        <v>60</v>
      </c>
      <c r="AD154" s="127">
        <f>SUM(G154,I154,K154,M154,O154,Q154,S154,U154,W154,Y154,AA154,AC154)</f>
        <v>624</v>
      </c>
    </row>
    <row r="155" spans="1:30" x14ac:dyDescent="0.25">
      <c r="A155" s="1">
        <v>152</v>
      </c>
      <c r="B155" s="1" t="s">
        <v>197</v>
      </c>
      <c r="C155" s="1">
        <f>C71</f>
        <v>0.18842999999999999</v>
      </c>
      <c r="E155" s="1">
        <f>E71</f>
        <v>0.17851</v>
      </c>
      <c r="F155" s="128">
        <f>G155/$C$155</f>
        <v>417.02488987953086</v>
      </c>
      <c r="G155" s="302">
        <v>78.58</v>
      </c>
      <c r="H155" s="128">
        <f>I155/$C$155</f>
        <v>500.02653505280477</v>
      </c>
      <c r="I155" s="301">
        <v>94.22</v>
      </c>
      <c r="J155" s="128">
        <f>K155/$C$155</f>
        <v>0</v>
      </c>
      <c r="L155" s="128">
        <f>M155/$C$155</f>
        <v>51.000371490739269</v>
      </c>
      <c r="M155" s="302">
        <v>9.61</v>
      </c>
      <c r="N155" s="128">
        <f>O155/$C$155</f>
        <v>0</v>
      </c>
      <c r="P155" s="128">
        <f>Q155/$C$155</f>
        <v>0</v>
      </c>
      <c r="R155" s="128">
        <f>S155/$C$155</f>
        <v>167.01162235312853</v>
      </c>
      <c r="S155" s="303">
        <v>31.470000000000006</v>
      </c>
      <c r="T155" s="316">
        <f>U155/$E$155</f>
        <v>0</v>
      </c>
      <c r="V155" s="316">
        <f>W155/$E$155</f>
        <v>359.02750546187889</v>
      </c>
      <c r="W155" s="304">
        <v>64.09</v>
      </c>
      <c r="X155" s="316">
        <f>Y155/$E$155</f>
        <v>188.00067223124756</v>
      </c>
      <c r="Y155" s="302">
        <v>33.56</v>
      </c>
      <c r="Z155" s="316">
        <f>AA155/$E$155</f>
        <v>21.007226485911154</v>
      </c>
      <c r="AA155" s="302">
        <v>3.75</v>
      </c>
      <c r="AB155" s="316">
        <f>AC155/$E$155</f>
        <v>63.021679457733462</v>
      </c>
      <c r="AC155" s="302">
        <v>11.25</v>
      </c>
      <c r="AD155" s="127">
        <f t="shared" ref="AD155:AD156" si="31">SUM(G155,I155,K155,M155,O155,Q155,S155,U155,W155,Y155,AA155,AC155)</f>
        <v>326.53000000000003</v>
      </c>
    </row>
    <row r="156" spans="1:30" x14ac:dyDescent="0.25">
      <c r="A156" s="1">
        <v>153</v>
      </c>
      <c r="B156" s="1" t="s">
        <v>198</v>
      </c>
      <c r="C156" s="1">
        <f>C72</f>
        <v>0.15175</v>
      </c>
      <c r="E156" s="1">
        <f>E72</f>
        <v>0.14457</v>
      </c>
      <c r="F156" s="128">
        <f>G156/$C$156</f>
        <v>0</v>
      </c>
      <c r="H156" s="128">
        <f>I156/$C$156</f>
        <v>766.98517298187812</v>
      </c>
      <c r="I156" s="301">
        <v>116.39</v>
      </c>
      <c r="J156" s="128">
        <f>K156/$C$156</f>
        <v>0</v>
      </c>
      <c r="L156" s="128">
        <f>M156/$C$156</f>
        <v>0</v>
      </c>
      <c r="N156" s="128">
        <f>O156/$C$156</f>
        <v>0</v>
      </c>
      <c r="P156" s="128">
        <f>Q156/$C$156</f>
        <v>0</v>
      </c>
      <c r="R156" s="128">
        <f>S156/$C$156</f>
        <v>0</v>
      </c>
      <c r="T156" s="316">
        <f>U156/$E$156</f>
        <v>0</v>
      </c>
      <c r="V156" s="316">
        <f>W156/$E$156</f>
        <v>0</v>
      </c>
      <c r="X156" s="316">
        <f>Y156/$E$156</f>
        <v>0</v>
      </c>
      <c r="Z156" s="316">
        <f>AA156/$E$156</f>
        <v>0</v>
      </c>
      <c r="AB156" s="316">
        <f>AC156/$E$156</f>
        <v>0</v>
      </c>
      <c r="AD156" s="127">
        <f t="shared" si="31"/>
        <v>116.39</v>
      </c>
    </row>
    <row r="157" spans="1:30" x14ac:dyDescent="0.25">
      <c r="A157" s="1">
        <v>154</v>
      </c>
      <c r="B157" s="1" t="s">
        <v>11</v>
      </c>
      <c r="C157" s="5"/>
      <c r="D157" s="5"/>
      <c r="E157" s="5"/>
      <c r="G157" s="302">
        <v>185.43</v>
      </c>
      <c r="H157" s="183"/>
      <c r="I157" s="301">
        <v>563.4</v>
      </c>
      <c r="J157" s="315"/>
      <c r="M157" s="302">
        <v>22.68</v>
      </c>
      <c r="N157" s="183"/>
      <c r="S157" s="303">
        <v>74.260000000000005</v>
      </c>
      <c r="T157" s="316"/>
      <c r="W157" s="304">
        <v>159.63999999999999</v>
      </c>
      <c r="X157" s="317"/>
      <c r="Y157" s="302">
        <v>83.6</v>
      </c>
      <c r="Z157" s="183"/>
      <c r="AA157" s="302">
        <v>9.34</v>
      </c>
      <c r="AB157" s="183"/>
      <c r="AC157" s="302">
        <v>26.43</v>
      </c>
      <c r="AD157" s="127">
        <f t="shared" si="28"/>
        <v>1124.7799999999997</v>
      </c>
    </row>
    <row r="158" spans="1:30" x14ac:dyDescent="0.25">
      <c r="A158" s="1">
        <v>155</v>
      </c>
      <c r="B158" s="18" t="s">
        <v>139</v>
      </c>
      <c r="C158" s="5"/>
      <c r="D158" s="5"/>
      <c r="E158" s="5"/>
      <c r="G158" s="302">
        <v>0.61</v>
      </c>
      <c r="H158" s="183"/>
      <c r="I158" s="301">
        <v>1.85</v>
      </c>
      <c r="J158" s="315"/>
      <c r="M158" s="302">
        <v>7.0000000000000007E-2</v>
      </c>
      <c r="N158" s="183"/>
      <c r="S158" s="303">
        <v>0.24</v>
      </c>
      <c r="T158" s="316"/>
      <c r="W158" s="304">
        <v>0.52</v>
      </c>
      <c r="X158" s="317"/>
      <c r="Y158" s="302">
        <v>0.27</v>
      </c>
      <c r="Z158" s="183"/>
      <c r="AA158" s="302">
        <v>0.03</v>
      </c>
      <c r="AB158" s="183"/>
      <c r="AC158" s="302">
        <v>0.09</v>
      </c>
      <c r="AD158" s="127">
        <f t="shared" si="28"/>
        <v>3.6799999999999993</v>
      </c>
    </row>
    <row r="159" spans="1:30" x14ac:dyDescent="0.25">
      <c r="A159" s="1">
        <v>156</v>
      </c>
      <c r="B159" s="18" t="s">
        <v>140</v>
      </c>
      <c r="G159" s="302">
        <v>3.22</v>
      </c>
      <c r="H159" s="183"/>
      <c r="I159" s="301">
        <v>9.7799999999999994</v>
      </c>
      <c r="J159" s="315"/>
      <c r="M159" s="302">
        <v>0.39</v>
      </c>
      <c r="N159" s="183"/>
      <c r="S159" s="303">
        <v>1.29</v>
      </c>
      <c r="T159" s="316"/>
      <c r="W159" s="304">
        <v>1.1499999999999999</v>
      </c>
      <c r="X159" s="317"/>
      <c r="Y159" s="302">
        <v>0.6</v>
      </c>
      <c r="Z159" s="183"/>
      <c r="AA159" s="302">
        <v>7.0000000000000007E-2</v>
      </c>
      <c r="AB159" s="183"/>
      <c r="AC159" s="302">
        <v>0.43</v>
      </c>
      <c r="AD159" s="127">
        <f t="shared" si="28"/>
        <v>16.93</v>
      </c>
    </row>
    <row r="160" spans="1:30" x14ac:dyDescent="0.25">
      <c r="A160" s="1">
        <v>157</v>
      </c>
      <c r="B160" s="18" t="s">
        <v>141</v>
      </c>
      <c r="G160" s="302">
        <v>3.36</v>
      </c>
      <c r="H160" s="183"/>
      <c r="I160" s="301">
        <v>10.200000000000001</v>
      </c>
      <c r="J160" s="315"/>
      <c r="M160" s="302">
        <v>0.41</v>
      </c>
      <c r="N160" s="183"/>
      <c r="S160" s="303">
        <v>1.34</v>
      </c>
      <c r="T160" s="316"/>
      <c r="W160" s="304">
        <v>2.89</v>
      </c>
      <c r="X160" s="317"/>
      <c r="Y160" s="302">
        <v>1.51</v>
      </c>
      <c r="Z160" s="183"/>
      <c r="AA160" s="302">
        <v>0.17</v>
      </c>
      <c r="AB160" s="183"/>
      <c r="AC160" s="302">
        <v>0.2</v>
      </c>
      <c r="AD160" s="127">
        <f t="shared" si="28"/>
        <v>20.080000000000002</v>
      </c>
    </row>
    <row r="161" spans="1:30" x14ac:dyDescent="0.25">
      <c r="A161" s="1">
        <v>158</v>
      </c>
      <c r="B161" s="18" t="s">
        <v>142</v>
      </c>
      <c r="G161" s="302">
        <v>23.23</v>
      </c>
      <c r="H161" s="183"/>
      <c r="I161" s="301">
        <v>70.58</v>
      </c>
      <c r="J161" s="315"/>
      <c r="M161" s="302">
        <v>2.84</v>
      </c>
      <c r="N161" s="183"/>
      <c r="S161" s="303">
        <v>9.3000000000000007</v>
      </c>
      <c r="T161" s="316"/>
      <c r="W161" s="304">
        <v>20</v>
      </c>
      <c r="X161" s="317"/>
      <c r="Y161" s="302">
        <v>10.47</v>
      </c>
      <c r="Z161" s="183"/>
      <c r="AA161" s="302">
        <v>1.17</v>
      </c>
      <c r="AB161" s="183"/>
      <c r="AC161" s="302">
        <v>0.49</v>
      </c>
      <c r="AD161" s="127">
        <f t="shared" si="28"/>
        <v>138.08000000000001</v>
      </c>
    </row>
    <row r="162" spans="1:30" x14ac:dyDescent="0.25">
      <c r="A162" s="1">
        <v>159</v>
      </c>
      <c r="B162" s="18" t="s">
        <v>143</v>
      </c>
      <c r="G162" s="302">
        <v>5.69</v>
      </c>
      <c r="H162" s="183"/>
      <c r="I162" s="301">
        <v>17.29</v>
      </c>
      <c r="J162" s="315"/>
      <c r="M162" s="302">
        <v>0.7</v>
      </c>
      <c r="N162" s="183"/>
      <c r="S162" s="303">
        <v>2.2800000000000002</v>
      </c>
      <c r="T162" s="316"/>
      <c r="W162" s="304">
        <v>4.9000000000000004</v>
      </c>
      <c r="X162" s="317"/>
      <c r="Y162" s="302">
        <v>2.57</v>
      </c>
      <c r="Z162" s="183"/>
      <c r="AA162" s="302">
        <v>0.28999999999999998</v>
      </c>
      <c r="AB162" s="183"/>
      <c r="AC162" s="302">
        <v>1.74</v>
      </c>
      <c r="AD162" s="127">
        <f t="shared" si="28"/>
        <v>35.46</v>
      </c>
    </row>
    <row r="163" spans="1:30" x14ac:dyDescent="0.25">
      <c r="A163" s="1">
        <v>160</v>
      </c>
      <c r="B163" s="99" t="s">
        <v>224</v>
      </c>
      <c r="I163" s="301"/>
      <c r="J163" s="315"/>
      <c r="M163" s="302"/>
      <c r="N163" s="183"/>
      <c r="S163" s="303"/>
      <c r="T163" s="316"/>
      <c r="W163" s="304">
        <v>-1.1299999999999999</v>
      </c>
      <c r="X163" s="317"/>
      <c r="Y163" s="302">
        <v>-0.59</v>
      </c>
      <c r="Z163" s="183"/>
      <c r="AA163" s="302">
        <v>-7.0000000000000007E-2</v>
      </c>
      <c r="AB163" s="183"/>
      <c r="AC163" s="302">
        <v>-0.22</v>
      </c>
      <c r="AD163" s="127">
        <f t="shared" si="28"/>
        <v>-2.0099999999999998</v>
      </c>
    </row>
    <row r="164" spans="1:30" x14ac:dyDescent="0.25">
      <c r="A164" s="1">
        <v>161</v>
      </c>
      <c r="B164" s="99" t="s">
        <v>225</v>
      </c>
      <c r="I164" s="301"/>
      <c r="J164" s="315"/>
      <c r="M164" s="302"/>
      <c r="N164" s="183"/>
      <c r="S164" s="303"/>
      <c r="T164" s="316"/>
      <c r="W164" s="304">
        <v>-0.54</v>
      </c>
      <c r="X164" s="317"/>
      <c r="Y164" s="302">
        <v>-0.28000000000000003</v>
      </c>
      <c r="Z164" s="183"/>
      <c r="AA164" s="302">
        <v>-0.03</v>
      </c>
      <c r="AB164" s="183"/>
      <c r="AC164" s="302">
        <v>-0.1</v>
      </c>
      <c r="AD164" s="127">
        <f t="shared" si="28"/>
        <v>-0.95000000000000007</v>
      </c>
    </row>
    <row r="165" spans="1:30" x14ac:dyDescent="0.25">
      <c r="A165" s="1">
        <v>162</v>
      </c>
      <c r="B165" s="99" t="s">
        <v>226</v>
      </c>
      <c r="I165" s="301"/>
      <c r="J165" s="315"/>
      <c r="M165" s="302"/>
      <c r="N165" s="183"/>
      <c r="S165" s="303"/>
      <c r="T165" s="316"/>
      <c r="W165" s="304">
        <v>-1.07</v>
      </c>
      <c r="X165" s="317"/>
      <c r="Y165" s="302">
        <v>-0.56000000000000005</v>
      </c>
      <c r="Z165" s="183"/>
      <c r="AA165" s="302">
        <v>-0.06</v>
      </c>
      <c r="AB165" s="183"/>
      <c r="AC165" s="302">
        <v>-0.19</v>
      </c>
      <c r="AD165" s="127">
        <f t="shared" si="28"/>
        <v>-1.8800000000000001</v>
      </c>
    </row>
    <row r="166" spans="1:30" x14ac:dyDescent="0.25">
      <c r="A166" s="1">
        <v>163</v>
      </c>
      <c r="B166" s="19" t="s">
        <v>30</v>
      </c>
      <c r="G166" s="302">
        <f>SUM(G154:G165)</f>
        <v>348.12000000000006</v>
      </c>
      <c r="H166" s="302"/>
      <c r="I166" s="302">
        <f t="shared" ref="I166:AC166" si="32">SUM(I154:I165)</f>
        <v>931.71</v>
      </c>
      <c r="J166" s="302"/>
      <c r="K166" s="302">
        <f t="shared" si="32"/>
        <v>48</v>
      </c>
      <c r="L166" s="302"/>
      <c r="M166" s="302">
        <f t="shared" si="32"/>
        <v>84.699999999999989</v>
      </c>
      <c r="N166" s="302"/>
      <c r="O166" s="302">
        <f t="shared" si="32"/>
        <v>48</v>
      </c>
      <c r="P166" s="302"/>
      <c r="Q166" s="302">
        <f t="shared" si="32"/>
        <v>48</v>
      </c>
      <c r="R166" s="302"/>
      <c r="S166" s="302">
        <f t="shared" si="32"/>
        <v>168.18000000000004</v>
      </c>
      <c r="T166" s="302"/>
      <c r="U166" s="302">
        <f t="shared" si="32"/>
        <v>48</v>
      </c>
      <c r="V166" s="302"/>
      <c r="W166" s="302">
        <f t="shared" si="32"/>
        <v>310.44999999999993</v>
      </c>
      <c r="X166" s="302"/>
      <c r="Y166" s="302">
        <f t="shared" si="32"/>
        <v>191.14999999999998</v>
      </c>
      <c r="Z166" s="302"/>
      <c r="AA166" s="302">
        <f t="shared" si="32"/>
        <v>74.660000000000011</v>
      </c>
      <c r="AB166" s="302"/>
      <c r="AC166" s="302">
        <f t="shared" si="32"/>
        <v>100.12000000000002</v>
      </c>
      <c r="AD166" s="127">
        <f t="shared" si="28"/>
        <v>2401.09</v>
      </c>
    </row>
    <row r="167" spans="1:30" x14ac:dyDescent="0.25">
      <c r="A167" s="1">
        <v>164</v>
      </c>
      <c r="B167" s="19" t="s">
        <v>31</v>
      </c>
      <c r="F167" s="98"/>
      <c r="G167" s="550">
        <v>417</v>
      </c>
      <c r="H167" s="550"/>
      <c r="I167" s="551">
        <v>1267</v>
      </c>
      <c r="J167" s="551"/>
      <c r="K167" s="98">
        <v>0</v>
      </c>
      <c r="L167" s="98"/>
      <c r="M167" s="550">
        <v>51</v>
      </c>
      <c r="N167" s="550"/>
      <c r="O167" s="98"/>
      <c r="P167" s="98"/>
      <c r="Q167" s="98"/>
      <c r="R167" s="98"/>
      <c r="S167" s="552">
        <v>167</v>
      </c>
      <c r="T167" s="552"/>
      <c r="U167" s="98"/>
      <c r="V167" s="98"/>
      <c r="W167" s="98">
        <v>359</v>
      </c>
      <c r="X167" s="98"/>
      <c r="Y167" s="98">
        <v>188</v>
      </c>
      <c r="Z167" s="98"/>
      <c r="AA167" s="98">
        <v>21</v>
      </c>
      <c r="AB167" s="98"/>
      <c r="AC167" s="98">
        <v>63</v>
      </c>
      <c r="AD167" s="98">
        <f t="shared" si="28"/>
        <v>2533</v>
      </c>
    </row>
    <row r="168" spans="1:30" x14ac:dyDescent="0.25">
      <c r="A168" s="1">
        <v>165</v>
      </c>
      <c r="B168" s="1" t="s">
        <v>32</v>
      </c>
      <c r="F168" s="98"/>
      <c r="G168" s="550"/>
      <c r="H168" s="550"/>
      <c r="I168" s="98"/>
      <c r="J168" s="98"/>
      <c r="K168" s="98"/>
      <c r="L168" s="98"/>
      <c r="M168" s="98"/>
      <c r="N168" s="98"/>
      <c r="O168" s="98"/>
      <c r="P168" s="98"/>
      <c r="Q168" s="98"/>
      <c r="R168" s="98"/>
      <c r="S168" s="98"/>
      <c r="T168" s="98"/>
      <c r="U168" s="98"/>
      <c r="V168" s="98"/>
      <c r="W168" s="98"/>
      <c r="X168" s="98"/>
      <c r="Y168" s="98"/>
      <c r="Z168" s="98"/>
      <c r="AA168" s="98"/>
      <c r="AB168" s="98"/>
      <c r="AC168" s="98"/>
      <c r="AD168" s="98">
        <f t="shared" si="28"/>
        <v>0</v>
      </c>
    </row>
    <row r="169" spans="1:30" x14ac:dyDescent="0.25">
      <c r="A169" s="1">
        <v>166</v>
      </c>
      <c r="B169" s="1" t="s">
        <v>33</v>
      </c>
      <c r="F169" s="98"/>
      <c r="G169" s="550">
        <f>SUM(G167:G168)</f>
        <v>417</v>
      </c>
      <c r="H169" s="550"/>
      <c r="I169" s="550">
        <f t="shared" ref="I169:AC169" si="33">SUM(I167:I168)</f>
        <v>1267</v>
      </c>
      <c r="J169" s="550"/>
      <c r="K169" s="550">
        <f t="shared" si="33"/>
        <v>0</v>
      </c>
      <c r="L169" s="550"/>
      <c r="M169" s="550">
        <f t="shared" si="33"/>
        <v>51</v>
      </c>
      <c r="N169" s="550"/>
      <c r="O169" s="550">
        <f t="shared" si="33"/>
        <v>0</v>
      </c>
      <c r="P169" s="550"/>
      <c r="Q169" s="550">
        <f t="shared" si="33"/>
        <v>0</v>
      </c>
      <c r="R169" s="550"/>
      <c r="S169" s="550">
        <f t="shared" si="33"/>
        <v>167</v>
      </c>
      <c r="T169" s="550"/>
      <c r="U169" s="550">
        <f t="shared" si="33"/>
        <v>0</v>
      </c>
      <c r="V169" s="550"/>
      <c r="W169" s="550">
        <f t="shared" si="33"/>
        <v>359</v>
      </c>
      <c r="X169" s="550"/>
      <c r="Y169" s="550">
        <f t="shared" si="33"/>
        <v>188</v>
      </c>
      <c r="Z169" s="550"/>
      <c r="AA169" s="550">
        <f t="shared" si="33"/>
        <v>21</v>
      </c>
      <c r="AB169" s="550"/>
      <c r="AC169" s="550">
        <f t="shared" si="33"/>
        <v>63</v>
      </c>
      <c r="AD169" s="98">
        <f t="shared" si="28"/>
        <v>2533</v>
      </c>
    </row>
    <row r="170" spans="1:30" x14ac:dyDescent="0.25">
      <c r="A170" s="1">
        <v>167</v>
      </c>
      <c r="B170" s="19"/>
      <c r="AD170" s="98"/>
    </row>
    <row r="171" spans="1:30" x14ac:dyDescent="0.25">
      <c r="A171" s="1">
        <v>168</v>
      </c>
      <c r="B171" s="30" t="s">
        <v>98</v>
      </c>
    </row>
    <row r="172" spans="1:30" x14ac:dyDescent="0.25">
      <c r="A172" s="1">
        <v>169</v>
      </c>
      <c r="B172" s="19" t="s">
        <v>9</v>
      </c>
      <c r="C172" s="127">
        <v>130</v>
      </c>
      <c r="D172" s="127"/>
      <c r="E172" s="127">
        <v>163</v>
      </c>
      <c r="F172" s="128">
        <f>G172/$C$172</f>
        <v>7</v>
      </c>
      <c r="G172" s="302">
        <v>910</v>
      </c>
      <c r="H172" s="128">
        <f>I172/$C$172</f>
        <v>7</v>
      </c>
      <c r="I172" s="301">
        <v>910</v>
      </c>
      <c r="J172" s="128">
        <f>K172/$C$172</f>
        <v>7</v>
      </c>
      <c r="K172" s="302">
        <v>910</v>
      </c>
      <c r="L172" s="128">
        <f>M172/$C$172</f>
        <v>7</v>
      </c>
      <c r="M172" s="302">
        <v>910</v>
      </c>
      <c r="N172" s="128">
        <f>O172/$C$172</f>
        <v>7</v>
      </c>
      <c r="O172" s="302">
        <v>910</v>
      </c>
      <c r="P172" s="128">
        <f>Q172/$C$172</f>
        <v>7</v>
      </c>
      <c r="Q172" s="302">
        <v>910</v>
      </c>
      <c r="R172" s="128">
        <f>S172/$C$172</f>
        <v>7</v>
      </c>
      <c r="S172" s="303">
        <v>910</v>
      </c>
      <c r="T172" s="128">
        <f>U172/$C$172</f>
        <v>7</v>
      </c>
      <c r="U172" s="302">
        <v>910</v>
      </c>
      <c r="V172" s="128">
        <f>W172/$E$172</f>
        <v>8</v>
      </c>
      <c r="W172" s="304">
        <v>1304</v>
      </c>
      <c r="X172" s="128">
        <f>Y172/$E$172</f>
        <v>8</v>
      </c>
      <c r="Y172" s="302">
        <v>1304</v>
      </c>
      <c r="Z172" s="128">
        <f>AA172/$E$172</f>
        <v>8</v>
      </c>
      <c r="AA172" s="302">
        <v>1304</v>
      </c>
      <c r="AB172" s="128">
        <f>AC172/$E$172</f>
        <v>8</v>
      </c>
      <c r="AC172" s="302">
        <v>1304</v>
      </c>
      <c r="AD172" s="127">
        <f>SUM(G172,I172,K172,M172,O172,Q172,S172,U172,W172,Y172,AA172,AC172)</f>
        <v>12496</v>
      </c>
    </row>
    <row r="173" spans="1:30" x14ac:dyDescent="0.25">
      <c r="A173" s="1">
        <v>170</v>
      </c>
      <c r="B173" s="19" t="s">
        <v>208</v>
      </c>
      <c r="C173" s="1">
        <f>'Exh IDM-2 - Revenue Summary'!D279</f>
        <v>8.233E-2</v>
      </c>
      <c r="E173" s="1">
        <f>'Exh IDM-2 - Revenue Summary'!D281</f>
        <v>7.8950000000000006E-2</v>
      </c>
      <c r="F173" s="128">
        <f>G173/$C$173</f>
        <v>111755.98202356372</v>
      </c>
      <c r="G173" s="302">
        <v>9200.8700000000008</v>
      </c>
      <c r="H173" s="128">
        <f>I173/$C$173</f>
        <v>105613.87100692336</v>
      </c>
      <c r="I173" s="301">
        <v>8695.19</v>
      </c>
      <c r="J173" s="128">
        <f>K173/$C$173</f>
        <v>101184.01554718814</v>
      </c>
      <c r="K173" s="302">
        <v>8330.48</v>
      </c>
      <c r="L173" s="128">
        <f>M173/$C$173</f>
        <v>101320.90368031095</v>
      </c>
      <c r="M173" s="302">
        <v>8341.75</v>
      </c>
      <c r="N173" s="128">
        <f>O173/$C$173</f>
        <v>96481.112595651648</v>
      </c>
      <c r="O173" s="302">
        <v>7943.29</v>
      </c>
      <c r="P173" s="128">
        <f>Q173/$C$173</f>
        <v>83648.001943398514</v>
      </c>
      <c r="Q173" s="302">
        <v>6886.74</v>
      </c>
      <c r="R173" s="128">
        <f>S173/$C$173</f>
        <v>74636.948864326492</v>
      </c>
      <c r="S173" s="303">
        <v>6144.86</v>
      </c>
      <c r="T173" s="316">
        <f>U173/$E$173</f>
        <v>93295.250158328054</v>
      </c>
      <c r="U173" s="302">
        <v>7365.66</v>
      </c>
      <c r="V173" s="316">
        <f>W173/$E$173</f>
        <v>70427.992400253323</v>
      </c>
      <c r="W173" s="304">
        <v>5560.29</v>
      </c>
      <c r="X173" s="316">
        <f>Y173/$E$173</f>
        <v>78762.127929069029</v>
      </c>
      <c r="Y173" s="302">
        <v>6218.27</v>
      </c>
      <c r="Z173" s="316">
        <f>AA173/$E$173</f>
        <v>118621.02596580115</v>
      </c>
      <c r="AA173" s="302">
        <v>9365.130000000001</v>
      </c>
      <c r="AB173" s="316">
        <f>AC173/$E$173</f>
        <v>112385.94046865105</v>
      </c>
      <c r="AC173" s="302">
        <v>8872.8700000000008</v>
      </c>
      <c r="AD173" s="127">
        <f t="shared" ref="AD173:AD174" si="34">SUM(G173,I173,K173,M173,O173,Q173,S173,U173,W173,Y173,AA173,AC173)</f>
        <v>92925.4</v>
      </c>
    </row>
    <row r="174" spans="1:30" x14ac:dyDescent="0.25">
      <c r="A174" s="1">
        <v>171</v>
      </c>
      <c r="B174" s="19" t="s">
        <v>209</v>
      </c>
      <c r="C174" s="1">
        <f>'Exh IDM-2 - Revenue Summary'!D280</f>
        <v>2.2509999999999999E-2</v>
      </c>
      <c r="E174" s="1">
        <f>'Exh IDM-2 - Revenue Summary'!D282</f>
        <v>2.248E-2</v>
      </c>
      <c r="F174" s="128">
        <f>G174/$C$174</f>
        <v>127293.20302087961</v>
      </c>
      <c r="G174" s="302">
        <v>2865.37</v>
      </c>
      <c r="H174" s="128">
        <f>I174/$C$174</f>
        <v>124629.94224788983</v>
      </c>
      <c r="I174" s="301">
        <v>2805.42</v>
      </c>
      <c r="J174" s="128">
        <f>K174/$C$174</f>
        <v>124126.1661483785</v>
      </c>
      <c r="K174" s="302">
        <v>2794.08</v>
      </c>
      <c r="L174" s="128">
        <f>M174/$C$174</f>
        <v>122604.17592181254</v>
      </c>
      <c r="M174" s="302">
        <v>2759.82</v>
      </c>
      <c r="N174" s="128">
        <f>O174/$C$174</f>
        <v>91011.994669035979</v>
      </c>
      <c r="O174" s="302">
        <v>2048.6799999999998</v>
      </c>
      <c r="P174" s="128">
        <f>Q174/$C$174</f>
        <v>51892.936472678819</v>
      </c>
      <c r="Q174" s="302">
        <v>1168.1100000000001</v>
      </c>
      <c r="R174" s="128">
        <f>S174/$C$174</f>
        <v>32718.791648156377</v>
      </c>
      <c r="S174" s="303">
        <v>736.5</v>
      </c>
      <c r="T174" s="316">
        <f>U174/$E$174</f>
        <v>22468.861209964412</v>
      </c>
      <c r="U174" s="302">
        <v>505.1</v>
      </c>
      <c r="V174" s="316">
        <f>W174/$E$174</f>
        <v>22963.078291814949</v>
      </c>
      <c r="W174" s="304">
        <v>516.21</v>
      </c>
      <c r="X174" s="316">
        <f>Y174/$E$174</f>
        <v>39883.007117437723</v>
      </c>
      <c r="Y174" s="302">
        <v>896.57</v>
      </c>
      <c r="Z174" s="316">
        <f>AA174/$E$174</f>
        <v>79120.996441281139</v>
      </c>
      <c r="AA174" s="302">
        <v>1778.64</v>
      </c>
      <c r="AB174" s="316">
        <f>AC174/$E$174</f>
        <v>105302.0462633452</v>
      </c>
      <c r="AC174" s="302">
        <v>2367.19</v>
      </c>
      <c r="AD174" s="127">
        <f t="shared" si="34"/>
        <v>21241.69</v>
      </c>
    </row>
    <row r="175" spans="1:30" x14ac:dyDescent="0.25">
      <c r="A175" s="1">
        <v>172</v>
      </c>
      <c r="B175" s="19" t="s">
        <v>11</v>
      </c>
      <c r="G175" s="302">
        <v>103190.28</v>
      </c>
      <c r="I175" s="301">
        <v>99389.43</v>
      </c>
      <c r="K175" s="302">
        <v>97259.57</v>
      </c>
      <c r="M175" s="302">
        <v>96661.7</v>
      </c>
      <c r="O175" s="302">
        <v>80935.11</v>
      </c>
      <c r="Q175" s="302">
        <v>58508.98</v>
      </c>
      <c r="S175" s="303">
        <v>46342.36</v>
      </c>
      <c r="U175" s="302">
        <v>48305.61</v>
      </c>
      <c r="W175" s="304">
        <v>40314.1</v>
      </c>
      <c r="Y175" s="302">
        <v>51215.49</v>
      </c>
      <c r="AA175" s="302">
        <v>85359.29</v>
      </c>
      <c r="AC175" s="302">
        <v>88359.56</v>
      </c>
      <c r="AD175" s="127">
        <f t="shared" si="28"/>
        <v>895841.48</v>
      </c>
    </row>
    <row r="176" spans="1:30" x14ac:dyDescent="0.25">
      <c r="A176" s="1">
        <v>173</v>
      </c>
      <c r="B176" s="19" t="s">
        <v>139</v>
      </c>
      <c r="G176" s="302">
        <v>105.17</v>
      </c>
      <c r="H176" s="183"/>
      <c r="I176" s="301">
        <v>101.3</v>
      </c>
      <c r="J176" s="315"/>
      <c r="K176" s="302">
        <v>99.14</v>
      </c>
      <c r="L176" s="183"/>
      <c r="M176" s="302">
        <v>98.53</v>
      </c>
      <c r="N176" s="183"/>
      <c r="O176" s="302">
        <v>82.5</v>
      </c>
      <c r="P176" s="183"/>
      <c r="Q176" s="302">
        <v>59.62</v>
      </c>
      <c r="R176" s="183"/>
      <c r="S176" s="303">
        <v>47.24</v>
      </c>
      <c r="T176" s="316"/>
      <c r="U176" s="302">
        <v>49.24</v>
      </c>
      <c r="V176" s="183"/>
      <c r="W176" s="304">
        <v>41.08</v>
      </c>
      <c r="X176" s="317"/>
      <c r="Y176" s="302">
        <v>52.22</v>
      </c>
      <c r="Z176" s="183"/>
      <c r="AA176" s="302">
        <v>87.01</v>
      </c>
      <c r="AB176" s="183"/>
      <c r="AC176" s="302">
        <v>95.78</v>
      </c>
      <c r="AD176" s="127">
        <f t="shared" si="28"/>
        <v>918.83</v>
      </c>
    </row>
    <row r="177" spans="1:30" x14ac:dyDescent="0.25">
      <c r="A177" s="1">
        <v>174</v>
      </c>
      <c r="B177" s="19" t="s">
        <v>140</v>
      </c>
      <c r="G177" s="302">
        <v>549.81000000000006</v>
      </c>
      <c r="H177" s="183"/>
      <c r="I177" s="301">
        <v>529.56000000000006</v>
      </c>
      <c r="J177" s="315"/>
      <c r="K177" s="302">
        <v>518.21</v>
      </c>
      <c r="L177" s="183"/>
      <c r="M177" s="302">
        <v>515.03</v>
      </c>
      <c r="N177" s="183"/>
      <c r="O177" s="302">
        <v>431.24</v>
      </c>
      <c r="P177" s="183"/>
      <c r="Q177" s="302">
        <v>311.74</v>
      </c>
      <c r="R177" s="183"/>
      <c r="S177" s="303">
        <v>246.9</v>
      </c>
      <c r="T177" s="316"/>
      <c r="U177" s="302">
        <v>257.37</v>
      </c>
      <c r="V177" s="183"/>
      <c r="W177" s="304">
        <v>93.39</v>
      </c>
      <c r="X177" s="317"/>
      <c r="Y177" s="302">
        <v>118.66</v>
      </c>
      <c r="Z177" s="183"/>
      <c r="AA177" s="302">
        <v>197.75</v>
      </c>
      <c r="AB177" s="183"/>
      <c r="AC177" s="302">
        <v>740.14</v>
      </c>
      <c r="AD177" s="127">
        <f t="shared" si="28"/>
        <v>4509.8</v>
      </c>
    </row>
    <row r="178" spans="1:30" x14ac:dyDescent="0.25">
      <c r="A178" s="1">
        <v>175</v>
      </c>
      <c r="B178" s="19" t="s">
        <v>141</v>
      </c>
      <c r="G178" s="302">
        <v>-889.27</v>
      </c>
      <c r="H178" s="183"/>
      <c r="I178" s="301">
        <v>-856.5</v>
      </c>
      <c r="J178" s="315"/>
      <c r="K178" s="302">
        <v>-838.16</v>
      </c>
      <c r="L178" s="183"/>
      <c r="M178" s="302">
        <v>-833</v>
      </c>
      <c r="N178" s="183"/>
      <c r="O178" s="302">
        <v>-697.47</v>
      </c>
      <c r="P178" s="183"/>
      <c r="Q178" s="302">
        <v>-504.22</v>
      </c>
      <c r="R178" s="183"/>
      <c r="S178" s="303">
        <v>-399.36</v>
      </c>
      <c r="T178" s="316"/>
      <c r="U178" s="302">
        <v>-416.28</v>
      </c>
      <c r="V178" s="183"/>
      <c r="W178" s="304">
        <v>-347.42</v>
      </c>
      <c r="X178" s="317"/>
      <c r="Y178" s="302">
        <v>-441.36</v>
      </c>
      <c r="Z178" s="183"/>
      <c r="AA178" s="302">
        <v>-735.6</v>
      </c>
      <c r="AB178" s="183"/>
      <c r="AC178" s="302">
        <v>1634.83</v>
      </c>
      <c r="AD178" s="127">
        <f t="shared" si="28"/>
        <v>-5323.8099999999995</v>
      </c>
    </row>
    <row r="179" spans="1:30" x14ac:dyDescent="0.25">
      <c r="A179" s="1">
        <v>176</v>
      </c>
      <c r="B179" s="19" t="s">
        <v>142</v>
      </c>
      <c r="G179" s="302">
        <v>13317.42</v>
      </c>
      <c r="H179" s="183"/>
      <c r="I179" s="301">
        <v>12826.89</v>
      </c>
      <c r="J179" s="315"/>
      <c r="K179" s="302">
        <v>12552.02</v>
      </c>
      <c r="L179" s="183"/>
      <c r="M179" s="302">
        <v>12474.87</v>
      </c>
      <c r="N179" s="183"/>
      <c r="O179" s="302">
        <v>10445.23</v>
      </c>
      <c r="P179" s="183"/>
      <c r="Q179" s="302">
        <v>7550.99</v>
      </c>
      <c r="R179" s="183"/>
      <c r="S179" s="303">
        <v>5980.82</v>
      </c>
      <c r="T179" s="316"/>
      <c r="U179" s="302">
        <v>6234.18</v>
      </c>
      <c r="V179" s="183"/>
      <c r="W179" s="304">
        <v>5202.8100000000004</v>
      </c>
      <c r="X179" s="317"/>
      <c r="Y179" s="302">
        <v>6609.71</v>
      </c>
      <c r="Z179" s="183"/>
      <c r="AA179" s="302">
        <v>11016.21</v>
      </c>
      <c r="AB179" s="183"/>
      <c r="AC179" s="302">
        <v>1684.9</v>
      </c>
      <c r="AD179" s="127">
        <f t="shared" si="28"/>
        <v>105896.05000000002</v>
      </c>
    </row>
    <row r="180" spans="1:30" x14ac:dyDescent="0.25">
      <c r="A180" s="1">
        <v>177</v>
      </c>
      <c r="B180" s="19" t="s">
        <v>143</v>
      </c>
      <c r="G180" s="302">
        <v>3263.02</v>
      </c>
      <c r="H180" s="183"/>
      <c r="I180" s="301">
        <v>3142.84</v>
      </c>
      <c r="J180" s="315"/>
      <c r="K180" s="302">
        <v>3075.48</v>
      </c>
      <c r="L180" s="183"/>
      <c r="M180" s="302">
        <v>3056.56</v>
      </c>
      <c r="N180" s="183"/>
      <c r="O180" s="302">
        <v>2559.27</v>
      </c>
      <c r="P180" s="183"/>
      <c r="Q180" s="302">
        <v>1850.14</v>
      </c>
      <c r="R180" s="183"/>
      <c r="S180" s="303">
        <v>1465.4</v>
      </c>
      <c r="T180" s="316"/>
      <c r="U180" s="302">
        <v>1527.49</v>
      </c>
      <c r="V180" s="183"/>
      <c r="W180" s="304">
        <v>1274.79</v>
      </c>
      <c r="X180" s="317"/>
      <c r="Y180" s="302">
        <v>1619.51</v>
      </c>
      <c r="Z180" s="183"/>
      <c r="AA180" s="302">
        <v>2699.17</v>
      </c>
      <c r="AB180" s="183"/>
      <c r="AC180" s="302">
        <v>5995.14</v>
      </c>
      <c r="AD180" s="127">
        <f t="shared" si="28"/>
        <v>31528.810000000005</v>
      </c>
    </row>
    <row r="181" spans="1:30" x14ac:dyDescent="0.25">
      <c r="A181" s="1">
        <v>178</v>
      </c>
      <c r="B181" s="19" t="s">
        <v>224</v>
      </c>
      <c r="G181" s="302"/>
      <c r="H181" s="183"/>
      <c r="I181" s="301"/>
      <c r="J181" s="315"/>
      <c r="K181" s="302"/>
      <c r="L181" s="183"/>
      <c r="M181" s="302"/>
      <c r="N181" s="183"/>
      <c r="O181" s="302"/>
      <c r="P181" s="183"/>
      <c r="Q181" s="302"/>
      <c r="R181" s="183"/>
      <c r="S181" s="303"/>
      <c r="T181" s="316"/>
      <c r="U181" s="302"/>
      <c r="V181" s="183"/>
      <c r="W181" s="127">
        <v>-89.65</v>
      </c>
      <c r="Y181" s="302">
        <v>-113.9</v>
      </c>
      <c r="Z181" s="183"/>
      <c r="AA181" s="302">
        <v>-189.84</v>
      </c>
      <c r="AB181" s="183"/>
      <c r="AC181" s="302">
        <v>-230.75</v>
      </c>
      <c r="AD181" s="127">
        <f t="shared" si="28"/>
        <v>-624.14</v>
      </c>
    </row>
    <row r="182" spans="1:30" x14ac:dyDescent="0.25">
      <c r="A182" s="1">
        <v>179</v>
      </c>
      <c r="B182" s="19" t="s">
        <v>225</v>
      </c>
      <c r="G182" s="302"/>
      <c r="H182" s="183"/>
      <c r="I182" s="301"/>
      <c r="J182" s="315"/>
      <c r="K182" s="302"/>
      <c r="L182" s="183"/>
      <c r="M182" s="302"/>
      <c r="N182" s="183"/>
      <c r="O182" s="302"/>
      <c r="P182" s="183"/>
      <c r="Q182" s="302"/>
      <c r="R182" s="183"/>
      <c r="S182" s="303"/>
      <c r="T182" s="316"/>
      <c r="U182" s="302"/>
      <c r="V182" s="183"/>
      <c r="W182" s="127">
        <v>-42.94</v>
      </c>
      <c r="Y182" s="302">
        <v>-54.58</v>
      </c>
      <c r="Z182" s="183"/>
      <c r="AA182" s="302">
        <v>-90.97</v>
      </c>
      <c r="AB182" s="183"/>
      <c r="AC182" s="302">
        <v>-106.67</v>
      </c>
      <c r="AD182" s="127">
        <f t="shared" si="28"/>
        <v>-295.16000000000003</v>
      </c>
    </row>
    <row r="183" spans="1:30" x14ac:dyDescent="0.25">
      <c r="A183" s="1">
        <v>180</v>
      </c>
      <c r="B183" s="19" t="s">
        <v>226</v>
      </c>
      <c r="G183" s="302"/>
      <c r="H183" s="183"/>
      <c r="I183" s="301"/>
      <c r="J183" s="315"/>
      <c r="K183" s="302"/>
      <c r="L183" s="183"/>
      <c r="M183" s="302"/>
      <c r="N183" s="183"/>
      <c r="O183" s="302"/>
      <c r="P183" s="183"/>
      <c r="Q183" s="302"/>
      <c r="R183" s="183"/>
      <c r="S183" s="303"/>
      <c r="T183" s="316"/>
      <c r="U183" s="302"/>
      <c r="V183" s="183"/>
      <c r="W183" s="127">
        <v>-84.06</v>
      </c>
      <c r="Y183" s="302">
        <v>-106.77</v>
      </c>
      <c r="Z183" s="183"/>
      <c r="AA183" s="302">
        <v>-177.97</v>
      </c>
      <c r="AB183" s="183"/>
      <c r="AC183" s="302">
        <v>-195.91</v>
      </c>
      <c r="AD183" s="127">
        <f t="shared" si="28"/>
        <v>-564.70999999999992</v>
      </c>
    </row>
    <row r="184" spans="1:30" x14ac:dyDescent="0.25">
      <c r="A184" s="1">
        <v>181</v>
      </c>
      <c r="B184" s="19" t="s">
        <v>144</v>
      </c>
      <c r="G184" s="302">
        <v>2020.93</v>
      </c>
      <c r="H184" s="183"/>
      <c r="I184" s="301">
        <v>1803.31</v>
      </c>
      <c r="J184" s="315"/>
      <c r="K184" s="302">
        <v>1642.05</v>
      </c>
      <c r="L184" s="183"/>
      <c r="M184" s="302">
        <v>1573.22</v>
      </c>
      <c r="N184" s="183"/>
      <c r="O184" s="302">
        <v>1281.81</v>
      </c>
      <c r="P184" s="183"/>
      <c r="Q184" s="302">
        <v>865.45</v>
      </c>
      <c r="R184" s="183"/>
      <c r="S184" s="303">
        <v>670</v>
      </c>
      <c r="T184" s="316"/>
      <c r="U184" s="302">
        <v>494.2700000000001</v>
      </c>
      <c r="V184" s="183"/>
      <c r="W184" s="127">
        <v>672.75</v>
      </c>
      <c r="Y184" s="302">
        <v>937.78</v>
      </c>
      <c r="Z184" s="183"/>
      <c r="AA184" s="302">
        <v>1395.49</v>
      </c>
      <c r="AB184" s="183"/>
      <c r="AC184" s="302">
        <v>1724.98</v>
      </c>
      <c r="AD184" s="127">
        <f t="shared" si="28"/>
        <v>15082.04</v>
      </c>
    </row>
    <row r="185" spans="1:30" x14ac:dyDescent="0.25">
      <c r="A185" s="1">
        <v>182</v>
      </c>
      <c r="B185" s="18" t="s">
        <v>148</v>
      </c>
      <c r="G185" s="302">
        <v>3.9</v>
      </c>
      <c r="H185" s="183"/>
      <c r="I185" s="301">
        <v>3.9</v>
      </c>
      <c r="J185" s="315"/>
      <c r="K185" s="302">
        <v>3.9</v>
      </c>
      <c r="L185" s="183"/>
      <c r="M185" s="302">
        <v>3.9</v>
      </c>
      <c r="N185" s="183"/>
      <c r="O185" s="302">
        <v>3.9</v>
      </c>
      <c r="P185" s="183"/>
      <c r="Q185" s="302">
        <v>3.9</v>
      </c>
      <c r="R185" s="183"/>
      <c r="S185" s="303">
        <v>3.9</v>
      </c>
      <c r="T185" s="316"/>
      <c r="U185" s="302">
        <v>398.91</v>
      </c>
      <c r="V185" s="183"/>
      <c r="W185" s="127">
        <v>4.8899999999999997</v>
      </c>
      <c r="Y185" s="302">
        <v>4.8899999999999997</v>
      </c>
      <c r="Z185" s="183"/>
      <c r="AA185" s="302">
        <v>338.23</v>
      </c>
      <c r="AB185" s="183"/>
      <c r="AC185" s="302">
        <v>4.8899999999999997</v>
      </c>
      <c r="AD185" s="127">
        <f t="shared" si="28"/>
        <v>779.11</v>
      </c>
    </row>
    <row r="186" spans="1:30" x14ac:dyDescent="0.25">
      <c r="A186" s="1">
        <v>183</v>
      </c>
      <c r="B186" s="19" t="s">
        <v>30</v>
      </c>
      <c r="G186" s="302">
        <f>SUM(G172:G185)</f>
        <v>134537.49999999997</v>
      </c>
      <c r="H186" s="302"/>
      <c r="I186" s="302">
        <f t="shared" ref="I186:AC186" si="35">SUM(I172:I185)</f>
        <v>129351.33999999998</v>
      </c>
      <c r="J186" s="302"/>
      <c r="K186" s="302">
        <f t="shared" si="35"/>
        <v>126346.77</v>
      </c>
      <c r="L186" s="302"/>
      <c r="M186" s="302">
        <f t="shared" si="35"/>
        <v>125562.37999999998</v>
      </c>
      <c r="N186" s="302"/>
      <c r="O186" s="302">
        <f t="shared" si="35"/>
        <v>105943.56</v>
      </c>
      <c r="P186" s="302"/>
      <c r="Q186" s="302">
        <f t="shared" si="35"/>
        <v>77611.45</v>
      </c>
      <c r="R186" s="302"/>
      <c r="S186" s="302">
        <f t="shared" si="35"/>
        <v>62148.62</v>
      </c>
      <c r="T186" s="302"/>
      <c r="U186" s="302">
        <f t="shared" si="35"/>
        <v>65631.55</v>
      </c>
      <c r="V186" s="302"/>
      <c r="W186" s="302">
        <f t="shared" si="35"/>
        <v>54420.24</v>
      </c>
      <c r="X186" s="302"/>
      <c r="Y186" s="302">
        <f t="shared" si="35"/>
        <v>68260.490000000005</v>
      </c>
      <c r="Z186" s="302"/>
      <c r="AA186" s="302">
        <f t="shared" si="35"/>
        <v>112346.54</v>
      </c>
      <c r="AB186" s="302"/>
      <c r="AC186" s="302">
        <f t="shared" si="35"/>
        <v>112250.94999999998</v>
      </c>
      <c r="AD186" s="127">
        <f t="shared" si="28"/>
        <v>1174411.3899999999</v>
      </c>
    </row>
    <row r="187" spans="1:30" x14ac:dyDescent="0.25">
      <c r="A187" s="1">
        <v>184</v>
      </c>
      <c r="B187" s="19" t="s">
        <v>31</v>
      </c>
      <c r="C187" s="98"/>
      <c r="D187" s="98"/>
      <c r="E187" s="98"/>
      <c r="F187" s="98"/>
      <c r="G187" s="550">
        <v>239049</v>
      </c>
      <c r="H187" s="550"/>
      <c r="I187" s="551">
        <v>230244</v>
      </c>
      <c r="J187" s="551"/>
      <c r="K187" s="550">
        <v>225310</v>
      </c>
      <c r="L187" s="550"/>
      <c r="M187" s="550">
        <v>223925</v>
      </c>
      <c r="N187" s="550"/>
      <c r="O187" s="550">
        <v>187493</v>
      </c>
      <c r="P187" s="550"/>
      <c r="Q187" s="550">
        <v>135541</v>
      </c>
      <c r="R187" s="550"/>
      <c r="S187" s="552">
        <v>107356</v>
      </c>
      <c r="T187" s="552"/>
      <c r="U187" s="550">
        <v>111904</v>
      </c>
      <c r="V187" s="550"/>
      <c r="W187" s="98">
        <v>93391</v>
      </c>
      <c r="X187" s="98"/>
      <c r="Y187" s="550">
        <v>118645</v>
      </c>
      <c r="Z187" s="550"/>
      <c r="AA187" s="550">
        <v>197742</v>
      </c>
      <c r="AB187" s="550"/>
      <c r="AC187" s="550">
        <v>217688</v>
      </c>
      <c r="AD187" s="127">
        <f t="shared" si="28"/>
        <v>2088288</v>
      </c>
    </row>
    <row r="188" spans="1:30" x14ac:dyDescent="0.25">
      <c r="A188" s="1">
        <v>185</v>
      </c>
      <c r="B188" s="1" t="s">
        <v>32</v>
      </c>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127">
        <f t="shared" si="28"/>
        <v>0</v>
      </c>
    </row>
    <row r="189" spans="1:30" x14ac:dyDescent="0.25">
      <c r="A189" s="1">
        <v>186</v>
      </c>
      <c r="B189" s="1" t="s">
        <v>33</v>
      </c>
      <c r="C189" s="98"/>
      <c r="D189" s="98"/>
      <c r="E189" s="98"/>
      <c r="F189" s="98"/>
      <c r="G189" s="550">
        <f>SUM(G187:G188)</f>
        <v>239049</v>
      </c>
      <c r="H189" s="550"/>
      <c r="I189" s="550">
        <f t="shared" ref="I189:AC189" si="36">SUM(I187:I188)</f>
        <v>230244</v>
      </c>
      <c r="J189" s="550"/>
      <c r="K189" s="550">
        <f t="shared" si="36"/>
        <v>225310</v>
      </c>
      <c r="L189" s="550"/>
      <c r="M189" s="550">
        <f t="shared" si="36"/>
        <v>223925</v>
      </c>
      <c r="N189" s="550"/>
      <c r="O189" s="550">
        <f t="shared" si="36"/>
        <v>187493</v>
      </c>
      <c r="P189" s="550"/>
      <c r="Q189" s="550">
        <f t="shared" si="36"/>
        <v>135541</v>
      </c>
      <c r="R189" s="550"/>
      <c r="S189" s="550">
        <f t="shared" si="36"/>
        <v>107356</v>
      </c>
      <c r="T189" s="550"/>
      <c r="U189" s="550">
        <f t="shared" si="36"/>
        <v>111904</v>
      </c>
      <c r="V189" s="550"/>
      <c r="W189" s="550">
        <f t="shared" si="36"/>
        <v>93391</v>
      </c>
      <c r="X189" s="550"/>
      <c r="Y189" s="550">
        <f t="shared" si="36"/>
        <v>118645</v>
      </c>
      <c r="Z189" s="550"/>
      <c r="AA189" s="550">
        <f t="shared" si="36"/>
        <v>197742</v>
      </c>
      <c r="AB189" s="550"/>
      <c r="AC189" s="550">
        <f t="shared" si="36"/>
        <v>217688</v>
      </c>
      <c r="AD189" s="127">
        <f t="shared" si="28"/>
        <v>2088288</v>
      </c>
    </row>
    <row r="190" spans="1:30" x14ac:dyDescent="0.25">
      <c r="A190" s="1">
        <v>187</v>
      </c>
      <c r="B190" s="18"/>
    </row>
    <row r="191" spans="1:30" x14ac:dyDescent="0.25">
      <c r="A191" s="1">
        <v>188</v>
      </c>
      <c r="B191" s="30" t="s">
        <v>152</v>
      </c>
    </row>
    <row r="192" spans="1:30" x14ac:dyDescent="0.25">
      <c r="A192" s="1">
        <v>189</v>
      </c>
      <c r="B192" s="19" t="s">
        <v>9</v>
      </c>
      <c r="C192" s="127">
        <v>130</v>
      </c>
      <c r="D192" s="127"/>
      <c r="F192" s="128">
        <f>G192/$C$192</f>
        <v>2</v>
      </c>
      <c r="G192" s="302">
        <v>260</v>
      </c>
      <c r="H192" s="128">
        <f>I192/$C$192</f>
        <v>2</v>
      </c>
      <c r="I192" s="301">
        <v>260</v>
      </c>
      <c r="J192" s="128">
        <f>K192/$C$192</f>
        <v>2</v>
      </c>
      <c r="K192" s="302">
        <v>260</v>
      </c>
      <c r="L192" s="128">
        <f>M192/$C$192</f>
        <v>2</v>
      </c>
      <c r="M192" s="302">
        <v>260</v>
      </c>
      <c r="N192" s="128">
        <f>O192/$C$192</f>
        <v>2</v>
      </c>
      <c r="O192" s="302">
        <v>260</v>
      </c>
      <c r="P192" s="128">
        <f>Q192/$C$192</f>
        <v>2</v>
      </c>
      <c r="Q192" s="302">
        <v>260</v>
      </c>
      <c r="R192" s="128">
        <f>S192/$C$192</f>
        <v>2</v>
      </c>
      <c r="S192" s="303">
        <v>260</v>
      </c>
      <c r="T192" s="128">
        <f>U192/$C$192</f>
        <v>2</v>
      </c>
      <c r="U192" s="302">
        <v>260</v>
      </c>
      <c r="V192" s="128">
        <v>0</v>
      </c>
      <c r="W192" s="127">
        <v>0</v>
      </c>
      <c r="X192" s="128">
        <v>0</v>
      </c>
      <c r="Y192" s="127">
        <v>0</v>
      </c>
      <c r="Z192" s="128">
        <v>0</v>
      </c>
      <c r="AA192" s="127">
        <v>0</v>
      </c>
      <c r="AB192" s="128">
        <v>0</v>
      </c>
      <c r="AC192" s="127">
        <v>0</v>
      </c>
      <c r="AD192" s="127">
        <f>SUM(G192,I192,K192,M192,O192,Q192,S192,U192,W192,Y192,AA192,AC192)</f>
        <v>2080</v>
      </c>
    </row>
    <row r="193" spans="1:30" x14ac:dyDescent="0.25">
      <c r="A193" s="1">
        <v>190</v>
      </c>
      <c r="B193" s="19" t="s">
        <v>210</v>
      </c>
      <c r="C193" s="1">
        <f>'Exh IDM-2 - Revenue Summary'!D314</f>
        <v>0.10401000000000001</v>
      </c>
      <c r="F193" s="128">
        <f>G193/$C$193</f>
        <v>8000</v>
      </c>
      <c r="G193" s="302">
        <v>832.08</v>
      </c>
      <c r="H193" s="128">
        <f>I193/$C$193</f>
        <v>8000</v>
      </c>
      <c r="I193" s="301">
        <v>832.08</v>
      </c>
      <c r="J193" s="128">
        <f>K193/$C$193</f>
        <v>8000</v>
      </c>
      <c r="K193" s="302">
        <v>832.08</v>
      </c>
      <c r="L193" s="128">
        <f>M193/$C$193</f>
        <v>8000</v>
      </c>
      <c r="M193" s="302">
        <v>832.08</v>
      </c>
      <c r="N193" s="128">
        <f>O193/$C$193</f>
        <v>8000</v>
      </c>
      <c r="O193" s="302">
        <v>832.08</v>
      </c>
      <c r="P193" s="128">
        <f>Q193/$C$193</f>
        <v>8000</v>
      </c>
      <c r="Q193" s="302">
        <v>832.08</v>
      </c>
      <c r="R193" s="128">
        <f>S193/$C$193</f>
        <v>7837.9963465051433</v>
      </c>
      <c r="S193" s="303">
        <v>815.23</v>
      </c>
      <c r="T193" s="128">
        <f>U193/$C$193</f>
        <v>7496.0099990385534</v>
      </c>
      <c r="U193" s="302">
        <v>779.66</v>
      </c>
      <c r="V193" s="183"/>
      <c r="W193" s="127">
        <v>0</v>
      </c>
      <c r="Y193" s="127">
        <v>0</v>
      </c>
      <c r="AA193" s="127">
        <v>0</v>
      </c>
      <c r="AC193" s="127">
        <v>0</v>
      </c>
      <c r="AD193" s="127">
        <f t="shared" si="28"/>
        <v>61921.376345543715</v>
      </c>
    </row>
    <row r="194" spans="1:30" x14ac:dyDescent="0.25">
      <c r="A194" s="1">
        <v>191</v>
      </c>
      <c r="B194" s="19" t="s">
        <v>199</v>
      </c>
      <c r="C194" s="1">
        <f>'Exh IDM-2 - Revenue Summary'!D315</f>
        <v>8.4459999999999993E-2</v>
      </c>
      <c r="F194" s="128">
        <f>G194/$C$194</f>
        <v>11015.036703765098</v>
      </c>
      <c r="G194" s="302">
        <v>930.33</v>
      </c>
      <c r="H194" s="128">
        <f>I194/$C$194</f>
        <v>10618.991238456074</v>
      </c>
      <c r="I194" s="301">
        <v>896.88</v>
      </c>
      <c r="J194" s="128">
        <f>K194/$C$194</f>
        <v>8848.9225668955733</v>
      </c>
      <c r="K194" s="302">
        <v>747.38</v>
      </c>
      <c r="L194" s="128">
        <f>M194/$C$194</f>
        <v>8354.9609282500587</v>
      </c>
      <c r="M194" s="302">
        <v>705.66</v>
      </c>
      <c r="N194" s="128">
        <f>O194/$C$194</f>
        <v>4692.043570921147</v>
      </c>
      <c r="O194" s="302">
        <v>396.29</v>
      </c>
      <c r="P194" s="128">
        <f>Q194/$C$194</f>
        <v>984.96329623490419</v>
      </c>
      <c r="Q194" s="302">
        <v>83.19</v>
      </c>
      <c r="R194" s="128">
        <f>S194/$C$194</f>
        <v>722.94577314705191</v>
      </c>
      <c r="S194" s="303">
        <v>61.06</v>
      </c>
      <c r="T194" s="128">
        <f>U194/$C$194</f>
        <v>748.99360644091882</v>
      </c>
      <c r="U194" s="302">
        <v>63.26</v>
      </c>
      <c r="V194" s="183"/>
      <c r="W194" s="127">
        <v>0</v>
      </c>
      <c r="Y194" s="127">
        <v>0</v>
      </c>
      <c r="AA194" s="127">
        <v>0</v>
      </c>
      <c r="AC194" s="127">
        <v>0</v>
      </c>
      <c r="AD194" s="127">
        <f t="shared" si="28"/>
        <v>38855.870980345739</v>
      </c>
    </row>
    <row r="195" spans="1:30" x14ac:dyDescent="0.25">
      <c r="A195" s="1">
        <v>192</v>
      </c>
      <c r="B195" s="19" t="s">
        <v>11</v>
      </c>
      <c r="G195" s="302">
        <v>8208.2000000000007</v>
      </c>
      <c r="H195" s="183"/>
      <c r="I195" s="301">
        <v>8037.27</v>
      </c>
      <c r="J195" s="315"/>
      <c r="K195" s="302">
        <v>7273.21</v>
      </c>
      <c r="L195" s="183"/>
      <c r="M195" s="302">
        <v>7059.97</v>
      </c>
      <c r="N195" s="183"/>
      <c r="O195" s="302">
        <v>5478.75</v>
      </c>
      <c r="P195" s="183"/>
      <c r="Q195" s="302">
        <v>3878.55</v>
      </c>
      <c r="R195" s="183"/>
      <c r="S195" s="303">
        <v>3695.53</v>
      </c>
      <c r="T195" s="316"/>
      <c r="U195" s="302">
        <v>3559.12</v>
      </c>
      <c r="V195" s="183"/>
      <c r="W195" s="127">
        <v>0</v>
      </c>
      <c r="Y195" s="127">
        <v>0</v>
      </c>
      <c r="AA195" s="127">
        <v>0</v>
      </c>
      <c r="AC195" s="127">
        <v>0</v>
      </c>
      <c r="AD195" s="127">
        <f t="shared" si="28"/>
        <v>47190.600000000006</v>
      </c>
    </row>
    <row r="196" spans="1:30" x14ac:dyDescent="0.25">
      <c r="A196" s="1">
        <v>193</v>
      </c>
      <c r="B196" s="19" t="s">
        <v>139</v>
      </c>
      <c r="G196" s="302">
        <v>17.11</v>
      </c>
      <c r="H196" s="183"/>
      <c r="I196" s="301">
        <v>16.760000000000002</v>
      </c>
      <c r="J196" s="315"/>
      <c r="K196" s="302">
        <v>15.16</v>
      </c>
      <c r="L196" s="183"/>
      <c r="M196" s="302">
        <v>14.72</v>
      </c>
      <c r="N196" s="183"/>
      <c r="O196" s="302">
        <v>11.42</v>
      </c>
      <c r="P196" s="183"/>
      <c r="Q196" s="302">
        <v>8.09</v>
      </c>
      <c r="R196" s="183"/>
      <c r="S196" s="303">
        <v>7.7</v>
      </c>
      <c r="T196" s="316"/>
      <c r="U196" s="302">
        <v>7.42</v>
      </c>
      <c r="V196" s="183"/>
      <c r="W196" s="127">
        <v>0</v>
      </c>
      <c r="Y196" s="127">
        <v>0</v>
      </c>
      <c r="AA196" s="127">
        <v>0</v>
      </c>
      <c r="AC196" s="127">
        <v>0</v>
      </c>
      <c r="AD196" s="127">
        <f t="shared" si="28"/>
        <v>98.38000000000001</v>
      </c>
    </row>
    <row r="197" spans="1:30" x14ac:dyDescent="0.25">
      <c r="A197" s="1">
        <v>194</v>
      </c>
      <c r="B197" s="19" t="s">
        <v>140</v>
      </c>
      <c r="G197" s="302">
        <v>43.74</v>
      </c>
      <c r="H197" s="183"/>
      <c r="I197" s="301">
        <v>42.82</v>
      </c>
      <c r="J197" s="315"/>
      <c r="K197" s="302">
        <v>38.75</v>
      </c>
      <c r="L197" s="183"/>
      <c r="M197" s="302">
        <v>37.61</v>
      </c>
      <c r="N197" s="183"/>
      <c r="O197" s="302">
        <v>29.19</v>
      </c>
      <c r="P197" s="183"/>
      <c r="Q197" s="302">
        <v>20.67</v>
      </c>
      <c r="R197" s="183"/>
      <c r="S197" s="303">
        <v>19.690000000000001</v>
      </c>
      <c r="T197" s="316"/>
      <c r="U197" s="302">
        <v>18.96</v>
      </c>
      <c r="V197" s="183"/>
      <c r="W197" s="127">
        <v>0</v>
      </c>
      <c r="Y197" s="127">
        <v>0</v>
      </c>
      <c r="AA197" s="127">
        <v>0</v>
      </c>
      <c r="AC197" s="127">
        <v>0</v>
      </c>
      <c r="AD197" s="127">
        <f t="shared" si="28"/>
        <v>251.43000000000004</v>
      </c>
    </row>
    <row r="198" spans="1:30" x14ac:dyDescent="0.25">
      <c r="A198" s="1">
        <v>195</v>
      </c>
      <c r="B198" s="19" t="s">
        <v>141</v>
      </c>
      <c r="G198" s="302">
        <v>-19.77</v>
      </c>
      <c r="H198" s="183"/>
      <c r="I198" s="301">
        <v>-19.36</v>
      </c>
      <c r="J198" s="315"/>
      <c r="K198" s="302">
        <v>-17.52</v>
      </c>
      <c r="L198" s="183"/>
      <c r="M198" s="302">
        <v>-17.010000000000002</v>
      </c>
      <c r="N198" s="183"/>
      <c r="O198" s="302">
        <v>-13.2</v>
      </c>
      <c r="P198" s="183"/>
      <c r="Q198" s="302">
        <v>-9.34</v>
      </c>
      <c r="R198" s="183"/>
      <c r="S198" s="303">
        <v>-8.9</v>
      </c>
      <c r="T198" s="316"/>
      <c r="U198" s="302">
        <v>-8.58</v>
      </c>
      <c r="V198" s="183"/>
      <c r="W198" s="127">
        <v>0</v>
      </c>
      <c r="Y198" s="127">
        <v>0</v>
      </c>
      <c r="AA198" s="127">
        <v>0</v>
      </c>
      <c r="AC198" s="127">
        <v>0</v>
      </c>
      <c r="AD198" s="127">
        <f t="shared" si="28"/>
        <v>-113.68</v>
      </c>
    </row>
    <row r="199" spans="1:30" x14ac:dyDescent="0.25">
      <c r="A199" s="1">
        <v>196</v>
      </c>
      <c r="B199" s="19" t="s">
        <v>142</v>
      </c>
      <c r="G199" s="302">
        <v>1059.33</v>
      </c>
      <c r="H199" s="183"/>
      <c r="I199" s="301">
        <v>1037.27</v>
      </c>
      <c r="J199" s="315"/>
      <c r="K199" s="302">
        <v>938.65</v>
      </c>
      <c r="L199" s="183"/>
      <c r="M199" s="302">
        <v>911.13</v>
      </c>
      <c r="N199" s="183"/>
      <c r="O199" s="302">
        <v>707.07</v>
      </c>
      <c r="P199" s="183"/>
      <c r="Q199" s="302">
        <v>500.55</v>
      </c>
      <c r="R199" s="183"/>
      <c r="S199" s="303">
        <v>476.93</v>
      </c>
      <c r="T199" s="316"/>
      <c r="U199" s="302">
        <v>459.33</v>
      </c>
      <c r="V199" s="183"/>
      <c r="W199" s="127">
        <v>0</v>
      </c>
      <c r="Y199" s="127">
        <v>0</v>
      </c>
      <c r="AA199" s="127">
        <v>0</v>
      </c>
      <c r="AC199" s="127">
        <v>0</v>
      </c>
      <c r="AD199" s="127">
        <f t="shared" ref="AD199:AD261" si="37">SUM(G199:AC199)</f>
        <v>6090.26</v>
      </c>
    </row>
    <row r="200" spans="1:30" x14ac:dyDescent="0.25">
      <c r="A200" s="1">
        <v>197</v>
      </c>
      <c r="B200" s="19" t="s">
        <v>143</v>
      </c>
      <c r="G200" s="302">
        <v>259.56</v>
      </c>
      <c r="H200" s="183"/>
      <c r="I200" s="301">
        <v>254.15</v>
      </c>
      <c r="J200" s="315"/>
      <c r="K200" s="302">
        <v>229.99</v>
      </c>
      <c r="L200" s="183"/>
      <c r="M200" s="302">
        <v>223.25</v>
      </c>
      <c r="N200" s="183"/>
      <c r="O200" s="302">
        <v>173.25</v>
      </c>
      <c r="P200" s="183"/>
      <c r="Q200" s="302">
        <v>122.65</v>
      </c>
      <c r="R200" s="183"/>
      <c r="S200" s="303">
        <v>116.86</v>
      </c>
      <c r="T200" s="316"/>
      <c r="U200" s="302">
        <v>112.54</v>
      </c>
      <c r="V200" s="183"/>
      <c r="W200" s="127">
        <v>0</v>
      </c>
      <c r="Y200" s="127">
        <v>0</v>
      </c>
      <c r="AA200" s="127">
        <v>0</v>
      </c>
      <c r="AC200" s="127">
        <v>0</v>
      </c>
      <c r="AD200" s="127">
        <f t="shared" si="37"/>
        <v>1492.25</v>
      </c>
    </row>
    <row r="201" spans="1:30" x14ac:dyDescent="0.25">
      <c r="A201" s="1">
        <v>198</v>
      </c>
      <c r="B201" s="19" t="s">
        <v>144</v>
      </c>
      <c r="G201" s="302">
        <v>387.2</v>
      </c>
      <c r="H201" s="183"/>
      <c r="I201" s="301">
        <v>387.45</v>
      </c>
      <c r="J201" s="315"/>
      <c r="K201" s="302">
        <v>363.83</v>
      </c>
      <c r="L201" s="183"/>
      <c r="M201" s="302">
        <v>384.7</v>
      </c>
      <c r="N201" s="183"/>
      <c r="O201" s="302">
        <v>337.95</v>
      </c>
      <c r="P201" s="183"/>
      <c r="Q201" s="302">
        <v>273.53000000000003</v>
      </c>
      <c r="R201" s="183"/>
      <c r="S201" s="303">
        <v>267.63</v>
      </c>
      <c r="T201" s="316"/>
      <c r="U201" s="302">
        <v>255.17</v>
      </c>
      <c r="V201" s="183"/>
      <c r="W201" s="127">
        <v>0</v>
      </c>
      <c r="Y201" s="127">
        <v>0</v>
      </c>
      <c r="AA201" s="127">
        <v>0</v>
      </c>
      <c r="AC201" s="127">
        <v>0</v>
      </c>
      <c r="AD201" s="127">
        <f t="shared" si="37"/>
        <v>2657.4600000000005</v>
      </c>
    </row>
    <row r="202" spans="1:30" x14ac:dyDescent="0.25">
      <c r="A202" s="1">
        <v>199</v>
      </c>
      <c r="B202" s="19" t="s">
        <v>30</v>
      </c>
      <c r="G202" s="302">
        <f>SUM(G192:G201)</f>
        <v>11977.78</v>
      </c>
      <c r="H202" s="302"/>
      <c r="I202" s="302">
        <f t="shared" ref="I202:AC202" si="38">SUM(I192:I201)</f>
        <v>11745.32</v>
      </c>
      <c r="J202" s="302"/>
      <c r="K202" s="302">
        <f t="shared" si="38"/>
        <v>10681.529999999999</v>
      </c>
      <c r="L202" s="302"/>
      <c r="M202" s="302">
        <f t="shared" si="38"/>
        <v>10412.109999999999</v>
      </c>
      <c r="N202" s="302"/>
      <c r="O202" s="302">
        <f t="shared" si="38"/>
        <v>8212.7999999999993</v>
      </c>
      <c r="P202" s="302"/>
      <c r="Q202" s="302">
        <f t="shared" si="38"/>
        <v>5969.9699999999993</v>
      </c>
      <c r="R202" s="302"/>
      <c r="S202" s="302">
        <f t="shared" si="38"/>
        <v>5711.73</v>
      </c>
      <c r="T202" s="302"/>
      <c r="U202" s="302">
        <f t="shared" si="38"/>
        <v>5506.88</v>
      </c>
      <c r="V202" s="302"/>
      <c r="W202" s="302">
        <f t="shared" si="38"/>
        <v>0</v>
      </c>
      <c r="X202" s="302"/>
      <c r="Y202" s="302">
        <f t="shared" si="38"/>
        <v>0</v>
      </c>
      <c r="Z202" s="302"/>
      <c r="AA202" s="302">
        <f t="shared" si="38"/>
        <v>0</v>
      </c>
      <c r="AB202" s="302"/>
      <c r="AC202" s="302">
        <f t="shared" si="38"/>
        <v>0</v>
      </c>
      <c r="AD202" s="127">
        <f t="shared" si="37"/>
        <v>70218.12</v>
      </c>
    </row>
    <row r="203" spans="1:30" x14ac:dyDescent="0.25">
      <c r="A203" s="1">
        <v>200</v>
      </c>
      <c r="B203" s="19" t="s">
        <v>31</v>
      </c>
      <c r="G203" s="550">
        <v>19015</v>
      </c>
      <c r="H203" s="550"/>
      <c r="I203" s="551">
        <v>18619</v>
      </c>
      <c r="J203" s="551"/>
      <c r="K203" s="550">
        <v>16849</v>
      </c>
      <c r="L203" s="550"/>
      <c r="M203" s="550">
        <v>16355</v>
      </c>
      <c r="N203" s="550"/>
      <c r="O203" s="550">
        <v>12692</v>
      </c>
      <c r="P203" s="550"/>
      <c r="Q203" s="550">
        <v>8985</v>
      </c>
      <c r="R203" s="550"/>
      <c r="S203" s="552">
        <v>8561</v>
      </c>
      <c r="T203" s="552"/>
      <c r="U203" s="98"/>
      <c r="V203" s="98"/>
      <c r="W203" s="98">
        <v>0</v>
      </c>
      <c r="X203" s="98"/>
      <c r="Y203" s="98">
        <v>0</v>
      </c>
      <c r="Z203" s="98"/>
      <c r="AA203" s="98">
        <v>0</v>
      </c>
      <c r="AB203" s="98"/>
      <c r="AC203" s="98">
        <v>0</v>
      </c>
      <c r="AD203" s="127">
        <f t="shared" si="37"/>
        <v>101076</v>
      </c>
    </row>
    <row r="204" spans="1:30" x14ac:dyDescent="0.25">
      <c r="A204" s="1">
        <v>201</v>
      </c>
      <c r="B204" s="1" t="s">
        <v>32</v>
      </c>
      <c r="G204" s="98"/>
      <c r="H204" s="98"/>
      <c r="I204" s="98"/>
      <c r="J204" s="98"/>
      <c r="K204" s="98"/>
      <c r="L204" s="98"/>
      <c r="M204" s="98"/>
      <c r="N204" s="98"/>
      <c r="O204" s="98"/>
      <c r="P204" s="98"/>
      <c r="Q204" s="98"/>
      <c r="R204" s="98"/>
      <c r="S204" s="552"/>
      <c r="T204" s="552"/>
      <c r="U204" s="98"/>
      <c r="V204" s="98"/>
      <c r="W204" s="98">
        <v>0</v>
      </c>
      <c r="X204" s="98"/>
      <c r="Y204" s="98">
        <v>0</v>
      </c>
      <c r="Z204" s="98"/>
      <c r="AA204" s="98">
        <v>0</v>
      </c>
      <c r="AB204" s="98"/>
      <c r="AC204" s="98">
        <v>0</v>
      </c>
      <c r="AD204" s="127">
        <f t="shared" si="37"/>
        <v>0</v>
      </c>
    </row>
    <row r="205" spans="1:30" x14ac:dyDescent="0.25">
      <c r="A205" s="1">
        <v>202</v>
      </c>
      <c r="B205" s="1" t="s">
        <v>33</v>
      </c>
      <c r="G205" s="550">
        <f>SUM(G203:G204)</f>
        <v>19015</v>
      </c>
      <c r="H205" s="550"/>
      <c r="I205" s="550">
        <f t="shared" ref="I205:AC205" si="39">SUM(I203:I204)</f>
        <v>18619</v>
      </c>
      <c r="J205" s="550"/>
      <c r="K205" s="550">
        <f t="shared" si="39"/>
        <v>16849</v>
      </c>
      <c r="L205" s="550"/>
      <c r="M205" s="550">
        <f t="shared" si="39"/>
        <v>16355</v>
      </c>
      <c r="N205" s="550"/>
      <c r="O205" s="550">
        <f t="shared" si="39"/>
        <v>12692</v>
      </c>
      <c r="P205" s="550"/>
      <c r="Q205" s="550">
        <f t="shared" si="39"/>
        <v>8985</v>
      </c>
      <c r="R205" s="550"/>
      <c r="S205" s="550">
        <f t="shared" si="39"/>
        <v>8561</v>
      </c>
      <c r="T205" s="550"/>
      <c r="U205" s="550">
        <f t="shared" si="39"/>
        <v>0</v>
      </c>
      <c r="V205" s="550"/>
      <c r="W205" s="550">
        <f t="shared" si="39"/>
        <v>0</v>
      </c>
      <c r="X205" s="550"/>
      <c r="Y205" s="550">
        <f t="shared" si="39"/>
        <v>0</v>
      </c>
      <c r="Z205" s="550"/>
      <c r="AA205" s="550">
        <f t="shared" si="39"/>
        <v>0</v>
      </c>
      <c r="AB205" s="550"/>
      <c r="AC205" s="550">
        <f t="shared" si="39"/>
        <v>0</v>
      </c>
      <c r="AD205" s="127">
        <f t="shared" si="37"/>
        <v>101076</v>
      </c>
    </row>
    <row r="206" spans="1:30" x14ac:dyDescent="0.25">
      <c r="A206" s="1">
        <v>203</v>
      </c>
      <c r="B206" s="19"/>
    </row>
    <row r="207" spans="1:30" x14ac:dyDescent="0.25">
      <c r="A207" s="1">
        <v>204</v>
      </c>
      <c r="B207" s="30" t="s">
        <v>159</v>
      </c>
    </row>
    <row r="208" spans="1:30" x14ac:dyDescent="0.25">
      <c r="A208" s="1">
        <v>205</v>
      </c>
      <c r="B208" s="19" t="s">
        <v>9</v>
      </c>
      <c r="C208" s="182">
        <f>'Exh IDM-2 - Revenue Summary'!D344</f>
        <v>500</v>
      </c>
      <c r="D208" s="182"/>
      <c r="E208" s="127">
        <f>'Exh IDM-2 - Revenue Summary'!D345</f>
        <v>625</v>
      </c>
      <c r="F208" s="128">
        <f>G208/$C$208</f>
        <v>184</v>
      </c>
      <c r="G208" s="302">
        <v>92000</v>
      </c>
      <c r="H208" s="128">
        <f>I208/$C$208</f>
        <v>184</v>
      </c>
      <c r="I208" s="302">
        <v>92000</v>
      </c>
      <c r="J208" s="128">
        <f>K208/$C$208</f>
        <v>184</v>
      </c>
      <c r="K208" s="302">
        <v>92000</v>
      </c>
      <c r="L208" s="128">
        <f>M208/$C$208</f>
        <v>184</v>
      </c>
      <c r="M208" s="302">
        <v>92000</v>
      </c>
      <c r="N208" s="128">
        <f>O208/$C$208</f>
        <v>185</v>
      </c>
      <c r="O208" s="302">
        <v>92500</v>
      </c>
      <c r="P208" s="128">
        <f>Q208/$C$208</f>
        <v>185</v>
      </c>
      <c r="Q208" s="302">
        <v>92500</v>
      </c>
      <c r="R208" s="128">
        <f>S208/$C$208</f>
        <v>186</v>
      </c>
      <c r="S208" s="302">
        <v>93000</v>
      </c>
      <c r="T208" s="128">
        <f>U208/$C$208</f>
        <v>186</v>
      </c>
      <c r="U208" s="302">
        <v>93000</v>
      </c>
      <c r="V208" s="183">
        <f>W208/$E$208</f>
        <v>186</v>
      </c>
      <c r="W208" s="304">
        <v>116250</v>
      </c>
      <c r="X208" s="183">
        <f>Y208/$E$208</f>
        <v>187</v>
      </c>
      <c r="Y208" s="302">
        <v>116875</v>
      </c>
      <c r="Z208" s="183">
        <f>AA208/$E$208</f>
        <v>184</v>
      </c>
      <c r="AA208" s="302">
        <v>115000</v>
      </c>
      <c r="AB208" s="183">
        <f>AC208/$E$208</f>
        <v>185</v>
      </c>
      <c r="AC208" s="302">
        <v>115625</v>
      </c>
      <c r="AD208" s="127">
        <f>SUM(G208,I208,K208,M208,O208,Q208,S208,U208,W208,Y208,AA208,AC208)</f>
        <v>1202750</v>
      </c>
    </row>
    <row r="209" spans="1:30" x14ac:dyDescent="0.25">
      <c r="A209" s="1">
        <v>206</v>
      </c>
      <c r="B209" s="19" t="s">
        <v>191</v>
      </c>
      <c r="C209" s="1">
        <f>'Exh IDM-2 - Revenue Summary'!D346</f>
        <v>0.2</v>
      </c>
      <c r="E209" s="1">
        <f>'Exh IDM-2 - Revenue Summary'!D347</f>
        <v>0.2</v>
      </c>
      <c r="F209" s="128">
        <f>G209/$C$209</f>
        <v>1295555</v>
      </c>
      <c r="G209" s="302">
        <v>259111</v>
      </c>
      <c r="H209" s="128">
        <f>I209/$C$209</f>
        <v>1295420</v>
      </c>
      <c r="I209" s="302">
        <v>259084</v>
      </c>
      <c r="J209" s="128">
        <f>K209/$C$209</f>
        <v>1298205</v>
      </c>
      <c r="K209" s="302">
        <v>259641</v>
      </c>
      <c r="L209" s="128">
        <f>M209/$C$209</f>
        <v>1298205</v>
      </c>
      <c r="M209" s="302">
        <v>259641</v>
      </c>
      <c r="N209" s="128">
        <f>O209/$C$209</f>
        <v>1299605</v>
      </c>
      <c r="O209" s="302">
        <v>259921</v>
      </c>
      <c r="P209" s="128">
        <f>Q209/$C$209</f>
        <v>1299605</v>
      </c>
      <c r="Q209" s="302">
        <v>259921</v>
      </c>
      <c r="R209" s="128">
        <f>S209/$C$209</f>
        <v>1303280</v>
      </c>
      <c r="S209" s="302">
        <v>260656</v>
      </c>
      <c r="T209" s="128">
        <f>U209/$C$209</f>
        <v>1303280</v>
      </c>
      <c r="U209" s="302">
        <v>260656</v>
      </c>
      <c r="V209" s="183">
        <f>W209/$E$209</f>
        <v>1304280</v>
      </c>
      <c r="W209" s="304">
        <v>260856</v>
      </c>
      <c r="X209" s="183">
        <f>Y209/$E$209</f>
        <v>1506280</v>
      </c>
      <c r="Y209" s="302">
        <v>301256</v>
      </c>
      <c r="Z209" s="183">
        <f>AA209/$E$209</f>
        <v>1508670</v>
      </c>
      <c r="AA209" s="302">
        <v>301734</v>
      </c>
      <c r="AB209" s="183">
        <f>AC209/$E$209</f>
        <v>1510670</v>
      </c>
      <c r="AC209" s="302">
        <v>302134</v>
      </c>
      <c r="AD209" s="127">
        <f t="shared" ref="AD209:AD214" si="40">SUM(G209,I209,K209,M209,O209,Q209,S209,U209,W209,Y209,AA209,AC209)</f>
        <v>3244611</v>
      </c>
    </row>
    <row r="210" spans="1:30" x14ac:dyDescent="0.25">
      <c r="A210" s="1">
        <v>207</v>
      </c>
      <c r="B210" s="19" t="s">
        <v>192</v>
      </c>
      <c r="C210" s="1">
        <f>'Exh IDM-2 - Revenue Summary'!D348</f>
        <v>4.0000000000000002E-4</v>
      </c>
      <c r="E210" s="1">
        <f>'Exh IDM-2 - Revenue Summary'!D348</f>
        <v>4.0000000000000002E-4</v>
      </c>
      <c r="F210" s="128">
        <f>G210/$C$210</f>
        <v>33603550</v>
      </c>
      <c r="G210" s="302">
        <v>13441.42</v>
      </c>
      <c r="H210" s="128">
        <f>I210/$C$210</f>
        <v>35677399.999999993</v>
      </c>
      <c r="I210" s="302">
        <v>14270.96</v>
      </c>
      <c r="J210" s="128">
        <f>K210/$C$210</f>
        <v>31086975</v>
      </c>
      <c r="K210" s="302">
        <v>12434.79</v>
      </c>
      <c r="L210" s="128">
        <f>M210/$C$210</f>
        <v>32758600</v>
      </c>
      <c r="M210" s="302">
        <v>13103.44</v>
      </c>
      <c r="N210" s="128">
        <f>O210/$C$210</f>
        <v>27389499.999999996</v>
      </c>
      <c r="O210" s="302">
        <v>10955.8</v>
      </c>
      <c r="P210" s="128">
        <f>Q210/$C$210</f>
        <v>28476399.999999996</v>
      </c>
      <c r="Q210" s="302">
        <v>11390.56</v>
      </c>
      <c r="R210" s="128">
        <f>S210/$C$210</f>
        <v>27333325</v>
      </c>
      <c r="S210" s="302">
        <v>10933.33</v>
      </c>
      <c r="T210" s="128">
        <f>U210/$C$210</f>
        <v>25857725</v>
      </c>
      <c r="U210" s="302">
        <v>10343.09</v>
      </c>
      <c r="V210" s="183">
        <f>W210/$E$210</f>
        <v>26924899.999999996</v>
      </c>
      <c r="W210" s="304">
        <v>10769.96</v>
      </c>
      <c r="X210" s="183">
        <f>Y210/$E$210</f>
        <v>30461100</v>
      </c>
      <c r="Y210" s="302">
        <v>12184.44</v>
      </c>
      <c r="Z210" s="183">
        <f>AA210/$E$210</f>
        <v>32448625</v>
      </c>
      <c r="AA210" s="302">
        <v>12979.45</v>
      </c>
      <c r="AB210" s="183">
        <f>AC210/$E$210</f>
        <v>25948600</v>
      </c>
      <c r="AC210" s="302">
        <v>10379.44</v>
      </c>
      <c r="AD210" s="127">
        <f t="shared" si="40"/>
        <v>143186.68000000002</v>
      </c>
    </row>
    <row r="211" spans="1:30" x14ac:dyDescent="0.25">
      <c r="A211" s="1">
        <v>208</v>
      </c>
      <c r="B211" s="19" t="s">
        <v>193</v>
      </c>
      <c r="C211" s="1">
        <f>'Exh IDM-2 - Revenue Summary'!D350</f>
        <v>5.7299999999999997E-2</v>
      </c>
      <c r="E211" s="1">
        <f>'Exh IDM-2 - Revenue Summary'!D354</f>
        <v>5.3310000000000003E-2</v>
      </c>
      <c r="F211" s="128">
        <f>G211/$C$211</f>
        <v>8448278.0104712043</v>
      </c>
      <c r="G211" s="302">
        <v>484086.33</v>
      </c>
      <c r="H211" s="128">
        <f>I211/$C$211</f>
        <v>8243853.0541012222</v>
      </c>
      <c r="I211" s="302">
        <v>472372.78</v>
      </c>
      <c r="J211" s="128">
        <f>K211/$C$211</f>
        <v>8036899.1273996513</v>
      </c>
      <c r="K211" s="302">
        <v>460514.32</v>
      </c>
      <c r="L211" s="128">
        <f>M211/$C$211</f>
        <v>8021019.5462478185</v>
      </c>
      <c r="M211" s="302">
        <v>459604.42</v>
      </c>
      <c r="N211" s="128">
        <f>O211/$C$211</f>
        <v>7423543.2809773134</v>
      </c>
      <c r="O211" s="302">
        <v>425369.03</v>
      </c>
      <c r="P211" s="128">
        <f>Q211/$C$211</f>
        <v>7274644.5026178015</v>
      </c>
      <c r="Q211" s="302">
        <v>416837.13</v>
      </c>
      <c r="R211" s="128">
        <f>S211/$C$211</f>
        <v>7331652.0069808029</v>
      </c>
      <c r="S211" s="302">
        <v>420103.66</v>
      </c>
      <c r="T211" s="128">
        <f>U211/$C$211</f>
        <v>7085472.7748691104</v>
      </c>
      <c r="U211" s="302">
        <v>405997.59</v>
      </c>
      <c r="V211" s="183">
        <f>W211/$E$211</f>
        <v>7459443.4440067522</v>
      </c>
      <c r="W211" s="304">
        <v>397662.93</v>
      </c>
      <c r="X211" s="183">
        <f>Y211/$E$211</f>
        <v>8410175.3892327882</v>
      </c>
      <c r="Y211" s="302">
        <v>448346.45</v>
      </c>
      <c r="Z211" s="183">
        <f>AA211/$E$211</f>
        <v>8964444.1943350211</v>
      </c>
      <c r="AA211" s="302">
        <v>477894.52</v>
      </c>
      <c r="AB211" s="183">
        <f>AC211/$E$211</f>
        <v>8142146.876758581</v>
      </c>
      <c r="AC211" s="302">
        <v>434057.85</v>
      </c>
      <c r="AD211" s="127">
        <f>SUM(G211,I211,K211,M211,O211,Q211,S211,U211,W211,Y211,AA211,AC211)</f>
        <v>5302847.01</v>
      </c>
    </row>
    <row r="212" spans="1:30" x14ac:dyDescent="0.25">
      <c r="A212" s="1">
        <v>209</v>
      </c>
      <c r="B212" s="19" t="s">
        <v>155</v>
      </c>
      <c r="C212" s="1">
        <f>'Exh IDM-2 - Revenue Summary'!D351</f>
        <v>2.0230000000000001E-2</v>
      </c>
      <c r="E212" s="1">
        <f>'Exh IDM-2 - Revenue Summary'!D355</f>
        <v>1.9449999999999999E-2</v>
      </c>
      <c r="F212" s="128">
        <f>G212/$C$212</f>
        <v>5693960.4547701431</v>
      </c>
      <c r="G212" s="302">
        <v>115188.82</v>
      </c>
      <c r="H212" s="128">
        <f>I212/$C$212</f>
        <v>5743828.9668808701</v>
      </c>
      <c r="I212" s="302">
        <v>116197.66</v>
      </c>
      <c r="J212" s="128">
        <f>K212/$C$212</f>
        <v>5379214.5328719718</v>
      </c>
      <c r="K212" s="302">
        <v>108821.51</v>
      </c>
      <c r="L212" s="128">
        <f>M212/$C$212</f>
        <v>5639525.4572417205</v>
      </c>
      <c r="M212" s="302">
        <v>114087.6</v>
      </c>
      <c r="N212" s="128">
        <f>O212/$C$212</f>
        <v>5453297.0835392978</v>
      </c>
      <c r="O212" s="302">
        <v>110320.2</v>
      </c>
      <c r="P212" s="128">
        <f>Q212/$C$212</f>
        <v>5213872.9609490847</v>
      </c>
      <c r="Q212" s="302">
        <v>105476.65</v>
      </c>
      <c r="R212" s="128">
        <f>S212/$C$212</f>
        <v>5082450.3213049918</v>
      </c>
      <c r="S212" s="302">
        <v>102817.97</v>
      </c>
      <c r="T212" s="128">
        <f>U212/$C$212</f>
        <v>4610069.2041522488</v>
      </c>
      <c r="U212" s="302">
        <v>93261.7</v>
      </c>
      <c r="V212" s="183">
        <f>W212/$E$212</f>
        <v>4972736.2467866326</v>
      </c>
      <c r="W212" s="304">
        <v>96719.72</v>
      </c>
      <c r="X212" s="183">
        <f>Y212/$E$212</f>
        <v>5488849.3573264787</v>
      </c>
      <c r="Y212" s="302">
        <v>106758.12</v>
      </c>
      <c r="Z212" s="183">
        <f>AA212/$E$212</f>
        <v>6473544.4730077125</v>
      </c>
      <c r="AA212" s="302">
        <v>125910.44</v>
      </c>
      <c r="AB212" s="183">
        <f>AC212/$E$212</f>
        <v>5561819.5372750647</v>
      </c>
      <c r="AC212" s="302">
        <v>108177.39</v>
      </c>
      <c r="AD212" s="127">
        <f t="shared" si="40"/>
        <v>1303737.7799999996</v>
      </c>
    </row>
    <row r="213" spans="1:30" x14ac:dyDescent="0.25">
      <c r="A213" s="1">
        <v>210</v>
      </c>
      <c r="B213" s="19" t="s">
        <v>155</v>
      </c>
      <c r="C213" s="1">
        <f>'Exh IDM-2 - Revenue Summary'!D352</f>
        <v>1.187E-2</v>
      </c>
      <c r="E213" s="1">
        <f>'Exh IDM-2 - Revenue Summary'!D356</f>
        <v>1.1820000000000001E-2</v>
      </c>
      <c r="F213" s="128">
        <f>G213/$C$213</f>
        <v>3046636.8997472622</v>
      </c>
      <c r="G213" s="302">
        <v>36163.58</v>
      </c>
      <c r="H213" s="128">
        <f>I213/$C$213</f>
        <v>2863199.6630160068</v>
      </c>
      <c r="I213" s="302">
        <v>33986.18</v>
      </c>
      <c r="J213" s="128">
        <f>K213/$C$213</f>
        <v>2845153.3277169336</v>
      </c>
      <c r="K213" s="302">
        <v>33771.97</v>
      </c>
      <c r="L213" s="128">
        <f>M213/$C$213</f>
        <v>2901748.104465038</v>
      </c>
      <c r="M213" s="302">
        <v>34443.75</v>
      </c>
      <c r="N213" s="128">
        <f>O213/$C$213</f>
        <v>2594694.1870261161</v>
      </c>
      <c r="O213" s="302">
        <v>30799.02</v>
      </c>
      <c r="P213" s="128">
        <f>Q213/$C$213</f>
        <v>2721786.0151642794</v>
      </c>
      <c r="Q213" s="302">
        <v>32307.599999999999</v>
      </c>
      <c r="R213" s="128">
        <f>S213/$C$213</f>
        <v>2647459.9831508002</v>
      </c>
      <c r="S213" s="302">
        <v>31425.35</v>
      </c>
      <c r="T213" s="128">
        <f>U213/$C$213</f>
        <v>2339633.5299073295</v>
      </c>
      <c r="U213" s="302">
        <v>27771.45</v>
      </c>
      <c r="V213" s="183">
        <f>W213/$E$213</f>
        <v>2624146.3620981388</v>
      </c>
      <c r="W213" s="304">
        <v>31017.41</v>
      </c>
      <c r="X213" s="183">
        <f>Y213/$E$213</f>
        <v>2564507.614213198</v>
      </c>
      <c r="Y213" s="302">
        <v>30312.48</v>
      </c>
      <c r="Z213" s="183">
        <f>AA213/$E$213</f>
        <v>3175013.5363790188</v>
      </c>
      <c r="AA213" s="302">
        <v>37528.660000000003</v>
      </c>
      <c r="AB213" s="183">
        <f>AC213/$E$213</f>
        <v>2607796.9543147208</v>
      </c>
      <c r="AC213" s="302">
        <v>30824.16</v>
      </c>
      <c r="AD213" s="127">
        <f t="shared" si="40"/>
        <v>390351.60999999993</v>
      </c>
    </row>
    <row r="214" spans="1:30" x14ac:dyDescent="0.25">
      <c r="A214" s="1">
        <v>211</v>
      </c>
      <c r="B214" s="18" t="s">
        <v>156</v>
      </c>
      <c r="C214" s="1">
        <f>'Exh IDM-2 - Revenue Summary'!D353</f>
        <v>5.0800000000000003E-3</v>
      </c>
      <c r="E214" s="1">
        <f>'Exh IDM-2 - Revenue Summary'!D357</f>
        <v>5.62E-3</v>
      </c>
      <c r="F214" s="128">
        <f>G214/$C$214</f>
        <v>16414903.543307086</v>
      </c>
      <c r="G214" s="302">
        <v>83387.710000000006</v>
      </c>
      <c r="H214" s="128">
        <f>I214/$C$214</f>
        <v>18826590.5511811</v>
      </c>
      <c r="I214" s="302">
        <v>95639.08</v>
      </c>
      <c r="J214" s="128">
        <f>K214/$C$214</f>
        <v>14825738.188976377</v>
      </c>
      <c r="K214" s="302">
        <v>75314.75</v>
      </c>
      <c r="L214" s="128">
        <f>M214/$C$214</f>
        <v>16196224.409448819</v>
      </c>
      <c r="M214" s="302">
        <v>82276.820000000007</v>
      </c>
      <c r="N214" s="128">
        <f>O214/$C$214</f>
        <v>11917830.708661417</v>
      </c>
      <c r="O214" s="302">
        <v>60542.58</v>
      </c>
      <c r="P214" s="128">
        <f>Q214/$C$214</f>
        <v>13265982.283464566</v>
      </c>
      <c r="Q214" s="302">
        <v>67391.19</v>
      </c>
      <c r="R214" s="128">
        <f>S214/$C$214</f>
        <v>12271769.685039369</v>
      </c>
      <c r="S214" s="302">
        <v>62340.59</v>
      </c>
      <c r="T214" s="128">
        <f>U214/$C$214</f>
        <v>11822645.669291338</v>
      </c>
      <c r="U214" s="302">
        <v>60059.040000000001</v>
      </c>
      <c r="V214" s="183">
        <f>W214/$E$214</f>
        <v>11868660.142348753</v>
      </c>
      <c r="W214" s="304">
        <v>66701.87</v>
      </c>
      <c r="X214" s="183">
        <f>Y214/$E$214</f>
        <v>13997578.291814946</v>
      </c>
      <c r="Y214" s="302">
        <v>78666.39</v>
      </c>
      <c r="Z214" s="183">
        <f>AA214/$E$214</f>
        <v>13835578.291814946</v>
      </c>
      <c r="AA214" s="302">
        <v>77755.95</v>
      </c>
      <c r="AB214" s="183">
        <f>AC214/$E$214</f>
        <v>9636976.8683274016</v>
      </c>
      <c r="AC214" s="302">
        <v>54159.81</v>
      </c>
      <c r="AD214" s="127">
        <f t="shared" si="40"/>
        <v>864235.78</v>
      </c>
    </row>
    <row r="215" spans="1:30" x14ac:dyDescent="0.25">
      <c r="A215" s="1">
        <v>212</v>
      </c>
      <c r="B215" s="99" t="s">
        <v>224</v>
      </c>
      <c r="W215" s="304">
        <v>-15347.2</v>
      </c>
      <c r="X215" s="317"/>
      <c r="Y215" s="302">
        <v>-17362.8</v>
      </c>
      <c r="Z215" s="183"/>
      <c r="AA215" s="302">
        <v>-18495.740000000002</v>
      </c>
      <c r="AB215" s="183"/>
      <c r="AC215" s="302">
        <v>-16347.7</v>
      </c>
      <c r="AD215" s="127">
        <f t="shared" si="37"/>
        <v>-67553.440000000002</v>
      </c>
    </row>
    <row r="216" spans="1:30" x14ac:dyDescent="0.25">
      <c r="A216" s="1">
        <v>213</v>
      </c>
      <c r="B216" s="99" t="s">
        <v>225</v>
      </c>
      <c r="W216" s="304">
        <v>-7269.72</v>
      </c>
      <c r="X216" s="317"/>
      <c r="Y216" s="302">
        <v>-8224.51</v>
      </c>
      <c r="Z216" s="183"/>
      <c r="AA216" s="302">
        <v>-8761.16</v>
      </c>
      <c r="AB216" s="183"/>
      <c r="AC216" s="302">
        <v>-7525.13</v>
      </c>
      <c r="AD216" s="127">
        <f t="shared" si="37"/>
        <v>-31780.52</v>
      </c>
    </row>
    <row r="217" spans="1:30" x14ac:dyDescent="0.25">
      <c r="A217" s="1">
        <v>214</v>
      </c>
      <c r="B217" s="99" t="s">
        <v>226</v>
      </c>
      <c r="W217" s="304">
        <v>-14539.5</v>
      </c>
      <c r="X217" s="317"/>
      <c r="Y217" s="302">
        <v>-16448.990000000002</v>
      </c>
      <c r="Z217" s="183"/>
      <c r="AA217" s="302">
        <v>-17522.21</v>
      </c>
      <c r="AB217" s="183"/>
      <c r="AC217" s="302">
        <v>-14012.32</v>
      </c>
      <c r="AD217" s="127">
        <f t="shared" si="37"/>
        <v>-62523.02</v>
      </c>
    </row>
    <row r="218" spans="1:30" x14ac:dyDescent="0.25">
      <c r="A218" s="1">
        <v>215</v>
      </c>
      <c r="B218" s="18" t="s">
        <v>139</v>
      </c>
      <c r="G218" s="302">
        <v>9073.06</v>
      </c>
      <c r="H218" s="183"/>
      <c r="I218" s="302">
        <v>9632.91</v>
      </c>
      <c r="J218" s="183"/>
      <c r="K218" s="302">
        <v>8393.5499999999993</v>
      </c>
      <c r="L218" s="183"/>
      <c r="M218" s="302">
        <v>8844.7900000000009</v>
      </c>
      <c r="N218" s="183"/>
      <c r="O218" s="302">
        <v>7395.16</v>
      </c>
      <c r="P218" s="183"/>
      <c r="Q218" s="302">
        <v>7688.58</v>
      </c>
      <c r="R218" s="183"/>
      <c r="S218" s="302">
        <v>7379.96</v>
      </c>
      <c r="T218" s="183"/>
      <c r="U218" s="302">
        <v>6981.57</v>
      </c>
      <c r="V218" s="183"/>
      <c r="W218" s="304">
        <v>7269.72</v>
      </c>
      <c r="X218" s="317"/>
      <c r="Y218" s="302">
        <v>8224.51</v>
      </c>
      <c r="Z218" s="183"/>
      <c r="AA218" s="302">
        <v>8761.16</v>
      </c>
      <c r="AB218" s="183"/>
      <c r="AC218" s="302">
        <v>7006.16</v>
      </c>
      <c r="AD218" s="127">
        <f t="shared" si="37"/>
        <v>96651.13</v>
      </c>
    </row>
    <row r="219" spans="1:30" x14ac:dyDescent="0.25">
      <c r="A219" s="1">
        <v>216</v>
      </c>
      <c r="B219" s="18" t="s">
        <v>140</v>
      </c>
      <c r="G219" s="302">
        <v>59142.63</v>
      </c>
      <c r="H219" s="183"/>
      <c r="I219" s="302">
        <v>62792.36</v>
      </c>
      <c r="J219" s="183"/>
      <c r="K219" s="302">
        <v>54713.14</v>
      </c>
      <c r="L219" s="183"/>
      <c r="M219" s="302">
        <v>57654.96</v>
      </c>
      <c r="N219" s="183"/>
      <c r="O219" s="302">
        <v>48205.29</v>
      </c>
      <c r="P219" s="183"/>
      <c r="Q219" s="302">
        <v>50118.17</v>
      </c>
      <c r="R219" s="183"/>
      <c r="S219" s="302">
        <v>48106.68</v>
      </c>
      <c r="T219" s="183"/>
      <c r="U219" s="302">
        <v>45509.72</v>
      </c>
      <c r="V219" s="183"/>
      <c r="W219" s="304">
        <v>18578.189999999999</v>
      </c>
      <c r="X219" s="317"/>
      <c r="Y219" s="302">
        <v>21018.19</v>
      </c>
      <c r="Z219" s="183"/>
      <c r="AA219" s="302">
        <v>22389.54</v>
      </c>
      <c r="AB219" s="183"/>
      <c r="AC219" s="302">
        <v>44372.31</v>
      </c>
      <c r="AD219" s="127">
        <f t="shared" si="37"/>
        <v>532601.17999999993</v>
      </c>
    </row>
    <row r="220" spans="1:30" x14ac:dyDescent="0.25">
      <c r="A220" s="1">
        <v>217</v>
      </c>
      <c r="B220" s="18" t="s">
        <v>440</v>
      </c>
      <c r="G220" s="302">
        <v>1250</v>
      </c>
      <c r="H220" s="183"/>
      <c r="I220" s="302">
        <v>1250</v>
      </c>
      <c r="J220" s="183"/>
      <c r="K220" s="302">
        <v>1250</v>
      </c>
      <c r="L220" s="183"/>
      <c r="M220" s="302">
        <v>1250</v>
      </c>
      <c r="N220" s="183"/>
      <c r="O220" s="302">
        <v>1250</v>
      </c>
      <c r="P220" s="183"/>
      <c r="Q220" s="302">
        <v>1250</v>
      </c>
      <c r="R220" s="183"/>
      <c r="S220" s="302">
        <v>1250</v>
      </c>
      <c r="T220" s="183"/>
      <c r="U220" s="302">
        <v>1250</v>
      </c>
      <c r="V220" s="183"/>
      <c r="W220" s="304">
        <v>1250</v>
      </c>
      <c r="X220" s="317"/>
      <c r="Y220" s="302">
        <v>1250</v>
      </c>
      <c r="Z220" s="183"/>
      <c r="AA220" s="302">
        <v>1250</v>
      </c>
      <c r="AB220" s="183"/>
      <c r="AC220" s="302">
        <v>1250</v>
      </c>
      <c r="AD220" s="127">
        <f t="shared" si="37"/>
        <v>15000</v>
      </c>
    </row>
    <row r="221" spans="1:30" x14ac:dyDescent="0.25">
      <c r="A221" s="1">
        <v>218</v>
      </c>
      <c r="B221" s="18" t="s">
        <v>440</v>
      </c>
      <c r="G221" s="302">
        <v>500</v>
      </c>
      <c r="H221" s="183"/>
      <c r="I221" s="302">
        <v>500</v>
      </c>
      <c r="J221" s="183"/>
      <c r="K221" s="302">
        <v>500</v>
      </c>
      <c r="L221" s="183"/>
      <c r="M221" s="302">
        <v>500</v>
      </c>
      <c r="N221" s="183"/>
      <c r="O221" s="302">
        <v>500</v>
      </c>
      <c r="P221" s="183"/>
      <c r="Q221" s="302">
        <v>500</v>
      </c>
      <c r="R221" s="183"/>
      <c r="S221" s="302">
        <v>500</v>
      </c>
      <c r="T221" s="183"/>
      <c r="U221" s="302">
        <v>500</v>
      </c>
      <c r="V221" s="183"/>
      <c r="W221" s="304">
        <v>500</v>
      </c>
      <c r="X221" s="317"/>
      <c r="Y221" s="302">
        <v>500</v>
      </c>
      <c r="Z221" s="183"/>
      <c r="AA221" s="302">
        <v>500</v>
      </c>
      <c r="AB221" s="183"/>
      <c r="AC221" s="302">
        <v>500</v>
      </c>
      <c r="AD221" s="127">
        <f>SUM(G221:AC221)</f>
        <v>6000</v>
      </c>
    </row>
    <row r="222" spans="1:30" x14ac:dyDescent="0.25">
      <c r="A222" s="1">
        <v>219</v>
      </c>
      <c r="B222" s="18" t="s">
        <v>20</v>
      </c>
      <c r="G222" s="302">
        <v>48494.42</v>
      </c>
      <c r="H222" s="183"/>
      <c r="I222" s="302">
        <v>48502.09</v>
      </c>
      <c r="J222" s="183"/>
      <c r="K222" s="302">
        <v>46667.54</v>
      </c>
      <c r="L222" s="183"/>
      <c r="M222" s="302">
        <v>47233.22</v>
      </c>
      <c r="N222" s="183"/>
      <c r="O222" s="302">
        <v>44339.59</v>
      </c>
      <c r="P222" s="183"/>
      <c r="Q222" s="302">
        <v>44134.68</v>
      </c>
      <c r="R222" s="183"/>
      <c r="S222" s="302">
        <v>43931.519999999997</v>
      </c>
      <c r="T222" s="183"/>
      <c r="U222" s="302">
        <v>42582.44</v>
      </c>
      <c r="V222" s="183"/>
      <c r="W222" s="127">
        <v>43500.45</v>
      </c>
      <c r="Y222" s="302">
        <v>48570.32</v>
      </c>
      <c r="Z222" s="183"/>
      <c r="AA222" s="302">
        <v>50981.03</v>
      </c>
      <c r="AB222" s="183"/>
      <c r="AC222" s="302">
        <v>46840.36</v>
      </c>
      <c r="AD222" s="127">
        <f>SUM(G222:AC222)</f>
        <v>555777.66</v>
      </c>
    </row>
    <row r="223" spans="1:30" x14ac:dyDescent="0.25">
      <c r="A223" s="1">
        <v>220</v>
      </c>
      <c r="B223" s="18" t="s">
        <v>144</v>
      </c>
      <c r="G223" s="302">
        <v>36248.03</v>
      </c>
      <c r="H223" s="183"/>
      <c r="I223" s="302">
        <v>35528.11</v>
      </c>
      <c r="J223" s="183"/>
      <c r="K223" s="302">
        <v>34394.58</v>
      </c>
      <c r="L223" s="183"/>
      <c r="M223" s="302">
        <v>34687.24</v>
      </c>
      <c r="N223" s="183"/>
      <c r="O223" s="302">
        <v>32397.65</v>
      </c>
      <c r="P223" s="183"/>
      <c r="Q223" s="302">
        <v>32177.759999999998</v>
      </c>
      <c r="R223" s="183"/>
      <c r="S223" s="302">
        <v>31826.73</v>
      </c>
      <c r="T223" s="183"/>
      <c r="U223" s="302">
        <v>31028.75</v>
      </c>
      <c r="V223" s="183"/>
      <c r="W223" s="127">
        <v>31365.42</v>
      </c>
      <c r="Y223" s="302">
        <v>33507.730000000003</v>
      </c>
      <c r="Z223" s="183"/>
      <c r="AA223" s="302">
        <v>36410.69</v>
      </c>
      <c r="AB223" s="183"/>
      <c r="AC223" s="302">
        <v>33443.360000000001</v>
      </c>
      <c r="AD223" s="127">
        <f t="shared" si="37"/>
        <v>403016.04999999993</v>
      </c>
    </row>
    <row r="224" spans="1:30" x14ac:dyDescent="0.25">
      <c r="A224" s="1">
        <v>221</v>
      </c>
      <c r="B224" s="19" t="s">
        <v>149</v>
      </c>
      <c r="G224" s="302">
        <v>138.41</v>
      </c>
      <c r="H224" s="183"/>
      <c r="I224" s="302">
        <v>117.55</v>
      </c>
      <c r="J224" s="183"/>
      <c r="K224" s="302">
        <v>97.63</v>
      </c>
      <c r="L224" s="183"/>
      <c r="M224" s="302">
        <v>107.69</v>
      </c>
      <c r="N224" s="183"/>
      <c r="O224" s="302">
        <v>96.89</v>
      </c>
      <c r="P224" s="183"/>
      <c r="Q224" s="302">
        <v>116.51</v>
      </c>
      <c r="R224" s="183"/>
      <c r="S224" s="302">
        <v>113.51</v>
      </c>
      <c r="T224" s="183"/>
      <c r="U224" s="302">
        <v>106.94</v>
      </c>
      <c r="V224" s="183"/>
      <c r="W224" s="127">
        <v>59.2</v>
      </c>
      <c r="Y224" s="302">
        <v>70.88</v>
      </c>
      <c r="Z224" s="183"/>
      <c r="AA224" s="302">
        <v>87.51</v>
      </c>
      <c r="AB224" s="183"/>
      <c r="AC224" s="302">
        <v>91.76</v>
      </c>
      <c r="AD224" s="127">
        <f t="shared" si="37"/>
        <v>1204.48</v>
      </c>
    </row>
    <row r="225" spans="1:31" x14ac:dyDescent="0.25">
      <c r="A225" s="1">
        <v>222</v>
      </c>
      <c r="B225" s="195" t="s">
        <v>150</v>
      </c>
      <c r="G225" s="302">
        <v>60</v>
      </c>
      <c r="H225" s="183"/>
      <c r="M225" s="302">
        <v>60</v>
      </c>
      <c r="N225" s="183"/>
      <c r="O225" s="302">
        <v>60</v>
      </c>
      <c r="P225" s="183"/>
      <c r="Q225" s="302">
        <v>60</v>
      </c>
      <c r="R225" s="183"/>
      <c r="S225" s="302">
        <v>60</v>
      </c>
      <c r="T225" s="183"/>
      <c r="U225" s="302">
        <v>60</v>
      </c>
      <c r="V225" s="183"/>
      <c r="W225" s="127">
        <v>60</v>
      </c>
      <c r="Y225" s="302">
        <v>60</v>
      </c>
      <c r="Z225" s="183"/>
      <c r="AA225" s="302">
        <v>60</v>
      </c>
      <c r="AB225" s="183"/>
      <c r="AC225" s="302">
        <v>60</v>
      </c>
      <c r="AD225" s="127">
        <f t="shared" si="37"/>
        <v>600</v>
      </c>
    </row>
    <row r="226" spans="1:31" x14ac:dyDescent="0.25">
      <c r="A226" s="1">
        <v>223</v>
      </c>
      <c r="B226" s="19" t="s">
        <v>146</v>
      </c>
      <c r="G226" s="302">
        <v>816.71</v>
      </c>
      <c r="H226" s="183"/>
      <c r="I226" s="302">
        <v>3019.1</v>
      </c>
      <c r="J226" s="183"/>
      <c r="K226" s="302">
        <v>2819.46</v>
      </c>
      <c r="L226" s="183"/>
      <c r="M226" s="302">
        <v>782.48</v>
      </c>
      <c r="N226" s="183"/>
      <c r="O226" s="302">
        <v>729.45</v>
      </c>
      <c r="P226" s="183"/>
      <c r="Q226" s="302">
        <v>765.45</v>
      </c>
      <c r="R226" s="183"/>
      <c r="S226" s="302">
        <v>1098.29</v>
      </c>
      <c r="T226" s="183"/>
      <c r="U226" s="302">
        <v>985.11</v>
      </c>
      <c r="V226" s="183"/>
      <c r="W226" s="127">
        <v>963.74</v>
      </c>
      <c r="Y226" s="302">
        <v>1020.28</v>
      </c>
      <c r="Z226" s="183"/>
      <c r="AA226" s="302">
        <v>1202.51</v>
      </c>
      <c r="AB226" s="183"/>
      <c r="AC226" s="302">
        <v>1255.8700000000001</v>
      </c>
      <c r="AD226" s="127">
        <f t="shared" si="37"/>
        <v>15458.45</v>
      </c>
    </row>
    <row r="227" spans="1:31" x14ac:dyDescent="0.25">
      <c r="A227" s="1">
        <v>224</v>
      </c>
      <c r="B227" s="19" t="s">
        <v>145</v>
      </c>
      <c r="G227" s="302">
        <v>86.23</v>
      </c>
      <c r="H227" s="183"/>
      <c r="I227" s="302">
        <v>108.79</v>
      </c>
      <c r="J227" s="183"/>
      <c r="K227" s="302">
        <v>108.02</v>
      </c>
      <c r="L227" s="183"/>
      <c r="M227" s="302">
        <v>107.56</v>
      </c>
      <c r="N227" s="183"/>
      <c r="O227" s="302">
        <v>105.79</v>
      </c>
      <c r="P227" s="183"/>
      <c r="Q227" s="302">
        <v>102.02</v>
      </c>
      <c r="R227" s="183"/>
      <c r="S227" s="302">
        <v>101.23</v>
      </c>
      <c r="T227" s="183"/>
      <c r="U227" s="302">
        <v>97.89</v>
      </c>
      <c r="V227" s="183"/>
      <c r="W227" s="127">
        <v>94.55</v>
      </c>
      <c r="Y227" s="302">
        <v>92.43</v>
      </c>
      <c r="Z227" s="183"/>
      <c r="AA227" s="302">
        <v>94.36</v>
      </c>
      <c r="AB227" s="183"/>
      <c r="AC227" s="302">
        <v>93.65</v>
      </c>
      <c r="AD227" s="127">
        <f t="shared" si="37"/>
        <v>1192.52</v>
      </c>
    </row>
    <row r="228" spans="1:31" x14ac:dyDescent="0.25">
      <c r="A228" s="1">
        <v>225</v>
      </c>
      <c r="B228" s="19" t="s">
        <v>147</v>
      </c>
      <c r="G228" s="302">
        <v>-114.62</v>
      </c>
      <c r="H228" s="183"/>
      <c r="I228" s="302">
        <v>-115.76</v>
      </c>
      <c r="J228" s="183"/>
      <c r="K228" s="302">
        <v>-115.11</v>
      </c>
      <c r="L228" s="183"/>
      <c r="M228" s="302">
        <v>-115.84</v>
      </c>
      <c r="N228" s="183"/>
      <c r="O228" s="302">
        <v>-112.75</v>
      </c>
      <c r="P228" s="183"/>
      <c r="Q228" s="302">
        <v>-113.59</v>
      </c>
      <c r="R228" s="183"/>
      <c r="S228" s="302">
        <v>-107.55</v>
      </c>
      <c r="T228" s="183"/>
      <c r="U228" s="302">
        <v>-107.41</v>
      </c>
      <c r="V228" s="183"/>
      <c r="W228" s="127">
        <v>-116.76</v>
      </c>
      <c r="Y228" s="302">
        <v>-110.24</v>
      </c>
      <c r="Z228" s="183"/>
      <c r="AA228" s="302">
        <v>-117.13</v>
      </c>
      <c r="AB228" s="183"/>
      <c r="AC228" s="302">
        <v>-120.31</v>
      </c>
      <c r="AD228" s="127">
        <f t="shared" si="37"/>
        <v>-1367.0699999999997</v>
      </c>
    </row>
    <row r="229" spans="1:31" x14ac:dyDescent="0.25">
      <c r="A229" s="1">
        <v>226</v>
      </c>
      <c r="B229" s="19" t="s">
        <v>148</v>
      </c>
      <c r="G229" s="302">
        <v>711.21</v>
      </c>
      <c r="H229" s="183"/>
      <c r="I229" s="302">
        <v>714.93</v>
      </c>
      <c r="J229" s="183"/>
      <c r="K229" s="302">
        <v>685.89</v>
      </c>
      <c r="L229" s="183"/>
      <c r="M229" s="302">
        <v>697.29</v>
      </c>
      <c r="N229" s="183"/>
      <c r="O229" s="302">
        <v>656.67</v>
      </c>
      <c r="P229" s="183"/>
      <c r="Q229" s="302">
        <v>566</v>
      </c>
      <c r="R229" s="183"/>
      <c r="S229" s="302">
        <v>753.38</v>
      </c>
      <c r="T229" s="183"/>
      <c r="U229" s="302">
        <v>661.27</v>
      </c>
      <c r="V229" s="183"/>
      <c r="W229" s="127">
        <v>852.75</v>
      </c>
      <c r="Y229" s="302">
        <v>789.16</v>
      </c>
      <c r="Z229" s="183"/>
      <c r="AA229" s="302">
        <v>661.68</v>
      </c>
      <c r="AB229" s="183"/>
      <c r="AC229" s="302">
        <v>643.73</v>
      </c>
      <c r="AD229" s="127">
        <f t="shared" si="37"/>
        <v>8393.9599999999991</v>
      </c>
    </row>
    <row r="230" spans="1:31" x14ac:dyDescent="0.25">
      <c r="A230" s="1">
        <v>227</v>
      </c>
      <c r="B230" s="19" t="s">
        <v>29</v>
      </c>
      <c r="G230" s="302">
        <v>3382.35</v>
      </c>
      <c r="H230" s="183"/>
      <c r="I230" s="302">
        <v>1084.68</v>
      </c>
      <c r="J230" s="183"/>
      <c r="U230" s="302">
        <v>647.09</v>
      </c>
      <c r="V230" s="183"/>
      <c r="AD230" s="127">
        <f t="shared" si="37"/>
        <v>5114.12</v>
      </c>
    </row>
    <row r="231" spans="1:31" x14ac:dyDescent="0.25">
      <c r="A231" s="1">
        <v>228</v>
      </c>
      <c r="B231" s="19" t="s">
        <v>30</v>
      </c>
      <c r="G231" s="302">
        <f>SUM(G208:G230)</f>
        <v>1243167.2899999998</v>
      </c>
      <c r="H231" s="302"/>
      <c r="I231" s="302">
        <f t="shared" ref="I231:AC231" si="41">SUM(I208:I230)</f>
        <v>1246685.4200000004</v>
      </c>
      <c r="J231" s="302"/>
      <c r="K231" s="302">
        <f t="shared" si="41"/>
        <v>1192013.0399999996</v>
      </c>
      <c r="L231" s="302"/>
      <c r="M231" s="302">
        <f t="shared" si="41"/>
        <v>1206966.42</v>
      </c>
      <c r="N231" s="302"/>
      <c r="O231" s="302">
        <f t="shared" si="41"/>
        <v>1126031.3699999999</v>
      </c>
      <c r="P231" s="302"/>
      <c r="Q231" s="302">
        <f t="shared" si="41"/>
        <v>1123189.7099999997</v>
      </c>
      <c r="R231" s="302"/>
      <c r="S231" s="302">
        <f t="shared" si="41"/>
        <v>1116290.6499999997</v>
      </c>
      <c r="T231" s="302"/>
      <c r="U231" s="302">
        <f t="shared" si="41"/>
        <v>1081392.24</v>
      </c>
      <c r="V231" s="302"/>
      <c r="W231" s="302">
        <f t="shared" si="41"/>
        <v>1047198.73</v>
      </c>
      <c r="X231" s="302"/>
      <c r="Y231" s="302">
        <f t="shared" si="41"/>
        <v>1167355.8399999996</v>
      </c>
      <c r="Z231" s="302"/>
      <c r="AA231" s="302">
        <f t="shared" si="41"/>
        <v>1226305.26</v>
      </c>
      <c r="AB231" s="302"/>
      <c r="AC231" s="302">
        <f t="shared" si="41"/>
        <v>1152909.3900000004</v>
      </c>
      <c r="AD231" s="127">
        <f>SUM(G231:AC231)</f>
        <v>13929505.359999999</v>
      </c>
    </row>
    <row r="232" spans="1:31" x14ac:dyDescent="0.25">
      <c r="A232" s="1">
        <v>229</v>
      </c>
      <c r="B232" s="19" t="s">
        <v>31</v>
      </c>
      <c r="F232" s="98"/>
      <c r="G232" s="550">
        <v>33658063</v>
      </c>
      <c r="H232" s="550"/>
      <c r="I232" s="551">
        <v>35677472</v>
      </c>
      <c r="J232" s="551"/>
      <c r="K232" s="550">
        <v>31087008</v>
      </c>
      <c r="L232" s="550"/>
      <c r="M232" s="550">
        <v>32758516</v>
      </c>
      <c r="N232" s="550"/>
      <c r="O232" s="550">
        <v>27389367</v>
      </c>
      <c r="P232" s="550"/>
      <c r="Q232" s="550">
        <v>28476284</v>
      </c>
      <c r="R232" s="550"/>
      <c r="S232" s="552">
        <v>27333331</v>
      </c>
      <c r="T232" s="552"/>
      <c r="U232" s="550">
        <v>25857817</v>
      </c>
      <c r="V232" s="550"/>
      <c r="W232" s="554">
        <v>26924983</v>
      </c>
      <c r="X232" s="554"/>
      <c r="Y232" s="550">
        <v>30461110</v>
      </c>
      <c r="Z232" s="550"/>
      <c r="AA232" s="550">
        <v>32448578</v>
      </c>
      <c r="AB232" s="550"/>
      <c r="AC232" s="550">
        <v>25948738</v>
      </c>
      <c r="AD232" s="98">
        <f t="shared" si="37"/>
        <v>358021267</v>
      </c>
      <c r="AE232" s="98"/>
    </row>
    <row r="233" spans="1:31" x14ac:dyDescent="0.25">
      <c r="A233" s="1">
        <v>230</v>
      </c>
      <c r="B233" s="1" t="s">
        <v>32</v>
      </c>
      <c r="F233" s="98"/>
      <c r="G233" s="98"/>
      <c r="H233" s="98"/>
      <c r="I233" s="551">
        <v>17408</v>
      </c>
      <c r="J233" s="551"/>
      <c r="K233" s="98"/>
      <c r="L233" s="98"/>
      <c r="M233" s="98"/>
      <c r="N233" s="98"/>
      <c r="O233" s="98"/>
      <c r="P233" s="98"/>
      <c r="Q233" s="98"/>
      <c r="R233" s="98"/>
      <c r="S233" s="98"/>
      <c r="T233" s="98"/>
      <c r="U233" s="550">
        <v>27439</v>
      </c>
      <c r="V233" s="550"/>
      <c r="W233" s="98"/>
      <c r="X233" s="98"/>
      <c r="Y233" s="98"/>
      <c r="Z233" s="98"/>
      <c r="AA233" s="98"/>
      <c r="AB233" s="98"/>
      <c r="AC233" s="98"/>
      <c r="AD233" s="98">
        <f t="shared" si="37"/>
        <v>44847</v>
      </c>
      <c r="AE233" s="98"/>
    </row>
    <row r="234" spans="1:31" x14ac:dyDescent="0.25">
      <c r="A234" s="1">
        <v>231</v>
      </c>
      <c r="B234" s="1" t="s">
        <v>33</v>
      </c>
      <c r="F234" s="98"/>
      <c r="G234" s="550">
        <f>SUM(G232:G233)</f>
        <v>33658063</v>
      </c>
      <c r="H234" s="550">
        <f t="shared" ref="H234:AC234" si="42">SUM(H232:H233)</f>
        <v>0</v>
      </c>
      <c r="I234" s="550">
        <f t="shared" si="42"/>
        <v>35694880</v>
      </c>
      <c r="J234" s="550">
        <f t="shared" si="42"/>
        <v>0</v>
      </c>
      <c r="K234" s="550">
        <f t="shared" si="42"/>
        <v>31087008</v>
      </c>
      <c r="L234" s="550">
        <f t="shared" si="42"/>
        <v>0</v>
      </c>
      <c r="M234" s="550">
        <f t="shared" si="42"/>
        <v>32758516</v>
      </c>
      <c r="N234" s="550">
        <f t="shared" si="42"/>
        <v>0</v>
      </c>
      <c r="O234" s="550">
        <f t="shared" si="42"/>
        <v>27389367</v>
      </c>
      <c r="P234" s="550">
        <f t="shared" si="42"/>
        <v>0</v>
      </c>
      <c r="Q234" s="550">
        <f t="shared" si="42"/>
        <v>28476284</v>
      </c>
      <c r="R234" s="550">
        <f t="shared" si="42"/>
        <v>0</v>
      </c>
      <c r="S234" s="550">
        <f t="shared" si="42"/>
        <v>27333331</v>
      </c>
      <c r="T234" s="550">
        <f t="shared" si="42"/>
        <v>0</v>
      </c>
      <c r="U234" s="550">
        <f t="shared" si="42"/>
        <v>25885256</v>
      </c>
      <c r="V234" s="550">
        <f t="shared" si="42"/>
        <v>0</v>
      </c>
      <c r="W234" s="550">
        <f t="shared" si="42"/>
        <v>26924983</v>
      </c>
      <c r="X234" s="550">
        <f t="shared" si="42"/>
        <v>0</v>
      </c>
      <c r="Y234" s="550">
        <f t="shared" si="42"/>
        <v>30461110</v>
      </c>
      <c r="Z234" s="550">
        <f t="shared" si="42"/>
        <v>0</v>
      </c>
      <c r="AA234" s="550">
        <f t="shared" si="42"/>
        <v>32448578</v>
      </c>
      <c r="AB234" s="550">
        <f t="shared" si="42"/>
        <v>0</v>
      </c>
      <c r="AC234" s="550">
        <f t="shared" si="42"/>
        <v>25948738</v>
      </c>
      <c r="AD234" s="98">
        <f>SUM(G234:AC234)</f>
        <v>358066114</v>
      </c>
      <c r="AE234" s="98"/>
    </row>
    <row r="235" spans="1:31" x14ac:dyDescent="0.25">
      <c r="A235" s="1">
        <v>232</v>
      </c>
      <c r="B235" s="18"/>
    </row>
    <row r="236" spans="1:31" x14ac:dyDescent="0.25">
      <c r="A236" s="1">
        <v>233</v>
      </c>
      <c r="B236" s="30" t="s">
        <v>161</v>
      </c>
    </row>
    <row r="237" spans="1:31" x14ac:dyDescent="0.25">
      <c r="A237" s="1">
        <v>234</v>
      </c>
      <c r="B237" s="19" t="s">
        <v>9</v>
      </c>
      <c r="C237" s="127">
        <f>'Exh IDM-2 - Revenue Summary'!D391</f>
        <v>500</v>
      </c>
      <c r="D237" s="127"/>
      <c r="E237" s="127">
        <v>0</v>
      </c>
      <c r="F237" s="128">
        <f>G237/$C$237</f>
        <v>1</v>
      </c>
      <c r="G237" s="302">
        <v>500</v>
      </c>
      <c r="H237" s="128">
        <f>I237/$C$237</f>
        <v>1</v>
      </c>
      <c r="I237" s="301">
        <v>500</v>
      </c>
      <c r="J237" s="128">
        <f>K237/$C$237</f>
        <v>1</v>
      </c>
      <c r="K237" s="302">
        <v>500</v>
      </c>
      <c r="L237" s="128">
        <f>M237/$C$237</f>
        <v>1</v>
      </c>
      <c r="M237" s="302">
        <v>500</v>
      </c>
      <c r="N237" s="128">
        <f>O237/$C$237</f>
        <v>1</v>
      </c>
      <c r="O237" s="302">
        <v>500</v>
      </c>
      <c r="P237" s="128">
        <f>Q237/$C$237</f>
        <v>1</v>
      </c>
      <c r="Q237" s="302">
        <v>500</v>
      </c>
      <c r="R237" s="128">
        <f>S237/$C$237</f>
        <v>0</v>
      </c>
      <c r="S237" s="127">
        <v>0</v>
      </c>
      <c r="T237" s="128">
        <f>U237/$C$237</f>
        <v>0</v>
      </c>
      <c r="U237" s="127">
        <v>0</v>
      </c>
      <c r="V237" s="128">
        <f>W237/$C$237</f>
        <v>0</v>
      </c>
      <c r="W237" s="127">
        <v>0</v>
      </c>
      <c r="X237" s="128">
        <f>Y237/$C$237</f>
        <v>0</v>
      </c>
      <c r="Y237" s="127">
        <v>0</v>
      </c>
      <c r="Z237" s="128">
        <f>AA237/$C$237</f>
        <v>0</v>
      </c>
      <c r="AA237" s="127">
        <v>0</v>
      </c>
      <c r="AB237" s="128">
        <f>AC237/$C$237</f>
        <v>0</v>
      </c>
      <c r="AC237" s="127">
        <v>0</v>
      </c>
      <c r="AD237" s="127">
        <f t="shared" si="37"/>
        <v>3005</v>
      </c>
    </row>
    <row r="238" spans="1:31" x14ac:dyDescent="0.25">
      <c r="A238" s="1">
        <v>235</v>
      </c>
      <c r="B238" s="19" t="s">
        <v>192</v>
      </c>
      <c r="C238" s="1">
        <f>'Exh IDM-2 - Revenue Summary'!D393</f>
        <v>4.0000000000000002E-4</v>
      </c>
      <c r="E238" s="1">
        <v>0</v>
      </c>
      <c r="F238" s="128">
        <f>G238/$C$238</f>
        <v>76400</v>
      </c>
      <c r="G238" s="302">
        <v>30.56</v>
      </c>
      <c r="H238" s="128">
        <f>I238/$C$238</f>
        <v>79250</v>
      </c>
      <c r="I238" s="301">
        <v>31.7</v>
      </c>
      <c r="J238" s="128">
        <f>K238/$C$238</f>
        <v>76050</v>
      </c>
      <c r="K238" s="302">
        <v>30.42</v>
      </c>
      <c r="L238" s="128">
        <f>M238/$C$238</f>
        <v>73324.999999999985</v>
      </c>
      <c r="M238" s="302">
        <v>29.33</v>
      </c>
      <c r="N238" s="128">
        <f>O238/$C$238</f>
        <v>63875</v>
      </c>
      <c r="O238" s="302">
        <v>25.55</v>
      </c>
      <c r="P238" s="128">
        <f>Q238/$C$238</f>
        <v>57074.999999999993</v>
      </c>
      <c r="Q238" s="302">
        <v>22.83</v>
      </c>
      <c r="R238" s="128">
        <f>S238/$C$238</f>
        <v>0</v>
      </c>
      <c r="S238" s="127">
        <v>0</v>
      </c>
      <c r="T238" s="128">
        <f>U238/$C$238</f>
        <v>0</v>
      </c>
      <c r="U238" s="127">
        <v>0</v>
      </c>
      <c r="V238" s="128">
        <f>W238/$C$238</f>
        <v>0</v>
      </c>
      <c r="W238" s="127">
        <v>0</v>
      </c>
      <c r="X238" s="128">
        <f>Y238/$C$238</f>
        <v>0</v>
      </c>
      <c r="Y238" s="127">
        <v>0</v>
      </c>
      <c r="Z238" s="128">
        <f>AA238/$C$238</f>
        <v>0</v>
      </c>
      <c r="AA238" s="127">
        <v>0</v>
      </c>
      <c r="AB238" s="128">
        <f>AC238/$C$238</f>
        <v>0</v>
      </c>
      <c r="AC238" s="127">
        <v>0</v>
      </c>
      <c r="AD238" s="127">
        <f t="shared" si="37"/>
        <v>349745.39</v>
      </c>
    </row>
    <row r="239" spans="1:31" x14ac:dyDescent="0.25">
      <c r="A239" s="1">
        <v>236</v>
      </c>
      <c r="B239" s="19" t="s">
        <v>193</v>
      </c>
      <c r="C239" s="1">
        <f>'Exh IDM-2 - Revenue Summary'!D395</f>
        <v>5.7299999999999997E-2</v>
      </c>
      <c r="E239" s="1">
        <v>0</v>
      </c>
      <c r="F239" s="128">
        <f>G239/$C$239</f>
        <v>76410.99476439791</v>
      </c>
      <c r="G239" s="302">
        <v>4378.3500000000004</v>
      </c>
      <c r="H239" s="128">
        <f>I239/$C$239</f>
        <v>79238.917975567194</v>
      </c>
      <c r="I239" s="301">
        <v>4540.3900000000003</v>
      </c>
      <c r="J239" s="128">
        <f>K239/$C$239</f>
        <v>76054.973821989537</v>
      </c>
      <c r="K239" s="302">
        <v>4357.95</v>
      </c>
      <c r="L239" s="128">
        <f>M239/$C$239</f>
        <v>73327.923211169298</v>
      </c>
      <c r="M239" s="302">
        <v>4201.6900000000005</v>
      </c>
      <c r="N239" s="128">
        <f>O239/$C$239</f>
        <v>63863.001745200701</v>
      </c>
      <c r="O239" s="302">
        <v>3659.35</v>
      </c>
      <c r="P239" s="128">
        <f>Q239/$C$239</f>
        <v>57068.935427574179</v>
      </c>
      <c r="Q239" s="302">
        <v>3270.05</v>
      </c>
      <c r="R239" s="128">
        <f>S239/$C$239</f>
        <v>0</v>
      </c>
      <c r="S239" s="127">
        <v>0</v>
      </c>
      <c r="T239" s="128">
        <f>U239/$C$239</f>
        <v>0</v>
      </c>
      <c r="U239" s="127">
        <v>0</v>
      </c>
      <c r="V239" s="128">
        <f>W239/$C$239</f>
        <v>0</v>
      </c>
      <c r="W239" s="127">
        <v>0</v>
      </c>
      <c r="X239" s="128">
        <f>Y239/$C$239</f>
        <v>0</v>
      </c>
      <c r="Y239" s="127">
        <v>0</v>
      </c>
      <c r="Z239" s="128">
        <f>AA239/$C$239</f>
        <v>0</v>
      </c>
      <c r="AA239" s="127">
        <v>0</v>
      </c>
      <c r="AB239" s="128">
        <f>AC239/$C$239</f>
        <v>0</v>
      </c>
      <c r="AC239" s="127">
        <v>0</v>
      </c>
      <c r="AD239" s="127">
        <f t="shared" si="37"/>
        <v>373961.53218150086</v>
      </c>
    </row>
    <row r="240" spans="1:31" x14ac:dyDescent="0.25">
      <c r="A240" s="1">
        <v>237</v>
      </c>
      <c r="B240" s="19" t="s">
        <v>139</v>
      </c>
      <c r="G240" s="302">
        <v>20.63</v>
      </c>
      <c r="H240" s="183"/>
      <c r="I240" s="301">
        <v>21.39</v>
      </c>
      <c r="J240" s="315"/>
      <c r="K240" s="302">
        <v>20.53</v>
      </c>
      <c r="L240" s="183"/>
      <c r="M240" s="302">
        <v>19.8</v>
      </c>
      <c r="N240" s="183"/>
      <c r="O240" s="302">
        <v>17.240000000000002</v>
      </c>
      <c r="P240" s="183"/>
      <c r="Q240" s="302">
        <v>15.41</v>
      </c>
      <c r="R240" s="183"/>
      <c r="S240" s="127">
        <v>0</v>
      </c>
      <c r="U240" s="127">
        <v>0</v>
      </c>
      <c r="W240" s="127">
        <v>0</v>
      </c>
      <c r="Y240" s="127">
        <v>0</v>
      </c>
      <c r="AA240" s="127">
        <v>0</v>
      </c>
      <c r="AC240" s="127">
        <v>0</v>
      </c>
      <c r="AD240" s="127">
        <f t="shared" si="37"/>
        <v>115</v>
      </c>
    </row>
    <row r="241" spans="1:31" x14ac:dyDescent="0.25">
      <c r="A241" s="1">
        <v>238</v>
      </c>
      <c r="B241" s="18" t="s">
        <v>140</v>
      </c>
      <c r="G241" s="302">
        <v>134.47999999999999</v>
      </c>
      <c r="H241" s="183"/>
      <c r="I241" s="301">
        <v>139.46</v>
      </c>
      <c r="J241" s="315"/>
      <c r="K241" s="302">
        <v>133.86000000000001</v>
      </c>
      <c r="L241" s="183"/>
      <c r="M241" s="302">
        <v>129.06</v>
      </c>
      <c r="N241" s="183"/>
      <c r="O241" s="302">
        <v>112.4</v>
      </c>
      <c r="P241" s="183"/>
      <c r="Q241" s="302">
        <v>100.44</v>
      </c>
      <c r="R241" s="183"/>
      <c r="S241" s="127">
        <v>0</v>
      </c>
      <c r="U241" s="127">
        <v>0</v>
      </c>
      <c r="W241" s="127">
        <v>0</v>
      </c>
      <c r="Y241" s="127">
        <v>0</v>
      </c>
      <c r="AA241" s="127">
        <v>0</v>
      </c>
      <c r="AC241" s="127">
        <v>0</v>
      </c>
      <c r="AD241" s="127">
        <f t="shared" si="37"/>
        <v>749.7</v>
      </c>
    </row>
    <row r="242" spans="1:31" x14ac:dyDescent="0.25">
      <c r="A242" s="1">
        <v>239</v>
      </c>
      <c r="B242" s="19" t="s">
        <v>20</v>
      </c>
      <c r="G242" s="302">
        <v>219.38</v>
      </c>
      <c r="H242" s="183"/>
      <c r="I242" s="301">
        <v>226.67</v>
      </c>
      <c r="J242" s="315"/>
      <c r="K242" s="302">
        <v>218.46</v>
      </c>
      <c r="L242" s="183"/>
      <c r="M242" s="302">
        <v>211.43</v>
      </c>
      <c r="N242" s="183"/>
      <c r="O242" s="302">
        <v>187.02</v>
      </c>
      <c r="P242" s="183"/>
      <c r="Q242" s="302">
        <v>169.5</v>
      </c>
      <c r="R242" s="183"/>
      <c r="S242" s="127">
        <v>0</v>
      </c>
      <c r="U242" s="127">
        <v>0</v>
      </c>
      <c r="W242" s="127">
        <v>0</v>
      </c>
      <c r="Y242" s="127">
        <v>0</v>
      </c>
      <c r="AA242" s="127">
        <v>0</v>
      </c>
      <c r="AC242" s="127">
        <v>0</v>
      </c>
      <c r="AD242" s="127">
        <f t="shared" si="37"/>
        <v>1232.46</v>
      </c>
    </row>
    <row r="243" spans="1:31" x14ac:dyDescent="0.25">
      <c r="A243" s="1">
        <v>240</v>
      </c>
      <c r="B243" s="19" t="s">
        <v>144</v>
      </c>
      <c r="G243" s="302">
        <v>158.5</v>
      </c>
      <c r="H243" s="183"/>
      <c r="I243" s="301">
        <v>163.79</v>
      </c>
      <c r="J243" s="315"/>
      <c r="K243" s="302">
        <v>157.84</v>
      </c>
      <c r="L243" s="183"/>
      <c r="M243" s="302">
        <v>152.74</v>
      </c>
      <c r="N243" s="183"/>
      <c r="O243" s="302">
        <v>135.05000000000001</v>
      </c>
      <c r="P243" s="183"/>
      <c r="Q243" s="302">
        <v>122.35</v>
      </c>
      <c r="R243" s="183"/>
      <c r="S243" s="127">
        <v>0</v>
      </c>
      <c r="U243" s="127">
        <v>0</v>
      </c>
      <c r="W243" s="127">
        <v>0</v>
      </c>
      <c r="Y243" s="127">
        <v>0</v>
      </c>
      <c r="AA243" s="127">
        <v>0</v>
      </c>
      <c r="AC243" s="127">
        <v>0</v>
      </c>
      <c r="AD243" s="127">
        <f t="shared" si="37"/>
        <v>890.2700000000001</v>
      </c>
    </row>
    <row r="244" spans="1:31" x14ac:dyDescent="0.25">
      <c r="A244" s="1">
        <v>241</v>
      </c>
      <c r="B244" s="19" t="s">
        <v>30</v>
      </c>
      <c r="G244" s="302">
        <f>SUM(G237:G243)</f>
        <v>5441.9</v>
      </c>
      <c r="H244" s="302"/>
      <c r="I244" s="302">
        <f t="shared" ref="I244:AC244" si="43">SUM(I237:I243)</f>
        <v>5623.4000000000005</v>
      </c>
      <c r="J244" s="302"/>
      <c r="K244" s="302">
        <f t="shared" si="43"/>
        <v>5419.0599999999995</v>
      </c>
      <c r="L244" s="302"/>
      <c r="M244" s="302">
        <f t="shared" si="43"/>
        <v>5244.0500000000011</v>
      </c>
      <c r="N244" s="302"/>
      <c r="O244" s="302">
        <f t="shared" si="43"/>
        <v>4636.6099999999997</v>
      </c>
      <c r="P244" s="302"/>
      <c r="Q244" s="302">
        <f t="shared" si="43"/>
        <v>4200.58</v>
      </c>
      <c r="R244" s="302"/>
      <c r="S244" s="302">
        <f t="shared" si="43"/>
        <v>0</v>
      </c>
      <c r="T244" s="302"/>
      <c r="U244" s="302">
        <f t="shared" si="43"/>
        <v>0</v>
      </c>
      <c r="V244" s="302"/>
      <c r="W244" s="302">
        <f t="shared" si="43"/>
        <v>0</v>
      </c>
      <c r="X244" s="302"/>
      <c r="Y244" s="302">
        <f t="shared" si="43"/>
        <v>0</v>
      </c>
      <c r="Z244" s="302"/>
      <c r="AA244" s="302">
        <f t="shared" si="43"/>
        <v>0</v>
      </c>
      <c r="AB244" s="302"/>
      <c r="AC244" s="302">
        <f t="shared" si="43"/>
        <v>0</v>
      </c>
      <c r="AD244" s="127">
        <f t="shared" si="37"/>
        <v>30565.600000000006</v>
      </c>
    </row>
    <row r="245" spans="1:31" x14ac:dyDescent="0.25">
      <c r="A245" s="1">
        <v>242</v>
      </c>
      <c r="B245" s="19" t="s">
        <v>31</v>
      </c>
      <c r="F245" s="98"/>
      <c r="G245" s="550">
        <v>76411</v>
      </c>
      <c r="H245" s="550"/>
      <c r="I245" s="551">
        <v>79239</v>
      </c>
      <c r="J245" s="551"/>
      <c r="K245" s="550">
        <v>76055</v>
      </c>
      <c r="L245" s="550"/>
      <c r="M245" s="550">
        <v>73328</v>
      </c>
      <c r="N245" s="550"/>
      <c r="O245" s="550">
        <v>63863</v>
      </c>
      <c r="P245" s="550"/>
      <c r="Q245" s="550">
        <v>57069</v>
      </c>
      <c r="R245" s="550"/>
      <c r="S245" s="98">
        <v>0</v>
      </c>
      <c r="T245" s="98"/>
      <c r="U245" s="98">
        <v>0</v>
      </c>
      <c r="V245" s="98"/>
      <c r="W245" s="98">
        <v>0</v>
      </c>
      <c r="X245" s="98"/>
      <c r="Y245" s="98">
        <v>0</v>
      </c>
      <c r="Z245" s="98"/>
      <c r="AA245" s="98">
        <v>0</v>
      </c>
      <c r="AB245" s="98"/>
      <c r="AC245" s="98">
        <v>0</v>
      </c>
      <c r="AD245" s="98">
        <f t="shared" si="37"/>
        <v>425965</v>
      </c>
      <c r="AE245" s="98"/>
    </row>
    <row r="246" spans="1:31" x14ac:dyDescent="0.25">
      <c r="A246" s="1">
        <v>243</v>
      </c>
      <c r="B246" s="19" t="s">
        <v>32</v>
      </c>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f t="shared" si="37"/>
        <v>0</v>
      </c>
      <c r="AE246" s="98"/>
    </row>
    <row r="247" spans="1:31" x14ac:dyDescent="0.25">
      <c r="A247" s="1">
        <v>244</v>
      </c>
      <c r="B247" s="19" t="s">
        <v>33</v>
      </c>
      <c r="F247" s="98"/>
      <c r="G247" s="550">
        <f>SUM(G245:G246)</f>
        <v>76411</v>
      </c>
      <c r="H247" s="550"/>
      <c r="I247" s="550">
        <f t="shared" ref="I247:AC247" si="44">SUM(I245:I246)</f>
        <v>79239</v>
      </c>
      <c r="J247" s="550"/>
      <c r="K247" s="550">
        <f t="shared" si="44"/>
        <v>76055</v>
      </c>
      <c r="L247" s="550"/>
      <c r="M247" s="550">
        <f t="shared" si="44"/>
        <v>73328</v>
      </c>
      <c r="N247" s="550"/>
      <c r="O247" s="550">
        <f t="shared" si="44"/>
        <v>63863</v>
      </c>
      <c r="P247" s="550"/>
      <c r="Q247" s="550">
        <f t="shared" si="44"/>
        <v>57069</v>
      </c>
      <c r="R247" s="550"/>
      <c r="S247" s="550">
        <f t="shared" si="44"/>
        <v>0</v>
      </c>
      <c r="T247" s="550"/>
      <c r="U247" s="550">
        <f t="shared" si="44"/>
        <v>0</v>
      </c>
      <c r="V247" s="550"/>
      <c r="W247" s="550">
        <f t="shared" si="44"/>
        <v>0</v>
      </c>
      <c r="X247" s="550"/>
      <c r="Y247" s="550">
        <f t="shared" si="44"/>
        <v>0</v>
      </c>
      <c r="Z247" s="550"/>
      <c r="AA247" s="550">
        <f t="shared" si="44"/>
        <v>0</v>
      </c>
      <c r="AB247" s="550"/>
      <c r="AC247" s="550">
        <f t="shared" si="44"/>
        <v>0</v>
      </c>
      <c r="AD247" s="98">
        <f t="shared" si="37"/>
        <v>425965</v>
      </c>
      <c r="AE247" s="98"/>
    </row>
    <row r="248" spans="1:31" x14ac:dyDescent="0.25">
      <c r="A248" s="1">
        <v>245</v>
      </c>
      <c r="B248" s="19"/>
    </row>
    <row r="249" spans="1:31" x14ac:dyDescent="0.25">
      <c r="A249" s="1">
        <v>246</v>
      </c>
      <c r="B249" s="30" t="s">
        <v>162</v>
      </c>
    </row>
    <row r="250" spans="1:31" x14ac:dyDescent="0.25">
      <c r="A250" s="1">
        <v>247</v>
      </c>
      <c r="B250" s="19" t="s">
        <v>25</v>
      </c>
      <c r="G250" s="302">
        <v>500</v>
      </c>
      <c r="H250" s="183"/>
      <c r="I250" s="301">
        <v>500</v>
      </c>
      <c r="J250" s="315"/>
      <c r="K250" s="302">
        <v>500</v>
      </c>
      <c r="L250" s="183"/>
      <c r="M250" s="302">
        <v>500</v>
      </c>
      <c r="N250" s="183"/>
      <c r="O250" s="302">
        <v>500</v>
      </c>
      <c r="P250" s="183"/>
      <c r="Q250" s="302">
        <v>500</v>
      </c>
      <c r="R250" s="183"/>
      <c r="S250" s="303">
        <v>500</v>
      </c>
      <c r="T250" s="316"/>
      <c r="U250" s="302">
        <v>500</v>
      </c>
      <c r="V250" s="183"/>
      <c r="W250" s="127">
        <v>500</v>
      </c>
      <c r="Y250" s="302">
        <v>625</v>
      </c>
      <c r="Z250" s="183"/>
      <c r="AA250" s="302">
        <v>625</v>
      </c>
      <c r="AB250" s="183"/>
      <c r="AC250" s="302">
        <v>625</v>
      </c>
      <c r="AD250" s="127">
        <f t="shared" si="37"/>
        <v>6375</v>
      </c>
    </row>
    <row r="251" spans="1:31" x14ac:dyDescent="0.25">
      <c r="A251" s="1">
        <v>248</v>
      </c>
      <c r="B251" s="19" t="s">
        <v>191</v>
      </c>
      <c r="G251" s="302">
        <v>13062.54</v>
      </c>
      <c r="H251" s="183"/>
      <c r="I251" s="301">
        <v>13062.54</v>
      </c>
      <c r="J251" s="315"/>
      <c r="K251" s="302">
        <v>13062.54</v>
      </c>
      <c r="L251" s="183"/>
      <c r="M251" s="302">
        <v>13062.54</v>
      </c>
      <c r="N251" s="183"/>
      <c r="O251" s="302">
        <v>13062.54</v>
      </c>
      <c r="P251" s="183"/>
      <c r="Q251" s="302">
        <v>13062.54</v>
      </c>
      <c r="R251" s="183"/>
      <c r="S251" s="303">
        <v>13062.54</v>
      </c>
      <c r="T251" s="316"/>
      <c r="U251" s="302">
        <v>13219.29</v>
      </c>
      <c r="V251" s="183"/>
      <c r="W251" s="127">
        <v>13219.29</v>
      </c>
      <c r="Y251" s="302">
        <v>13219.29</v>
      </c>
      <c r="Z251" s="183"/>
      <c r="AA251" s="302">
        <v>13219.29</v>
      </c>
      <c r="AB251" s="183"/>
      <c r="AC251" s="302">
        <v>13219.29</v>
      </c>
      <c r="AD251" s="127">
        <f t="shared" si="37"/>
        <v>157534.23000000004</v>
      </c>
    </row>
    <row r="252" spans="1:31" x14ac:dyDescent="0.25">
      <c r="A252" s="1">
        <v>249</v>
      </c>
      <c r="B252" s="19" t="s">
        <v>336</v>
      </c>
      <c r="G252" s="302">
        <v>610.24</v>
      </c>
      <c r="H252" s="183"/>
      <c r="I252" s="301">
        <v>582.26</v>
      </c>
      <c r="J252" s="315"/>
      <c r="K252" s="302">
        <v>497.5200000000001</v>
      </c>
      <c r="L252" s="183"/>
      <c r="M252" s="302">
        <v>517.82000000000005</v>
      </c>
      <c r="N252" s="183"/>
      <c r="O252" s="302">
        <v>515.39</v>
      </c>
      <c r="P252" s="183"/>
      <c r="Q252" s="302">
        <v>366.79</v>
      </c>
      <c r="R252" s="183"/>
      <c r="S252" s="303">
        <v>379.82</v>
      </c>
      <c r="T252" s="316"/>
      <c r="U252" s="302">
        <v>472.22</v>
      </c>
      <c r="V252" s="183"/>
      <c r="W252" s="127">
        <v>414.79</v>
      </c>
      <c r="AD252" s="127">
        <f t="shared" si="37"/>
        <v>4356.8500000000004</v>
      </c>
    </row>
    <row r="253" spans="1:31" x14ac:dyDescent="0.25">
      <c r="A253" s="1">
        <v>250</v>
      </c>
      <c r="B253" s="19" t="s">
        <v>230</v>
      </c>
      <c r="G253" s="302"/>
      <c r="H253" s="183"/>
      <c r="I253" s="301"/>
      <c r="J253" s="315"/>
      <c r="K253" s="302"/>
      <c r="L253" s="183"/>
      <c r="M253" s="302"/>
      <c r="N253" s="183"/>
      <c r="O253" s="302"/>
      <c r="P253" s="183"/>
      <c r="Q253" s="302"/>
      <c r="R253" s="183"/>
      <c r="S253" s="303"/>
      <c r="T253" s="316"/>
      <c r="U253" s="302"/>
      <c r="V253" s="183"/>
      <c r="Y253" s="302">
        <v>920.86</v>
      </c>
      <c r="Z253" s="183"/>
      <c r="AA253" s="302">
        <v>1007.82</v>
      </c>
      <c r="AB253" s="183"/>
      <c r="AC253" s="302">
        <v>814.47</v>
      </c>
      <c r="AD253" s="127">
        <f t="shared" si="37"/>
        <v>2743.15</v>
      </c>
    </row>
    <row r="254" spans="1:31" x14ac:dyDescent="0.25">
      <c r="A254" s="1">
        <v>251</v>
      </c>
      <c r="B254" s="19" t="s">
        <v>211</v>
      </c>
      <c r="G254" s="302">
        <v>42695.41</v>
      </c>
      <c r="H254" s="183"/>
      <c r="I254" s="301">
        <v>41607.96</v>
      </c>
      <c r="J254" s="315"/>
      <c r="K254" s="302">
        <v>34936.14</v>
      </c>
      <c r="L254" s="183"/>
      <c r="M254" s="302">
        <v>37202.6</v>
      </c>
      <c r="N254" s="183"/>
      <c r="O254" s="302">
        <v>36077.46</v>
      </c>
      <c r="P254" s="183"/>
      <c r="Q254" s="302">
        <v>26351.8</v>
      </c>
      <c r="R254" s="183"/>
      <c r="S254" s="303">
        <v>27287.95</v>
      </c>
      <c r="T254" s="316"/>
      <c r="U254" s="302">
        <v>34117.39</v>
      </c>
      <c r="V254" s="183"/>
      <c r="W254" s="127">
        <v>30157.66</v>
      </c>
      <c r="Y254" s="302">
        <v>33218.400000000001</v>
      </c>
      <c r="Z254" s="183"/>
      <c r="AA254" s="302">
        <v>36434.65</v>
      </c>
      <c r="AB254" s="183"/>
      <c r="AC254" s="302">
        <v>29608.54</v>
      </c>
      <c r="AD254" s="127">
        <f t="shared" si="37"/>
        <v>409695.95999999996</v>
      </c>
    </row>
    <row r="255" spans="1:31" x14ac:dyDescent="0.25">
      <c r="A255" s="1">
        <v>252</v>
      </c>
      <c r="B255" s="19" t="s">
        <v>212</v>
      </c>
      <c r="G255" s="302">
        <v>1489.41</v>
      </c>
      <c r="H255" s="183"/>
      <c r="I255" s="301">
        <v>290.44</v>
      </c>
      <c r="J255" s="315"/>
      <c r="K255" s="302">
        <v>1049.05</v>
      </c>
      <c r="L255" s="183"/>
      <c r="O255" s="302">
        <v>1234.3399999999999</v>
      </c>
      <c r="P255" s="183"/>
      <c r="U255" s="302">
        <v>280</v>
      </c>
      <c r="V255" s="183"/>
      <c r="Y255" s="302">
        <v>334.63</v>
      </c>
      <c r="Z255" s="183"/>
      <c r="AA255" s="302">
        <v>263.13</v>
      </c>
      <c r="AB255" s="183"/>
      <c r="AD255" s="127">
        <f t="shared" si="37"/>
        <v>4941</v>
      </c>
    </row>
    <row r="256" spans="1:31" x14ac:dyDescent="0.25">
      <c r="A256" s="1">
        <v>253</v>
      </c>
      <c r="B256" s="19" t="s">
        <v>20</v>
      </c>
      <c r="G256" s="302">
        <v>2608</v>
      </c>
      <c r="H256" s="183"/>
      <c r="I256" s="301">
        <v>2504.5700000000002</v>
      </c>
      <c r="J256" s="315"/>
      <c r="K256" s="302">
        <v>2236.52</v>
      </c>
      <c r="L256" s="183"/>
      <c r="M256" s="302">
        <v>2291.84</v>
      </c>
      <c r="N256" s="183"/>
      <c r="O256" s="302">
        <v>2296.61</v>
      </c>
      <c r="P256" s="183"/>
      <c r="Q256" s="302">
        <v>1800.16</v>
      </c>
      <c r="R256" s="183"/>
      <c r="S256" s="303">
        <v>1842.58</v>
      </c>
      <c r="T256" s="316"/>
      <c r="U256" s="302">
        <v>2171.44</v>
      </c>
      <c r="V256" s="183"/>
      <c r="W256" s="127">
        <v>1962.57</v>
      </c>
      <c r="Y256" s="302">
        <v>2140.98</v>
      </c>
      <c r="Z256" s="183"/>
      <c r="AA256" s="302">
        <v>2284.1799999999998</v>
      </c>
      <c r="AB256" s="183"/>
      <c r="AC256" s="302">
        <v>1961.48</v>
      </c>
      <c r="AD256" s="127">
        <f t="shared" si="37"/>
        <v>26100.93</v>
      </c>
    </row>
    <row r="257" spans="1:30" x14ac:dyDescent="0.25">
      <c r="A257" s="1">
        <v>254</v>
      </c>
      <c r="B257" s="19" t="s">
        <v>29</v>
      </c>
      <c r="G257" s="302"/>
      <c r="H257" s="183"/>
      <c r="I257" s="301"/>
      <c r="J257" s="315"/>
      <c r="K257" s="302"/>
      <c r="L257" s="183"/>
      <c r="M257" s="302"/>
      <c r="N257" s="183"/>
      <c r="O257" s="302"/>
      <c r="P257" s="183"/>
      <c r="Q257" s="302"/>
      <c r="R257" s="183"/>
      <c r="S257" s="303"/>
      <c r="T257" s="316"/>
      <c r="U257" s="302"/>
      <c r="V257" s="183"/>
      <c r="W257" s="127">
        <v>563.71</v>
      </c>
      <c r="AD257" s="127">
        <f t="shared" si="37"/>
        <v>563.71</v>
      </c>
    </row>
    <row r="258" spans="1:30" x14ac:dyDescent="0.25">
      <c r="A258" s="1">
        <v>255</v>
      </c>
      <c r="B258" s="19" t="s">
        <v>30</v>
      </c>
      <c r="G258" s="302">
        <f>SUM(G250:G257)</f>
        <v>60965.600000000006</v>
      </c>
      <c r="H258" s="302"/>
      <c r="I258" s="302">
        <f t="shared" ref="I258:AC258" si="45">SUM(I250:I257)</f>
        <v>58547.770000000004</v>
      </c>
      <c r="J258" s="302"/>
      <c r="K258" s="302">
        <f t="shared" si="45"/>
        <v>52281.77</v>
      </c>
      <c r="L258" s="302"/>
      <c r="M258" s="302">
        <f t="shared" si="45"/>
        <v>53574.8</v>
      </c>
      <c r="N258" s="302"/>
      <c r="O258" s="302">
        <f t="shared" si="45"/>
        <v>53686.34</v>
      </c>
      <c r="P258" s="302"/>
      <c r="Q258" s="302">
        <f t="shared" si="45"/>
        <v>42081.290000000008</v>
      </c>
      <c r="R258" s="302"/>
      <c r="S258" s="302">
        <f t="shared" si="45"/>
        <v>43072.89</v>
      </c>
      <c r="T258" s="302"/>
      <c r="U258" s="302">
        <f t="shared" si="45"/>
        <v>50760.340000000004</v>
      </c>
      <c r="V258" s="302"/>
      <c r="W258" s="302">
        <f t="shared" si="45"/>
        <v>46818.020000000004</v>
      </c>
      <c r="X258" s="302"/>
      <c r="Y258" s="302">
        <f t="shared" si="45"/>
        <v>50459.16</v>
      </c>
      <c r="Z258" s="302"/>
      <c r="AA258" s="302">
        <f t="shared" si="45"/>
        <v>53834.07</v>
      </c>
      <c r="AB258" s="302"/>
      <c r="AC258" s="302">
        <f t="shared" si="45"/>
        <v>46228.780000000006</v>
      </c>
      <c r="AD258" s="127">
        <f t="shared" si="37"/>
        <v>612310.83000000007</v>
      </c>
    </row>
    <row r="259" spans="1:30" x14ac:dyDescent="0.25">
      <c r="A259" s="1">
        <v>256</v>
      </c>
      <c r="B259" s="19" t="s">
        <v>31</v>
      </c>
      <c r="F259" s="98"/>
      <c r="G259" s="550">
        <v>3051191</v>
      </c>
      <c r="H259" s="550"/>
      <c r="I259" s="551">
        <v>2911276</v>
      </c>
      <c r="J259" s="551"/>
      <c r="K259" s="550">
        <v>2487591</v>
      </c>
      <c r="L259" s="550"/>
      <c r="M259" s="550">
        <v>2589124</v>
      </c>
      <c r="N259" s="550"/>
      <c r="O259" s="550">
        <v>2510819</v>
      </c>
      <c r="P259" s="550"/>
      <c r="Q259" s="550">
        <v>1833960</v>
      </c>
      <c r="R259" s="550"/>
      <c r="S259" s="552">
        <v>1899111</v>
      </c>
      <c r="T259" s="552"/>
      <c r="U259" s="550">
        <v>2346257</v>
      </c>
      <c r="V259" s="550"/>
      <c r="W259" s="98">
        <v>2073946</v>
      </c>
      <c r="X259" s="98"/>
      <c r="Y259" s="550">
        <v>2302148</v>
      </c>
      <c r="Z259" s="550"/>
      <c r="AA259" s="550">
        <v>2519545</v>
      </c>
      <c r="AB259" s="550"/>
      <c r="AC259" s="550">
        <v>2036183</v>
      </c>
      <c r="AD259" s="98">
        <f t="shared" si="37"/>
        <v>28561151</v>
      </c>
    </row>
    <row r="260" spans="1:30" x14ac:dyDescent="0.25">
      <c r="A260" s="1">
        <v>257</v>
      </c>
      <c r="B260" s="19" t="s">
        <v>32</v>
      </c>
      <c r="F260" s="98"/>
      <c r="G260" s="98"/>
      <c r="H260" s="98"/>
      <c r="I260" s="98"/>
      <c r="J260" s="98"/>
      <c r="K260" s="98"/>
      <c r="L260" s="98"/>
      <c r="M260" s="98"/>
      <c r="N260" s="98"/>
      <c r="O260" s="550">
        <v>66129</v>
      </c>
      <c r="P260" s="550"/>
      <c r="Q260" s="98"/>
      <c r="R260" s="98"/>
      <c r="S260" s="552"/>
      <c r="T260" s="552"/>
      <c r="U260" s="550">
        <v>14823</v>
      </c>
      <c r="V260" s="550"/>
      <c r="W260" s="98"/>
      <c r="X260" s="98"/>
      <c r="Y260" s="98"/>
      <c r="Z260" s="98"/>
      <c r="AA260" s="98"/>
      <c r="AB260" s="98"/>
      <c r="AC260" s="550"/>
      <c r="AD260" s="98">
        <f t="shared" si="37"/>
        <v>80952</v>
      </c>
    </row>
    <row r="261" spans="1:30" x14ac:dyDescent="0.25">
      <c r="A261" s="1">
        <v>258</v>
      </c>
      <c r="B261" s="19" t="s">
        <v>33</v>
      </c>
      <c r="F261" s="98"/>
      <c r="G261" s="550">
        <f>SUM(G259:G260)</f>
        <v>3051191</v>
      </c>
      <c r="H261" s="550"/>
      <c r="I261" s="550">
        <f t="shared" ref="I261:AC261" si="46">SUM(I259:I260)</f>
        <v>2911276</v>
      </c>
      <c r="J261" s="550"/>
      <c r="K261" s="550">
        <f t="shared" si="46"/>
        <v>2487591</v>
      </c>
      <c r="L261" s="550"/>
      <c r="M261" s="550">
        <f t="shared" si="46"/>
        <v>2589124</v>
      </c>
      <c r="N261" s="550"/>
      <c r="O261" s="550">
        <f t="shared" si="46"/>
        <v>2576948</v>
      </c>
      <c r="P261" s="550"/>
      <c r="Q261" s="550">
        <f t="shared" si="46"/>
        <v>1833960</v>
      </c>
      <c r="R261" s="550"/>
      <c r="S261" s="550">
        <f t="shared" si="46"/>
        <v>1899111</v>
      </c>
      <c r="T261" s="550"/>
      <c r="U261" s="550">
        <f t="shared" si="46"/>
        <v>2361080</v>
      </c>
      <c r="V261" s="550"/>
      <c r="W261" s="550">
        <f t="shared" si="46"/>
        <v>2073946</v>
      </c>
      <c r="X261" s="550"/>
      <c r="Y261" s="550">
        <f t="shared" si="46"/>
        <v>2302148</v>
      </c>
      <c r="Z261" s="550"/>
      <c r="AA261" s="550">
        <f t="shared" si="46"/>
        <v>2519545</v>
      </c>
      <c r="AB261" s="550"/>
      <c r="AC261" s="550">
        <f t="shared" si="46"/>
        <v>2036183</v>
      </c>
      <c r="AD261" s="98">
        <f t="shared" si="37"/>
        <v>28642103</v>
      </c>
    </row>
    <row r="262" spans="1:30" x14ac:dyDescent="0.25">
      <c r="A262" s="1">
        <v>259</v>
      </c>
      <c r="B262" s="19"/>
    </row>
    <row r="263" spans="1:30" x14ac:dyDescent="0.25">
      <c r="A263" s="1">
        <v>260</v>
      </c>
      <c r="B263" s="30" t="s">
        <v>163</v>
      </c>
    </row>
    <row r="264" spans="1:30" x14ac:dyDescent="0.25">
      <c r="A264" s="1">
        <v>261</v>
      </c>
      <c r="B264" s="19" t="s">
        <v>25</v>
      </c>
      <c r="G264" s="302">
        <v>500</v>
      </c>
      <c r="H264" s="183"/>
      <c r="I264" s="301">
        <v>500</v>
      </c>
      <c r="J264" s="315"/>
      <c r="K264" s="302">
        <v>500</v>
      </c>
      <c r="L264" s="183"/>
      <c r="M264" s="302">
        <v>500</v>
      </c>
      <c r="N264" s="183"/>
      <c r="O264" s="302">
        <v>500</v>
      </c>
      <c r="P264" s="183"/>
      <c r="Q264" s="302">
        <v>500</v>
      </c>
      <c r="R264" s="183"/>
      <c r="S264" s="303">
        <v>500</v>
      </c>
      <c r="T264" s="316"/>
      <c r="U264" s="302">
        <v>500</v>
      </c>
      <c r="V264" s="183"/>
      <c r="W264" s="304">
        <v>500</v>
      </c>
      <c r="X264" s="317"/>
      <c r="Y264" s="302">
        <v>625</v>
      </c>
      <c r="Z264" s="183"/>
      <c r="AA264" s="302">
        <v>625</v>
      </c>
      <c r="AB264" s="183"/>
      <c r="AC264" s="302">
        <v>625</v>
      </c>
      <c r="AD264" s="127">
        <f t="shared" ref="AD264:AD317" si="47">SUM(G264:AC264)</f>
        <v>6375</v>
      </c>
    </row>
    <row r="265" spans="1:30" x14ac:dyDescent="0.25">
      <c r="A265" s="1">
        <v>262</v>
      </c>
      <c r="B265" s="19" t="s">
        <v>191</v>
      </c>
      <c r="G265" s="302">
        <v>2000</v>
      </c>
      <c r="H265" s="183"/>
      <c r="I265" s="301">
        <v>2000</v>
      </c>
      <c r="J265" s="315"/>
      <c r="K265" s="302">
        <v>2000</v>
      </c>
      <c r="L265" s="183"/>
      <c r="M265" s="302">
        <v>2000</v>
      </c>
      <c r="N265" s="183"/>
      <c r="O265" s="302">
        <v>2000</v>
      </c>
      <c r="P265" s="183"/>
      <c r="Q265" s="302">
        <v>2000</v>
      </c>
      <c r="R265" s="183"/>
      <c r="S265" s="303">
        <v>2000</v>
      </c>
      <c r="T265" s="316"/>
      <c r="U265" s="302">
        <v>2000</v>
      </c>
      <c r="V265" s="183"/>
      <c r="W265" s="304">
        <v>2000</v>
      </c>
      <c r="X265" s="317"/>
      <c r="AD265" s="127">
        <f t="shared" si="47"/>
        <v>18000</v>
      </c>
    </row>
    <row r="266" spans="1:30" x14ac:dyDescent="0.25">
      <c r="A266" s="1">
        <v>263</v>
      </c>
      <c r="B266" s="19" t="s">
        <v>228</v>
      </c>
      <c r="G266" s="302"/>
      <c r="H266" s="183"/>
      <c r="I266" s="301"/>
      <c r="J266" s="315"/>
      <c r="K266" s="302"/>
      <c r="L266" s="183"/>
      <c r="M266" s="302"/>
      <c r="N266" s="183"/>
      <c r="O266" s="302"/>
      <c r="P266" s="183"/>
      <c r="Q266" s="302"/>
      <c r="R266" s="183"/>
      <c r="S266" s="303"/>
      <c r="T266" s="316"/>
      <c r="U266" s="302"/>
      <c r="V266" s="183"/>
      <c r="W266" s="304"/>
      <c r="X266" s="317"/>
      <c r="Y266" s="302">
        <v>2000</v>
      </c>
      <c r="Z266" s="183"/>
      <c r="AA266" s="302">
        <v>2000</v>
      </c>
      <c r="AB266" s="183"/>
      <c r="AC266" s="302">
        <v>2000</v>
      </c>
      <c r="AD266" s="127">
        <f t="shared" si="47"/>
        <v>6000</v>
      </c>
    </row>
    <row r="267" spans="1:30" x14ac:dyDescent="0.25">
      <c r="A267" s="1">
        <v>264</v>
      </c>
      <c r="B267" s="19" t="s">
        <v>192</v>
      </c>
      <c r="G267" s="302"/>
      <c r="H267" s="183"/>
      <c r="I267" s="301"/>
      <c r="J267" s="315"/>
      <c r="K267" s="302"/>
      <c r="L267" s="183"/>
      <c r="M267" s="302"/>
      <c r="N267" s="183"/>
      <c r="O267" s="302"/>
      <c r="P267" s="183"/>
      <c r="Q267" s="302"/>
      <c r="R267" s="183"/>
      <c r="S267" s="303"/>
      <c r="T267" s="316"/>
      <c r="U267" s="302"/>
      <c r="V267" s="183"/>
      <c r="W267" s="304"/>
      <c r="X267" s="317"/>
      <c r="Y267" s="302">
        <v>728.73</v>
      </c>
      <c r="Z267" s="183"/>
      <c r="AA267" s="302">
        <v>529.44000000000005</v>
      </c>
      <c r="AB267" s="183"/>
      <c r="AC267" s="302">
        <v>281.08</v>
      </c>
      <c r="AD267" s="127">
        <f t="shared" si="47"/>
        <v>1539.25</v>
      </c>
    </row>
    <row r="268" spans="1:30" x14ac:dyDescent="0.25">
      <c r="A268" s="1">
        <v>265</v>
      </c>
      <c r="B268" s="19" t="s">
        <v>336</v>
      </c>
      <c r="G268" s="302">
        <v>545.85</v>
      </c>
      <c r="H268" s="183"/>
      <c r="I268" s="301">
        <v>508.2</v>
      </c>
      <c r="J268" s="315"/>
      <c r="K268" s="302">
        <v>450.81</v>
      </c>
      <c r="L268" s="183"/>
      <c r="M268" s="302">
        <v>472.04</v>
      </c>
      <c r="N268" s="183"/>
      <c r="O268" s="302">
        <v>484.01</v>
      </c>
      <c r="P268" s="183"/>
      <c r="Q268" s="302">
        <v>294.67</v>
      </c>
      <c r="R268" s="183"/>
      <c r="S268" s="303">
        <v>312.03000000000003</v>
      </c>
      <c r="T268" s="316"/>
      <c r="U268" s="302">
        <v>319.41000000000003</v>
      </c>
      <c r="V268" s="183"/>
      <c r="W268" s="304">
        <v>313.85000000000002</v>
      </c>
      <c r="X268" s="317"/>
      <c r="AD268" s="127">
        <f t="shared" si="47"/>
        <v>3700.87</v>
      </c>
    </row>
    <row r="269" spans="1:30" x14ac:dyDescent="0.25">
      <c r="A269" s="1">
        <v>266</v>
      </c>
      <c r="B269" s="19" t="s">
        <v>213</v>
      </c>
      <c r="G269" s="302">
        <v>42374.06</v>
      </c>
      <c r="H269" s="183"/>
      <c r="I269" s="301">
        <v>39451.300000000003</v>
      </c>
      <c r="J269" s="315"/>
      <c r="K269" s="302">
        <v>34996.53</v>
      </c>
      <c r="L269" s="183"/>
      <c r="M269" s="302">
        <v>36644.14</v>
      </c>
      <c r="N269" s="183"/>
      <c r="O269" s="302">
        <v>37573.5</v>
      </c>
      <c r="P269" s="183"/>
      <c r="Q269" s="302">
        <v>22874.93</v>
      </c>
      <c r="R269" s="183"/>
      <c r="S269" s="303">
        <v>24222.720000000001</v>
      </c>
      <c r="T269" s="316"/>
      <c r="U269" s="302">
        <v>24795.56</v>
      </c>
      <c r="V269" s="183"/>
      <c r="W269" s="304">
        <v>24364.16</v>
      </c>
      <c r="X269" s="317"/>
      <c r="Y269" s="302">
        <v>28285.33</v>
      </c>
      <c r="Z269" s="183"/>
      <c r="AA269" s="302">
        <v>21676.31</v>
      </c>
      <c r="AB269" s="183"/>
      <c r="AC269" s="302">
        <v>11508.02</v>
      </c>
      <c r="AD269" s="127">
        <f t="shared" si="47"/>
        <v>348766.56</v>
      </c>
    </row>
    <row r="270" spans="1:30" x14ac:dyDescent="0.25">
      <c r="A270" s="1">
        <v>267</v>
      </c>
      <c r="B270" s="19" t="s">
        <v>20</v>
      </c>
      <c r="G270" s="302">
        <v>2029.82</v>
      </c>
      <c r="H270" s="183"/>
      <c r="I270" s="301">
        <v>1897.52</v>
      </c>
      <c r="J270" s="315"/>
      <c r="K270" s="302">
        <v>1695.87</v>
      </c>
      <c r="L270" s="183"/>
      <c r="M270" s="302">
        <v>1770.45</v>
      </c>
      <c r="N270" s="183"/>
      <c r="O270" s="302">
        <v>1812.52</v>
      </c>
      <c r="P270" s="183"/>
      <c r="Q270" s="302">
        <v>1147.17</v>
      </c>
      <c r="R270" s="183"/>
      <c r="S270" s="303">
        <v>1208.18</v>
      </c>
      <c r="T270" s="316"/>
      <c r="U270" s="302">
        <v>1234.1100000000001</v>
      </c>
      <c r="V270" s="183"/>
      <c r="W270" s="304">
        <v>1204.26</v>
      </c>
      <c r="X270" s="317"/>
      <c r="Y270" s="302">
        <v>1401.93</v>
      </c>
      <c r="Z270" s="183"/>
      <c r="AA270" s="302">
        <v>1100.25</v>
      </c>
      <c r="AB270" s="183"/>
      <c r="AC270" s="302">
        <v>638.69000000000005</v>
      </c>
      <c r="AD270" s="127">
        <f t="shared" si="47"/>
        <v>17140.77</v>
      </c>
    </row>
    <row r="271" spans="1:30" x14ac:dyDescent="0.25">
      <c r="A271" s="1">
        <v>268</v>
      </c>
      <c r="B271" s="19" t="s">
        <v>29</v>
      </c>
      <c r="G271" s="302"/>
      <c r="H271" s="183"/>
      <c r="I271" s="301"/>
      <c r="J271" s="315"/>
      <c r="K271" s="302"/>
      <c r="L271" s="183"/>
      <c r="M271" s="302"/>
      <c r="N271" s="183"/>
      <c r="O271" s="302"/>
      <c r="P271" s="183"/>
      <c r="Q271" s="302"/>
      <c r="R271" s="183"/>
      <c r="S271" s="303"/>
      <c r="T271" s="316"/>
      <c r="U271" s="302"/>
      <c r="V271" s="183"/>
      <c r="W271" s="304">
        <v>458.29</v>
      </c>
      <c r="X271" s="317"/>
      <c r="AD271" s="127">
        <f t="shared" si="47"/>
        <v>458.29</v>
      </c>
    </row>
    <row r="272" spans="1:30" x14ac:dyDescent="0.25">
      <c r="A272" s="1">
        <v>269</v>
      </c>
      <c r="B272" s="19" t="s">
        <v>30</v>
      </c>
      <c r="G272" s="302">
        <f>SUM(G264:G271)</f>
        <v>47449.729999999996</v>
      </c>
      <c r="H272" s="302"/>
      <c r="I272" s="302">
        <f t="shared" ref="I272:AC272" si="48">SUM(I264:I271)</f>
        <v>44357.02</v>
      </c>
      <c r="J272" s="302"/>
      <c r="K272" s="302">
        <f t="shared" si="48"/>
        <v>39643.21</v>
      </c>
      <c r="L272" s="302"/>
      <c r="M272" s="302">
        <f t="shared" si="48"/>
        <v>41386.629999999997</v>
      </c>
      <c r="N272" s="302"/>
      <c r="O272" s="302">
        <f t="shared" si="48"/>
        <v>42370.03</v>
      </c>
      <c r="P272" s="302"/>
      <c r="Q272" s="302">
        <f t="shared" si="48"/>
        <v>26816.769999999997</v>
      </c>
      <c r="R272" s="302"/>
      <c r="S272" s="302">
        <f t="shared" si="48"/>
        <v>28242.93</v>
      </c>
      <c r="T272" s="302"/>
      <c r="U272" s="302">
        <f t="shared" si="48"/>
        <v>28849.08</v>
      </c>
      <c r="V272" s="302"/>
      <c r="W272" s="302">
        <f t="shared" si="48"/>
        <v>28840.559999999998</v>
      </c>
      <c r="X272" s="302"/>
      <c r="Y272" s="302">
        <f t="shared" si="48"/>
        <v>33040.99</v>
      </c>
      <c r="Z272" s="302"/>
      <c r="AA272" s="302">
        <f t="shared" si="48"/>
        <v>25931</v>
      </c>
      <c r="AB272" s="302"/>
      <c r="AC272" s="302">
        <f t="shared" si="48"/>
        <v>15052.79</v>
      </c>
      <c r="AD272" s="127">
        <f t="shared" si="47"/>
        <v>401980.74</v>
      </c>
    </row>
    <row r="273" spans="1:31" x14ac:dyDescent="0.25">
      <c r="A273" s="1">
        <v>270</v>
      </c>
      <c r="B273" s="19" t="s">
        <v>31</v>
      </c>
      <c r="E273" s="98"/>
      <c r="F273" s="98"/>
      <c r="G273" s="550">
        <v>2729250</v>
      </c>
      <c r="H273" s="550"/>
      <c r="I273" s="551">
        <v>2540999</v>
      </c>
      <c r="J273" s="551"/>
      <c r="K273" s="550">
        <v>2254074</v>
      </c>
      <c r="L273" s="550"/>
      <c r="M273" s="550">
        <v>2360194</v>
      </c>
      <c r="N273" s="550"/>
      <c r="O273" s="550">
        <v>2420053</v>
      </c>
      <c r="P273" s="550"/>
      <c r="Q273" s="550">
        <v>1473340</v>
      </c>
      <c r="R273" s="550"/>
      <c r="S273" s="552">
        <v>1560149</v>
      </c>
      <c r="T273" s="552"/>
      <c r="U273" s="550">
        <v>1597045</v>
      </c>
      <c r="V273" s="550"/>
      <c r="W273" s="554">
        <v>1569259</v>
      </c>
      <c r="X273" s="554"/>
      <c r="Y273" s="550">
        <v>1821816</v>
      </c>
      <c r="Z273" s="550"/>
      <c r="AA273" s="550">
        <v>1323607</v>
      </c>
      <c r="AB273" s="550"/>
      <c r="AC273" s="550">
        <v>702707</v>
      </c>
      <c r="AD273" s="98">
        <f t="shared" si="47"/>
        <v>22352493</v>
      </c>
      <c r="AE273" s="98"/>
    </row>
    <row r="274" spans="1:31" x14ac:dyDescent="0.25">
      <c r="A274" s="1">
        <v>271</v>
      </c>
      <c r="B274" s="19" t="s">
        <v>32</v>
      </c>
      <c r="E274" s="98"/>
      <c r="F274" s="98"/>
      <c r="G274" s="98"/>
      <c r="H274" s="98"/>
      <c r="I274" s="98"/>
      <c r="J274" s="98"/>
      <c r="K274" s="98"/>
      <c r="L274" s="98"/>
      <c r="M274" s="98"/>
      <c r="N274" s="98"/>
      <c r="O274" s="98"/>
      <c r="P274" s="98"/>
      <c r="Q274" s="98"/>
      <c r="R274" s="98"/>
      <c r="S274" s="552"/>
      <c r="T274" s="552"/>
      <c r="U274" s="550"/>
      <c r="V274" s="550"/>
      <c r="W274" s="98"/>
      <c r="X274" s="98"/>
      <c r="Y274" s="550"/>
      <c r="Z274" s="550"/>
      <c r="AA274" s="550"/>
      <c r="AB274" s="550"/>
      <c r="AC274" s="550"/>
      <c r="AD274" s="98">
        <f t="shared" si="47"/>
        <v>0</v>
      </c>
      <c r="AE274" s="98"/>
    </row>
    <row r="275" spans="1:31" x14ac:dyDescent="0.25">
      <c r="A275" s="1">
        <v>272</v>
      </c>
      <c r="B275" s="19" t="s">
        <v>33</v>
      </c>
      <c r="E275" s="98"/>
      <c r="F275" s="98"/>
      <c r="G275" s="550">
        <f>SUM(G273:G274)</f>
        <v>2729250</v>
      </c>
      <c r="H275" s="550"/>
      <c r="I275" s="550">
        <f t="shared" ref="I275:AC275" si="49">SUM(I273:I274)</f>
        <v>2540999</v>
      </c>
      <c r="J275" s="550"/>
      <c r="K275" s="550">
        <f t="shared" si="49"/>
        <v>2254074</v>
      </c>
      <c r="L275" s="550"/>
      <c r="M275" s="550">
        <f t="shared" si="49"/>
        <v>2360194</v>
      </c>
      <c r="N275" s="550"/>
      <c r="O275" s="550">
        <f t="shared" si="49"/>
        <v>2420053</v>
      </c>
      <c r="P275" s="550"/>
      <c r="Q275" s="550">
        <f t="shared" si="49"/>
        <v>1473340</v>
      </c>
      <c r="R275" s="550"/>
      <c r="S275" s="550">
        <f t="shared" si="49"/>
        <v>1560149</v>
      </c>
      <c r="T275" s="550"/>
      <c r="U275" s="550">
        <f t="shared" si="49"/>
        <v>1597045</v>
      </c>
      <c r="V275" s="550"/>
      <c r="W275" s="550">
        <f t="shared" si="49"/>
        <v>1569259</v>
      </c>
      <c r="X275" s="550"/>
      <c r="Y275" s="550">
        <f t="shared" si="49"/>
        <v>1821816</v>
      </c>
      <c r="Z275" s="550"/>
      <c r="AA275" s="550">
        <f t="shared" si="49"/>
        <v>1323607</v>
      </c>
      <c r="AB275" s="550"/>
      <c r="AC275" s="550">
        <f t="shared" si="49"/>
        <v>702707</v>
      </c>
      <c r="AD275" s="98">
        <f t="shared" si="47"/>
        <v>22352493</v>
      </c>
      <c r="AE275" s="98"/>
    </row>
    <row r="276" spans="1:31" x14ac:dyDescent="0.25">
      <c r="A276" s="1">
        <v>273</v>
      </c>
      <c r="B276" s="18"/>
    </row>
    <row r="277" spans="1:31" x14ac:dyDescent="0.25">
      <c r="A277" s="1">
        <v>274</v>
      </c>
      <c r="B277" s="30" t="s">
        <v>164</v>
      </c>
    </row>
    <row r="278" spans="1:31" x14ac:dyDescent="0.25">
      <c r="A278" s="1">
        <v>275</v>
      </c>
      <c r="B278" s="19" t="s">
        <v>25</v>
      </c>
      <c r="G278" s="302">
        <v>500</v>
      </c>
      <c r="H278" s="183"/>
      <c r="I278" s="301">
        <v>500</v>
      </c>
      <c r="J278" s="315"/>
      <c r="K278" s="302">
        <v>500</v>
      </c>
      <c r="L278" s="183"/>
      <c r="M278" s="302">
        <v>500</v>
      </c>
      <c r="N278" s="183"/>
      <c r="O278" s="302">
        <v>500</v>
      </c>
      <c r="P278" s="183"/>
      <c r="Q278" s="302">
        <v>500</v>
      </c>
      <c r="R278" s="183"/>
      <c r="S278" s="303">
        <v>500</v>
      </c>
      <c r="T278" s="316"/>
      <c r="U278" s="302">
        <v>500</v>
      </c>
      <c r="V278" s="183"/>
      <c r="W278" s="127">
        <v>500</v>
      </c>
      <c r="Y278" s="127">
        <v>625</v>
      </c>
      <c r="AA278" s="302">
        <v>625</v>
      </c>
      <c r="AB278" s="183"/>
      <c r="AC278" s="302">
        <v>625</v>
      </c>
      <c r="AD278" s="127">
        <f t="shared" si="47"/>
        <v>6375</v>
      </c>
    </row>
    <row r="279" spans="1:31" x14ac:dyDescent="0.25">
      <c r="A279" s="1">
        <v>276</v>
      </c>
      <c r="B279" s="19" t="s">
        <v>228</v>
      </c>
      <c r="G279" s="302"/>
      <c r="H279" s="183"/>
      <c r="I279" s="301"/>
      <c r="J279" s="315"/>
      <c r="K279" s="302"/>
      <c r="L279" s="183"/>
      <c r="M279" s="302"/>
      <c r="N279" s="183"/>
      <c r="O279" s="302"/>
      <c r="P279" s="183"/>
      <c r="Q279" s="302"/>
      <c r="R279" s="183"/>
      <c r="S279" s="303"/>
      <c r="T279" s="316"/>
      <c r="U279" s="302"/>
      <c r="V279" s="183"/>
      <c r="Y279" s="302">
        <v>2250</v>
      </c>
      <c r="Z279" s="183"/>
      <c r="AA279" s="302">
        <v>2250</v>
      </c>
      <c r="AB279" s="183"/>
      <c r="AC279" s="302">
        <v>2250</v>
      </c>
      <c r="AD279" s="127">
        <f t="shared" si="47"/>
        <v>6750</v>
      </c>
    </row>
    <row r="280" spans="1:31" x14ac:dyDescent="0.25">
      <c r="A280" s="1">
        <v>277</v>
      </c>
      <c r="B280" s="19" t="s">
        <v>192</v>
      </c>
      <c r="G280" s="302"/>
      <c r="H280" s="183"/>
      <c r="I280" s="301"/>
      <c r="J280" s="315"/>
      <c r="K280" s="302"/>
      <c r="L280" s="183"/>
      <c r="M280" s="302"/>
      <c r="N280" s="183"/>
      <c r="O280" s="302"/>
      <c r="P280" s="183"/>
      <c r="Q280" s="302"/>
      <c r="R280" s="183"/>
      <c r="S280" s="303"/>
      <c r="T280" s="316"/>
      <c r="U280" s="302"/>
      <c r="V280" s="183"/>
      <c r="Y280" s="302">
        <v>259.51</v>
      </c>
      <c r="Z280" s="183"/>
      <c r="AA280" s="302">
        <v>314.31</v>
      </c>
      <c r="AB280" s="183"/>
      <c r="AC280" s="302">
        <v>252.03</v>
      </c>
      <c r="AD280" s="127">
        <f t="shared" si="47"/>
        <v>825.84999999999991</v>
      </c>
    </row>
    <row r="281" spans="1:31" x14ac:dyDescent="0.25">
      <c r="A281" s="1">
        <v>278</v>
      </c>
      <c r="B281" s="19" t="s">
        <v>191</v>
      </c>
      <c r="G281" s="302">
        <v>2250</v>
      </c>
      <c r="H281" s="183"/>
      <c r="I281" s="301">
        <v>2250</v>
      </c>
      <c r="J281" s="315"/>
      <c r="K281" s="302">
        <v>2250</v>
      </c>
      <c r="L281" s="183"/>
      <c r="M281" s="302">
        <v>2250</v>
      </c>
      <c r="N281" s="183"/>
      <c r="O281" s="302">
        <v>2250</v>
      </c>
      <c r="P281" s="183"/>
      <c r="Q281" s="302">
        <v>2250</v>
      </c>
      <c r="R281" s="183"/>
      <c r="S281" s="303">
        <v>2250</v>
      </c>
      <c r="T281" s="316"/>
      <c r="U281" s="302">
        <v>2250</v>
      </c>
      <c r="V281" s="183"/>
      <c r="W281" s="127">
        <v>2250</v>
      </c>
      <c r="AD281" s="127">
        <f t="shared" si="47"/>
        <v>20250</v>
      </c>
    </row>
    <row r="282" spans="1:31" x14ac:dyDescent="0.25">
      <c r="A282" s="1">
        <v>279</v>
      </c>
      <c r="B282" s="19" t="s">
        <v>336</v>
      </c>
      <c r="G282" s="302">
        <v>145.33000000000001</v>
      </c>
      <c r="H282" s="183"/>
      <c r="I282" s="301">
        <v>168.91</v>
      </c>
      <c r="J282" s="315"/>
      <c r="K282" s="302">
        <v>148.97</v>
      </c>
      <c r="L282" s="183"/>
      <c r="M282" s="302">
        <v>152.95000000000002</v>
      </c>
      <c r="N282" s="183"/>
      <c r="O282" s="302">
        <v>152.16</v>
      </c>
      <c r="P282" s="183"/>
      <c r="Q282" s="302">
        <v>55.14</v>
      </c>
      <c r="R282" s="183"/>
      <c r="S282" s="303">
        <v>151.02000000000001</v>
      </c>
      <c r="T282" s="316"/>
      <c r="U282" s="302">
        <v>106.17</v>
      </c>
      <c r="V282" s="183"/>
      <c r="W282" s="127">
        <v>142.19999999999999</v>
      </c>
      <c r="AD282" s="127">
        <f t="shared" si="47"/>
        <v>1222.8500000000001</v>
      </c>
    </row>
    <row r="283" spans="1:31" x14ac:dyDescent="0.25">
      <c r="A283" s="1">
        <v>280</v>
      </c>
      <c r="B283" s="19" t="s">
        <v>213</v>
      </c>
      <c r="G283" s="302">
        <v>8185.49</v>
      </c>
      <c r="H283" s="183"/>
      <c r="I283" s="301">
        <v>9513.6</v>
      </c>
      <c r="J283" s="315"/>
      <c r="K283" s="302">
        <v>8390.81</v>
      </c>
      <c r="L283" s="183"/>
      <c r="M283" s="302">
        <v>8614.9</v>
      </c>
      <c r="N283" s="183"/>
      <c r="O283" s="302">
        <v>8570.06</v>
      </c>
      <c r="P283" s="183"/>
      <c r="Q283" s="302">
        <v>3105.63</v>
      </c>
      <c r="R283" s="183"/>
      <c r="S283" s="303">
        <v>8505.86</v>
      </c>
      <c r="T283" s="316"/>
      <c r="U283" s="302">
        <v>5979.73</v>
      </c>
      <c r="V283" s="183"/>
      <c r="W283" s="127">
        <v>8009.06</v>
      </c>
      <c r="Y283" s="302">
        <v>7308.22</v>
      </c>
      <c r="Z283" s="183"/>
      <c r="AA283" s="302">
        <v>9108.23</v>
      </c>
      <c r="AB283" s="183"/>
      <c r="AC283" s="302">
        <v>7303.44</v>
      </c>
      <c r="AD283" s="127">
        <f t="shared" si="47"/>
        <v>92595.03</v>
      </c>
    </row>
    <row r="284" spans="1:31" x14ac:dyDescent="0.25">
      <c r="A284" s="1">
        <v>281</v>
      </c>
      <c r="B284" s="19" t="s">
        <v>20</v>
      </c>
      <c r="G284" s="302">
        <v>495.2</v>
      </c>
      <c r="H284" s="183"/>
      <c r="I284" s="301">
        <v>555.61</v>
      </c>
      <c r="J284" s="315"/>
      <c r="K284" s="302">
        <v>504.54</v>
      </c>
      <c r="L284" s="183"/>
      <c r="M284" s="302">
        <v>514.73</v>
      </c>
      <c r="N284" s="183"/>
      <c r="O284" s="302">
        <v>512.69000000000005</v>
      </c>
      <c r="P284" s="183"/>
      <c r="Q284" s="302">
        <v>264.14999999999998</v>
      </c>
      <c r="R284" s="183"/>
      <c r="S284" s="303">
        <v>509.7700000000001</v>
      </c>
      <c r="T284" s="316"/>
      <c r="U284" s="302">
        <v>394.88</v>
      </c>
      <c r="V284" s="183"/>
      <c r="W284" s="127">
        <v>483.03</v>
      </c>
      <c r="Y284" s="302">
        <v>462.72</v>
      </c>
      <c r="Z284" s="183"/>
      <c r="AA284" s="302">
        <v>544.9</v>
      </c>
      <c r="AB284" s="183"/>
      <c r="AC284" s="302">
        <v>462.17</v>
      </c>
      <c r="AD284" s="127">
        <f t="shared" si="47"/>
        <v>5704.39</v>
      </c>
    </row>
    <row r="285" spans="1:31" x14ac:dyDescent="0.25">
      <c r="A285" s="1">
        <v>282</v>
      </c>
      <c r="B285" s="19" t="s">
        <v>29</v>
      </c>
      <c r="G285" s="302"/>
      <c r="H285" s="183"/>
      <c r="I285" s="301"/>
      <c r="J285" s="315"/>
      <c r="K285" s="302"/>
      <c r="L285" s="183"/>
      <c r="M285" s="302"/>
      <c r="N285" s="183"/>
      <c r="O285" s="302"/>
      <c r="P285" s="183"/>
      <c r="Q285" s="302"/>
      <c r="R285" s="183"/>
      <c r="S285" s="303"/>
      <c r="T285" s="316"/>
      <c r="U285" s="302"/>
      <c r="V285" s="183"/>
      <c r="W285" s="127">
        <v>279.04000000000002</v>
      </c>
      <c r="AD285" s="127">
        <f t="shared" si="47"/>
        <v>279.04000000000002</v>
      </c>
    </row>
    <row r="286" spans="1:31" x14ac:dyDescent="0.25">
      <c r="A286" s="1">
        <v>283</v>
      </c>
      <c r="B286" s="19" t="s">
        <v>30</v>
      </c>
      <c r="G286" s="302">
        <f>SUM(G278:G285)</f>
        <v>11576.02</v>
      </c>
      <c r="H286" s="302"/>
      <c r="I286" s="302">
        <f t="shared" ref="I286:AC286" si="50">SUM(I278:I285)</f>
        <v>12988.12</v>
      </c>
      <c r="J286" s="302"/>
      <c r="K286" s="302">
        <f t="shared" si="50"/>
        <v>11794.32</v>
      </c>
      <c r="L286" s="302"/>
      <c r="M286" s="302">
        <f t="shared" si="50"/>
        <v>12032.579999999998</v>
      </c>
      <c r="N286" s="302"/>
      <c r="O286" s="302">
        <f t="shared" si="50"/>
        <v>11984.91</v>
      </c>
      <c r="P286" s="302"/>
      <c r="Q286" s="302">
        <f t="shared" si="50"/>
        <v>6174.92</v>
      </c>
      <c r="R286" s="302"/>
      <c r="S286" s="302">
        <f t="shared" si="50"/>
        <v>11916.650000000001</v>
      </c>
      <c r="T286" s="302"/>
      <c r="U286" s="302">
        <f t="shared" si="50"/>
        <v>9230.7799999999988</v>
      </c>
      <c r="V286" s="302"/>
      <c r="W286" s="302">
        <f t="shared" si="50"/>
        <v>11663.330000000002</v>
      </c>
      <c r="X286" s="302"/>
      <c r="Y286" s="302">
        <f t="shared" si="50"/>
        <v>10905.449999999999</v>
      </c>
      <c r="Z286" s="302"/>
      <c r="AA286" s="302">
        <f t="shared" si="50"/>
        <v>12842.439999999999</v>
      </c>
      <c r="AB286" s="302"/>
      <c r="AC286" s="302">
        <f t="shared" si="50"/>
        <v>10892.64</v>
      </c>
      <c r="AD286" s="127">
        <f t="shared" si="47"/>
        <v>134002.15999999997</v>
      </c>
    </row>
    <row r="287" spans="1:31" x14ac:dyDescent="0.25">
      <c r="A287" s="1">
        <v>284</v>
      </c>
      <c r="B287" s="19" t="s">
        <v>31</v>
      </c>
      <c r="F287" s="98"/>
      <c r="G287" s="550">
        <v>726643</v>
      </c>
      <c r="H287" s="550"/>
      <c r="I287" s="551">
        <v>844542</v>
      </c>
      <c r="J287" s="551"/>
      <c r="K287" s="550">
        <v>744870</v>
      </c>
      <c r="L287" s="550"/>
      <c r="M287" s="550">
        <v>764763</v>
      </c>
      <c r="N287" s="550"/>
      <c r="O287" s="550">
        <v>760782</v>
      </c>
      <c r="P287" s="550"/>
      <c r="Q287" s="550">
        <v>275693</v>
      </c>
      <c r="R287" s="550"/>
      <c r="S287" s="552">
        <v>755083</v>
      </c>
      <c r="T287" s="552"/>
      <c r="U287" s="550">
        <v>530833</v>
      </c>
      <c r="V287" s="550"/>
      <c r="W287" s="98">
        <v>710981</v>
      </c>
      <c r="X287" s="98"/>
      <c r="Y287" s="550">
        <v>648766</v>
      </c>
      <c r="Z287" s="550"/>
      <c r="AA287" s="550">
        <v>785768</v>
      </c>
      <c r="AB287" s="550"/>
      <c r="AC287" s="550">
        <v>630069</v>
      </c>
      <c r="AD287" s="98">
        <f t="shared" si="47"/>
        <v>8178793</v>
      </c>
    </row>
    <row r="288" spans="1:31" x14ac:dyDescent="0.25">
      <c r="A288" s="1">
        <v>285</v>
      </c>
      <c r="B288" s="19" t="s">
        <v>32</v>
      </c>
      <c r="F288" s="98"/>
      <c r="G288" s="98"/>
      <c r="H288" s="98"/>
      <c r="I288" s="98"/>
      <c r="J288" s="98"/>
      <c r="K288" s="98"/>
      <c r="L288" s="98"/>
      <c r="M288" s="98"/>
      <c r="N288" s="98"/>
      <c r="O288" s="98"/>
      <c r="P288" s="98"/>
      <c r="Q288" s="98"/>
      <c r="R288" s="98"/>
      <c r="S288" s="552"/>
      <c r="T288" s="552"/>
      <c r="U288" s="550"/>
      <c r="V288" s="550"/>
      <c r="W288" s="98"/>
      <c r="X288" s="98"/>
      <c r="Y288" s="550"/>
      <c r="Z288" s="550"/>
      <c r="AA288" s="550"/>
      <c r="AB288" s="550"/>
      <c r="AC288" s="550"/>
      <c r="AD288" s="98">
        <f t="shared" si="47"/>
        <v>0</v>
      </c>
    </row>
    <row r="289" spans="1:31" x14ac:dyDescent="0.25">
      <c r="A289" s="1">
        <v>286</v>
      </c>
      <c r="B289" s="19" t="s">
        <v>33</v>
      </c>
      <c r="F289" s="98"/>
      <c r="G289" s="550">
        <f>SUM(G287:G288)</f>
        <v>726643</v>
      </c>
      <c r="H289" s="550"/>
      <c r="I289" s="550">
        <f t="shared" ref="I289:AC289" si="51">SUM(I287:I288)</f>
        <v>844542</v>
      </c>
      <c r="J289" s="550"/>
      <c r="K289" s="550">
        <f t="shared" si="51"/>
        <v>744870</v>
      </c>
      <c r="L289" s="550"/>
      <c r="M289" s="550">
        <f t="shared" si="51"/>
        <v>764763</v>
      </c>
      <c r="N289" s="550"/>
      <c r="O289" s="550">
        <f t="shared" si="51"/>
        <v>760782</v>
      </c>
      <c r="P289" s="550"/>
      <c r="Q289" s="550">
        <f t="shared" si="51"/>
        <v>275693</v>
      </c>
      <c r="R289" s="550"/>
      <c r="S289" s="550">
        <f t="shared" si="51"/>
        <v>755083</v>
      </c>
      <c r="T289" s="550"/>
      <c r="U289" s="550">
        <f t="shared" si="51"/>
        <v>530833</v>
      </c>
      <c r="V289" s="550"/>
      <c r="W289" s="550">
        <f t="shared" si="51"/>
        <v>710981</v>
      </c>
      <c r="X289" s="550"/>
      <c r="Y289" s="550">
        <f t="shared" si="51"/>
        <v>648766</v>
      </c>
      <c r="Z289" s="550"/>
      <c r="AA289" s="550">
        <f t="shared" si="51"/>
        <v>785768</v>
      </c>
      <c r="AB289" s="550"/>
      <c r="AC289" s="550">
        <f t="shared" si="51"/>
        <v>630069</v>
      </c>
      <c r="AD289" s="98">
        <f t="shared" si="47"/>
        <v>8178793</v>
      </c>
    </row>
    <row r="290" spans="1:31" x14ac:dyDescent="0.25">
      <c r="A290" s="1">
        <v>287</v>
      </c>
      <c r="B290" s="18"/>
    </row>
    <row r="291" spans="1:31" x14ac:dyDescent="0.25">
      <c r="A291" s="1">
        <v>288</v>
      </c>
      <c r="B291" s="30" t="s">
        <v>166</v>
      </c>
    </row>
    <row r="292" spans="1:31" x14ac:dyDescent="0.25">
      <c r="A292" s="1">
        <v>289</v>
      </c>
      <c r="B292" s="19" t="s">
        <v>25</v>
      </c>
      <c r="G292" s="302">
        <v>500</v>
      </c>
      <c r="H292" s="183"/>
      <c r="I292" s="301">
        <v>500</v>
      </c>
      <c r="J292" s="315"/>
      <c r="K292" s="302">
        <v>500</v>
      </c>
      <c r="L292" s="183"/>
      <c r="M292" s="302">
        <v>500</v>
      </c>
      <c r="N292" s="183"/>
      <c r="O292" s="302">
        <v>500</v>
      </c>
      <c r="P292" s="183"/>
      <c r="Q292" s="302">
        <v>500</v>
      </c>
      <c r="R292" s="183"/>
      <c r="S292" s="303">
        <v>500</v>
      </c>
      <c r="T292" s="316"/>
      <c r="U292" s="302">
        <v>500</v>
      </c>
      <c r="V292" s="183"/>
      <c r="W292" s="127">
        <v>500</v>
      </c>
      <c r="Y292" s="302">
        <v>625</v>
      </c>
      <c r="Z292" s="183"/>
      <c r="AA292" s="302">
        <v>625</v>
      </c>
      <c r="AB292" s="183"/>
      <c r="AC292" s="302">
        <v>625</v>
      </c>
      <c r="AD292" s="127">
        <f t="shared" si="47"/>
        <v>6375</v>
      </c>
    </row>
    <row r="293" spans="1:31" x14ac:dyDescent="0.25">
      <c r="A293" s="1">
        <v>290</v>
      </c>
      <c r="B293" s="19" t="s">
        <v>228</v>
      </c>
      <c r="G293" s="302"/>
      <c r="H293" s="183"/>
      <c r="I293" s="301"/>
      <c r="J293" s="315"/>
      <c r="K293" s="302"/>
      <c r="L293" s="183"/>
      <c r="M293" s="302"/>
      <c r="N293" s="183"/>
      <c r="O293" s="302"/>
      <c r="P293" s="183"/>
      <c r="Q293" s="302"/>
      <c r="R293" s="183"/>
      <c r="S293" s="303"/>
      <c r="T293" s="316"/>
      <c r="U293" s="302"/>
      <c r="V293" s="183"/>
      <c r="Y293" s="302">
        <v>3950</v>
      </c>
      <c r="Z293" s="183"/>
      <c r="AA293" s="302">
        <v>3950</v>
      </c>
      <c r="AB293" s="183"/>
      <c r="AC293" s="302">
        <v>3950</v>
      </c>
      <c r="AD293" s="127">
        <f t="shared" si="47"/>
        <v>11850</v>
      </c>
    </row>
    <row r="294" spans="1:31" x14ac:dyDescent="0.25">
      <c r="A294" s="1">
        <v>291</v>
      </c>
      <c r="B294" s="19" t="s">
        <v>192</v>
      </c>
      <c r="G294" s="302"/>
      <c r="H294" s="183"/>
      <c r="I294" s="301"/>
      <c r="J294" s="315"/>
      <c r="K294" s="302"/>
      <c r="L294" s="183"/>
      <c r="M294" s="302"/>
      <c r="N294" s="183"/>
      <c r="O294" s="302"/>
      <c r="P294" s="183"/>
      <c r="Q294" s="302"/>
      <c r="R294" s="183"/>
      <c r="S294" s="303"/>
      <c r="T294" s="316"/>
      <c r="U294" s="302"/>
      <c r="V294" s="183"/>
      <c r="Y294" s="302">
        <v>134.42000000000002</v>
      </c>
      <c r="Z294" s="183"/>
      <c r="AA294" s="302">
        <v>229.88</v>
      </c>
      <c r="AB294" s="183"/>
      <c r="AC294" s="302">
        <v>178.57</v>
      </c>
      <c r="AD294" s="127">
        <f t="shared" si="47"/>
        <v>542.87</v>
      </c>
    </row>
    <row r="295" spans="1:31" x14ac:dyDescent="0.25">
      <c r="A295" s="1">
        <v>292</v>
      </c>
      <c r="B295" s="19" t="s">
        <v>191</v>
      </c>
      <c r="G295" s="302">
        <v>3950</v>
      </c>
      <c r="H295" s="183"/>
      <c r="I295" s="301">
        <v>3950</v>
      </c>
      <c r="J295" s="315"/>
      <c r="K295" s="302">
        <v>3950</v>
      </c>
      <c r="L295" s="183"/>
      <c r="M295" s="302">
        <v>3950</v>
      </c>
      <c r="N295" s="183"/>
      <c r="O295" s="302">
        <v>3950</v>
      </c>
      <c r="P295" s="183"/>
      <c r="Q295" s="302">
        <v>3950</v>
      </c>
      <c r="R295" s="183"/>
      <c r="S295" s="303">
        <v>3950</v>
      </c>
      <c r="T295" s="316"/>
      <c r="U295" s="302">
        <v>3950</v>
      </c>
      <c r="V295" s="183"/>
      <c r="W295" s="127">
        <v>3950</v>
      </c>
      <c r="AD295" s="127">
        <f t="shared" si="47"/>
        <v>35550</v>
      </c>
    </row>
    <row r="296" spans="1:31" x14ac:dyDescent="0.25">
      <c r="A296" s="1">
        <v>293</v>
      </c>
      <c r="B296" s="19" t="s">
        <v>336</v>
      </c>
      <c r="G296" s="302">
        <v>136.13</v>
      </c>
      <c r="H296" s="183"/>
      <c r="I296" s="301">
        <v>107.29</v>
      </c>
      <c r="J296" s="315"/>
      <c r="K296" s="302">
        <v>102.01</v>
      </c>
      <c r="L296" s="183"/>
      <c r="M296" s="302">
        <v>91.59</v>
      </c>
      <c r="N296" s="183"/>
      <c r="O296" s="302">
        <v>79.070000000000007</v>
      </c>
      <c r="P296" s="183"/>
      <c r="Q296" s="302">
        <v>68.39</v>
      </c>
      <c r="R296" s="183"/>
      <c r="S296" s="303">
        <v>71.78</v>
      </c>
      <c r="T296" s="316"/>
      <c r="U296" s="302">
        <v>49.71</v>
      </c>
      <c r="V296" s="183"/>
      <c r="W296" s="127">
        <v>67.36</v>
      </c>
      <c r="AD296" s="127">
        <f t="shared" si="47"/>
        <v>773.33</v>
      </c>
    </row>
    <row r="297" spans="1:31" x14ac:dyDescent="0.25">
      <c r="A297" s="1">
        <v>294</v>
      </c>
      <c r="B297" s="19" t="s">
        <v>213</v>
      </c>
      <c r="G297" s="302">
        <v>11723.89</v>
      </c>
      <c r="H297" s="183"/>
      <c r="I297" s="301">
        <v>9240.5500000000011</v>
      </c>
      <c r="J297" s="315"/>
      <c r="K297" s="302">
        <v>8785.58</v>
      </c>
      <c r="L297" s="183"/>
      <c r="M297" s="302">
        <v>7888.27</v>
      </c>
      <c r="N297" s="183"/>
      <c r="O297" s="302">
        <v>6809.45</v>
      </c>
      <c r="P297" s="183"/>
      <c r="Q297" s="302">
        <v>5889.93</v>
      </c>
      <c r="R297" s="183"/>
      <c r="S297" s="303">
        <v>6181.93</v>
      </c>
      <c r="T297" s="316"/>
      <c r="U297" s="302">
        <v>4281.4800000000005</v>
      </c>
      <c r="V297" s="183"/>
      <c r="W297" s="127">
        <v>5801.66</v>
      </c>
      <c r="Y297" s="302">
        <v>5788.27</v>
      </c>
      <c r="Z297" s="183"/>
      <c r="AA297" s="302">
        <v>10186.31</v>
      </c>
      <c r="AB297" s="183"/>
      <c r="AC297" s="302">
        <v>7912.39</v>
      </c>
      <c r="AD297" s="127">
        <f t="shared" si="47"/>
        <v>90489.71</v>
      </c>
    </row>
    <row r="298" spans="1:31" x14ac:dyDescent="0.25">
      <c r="A298" s="1">
        <v>295</v>
      </c>
      <c r="B298" s="19" t="s">
        <v>29</v>
      </c>
      <c r="G298" s="302"/>
      <c r="H298" s="183"/>
      <c r="I298" s="301"/>
      <c r="J298" s="315"/>
      <c r="K298" s="302"/>
      <c r="L298" s="183"/>
      <c r="M298" s="302"/>
      <c r="N298" s="183"/>
      <c r="O298" s="302"/>
      <c r="P298" s="183"/>
      <c r="Q298" s="302"/>
      <c r="R298" s="183"/>
      <c r="S298" s="303"/>
      <c r="T298" s="316"/>
      <c r="U298" s="302"/>
      <c r="V298" s="183"/>
      <c r="W298" s="127">
        <v>200.89</v>
      </c>
      <c r="AD298" s="127">
        <f t="shared" si="47"/>
        <v>200.89</v>
      </c>
    </row>
    <row r="299" spans="1:31" x14ac:dyDescent="0.25">
      <c r="A299" s="1">
        <v>296</v>
      </c>
      <c r="B299" s="19" t="s">
        <v>20</v>
      </c>
      <c r="G299" s="302">
        <v>728.89</v>
      </c>
      <c r="H299" s="183"/>
      <c r="I299" s="301">
        <v>616.63</v>
      </c>
      <c r="J299" s="315"/>
      <c r="K299" s="302">
        <v>596.06000000000006</v>
      </c>
      <c r="L299" s="183"/>
      <c r="M299" s="302">
        <v>555.49</v>
      </c>
      <c r="N299" s="183"/>
      <c r="O299" s="302">
        <v>506.72</v>
      </c>
      <c r="P299" s="183"/>
      <c r="Q299" s="302">
        <v>465.15</v>
      </c>
      <c r="R299" s="183"/>
      <c r="S299" s="303">
        <v>478.35</v>
      </c>
      <c r="T299" s="316"/>
      <c r="U299" s="302">
        <v>392.43</v>
      </c>
      <c r="V299" s="183"/>
      <c r="W299" s="127">
        <v>457.24</v>
      </c>
      <c r="Y299" s="302">
        <v>465.15</v>
      </c>
      <c r="Z299" s="183"/>
      <c r="AA299" s="302">
        <v>664.26</v>
      </c>
      <c r="AB299" s="183"/>
      <c r="AC299" s="302">
        <v>561.23</v>
      </c>
      <c r="AD299" s="127">
        <f t="shared" si="47"/>
        <v>6487.6</v>
      </c>
    </row>
    <row r="300" spans="1:31" x14ac:dyDescent="0.25">
      <c r="A300" s="1">
        <v>297</v>
      </c>
      <c r="B300" s="19" t="s">
        <v>30</v>
      </c>
      <c r="G300" s="302">
        <f>SUM(G292:G299)</f>
        <v>17038.91</v>
      </c>
      <c r="H300" s="302"/>
      <c r="I300" s="302">
        <f t="shared" ref="I300:AC300" si="52">SUM(I292:I299)</f>
        <v>14414.47</v>
      </c>
      <c r="J300" s="302"/>
      <c r="K300" s="302">
        <f t="shared" si="52"/>
        <v>13933.65</v>
      </c>
      <c r="L300" s="302"/>
      <c r="M300" s="302">
        <f t="shared" si="52"/>
        <v>12985.35</v>
      </c>
      <c r="N300" s="302"/>
      <c r="O300" s="302">
        <f t="shared" si="52"/>
        <v>11845.24</v>
      </c>
      <c r="P300" s="302"/>
      <c r="Q300" s="302">
        <f t="shared" si="52"/>
        <v>10873.47</v>
      </c>
      <c r="R300" s="302"/>
      <c r="S300" s="302">
        <f t="shared" si="52"/>
        <v>11182.06</v>
      </c>
      <c r="T300" s="302"/>
      <c r="U300" s="302">
        <f t="shared" si="52"/>
        <v>9173.6200000000008</v>
      </c>
      <c r="V300" s="302"/>
      <c r="W300" s="302">
        <f t="shared" si="52"/>
        <v>10977.15</v>
      </c>
      <c r="X300" s="302"/>
      <c r="Y300" s="302">
        <f t="shared" si="52"/>
        <v>10962.84</v>
      </c>
      <c r="Z300" s="302"/>
      <c r="AA300" s="302">
        <f t="shared" si="52"/>
        <v>15655.449999999999</v>
      </c>
      <c r="AB300" s="302"/>
      <c r="AC300" s="302">
        <f t="shared" si="52"/>
        <v>13227.189999999999</v>
      </c>
      <c r="AD300" s="127">
        <f t="shared" si="47"/>
        <v>152269.4</v>
      </c>
    </row>
    <row r="301" spans="1:31" x14ac:dyDescent="0.25">
      <c r="A301" s="1">
        <v>298</v>
      </c>
      <c r="B301" s="19" t="s">
        <v>31</v>
      </c>
      <c r="F301" s="98"/>
      <c r="G301" s="550">
        <v>680640</v>
      </c>
      <c r="H301" s="550"/>
      <c r="I301" s="551">
        <v>536468</v>
      </c>
      <c r="J301" s="551"/>
      <c r="K301" s="550">
        <v>510054</v>
      </c>
      <c r="L301" s="550"/>
      <c r="M301" s="550">
        <v>457960</v>
      </c>
      <c r="N301" s="550"/>
      <c r="O301" s="550">
        <v>395328</v>
      </c>
      <c r="P301" s="550"/>
      <c r="Q301" s="550">
        <v>341945</v>
      </c>
      <c r="R301" s="550"/>
      <c r="S301" s="552">
        <v>358897</v>
      </c>
      <c r="T301" s="552"/>
      <c r="U301" s="550">
        <v>248565</v>
      </c>
      <c r="V301" s="550"/>
      <c r="W301" s="98">
        <v>336820</v>
      </c>
      <c r="X301" s="98"/>
      <c r="Y301" s="550">
        <v>336043</v>
      </c>
      <c r="Z301" s="550"/>
      <c r="AA301" s="550">
        <v>574709</v>
      </c>
      <c r="AB301" s="550"/>
      <c r="AC301" s="550">
        <v>446415</v>
      </c>
      <c r="AD301" s="98">
        <f t="shared" si="47"/>
        <v>5223844</v>
      </c>
      <c r="AE301" s="98"/>
    </row>
    <row r="302" spans="1:31" x14ac:dyDescent="0.25">
      <c r="A302" s="1">
        <v>299</v>
      </c>
      <c r="B302" s="19" t="s">
        <v>32</v>
      </c>
      <c r="F302" s="98"/>
      <c r="G302" s="98"/>
      <c r="H302" s="98"/>
      <c r="I302" s="98"/>
      <c r="J302" s="98"/>
      <c r="K302" s="98"/>
      <c r="L302" s="98"/>
      <c r="M302" s="98"/>
      <c r="N302" s="98"/>
      <c r="O302" s="98"/>
      <c r="P302" s="98"/>
      <c r="Q302" s="98"/>
      <c r="R302" s="98"/>
      <c r="S302" s="552"/>
      <c r="T302" s="552"/>
      <c r="U302" s="550"/>
      <c r="V302" s="550"/>
      <c r="W302" s="98"/>
      <c r="X302" s="98"/>
      <c r="Y302" s="550"/>
      <c r="Z302" s="550"/>
      <c r="AA302" s="550"/>
      <c r="AB302" s="550"/>
      <c r="AC302" s="550"/>
      <c r="AD302" s="98">
        <f t="shared" si="47"/>
        <v>0</v>
      </c>
      <c r="AE302" s="98"/>
    </row>
    <row r="303" spans="1:31" x14ac:dyDescent="0.25">
      <c r="A303" s="1">
        <v>300</v>
      </c>
      <c r="B303" s="19" t="s">
        <v>33</v>
      </c>
      <c r="F303" s="98"/>
      <c r="G303" s="550">
        <f>SUM(G301:G302)</f>
        <v>680640</v>
      </c>
      <c r="H303" s="550"/>
      <c r="I303" s="550">
        <f t="shared" ref="I303:AC303" si="53">SUM(I301:I302)</f>
        <v>536468</v>
      </c>
      <c r="J303" s="550"/>
      <c r="K303" s="550">
        <f t="shared" si="53"/>
        <v>510054</v>
      </c>
      <c r="L303" s="550"/>
      <c r="M303" s="550">
        <f t="shared" si="53"/>
        <v>457960</v>
      </c>
      <c r="N303" s="550"/>
      <c r="O303" s="550">
        <f t="shared" si="53"/>
        <v>395328</v>
      </c>
      <c r="P303" s="550"/>
      <c r="Q303" s="550">
        <f t="shared" si="53"/>
        <v>341945</v>
      </c>
      <c r="R303" s="550"/>
      <c r="S303" s="550">
        <f t="shared" si="53"/>
        <v>358897</v>
      </c>
      <c r="T303" s="550"/>
      <c r="U303" s="550">
        <f t="shared" si="53"/>
        <v>248565</v>
      </c>
      <c r="V303" s="550"/>
      <c r="W303" s="550">
        <f t="shared" si="53"/>
        <v>336820</v>
      </c>
      <c r="X303" s="550"/>
      <c r="Y303" s="550">
        <f t="shared" si="53"/>
        <v>336043</v>
      </c>
      <c r="Z303" s="550"/>
      <c r="AA303" s="550">
        <f t="shared" si="53"/>
        <v>574709</v>
      </c>
      <c r="AB303" s="550"/>
      <c r="AC303" s="550">
        <f t="shared" si="53"/>
        <v>446415</v>
      </c>
      <c r="AD303" s="98">
        <f t="shared" si="47"/>
        <v>5223844</v>
      </c>
      <c r="AE303" s="98"/>
    </row>
    <row r="304" spans="1:31" x14ac:dyDescent="0.25">
      <c r="A304" s="1">
        <v>301</v>
      </c>
      <c r="B304" s="18"/>
    </row>
    <row r="305" spans="1:30" x14ac:dyDescent="0.25">
      <c r="A305" s="1">
        <v>302</v>
      </c>
      <c r="B305" s="30" t="s">
        <v>168</v>
      </c>
    </row>
    <row r="306" spans="1:30" x14ac:dyDescent="0.25">
      <c r="A306" s="1">
        <v>303</v>
      </c>
      <c r="B306" s="19" t="s">
        <v>25</v>
      </c>
      <c r="G306" s="302">
        <v>500</v>
      </c>
      <c r="H306" s="183"/>
      <c r="I306" s="301">
        <v>500</v>
      </c>
      <c r="J306" s="315"/>
      <c r="K306" s="302">
        <v>500</v>
      </c>
      <c r="L306" s="183"/>
      <c r="M306" s="302">
        <v>500</v>
      </c>
      <c r="N306" s="183"/>
      <c r="O306" s="302">
        <v>500</v>
      </c>
      <c r="P306" s="183"/>
      <c r="Q306" s="302">
        <v>500</v>
      </c>
      <c r="R306" s="183"/>
      <c r="S306" s="303">
        <v>500</v>
      </c>
      <c r="T306" s="316"/>
      <c r="U306" s="302">
        <v>500</v>
      </c>
      <c r="V306" s="183"/>
      <c r="W306" s="304">
        <v>500</v>
      </c>
      <c r="X306" s="317"/>
      <c r="Y306" s="302">
        <v>625</v>
      </c>
      <c r="Z306" s="183"/>
      <c r="AA306" s="302">
        <v>625</v>
      </c>
      <c r="AB306" s="183"/>
      <c r="AC306" s="302">
        <v>625</v>
      </c>
      <c r="AD306" s="127">
        <f t="shared" si="47"/>
        <v>6375</v>
      </c>
    </row>
    <row r="307" spans="1:30" x14ac:dyDescent="0.25">
      <c r="A307" s="1">
        <v>304</v>
      </c>
      <c r="B307" s="19" t="s">
        <v>228</v>
      </c>
      <c r="G307" s="302"/>
      <c r="H307" s="183"/>
      <c r="I307" s="301"/>
      <c r="J307" s="315"/>
      <c r="K307" s="302"/>
      <c r="L307" s="183"/>
      <c r="M307" s="302"/>
      <c r="N307" s="183"/>
      <c r="O307" s="302"/>
      <c r="P307" s="183"/>
      <c r="Q307" s="302"/>
      <c r="R307" s="183"/>
      <c r="S307" s="303"/>
      <c r="T307" s="316"/>
      <c r="U307" s="302"/>
      <c r="V307" s="183"/>
      <c r="W307" s="304"/>
      <c r="X307" s="317"/>
      <c r="Y307" s="302">
        <v>6725</v>
      </c>
      <c r="Z307" s="183"/>
      <c r="AA307" s="302">
        <v>6725</v>
      </c>
      <c r="AB307" s="183"/>
      <c r="AC307" s="302">
        <v>6725</v>
      </c>
      <c r="AD307" s="127">
        <f t="shared" si="47"/>
        <v>20175</v>
      </c>
    </row>
    <row r="308" spans="1:30" x14ac:dyDescent="0.25">
      <c r="A308" s="1">
        <v>305</v>
      </c>
      <c r="B308" s="19" t="s">
        <v>192</v>
      </c>
      <c r="G308" s="302"/>
      <c r="H308" s="183"/>
      <c r="I308" s="301"/>
      <c r="J308" s="315"/>
      <c r="K308" s="302"/>
      <c r="L308" s="183"/>
      <c r="M308" s="302"/>
      <c r="N308" s="183"/>
      <c r="O308" s="302"/>
      <c r="P308" s="183"/>
      <c r="Q308" s="302"/>
      <c r="R308" s="183"/>
      <c r="S308" s="303"/>
      <c r="T308" s="316"/>
      <c r="U308" s="302"/>
      <c r="V308" s="183"/>
      <c r="W308" s="304"/>
      <c r="X308" s="317"/>
      <c r="Y308" s="302">
        <v>434.74</v>
      </c>
      <c r="Z308" s="183"/>
      <c r="AA308" s="302">
        <v>261.64</v>
      </c>
      <c r="AB308" s="183"/>
      <c r="AC308" s="302">
        <v>337.39</v>
      </c>
      <c r="AD308" s="127">
        <f t="shared" si="47"/>
        <v>1033.77</v>
      </c>
    </row>
    <row r="309" spans="1:30" x14ac:dyDescent="0.25">
      <c r="A309" s="1">
        <v>306</v>
      </c>
      <c r="B309" s="19" t="s">
        <v>191</v>
      </c>
      <c r="G309" s="302">
        <v>6725</v>
      </c>
      <c r="H309" s="183"/>
      <c r="I309" s="301">
        <v>6725</v>
      </c>
      <c r="J309" s="315"/>
      <c r="K309" s="302">
        <v>6725</v>
      </c>
      <c r="L309" s="183"/>
      <c r="M309" s="302">
        <v>6725</v>
      </c>
      <c r="N309" s="183"/>
      <c r="O309" s="302">
        <v>6725</v>
      </c>
      <c r="P309" s="183"/>
      <c r="Q309" s="302">
        <v>6725</v>
      </c>
      <c r="R309" s="183"/>
      <c r="S309" s="303">
        <v>6725</v>
      </c>
      <c r="T309" s="316"/>
      <c r="U309" s="302">
        <v>6725</v>
      </c>
      <c r="V309" s="183"/>
      <c r="W309" s="304">
        <v>6725</v>
      </c>
      <c r="X309" s="317"/>
      <c r="AD309" s="127">
        <f t="shared" si="47"/>
        <v>60525</v>
      </c>
    </row>
    <row r="310" spans="1:30" x14ac:dyDescent="0.25">
      <c r="A310" s="1">
        <v>307</v>
      </c>
      <c r="B310" s="19" t="s">
        <v>336</v>
      </c>
      <c r="G310" s="302">
        <v>224.6</v>
      </c>
      <c r="H310" s="183"/>
      <c r="I310" s="301">
        <v>235.79</v>
      </c>
      <c r="J310" s="315"/>
      <c r="K310" s="302">
        <v>216.64</v>
      </c>
      <c r="L310" s="183"/>
      <c r="M310" s="302">
        <v>237.95</v>
      </c>
      <c r="N310" s="183"/>
      <c r="O310" s="302">
        <v>223.48</v>
      </c>
      <c r="P310" s="183"/>
      <c r="Q310" s="302">
        <v>220.68</v>
      </c>
      <c r="R310" s="183"/>
      <c r="S310" s="303">
        <v>197.26</v>
      </c>
      <c r="T310" s="316"/>
      <c r="U310" s="302">
        <v>200.97</v>
      </c>
      <c r="V310" s="183"/>
      <c r="W310" s="304">
        <v>194.15</v>
      </c>
      <c r="X310" s="317"/>
      <c r="AD310" s="127">
        <f t="shared" si="47"/>
        <v>1951.5200000000002</v>
      </c>
    </row>
    <row r="311" spans="1:30" x14ac:dyDescent="0.25">
      <c r="A311" s="1">
        <v>308</v>
      </c>
      <c r="B311" s="19" t="s">
        <v>213</v>
      </c>
      <c r="G311" s="302">
        <v>11831.57</v>
      </c>
      <c r="H311" s="183"/>
      <c r="I311" s="301">
        <v>12421.03</v>
      </c>
      <c r="J311" s="315"/>
      <c r="K311" s="302">
        <v>11412.26</v>
      </c>
      <c r="L311" s="183"/>
      <c r="M311" s="302">
        <v>12534.72</v>
      </c>
      <c r="N311" s="183"/>
      <c r="O311" s="302">
        <v>11772.67</v>
      </c>
      <c r="P311" s="183"/>
      <c r="Q311" s="302">
        <v>11624.82</v>
      </c>
      <c r="R311" s="183"/>
      <c r="S311" s="303">
        <v>10391.33</v>
      </c>
      <c r="T311" s="316"/>
      <c r="U311" s="302">
        <v>10586.67</v>
      </c>
      <c r="V311" s="183"/>
      <c r="W311" s="304">
        <v>10227.58</v>
      </c>
      <c r="X311" s="317"/>
      <c r="Y311" s="302">
        <v>11450.52</v>
      </c>
      <c r="Z311" s="183"/>
      <c r="AA311" s="302">
        <v>7091.07</v>
      </c>
      <c r="AB311" s="183"/>
      <c r="AC311" s="302">
        <v>9144.2900000000009</v>
      </c>
      <c r="AD311" s="127">
        <f t="shared" si="47"/>
        <v>130488.53000000003</v>
      </c>
    </row>
    <row r="312" spans="1:30" x14ac:dyDescent="0.25">
      <c r="A312" s="1">
        <v>309</v>
      </c>
      <c r="B312" s="19" t="s">
        <v>20</v>
      </c>
      <c r="G312" s="302">
        <v>861.68</v>
      </c>
      <c r="H312" s="183"/>
      <c r="I312" s="301">
        <v>888.52</v>
      </c>
      <c r="J312" s="315"/>
      <c r="K312" s="302">
        <v>842.58</v>
      </c>
      <c r="L312" s="183"/>
      <c r="M312" s="302">
        <v>893.7</v>
      </c>
      <c r="N312" s="183"/>
      <c r="O312" s="302">
        <v>858.99</v>
      </c>
      <c r="P312" s="183"/>
      <c r="Q312" s="302">
        <v>852.26</v>
      </c>
      <c r="R312" s="183"/>
      <c r="S312" s="303">
        <v>796.09</v>
      </c>
      <c r="T312" s="316"/>
      <c r="U312" s="302">
        <v>804.98</v>
      </c>
      <c r="V312" s="183"/>
      <c r="W312" s="304">
        <v>781.93</v>
      </c>
      <c r="X312" s="317"/>
      <c r="Y312" s="302">
        <v>852.31</v>
      </c>
      <c r="Z312" s="183"/>
      <c r="AA312" s="302">
        <v>651.48</v>
      </c>
      <c r="AB312" s="183"/>
      <c r="AC312" s="302">
        <v>745.81</v>
      </c>
      <c r="AD312" s="127">
        <f t="shared" si="47"/>
        <v>9830.3299999999981</v>
      </c>
    </row>
    <row r="313" spans="1:30" x14ac:dyDescent="0.25">
      <c r="A313" s="1">
        <v>310</v>
      </c>
      <c r="B313" s="19" t="s">
        <v>29</v>
      </c>
      <c r="G313" s="302"/>
      <c r="H313" s="183"/>
      <c r="I313" s="301"/>
      <c r="J313" s="315"/>
      <c r="K313" s="302"/>
      <c r="L313" s="183"/>
      <c r="M313" s="302"/>
      <c r="N313" s="183"/>
      <c r="O313" s="302"/>
      <c r="P313" s="183"/>
      <c r="Q313" s="302"/>
      <c r="R313" s="183"/>
      <c r="S313" s="303"/>
      <c r="T313" s="316"/>
      <c r="U313" s="302"/>
      <c r="V313" s="183"/>
      <c r="W313" s="304">
        <v>4507.99</v>
      </c>
      <c r="X313" s="317"/>
      <c r="AD313" s="127">
        <f t="shared" si="47"/>
        <v>4507.99</v>
      </c>
    </row>
    <row r="314" spans="1:30" x14ac:dyDescent="0.25">
      <c r="A314" s="1">
        <v>311</v>
      </c>
      <c r="B314" s="19" t="s">
        <v>30</v>
      </c>
      <c r="G314" s="302">
        <f>SUM(G306:G313)</f>
        <v>20142.849999999999</v>
      </c>
      <c r="H314" s="302"/>
      <c r="I314" s="302">
        <f t="shared" ref="I314:AC314" si="54">SUM(I306:I313)</f>
        <v>20770.34</v>
      </c>
      <c r="J314" s="302"/>
      <c r="K314" s="302">
        <f t="shared" si="54"/>
        <v>19696.480000000003</v>
      </c>
      <c r="L314" s="302"/>
      <c r="M314" s="302">
        <f t="shared" si="54"/>
        <v>20891.37</v>
      </c>
      <c r="N314" s="302"/>
      <c r="O314" s="302">
        <f t="shared" si="54"/>
        <v>20080.140000000003</v>
      </c>
      <c r="P314" s="302"/>
      <c r="Q314" s="302">
        <f t="shared" si="54"/>
        <v>19922.759999999998</v>
      </c>
      <c r="R314" s="302"/>
      <c r="S314" s="302">
        <f t="shared" si="54"/>
        <v>18609.68</v>
      </c>
      <c r="T314" s="302"/>
      <c r="U314" s="302">
        <f t="shared" si="54"/>
        <v>18817.62</v>
      </c>
      <c r="V314" s="302"/>
      <c r="W314" s="302">
        <f t="shared" si="54"/>
        <v>22936.65</v>
      </c>
      <c r="X314" s="302"/>
      <c r="Y314" s="302">
        <f t="shared" si="54"/>
        <v>20087.570000000003</v>
      </c>
      <c r="Z314" s="302"/>
      <c r="AA314" s="302">
        <f t="shared" si="54"/>
        <v>15354.189999999999</v>
      </c>
      <c r="AB314" s="302"/>
      <c r="AC314" s="302">
        <f t="shared" si="54"/>
        <v>17577.490000000002</v>
      </c>
      <c r="AD314" s="127">
        <f t="shared" si="47"/>
        <v>234887.13999999998</v>
      </c>
    </row>
    <row r="315" spans="1:30" x14ac:dyDescent="0.25">
      <c r="A315" s="1">
        <v>312</v>
      </c>
      <c r="B315" s="19" t="s">
        <v>31</v>
      </c>
      <c r="F315" s="98"/>
      <c r="G315" s="550">
        <v>1123009</v>
      </c>
      <c r="H315" s="550"/>
      <c r="I315" s="551">
        <v>1178958</v>
      </c>
      <c r="J315" s="551"/>
      <c r="K315" s="550">
        <v>1083209</v>
      </c>
      <c r="L315" s="550"/>
      <c r="M315" s="550">
        <v>1189749</v>
      </c>
      <c r="N315" s="550"/>
      <c r="O315" s="550">
        <v>1117418</v>
      </c>
      <c r="P315" s="550"/>
      <c r="Q315" s="550">
        <v>1103385</v>
      </c>
      <c r="R315" s="550"/>
      <c r="S315" s="552">
        <v>986306</v>
      </c>
      <c r="T315" s="552"/>
      <c r="U315" s="550">
        <v>1004847</v>
      </c>
      <c r="V315" s="550"/>
      <c r="W315" s="98">
        <v>1343044</v>
      </c>
      <c r="X315" s="98"/>
      <c r="Y315" s="550">
        <v>1086841</v>
      </c>
      <c r="Z315" s="550"/>
      <c r="AA315" s="550">
        <v>654091</v>
      </c>
      <c r="AB315" s="550"/>
      <c r="AC315" s="550">
        <v>843484</v>
      </c>
      <c r="AD315" s="98">
        <f t="shared" si="47"/>
        <v>12714341</v>
      </c>
    </row>
    <row r="316" spans="1:30" x14ac:dyDescent="0.25">
      <c r="A316" s="1">
        <v>313</v>
      </c>
      <c r="B316" s="19" t="s">
        <v>32</v>
      </c>
      <c r="F316" s="98"/>
      <c r="G316" s="98"/>
      <c r="H316" s="98"/>
      <c r="I316" s="98"/>
      <c r="J316" s="98"/>
      <c r="K316" s="98"/>
      <c r="L316" s="98"/>
      <c r="M316" s="98"/>
      <c r="N316" s="98"/>
      <c r="O316" s="98"/>
      <c r="P316" s="98"/>
      <c r="Q316" s="98"/>
      <c r="R316" s="98"/>
      <c r="S316" s="552"/>
      <c r="T316" s="552"/>
      <c r="U316" s="550"/>
      <c r="V316" s="550"/>
      <c r="W316" s="98"/>
      <c r="X316" s="98"/>
      <c r="Y316" s="550"/>
      <c r="Z316" s="550"/>
      <c r="AA316" s="550"/>
      <c r="AB316" s="550"/>
      <c r="AC316" s="550"/>
      <c r="AD316" s="98">
        <f t="shared" si="47"/>
        <v>0</v>
      </c>
    </row>
    <row r="317" spans="1:30" x14ac:dyDescent="0.25">
      <c r="A317" s="1">
        <v>314</v>
      </c>
      <c r="B317" s="19" t="s">
        <v>33</v>
      </c>
      <c r="F317" s="98"/>
      <c r="G317" s="550">
        <f>SUM(G315:G316)</f>
        <v>1123009</v>
      </c>
      <c r="H317" s="550"/>
      <c r="I317" s="550">
        <f t="shared" ref="I317:AC317" si="55">SUM(I315:I316)</f>
        <v>1178958</v>
      </c>
      <c r="J317" s="550"/>
      <c r="K317" s="550">
        <f t="shared" si="55"/>
        <v>1083209</v>
      </c>
      <c r="L317" s="550"/>
      <c r="M317" s="550">
        <f t="shared" si="55"/>
        <v>1189749</v>
      </c>
      <c r="N317" s="550"/>
      <c r="O317" s="550">
        <f t="shared" si="55"/>
        <v>1117418</v>
      </c>
      <c r="P317" s="550"/>
      <c r="Q317" s="550">
        <f t="shared" si="55"/>
        <v>1103385</v>
      </c>
      <c r="R317" s="550"/>
      <c r="S317" s="550">
        <f t="shared" si="55"/>
        <v>986306</v>
      </c>
      <c r="T317" s="550"/>
      <c r="U317" s="550">
        <f t="shared" si="55"/>
        <v>1004847</v>
      </c>
      <c r="V317" s="550"/>
      <c r="W317" s="550">
        <f t="shared" si="55"/>
        <v>1343044</v>
      </c>
      <c r="X317" s="550"/>
      <c r="Y317" s="550">
        <f t="shared" si="55"/>
        <v>1086841</v>
      </c>
      <c r="Z317" s="550"/>
      <c r="AA317" s="550">
        <f t="shared" si="55"/>
        <v>654091</v>
      </c>
      <c r="AB317" s="550"/>
      <c r="AC317" s="550">
        <f t="shared" si="55"/>
        <v>843484</v>
      </c>
      <c r="AD317" s="98">
        <f t="shared" si="47"/>
        <v>12714341</v>
      </c>
    </row>
    <row r="318" spans="1:30" x14ac:dyDescent="0.25">
      <c r="A318" s="1">
        <v>315</v>
      </c>
      <c r="B318" s="19"/>
      <c r="F318" s="98"/>
      <c r="G318" s="550"/>
      <c r="H318" s="550"/>
      <c r="I318" s="551"/>
      <c r="J318" s="551"/>
      <c r="K318" s="550"/>
      <c r="L318" s="550"/>
      <c r="M318" s="550"/>
      <c r="N318" s="550"/>
      <c r="O318" s="550"/>
      <c r="P318" s="550"/>
      <c r="Q318" s="550"/>
      <c r="R318" s="550"/>
      <c r="S318" s="552"/>
      <c r="T318" s="552"/>
      <c r="U318" s="550"/>
      <c r="V318" s="550"/>
      <c r="W318" s="98"/>
      <c r="X318" s="98"/>
      <c r="Y318" s="550"/>
      <c r="Z318" s="550"/>
      <c r="AA318" s="550"/>
      <c r="AB318" s="550"/>
      <c r="AC318" s="550"/>
      <c r="AD318" s="98"/>
    </row>
    <row r="319" spans="1:30" x14ac:dyDescent="0.25">
      <c r="A319" s="1">
        <v>316</v>
      </c>
      <c r="B319" s="30" t="s">
        <v>279</v>
      </c>
      <c r="G319" s="302"/>
      <c r="H319" s="183"/>
      <c r="I319" s="301"/>
      <c r="J319" s="315"/>
      <c r="K319" s="302"/>
      <c r="L319" s="183"/>
      <c r="M319" s="302"/>
      <c r="N319" s="183"/>
      <c r="O319" s="302"/>
      <c r="P319" s="183"/>
      <c r="Q319" s="302"/>
      <c r="R319" s="183"/>
      <c r="S319" s="303"/>
      <c r="T319" s="316"/>
      <c r="U319" s="302"/>
      <c r="V319" s="183"/>
      <c r="Y319" s="302"/>
      <c r="Z319" s="183"/>
      <c r="AA319" s="302"/>
      <c r="AB319" s="183"/>
      <c r="AC319" s="302"/>
    </row>
    <row r="320" spans="1:30" x14ac:dyDescent="0.25">
      <c r="A320" s="1">
        <v>317</v>
      </c>
      <c r="B320" s="64" t="s">
        <v>9</v>
      </c>
      <c r="C320" s="182">
        <f>'Exh IDM-2 - Revenue Summary'!D537</f>
        <v>500</v>
      </c>
      <c r="D320" s="182"/>
      <c r="E320" s="182">
        <f>'Exh IDM-2 - Revenue Summary'!D538</f>
        <v>625</v>
      </c>
      <c r="F320" s="128">
        <f>G320/$C$320</f>
        <v>1</v>
      </c>
      <c r="G320" s="302">
        <v>500</v>
      </c>
      <c r="H320" s="128">
        <f>I320/$C$320</f>
        <v>1</v>
      </c>
      <c r="I320" s="302">
        <v>500</v>
      </c>
      <c r="J320" s="128">
        <f>K320/$C$320</f>
        <v>1</v>
      </c>
      <c r="K320" s="302">
        <v>500</v>
      </c>
      <c r="L320" s="128">
        <f>M320/$C$320</f>
        <v>1</v>
      </c>
      <c r="M320" s="302">
        <v>500</v>
      </c>
      <c r="N320" s="128">
        <f>O320/$C$320</f>
        <v>1</v>
      </c>
      <c r="O320" s="302">
        <v>500</v>
      </c>
      <c r="P320" s="128">
        <f>Q320/$C$320</f>
        <v>1</v>
      </c>
      <c r="Q320" s="302">
        <v>500</v>
      </c>
      <c r="R320" s="128">
        <f>S320/$C$320</f>
        <v>1</v>
      </c>
      <c r="S320" s="302">
        <v>500</v>
      </c>
      <c r="T320" s="128">
        <f>U320/$C$320</f>
        <v>1</v>
      </c>
      <c r="U320" s="302">
        <v>500</v>
      </c>
      <c r="V320" s="128">
        <f>W320/$E$320</f>
        <v>1</v>
      </c>
      <c r="W320" s="127">
        <v>625</v>
      </c>
      <c r="X320" s="128">
        <f>Y320/$E$320</f>
        <v>2</v>
      </c>
      <c r="Y320" s="302">
        <v>1250</v>
      </c>
      <c r="Z320" s="128">
        <f>AA320/$E$320</f>
        <v>2</v>
      </c>
      <c r="AA320" s="302">
        <v>1250</v>
      </c>
      <c r="AB320" s="128">
        <f>AC320/$E$320</f>
        <v>2</v>
      </c>
      <c r="AC320" s="302">
        <v>1250</v>
      </c>
      <c r="AD320" s="127">
        <f>SUM(G320,I320,K320,M320,O320,Q320,S320,U320,W320,Y320,AA320,AC320)</f>
        <v>8375</v>
      </c>
    </row>
    <row r="321" spans="1:30" x14ac:dyDescent="0.25">
      <c r="A321" s="1">
        <v>318</v>
      </c>
      <c r="B321" s="60" t="s">
        <v>191</v>
      </c>
      <c r="E321" s="184">
        <f>'Exh IDM-2 - Revenue Summary'!D539</f>
        <v>0.2</v>
      </c>
      <c r="G321" s="302"/>
      <c r="H321" s="183"/>
      <c r="I321" s="302"/>
      <c r="J321" s="183"/>
      <c r="K321" s="302"/>
      <c r="L321" s="183"/>
      <c r="M321" s="302"/>
      <c r="N321" s="183"/>
      <c r="O321" s="302"/>
      <c r="P321" s="183"/>
      <c r="Q321" s="302"/>
      <c r="R321" s="183"/>
      <c r="S321" s="302"/>
      <c r="T321" s="183"/>
      <c r="U321" s="302"/>
      <c r="V321" s="183"/>
      <c r="X321" s="128">
        <f>Y321/$E$321</f>
        <v>520000</v>
      </c>
      <c r="Y321" s="302">
        <v>104000</v>
      </c>
      <c r="Z321" s="128">
        <f>AA321/$E$321</f>
        <v>520000</v>
      </c>
      <c r="AA321" s="302">
        <v>104000</v>
      </c>
      <c r="AB321" s="128">
        <f>AC321/$E$321</f>
        <v>520000</v>
      </c>
      <c r="AC321" s="302">
        <v>104000</v>
      </c>
      <c r="AD321" s="127">
        <f t="shared" ref="AD321:AD326" si="56">SUM(G321,I321,K321,M321,O321,Q321,S321,U321,W321,Y321,AA321,AC321)</f>
        <v>312000</v>
      </c>
    </row>
    <row r="322" spans="1:30" x14ac:dyDescent="0.25">
      <c r="A322" s="1">
        <v>319</v>
      </c>
      <c r="B322" s="60" t="s">
        <v>192</v>
      </c>
      <c r="E322" s="1">
        <f>'Exh IDM-2 - Revenue Summary'!D540</f>
        <v>4.0000000000000002E-4</v>
      </c>
      <c r="G322" s="302"/>
      <c r="H322" s="183"/>
      <c r="I322" s="302"/>
      <c r="J322" s="183"/>
      <c r="K322" s="302"/>
      <c r="L322" s="183"/>
      <c r="M322" s="302"/>
      <c r="N322" s="183"/>
      <c r="O322" s="302"/>
      <c r="P322" s="183"/>
      <c r="Q322" s="302"/>
      <c r="R322" s="183"/>
      <c r="S322" s="302"/>
      <c r="T322" s="183"/>
      <c r="U322" s="302"/>
      <c r="V322" s="183"/>
      <c r="X322" s="128">
        <f>Y322/$E$322</f>
        <v>15312925</v>
      </c>
      <c r="Y322" s="302">
        <v>6125.17</v>
      </c>
      <c r="Z322" s="128">
        <f>AA322/$E$322</f>
        <v>7714299.9999999991</v>
      </c>
      <c r="AA322" s="302">
        <v>3085.72</v>
      </c>
      <c r="AB322" s="128">
        <f>AC322/$E$322</f>
        <v>76775</v>
      </c>
      <c r="AC322" s="302">
        <v>30.71</v>
      </c>
      <c r="AD322" s="127">
        <f t="shared" si="56"/>
        <v>9241.5999999999985</v>
      </c>
    </row>
    <row r="323" spans="1:30" x14ac:dyDescent="0.25">
      <c r="A323" s="1">
        <v>320</v>
      </c>
      <c r="B323" s="60" t="s">
        <v>193</v>
      </c>
      <c r="E323" s="1">
        <f>'Exh IDM-2 - Revenue Summary'!D541</f>
        <v>5.3310000000000003E-2</v>
      </c>
      <c r="G323" s="302"/>
      <c r="H323" s="183"/>
      <c r="I323" s="302"/>
      <c r="J323" s="183"/>
      <c r="K323" s="302"/>
      <c r="L323" s="183"/>
      <c r="M323" s="302"/>
      <c r="N323" s="183"/>
      <c r="O323" s="302"/>
      <c r="P323" s="183"/>
      <c r="Q323" s="302"/>
      <c r="R323" s="183"/>
      <c r="S323" s="302"/>
      <c r="T323" s="183"/>
      <c r="U323" s="302"/>
      <c r="V323" s="183"/>
      <c r="X323" s="128">
        <f>Y323/$E$323</f>
        <v>100000</v>
      </c>
      <c r="Y323" s="302">
        <v>5331</v>
      </c>
      <c r="Z323" s="128">
        <f>AA323/$E$323</f>
        <v>100000</v>
      </c>
      <c r="AA323" s="302">
        <v>5331</v>
      </c>
      <c r="AB323" s="128">
        <f>AC323/$E$323</f>
        <v>76766.085162258489</v>
      </c>
      <c r="AC323" s="302">
        <v>4092.4</v>
      </c>
      <c r="AD323" s="127">
        <f t="shared" si="56"/>
        <v>14754.4</v>
      </c>
    </row>
    <row r="324" spans="1:30" x14ac:dyDescent="0.25">
      <c r="A324" s="1">
        <v>321</v>
      </c>
      <c r="B324" s="60" t="s">
        <v>155</v>
      </c>
      <c r="E324" s="1">
        <f>'Exh IDM-2 - Revenue Summary'!D542</f>
        <v>1.9449999999999999E-2</v>
      </c>
      <c r="G324" s="302"/>
      <c r="H324" s="183"/>
      <c r="I324" s="302"/>
      <c r="J324" s="183"/>
      <c r="K324" s="302"/>
      <c r="L324" s="183"/>
      <c r="M324" s="302"/>
      <c r="N324" s="183"/>
      <c r="O324" s="302"/>
      <c r="P324" s="183"/>
      <c r="Q324" s="302"/>
      <c r="R324" s="183"/>
      <c r="S324" s="302"/>
      <c r="T324" s="183"/>
      <c r="U324" s="302"/>
      <c r="V324" s="183"/>
      <c r="X324" s="128">
        <f>Y324/$E$324</f>
        <v>200000.00000000003</v>
      </c>
      <c r="Y324" s="302">
        <v>3890</v>
      </c>
      <c r="Z324" s="128">
        <f>AA324/$E$324</f>
        <v>200000.00000000003</v>
      </c>
      <c r="AA324" s="302">
        <v>3890</v>
      </c>
      <c r="AB324" s="128">
        <f>AC324/$E$324</f>
        <v>0</v>
      </c>
      <c r="AD324" s="127">
        <f t="shared" si="56"/>
        <v>7780</v>
      </c>
    </row>
    <row r="325" spans="1:30" x14ac:dyDescent="0.25">
      <c r="A325" s="1">
        <v>322</v>
      </c>
      <c r="B325" s="60" t="s">
        <v>155</v>
      </c>
      <c r="E325" s="1">
        <f>'Exh IDM-2 - Revenue Summary'!D543</f>
        <v>1.1820000000000001E-2</v>
      </c>
      <c r="G325" s="302"/>
      <c r="H325" s="183"/>
      <c r="I325" s="302"/>
      <c r="J325" s="183"/>
      <c r="K325" s="302"/>
      <c r="L325" s="183"/>
      <c r="M325" s="302"/>
      <c r="N325" s="183"/>
      <c r="O325" s="302"/>
      <c r="P325" s="183"/>
      <c r="Q325" s="302"/>
      <c r="R325" s="183"/>
      <c r="S325" s="302"/>
      <c r="T325" s="183"/>
      <c r="U325" s="302"/>
      <c r="V325" s="183"/>
      <c r="X325" s="128">
        <f>Y325/$E$325</f>
        <v>200000</v>
      </c>
      <c r="Y325" s="302">
        <v>2364</v>
      </c>
      <c r="Z325" s="128">
        <f>AA325/$E$325</f>
        <v>200000</v>
      </c>
      <c r="AA325" s="302">
        <v>2364</v>
      </c>
      <c r="AB325" s="128">
        <f>AC325/$E$325</f>
        <v>0</v>
      </c>
      <c r="AD325" s="127">
        <f t="shared" si="56"/>
        <v>4728</v>
      </c>
    </row>
    <row r="326" spans="1:30" x14ac:dyDescent="0.25">
      <c r="A326" s="1">
        <v>323</v>
      </c>
      <c r="B326" s="60" t="s">
        <v>156</v>
      </c>
      <c r="E326" s="1">
        <f>'Exh IDM-2 - Revenue Summary'!D544</f>
        <v>5.62E-3</v>
      </c>
      <c r="G326" s="302"/>
      <c r="H326" s="183"/>
      <c r="I326" s="302"/>
      <c r="J326" s="183"/>
      <c r="K326" s="302"/>
      <c r="L326" s="183"/>
      <c r="M326" s="302"/>
      <c r="N326" s="183"/>
      <c r="O326" s="302"/>
      <c r="P326" s="183"/>
      <c r="Q326" s="302"/>
      <c r="R326" s="183"/>
      <c r="S326" s="302"/>
      <c r="T326" s="183"/>
      <c r="U326" s="302"/>
      <c r="V326" s="183"/>
      <c r="X326" s="128">
        <f>Y326/$E$326</f>
        <v>14812916.37010676</v>
      </c>
      <c r="Y326" s="302">
        <v>83248.59</v>
      </c>
      <c r="Z326" s="128">
        <f>AA326/$E$326</f>
        <v>7214309.6085409252</v>
      </c>
      <c r="AA326" s="302">
        <v>40544.42</v>
      </c>
      <c r="AB326" s="128">
        <f>AC326/$E$326</f>
        <v>0</v>
      </c>
      <c r="AD326" s="127">
        <f t="shared" si="56"/>
        <v>123793.01</v>
      </c>
    </row>
    <row r="327" spans="1:30" x14ac:dyDescent="0.25">
      <c r="A327" s="1">
        <v>324</v>
      </c>
      <c r="B327" s="60" t="s">
        <v>224</v>
      </c>
      <c r="G327" s="302"/>
      <c r="H327" s="183"/>
      <c r="I327" s="302"/>
      <c r="J327" s="183"/>
      <c r="K327" s="302"/>
      <c r="L327" s="183"/>
      <c r="M327" s="302"/>
      <c r="N327" s="183"/>
      <c r="O327" s="302"/>
      <c r="P327" s="183"/>
      <c r="Q327" s="302"/>
      <c r="R327" s="183"/>
      <c r="S327" s="302"/>
      <c r="T327" s="183"/>
      <c r="U327" s="302"/>
      <c r="V327" s="183"/>
      <c r="Y327" s="302">
        <v>-8728.36</v>
      </c>
      <c r="Z327" s="183"/>
      <c r="AA327" s="302">
        <v>-4397.16</v>
      </c>
      <c r="AB327" s="183"/>
      <c r="AC327" s="302">
        <v>-48.36</v>
      </c>
      <c r="AD327" s="127">
        <f t="shared" ref="AD327:AD333" si="57">SUM(G327:AC327)</f>
        <v>-13173.880000000001</v>
      </c>
    </row>
    <row r="328" spans="1:30" x14ac:dyDescent="0.25">
      <c r="A328" s="1">
        <v>325</v>
      </c>
      <c r="B328" s="60" t="s">
        <v>225</v>
      </c>
      <c r="G328" s="302"/>
      <c r="H328" s="183"/>
      <c r="I328" s="302"/>
      <c r="J328" s="183"/>
      <c r="K328" s="302"/>
      <c r="L328" s="183"/>
      <c r="M328" s="302"/>
      <c r="N328" s="183"/>
      <c r="O328" s="302"/>
      <c r="P328" s="183"/>
      <c r="Q328" s="302"/>
      <c r="R328" s="183"/>
      <c r="S328" s="302"/>
      <c r="T328" s="183"/>
      <c r="U328" s="302"/>
      <c r="V328" s="183"/>
      <c r="Y328" s="302">
        <v>-4134.49</v>
      </c>
      <c r="Z328" s="183"/>
      <c r="AA328" s="302">
        <v>-2082.86</v>
      </c>
      <c r="AB328" s="183"/>
      <c r="AC328" s="302">
        <v>-22.26</v>
      </c>
      <c r="AD328" s="127">
        <f t="shared" si="57"/>
        <v>-6239.6100000000006</v>
      </c>
    </row>
    <row r="329" spans="1:30" x14ac:dyDescent="0.25">
      <c r="A329" s="1">
        <v>326</v>
      </c>
      <c r="B329" s="60" t="s">
        <v>226</v>
      </c>
      <c r="G329" s="302"/>
      <c r="H329" s="183"/>
      <c r="I329" s="302"/>
      <c r="J329" s="183"/>
      <c r="K329" s="302"/>
      <c r="L329" s="183"/>
      <c r="M329" s="302"/>
      <c r="N329" s="183"/>
      <c r="O329" s="302"/>
      <c r="P329" s="183"/>
      <c r="Q329" s="302"/>
      <c r="R329" s="183"/>
      <c r="S329" s="302"/>
      <c r="T329" s="183"/>
      <c r="U329" s="302"/>
      <c r="V329" s="183"/>
      <c r="Y329" s="302">
        <v>-8268.9699999999993</v>
      </c>
      <c r="Z329" s="183"/>
      <c r="AA329" s="302">
        <v>-4165.7300000000005</v>
      </c>
      <c r="AB329" s="183"/>
      <c r="AC329" s="302">
        <v>-41.45</v>
      </c>
      <c r="AD329" s="127">
        <f t="shared" si="57"/>
        <v>-12476.150000000001</v>
      </c>
    </row>
    <row r="330" spans="1:30" x14ac:dyDescent="0.25">
      <c r="A330" s="1">
        <v>327</v>
      </c>
      <c r="B330" s="60" t="s">
        <v>139</v>
      </c>
      <c r="G330" s="302"/>
      <c r="H330" s="183"/>
      <c r="I330" s="302"/>
      <c r="J330" s="183"/>
      <c r="K330" s="302"/>
      <c r="L330" s="183"/>
      <c r="M330" s="302"/>
      <c r="N330" s="183"/>
      <c r="O330" s="302"/>
      <c r="P330" s="183"/>
      <c r="Q330" s="302"/>
      <c r="R330" s="183"/>
      <c r="S330" s="302"/>
      <c r="T330" s="183"/>
      <c r="U330" s="302"/>
      <c r="V330" s="183"/>
      <c r="Y330" s="302">
        <v>4134.49</v>
      </c>
      <c r="Z330" s="183"/>
      <c r="AA330" s="302">
        <v>2082.86</v>
      </c>
      <c r="AB330" s="183"/>
      <c r="AC330" s="302">
        <v>20.73</v>
      </c>
      <c r="AD330" s="127">
        <f t="shared" si="57"/>
        <v>6238.08</v>
      </c>
    </row>
    <row r="331" spans="1:30" x14ac:dyDescent="0.25">
      <c r="A331" s="1">
        <v>328</v>
      </c>
      <c r="B331" s="60" t="s">
        <v>140</v>
      </c>
      <c r="G331" s="302"/>
      <c r="H331" s="183"/>
      <c r="I331" s="302"/>
      <c r="J331" s="183"/>
      <c r="K331" s="302"/>
      <c r="L331" s="183"/>
      <c r="M331" s="302"/>
      <c r="N331" s="183"/>
      <c r="O331" s="302"/>
      <c r="P331" s="183"/>
      <c r="Q331" s="302"/>
      <c r="R331" s="183"/>
      <c r="S331" s="302"/>
      <c r="T331" s="183"/>
      <c r="U331" s="302"/>
      <c r="V331" s="183"/>
      <c r="Y331" s="302">
        <v>10565.91</v>
      </c>
      <c r="Z331" s="183"/>
      <c r="AA331" s="302">
        <v>5322.87</v>
      </c>
      <c r="AB331" s="183"/>
      <c r="AC331" s="302">
        <v>131.27000000000001</v>
      </c>
      <c r="AD331" s="127">
        <f t="shared" si="57"/>
        <v>16020.05</v>
      </c>
    </row>
    <row r="332" spans="1:30" x14ac:dyDescent="0.25">
      <c r="A332" s="1">
        <v>329</v>
      </c>
      <c r="B332" s="64" t="s">
        <v>20</v>
      </c>
      <c r="G332" s="302">
        <v>22.35</v>
      </c>
      <c r="H332" s="183"/>
      <c r="I332" s="302">
        <v>22.35</v>
      </c>
      <c r="J332" s="183"/>
      <c r="K332" s="302">
        <v>22.35</v>
      </c>
      <c r="L332" s="183"/>
      <c r="M332" s="302">
        <v>22.35</v>
      </c>
      <c r="N332" s="183"/>
      <c r="O332" s="302">
        <v>22.35</v>
      </c>
      <c r="P332" s="183"/>
      <c r="Q332" s="302">
        <v>22.35</v>
      </c>
      <c r="R332" s="183"/>
      <c r="S332" s="302">
        <v>22.35</v>
      </c>
      <c r="T332" s="183"/>
      <c r="U332" s="302">
        <v>22.35</v>
      </c>
      <c r="V332" s="183"/>
      <c r="W332" s="127">
        <v>27.69</v>
      </c>
      <c r="Y332" s="302">
        <v>9137.11</v>
      </c>
      <c r="Z332" s="183"/>
      <c r="AA332" s="302">
        <v>7110.21</v>
      </c>
      <c r="AB332" s="183"/>
      <c r="AC332" s="302">
        <v>4846.32</v>
      </c>
      <c r="AD332" s="127">
        <f t="shared" si="57"/>
        <v>21300.13</v>
      </c>
    </row>
    <row r="333" spans="1:30" x14ac:dyDescent="0.25">
      <c r="A333" s="1">
        <v>330</v>
      </c>
      <c r="B333" s="195" t="s">
        <v>150</v>
      </c>
      <c r="G333" s="302"/>
      <c r="H333" s="183"/>
      <c r="I333" s="302"/>
      <c r="J333" s="183"/>
      <c r="K333" s="302"/>
      <c r="L333" s="183"/>
      <c r="M333" s="302"/>
      <c r="N333" s="183"/>
      <c r="O333" s="302"/>
      <c r="P333" s="183"/>
      <c r="Q333" s="302"/>
      <c r="R333" s="183"/>
      <c r="S333" s="302"/>
      <c r="T333" s="183"/>
      <c r="U333" s="302"/>
      <c r="V333" s="183"/>
      <c r="Y333" s="302">
        <v>60</v>
      </c>
      <c r="Z333" s="183"/>
      <c r="AA333" s="302">
        <v>60</v>
      </c>
      <c r="AB333" s="183"/>
      <c r="AC333" s="302">
        <v>60</v>
      </c>
      <c r="AD333" s="127">
        <f t="shared" si="57"/>
        <v>180</v>
      </c>
    </row>
    <row r="334" spans="1:30" x14ac:dyDescent="0.25">
      <c r="A334" s="1">
        <v>331</v>
      </c>
      <c r="B334" s="19" t="s">
        <v>30</v>
      </c>
      <c r="G334" s="302">
        <f>SUM(G320:G333)</f>
        <v>522.35</v>
      </c>
      <c r="H334" s="302"/>
      <c r="I334" s="302">
        <f t="shared" ref="I334:AC334" si="58">SUM(I320:I333)</f>
        <v>522.35</v>
      </c>
      <c r="J334" s="302"/>
      <c r="K334" s="302">
        <f t="shared" si="58"/>
        <v>522.35</v>
      </c>
      <c r="L334" s="302"/>
      <c r="M334" s="302">
        <f t="shared" si="58"/>
        <v>522.35</v>
      </c>
      <c r="N334" s="302"/>
      <c r="O334" s="302">
        <f t="shared" si="58"/>
        <v>522.35</v>
      </c>
      <c r="P334" s="302"/>
      <c r="Q334" s="302">
        <f t="shared" si="58"/>
        <v>522.35</v>
      </c>
      <c r="R334" s="302"/>
      <c r="S334" s="302">
        <f t="shared" si="58"/>
        <v>522.35</v>
      </c>
      <c r="T334" s="302"/>
      <c r="U334" s="302">
        <f t="shared" si="58"/>
        <v>522.35</v>
      </c>
      <c r="V334" s="302"/>
      <c r="W334" s="302">
        <f t="shared" si="58"/>
        <v>652.69000000000005</v>
      </c>
      <c r="X334" s="302"/>
      <c r="Y334" s="302">
        <f t="shared" si="58"/>
        <v>208974.45</v>
      </c>
      <c r="Z334" s="302"/>
      <c r="AA334" s="302">
        <f t="shared" si="58"/>
        <v>164395.32999999999</v>
      </c>
      <c r="AB334" s="302"/>
      <c r="AC334" s="302">
        <f t="shared" si="58"/>
        <v>114319.36000000002</v>
      </c>
      <c r="AD334" s="127">
        <f>SUM(G334:AC334)</f>
        <v>492520.63</v>
      </c>
    </row>
    <row r="335" spans="1:30" x14ac:dyDescent="0.25">
      <c r="A335" s="1">
        <v>332</v>
      </c>
      <c r="B335" s="19" t="s">
        <v>31</v>
      </c>
      <c r="G335" s="302"/>
      <c r="H335" s="183"/>
      <c r="I335" s="301"/>
      <c r="J335" s="315"/>
      <c r="K335" s="302"/>
      <c r="L335" s="183"/>
      <c r="M335" s="302"/>
      <c r="N335" s="183"/>
      <c r="O335" s="302"/>
      <c r="P335" s="183"/>
      <c r="Q335" s="302"/>
      <c r="R335" s="183"/>
      <c r="S335" s="303"/>
      <c r="T335" s="316"/>
      <c r="U335" s="302"/>
      <c r="V335" s="183"/>
      <c r="X335" s="98"/>
      <c r="Y335" s="550">
        <v>15312916</v>
      </c>
      <c r="Z335" s="550"/>
      <c r="AA335" s="550">
        <v>7714309</v>
      </c>
      <c r="AB335" s="550"/>
      <c r="AC335" s="550">
        <v>76766</v>
      </c>
      <c r="AD335" s="98">
        <f t="shared" ref="AD335:AD337" si="59">SUM(G335:AC335)</f>
        <v>23103991</v>
      </c>
    </row>
    <row r="336" spans="1:30" x14ac:dyDescent="0.25">
      <c r="A336" s="1">
        <v>333</v>
      </c>
      <c r="B336" s="19" t="s">
        <v>32</v>
      </c>
      <c r="G336" s="302"/>
      <c r="H336" s="183"/>
      <c r="I336" s="301"/>
      <c r="J336" s="315"/>
      <c r="K336" s="302"/>
      <c r="L336" s="183"/>
      <c r="M336" s="302"/>
      <c r="N336" s="183"/>
      <c r="O336" s="302"/>
      <c r="P336" s="183"/>
      <c r="Q336" s="302"/>
      <c r="R336" s="183"/>
      <c r="S336" s="303"/>
      <c r="T336" s="316"/>
      <c r="U336" s="302"/>
      <c r="V336" s="183"/>
      <c r="X336" s="98"/>
      <c r="Y336" s="550"/>
      <c r="Z336" s="550"/>
      <c r="AA336" s="98"/>
      <c r="AB336" s="98"/>
      <c r="AC336" s="550"/>
      <c r="AD336" s="98">
        <f t="shared" si="59"/>
        <v>0</v>
      </c>
    </row>
    <row r="337" spans="1:30" x14ac:dyDescent="0.25">
      <c r="A337" s="1">
        <v>334</v>
      </c>
      <c r="B337" s="19" t="s">
        <v>33</v>
      </c>
      <c r="G337" s="302"/>
      <c r="H337" s="183"/>
      <c r="I337" s="301"/>
      <c r="J337" s="315"/>
      <c r="K337" s="302"/>
      <c r="L337" s="183"/>
      <c r="M337" s="302"/>
      <c r="N337" s="183"/>
      <c r="O337" s="302"/>
      <c r="P337" s="183"/>
      <c r="Q337" s="302"/>
      <c r="R337" s="183"/>
      <c r="S337" s="303"/>
      <c r="T337" s="316"/>
      <c r="U337" s="302"/>
      <c r="V337" s="183"/>
      <c r="X337" s="98"/>
      <c r="Y337" s="550">
        <v>15312916</v>
      </c>
      <c r="Z337" s="550"/>
      <c r="AA337" s="550">
        <v>7714309</v>
      </c>
      <c r="AB337" s="550"/>
      <c r="AC337" s="550">
        <v>76766</v>
      </c>
      <c r="AD337" s="98">
        <f t="shared" si="59"/>
        <v>23103991</v>
      </c>
    </row>
    <row r="338" spans="1:30" x14ac:dyDescent="0.25">
      <c r="A338" s="1">
        <v>335</v>
      </c>
      <c r="B338" s="18"/>
    </row>
    <row r="339" spans="1:30" x14ac:dyDescent="0.25">
      <c r="A339" s="1">
        <v>336</v>
      </c>
      <c r="B339" s="30" t="s">
        <v>170</v>
      </c>
    </row>
    <row r="340" spans="1:30" x14ac:dyDescent="0.25">
      <c r="A340" s="1">
        <v>337</v>
      </c>
      <c r="B340" s="19" t="s">
        <v>9</v>
      </c>
      <c r="C340" s="182">
        <f>'Exh IDM-2 - Revenue Summary'!D566</f>
        <v>500</v>
      </c>
      <c r="D340" s="182"/>
      <c r="E340" s="182">
        <f>'Exh IDM-2 - Revenue Summary'!D567</f>
        <v>625</v>
      </c>
      <c r="F340" s="128">
        <f>G340/$C$340</f>
        <v>1</v>
      </c>
      <c r="G340" s="302">
        <v>500</v>
      </c>
      <c r="H340" s="128">
        <f>I340/$C$340</f>
        <v>1</v>
      </c>
      <c r="I340" s="301">
        <v>500</v>
      </c>
      <c r="J340" s="128">
        <f>K340/$C$340</f>
        <v>1</v>
      </c>
      <c r="K340" s="302">
        <v>500</v>
      </c>
      <c r="L340" s="128">
        <f>M340/$C$340</f>
        <v>1</v>
      </c>
      <c r="M340" s="302">
        <v>500</v>
      </c>
      <c r="N340" s="128">
        <f>O340/$C$340</f>
        <v>1</v>
      </c>
      <c r="O340" s="302">
        <v>500</v>
      </c>
      <c r="P340" s="128">
        <f>Q340/$C$340</f>
        <v>1</v>
      </c>
      <c r="Q340" s="302">
        <v>500</v>
      </c>
      <c r="R340" s="128">
        <f>S340/$C$340</f>
        <v>1</v>
      </c>
      <c r="S340" s="303">
        <v>500</v>
      </c>
      <c r="T340" s="128">
        <f>U340/$C$340</f>
        <v>1</v>
      </c>
      <c r="U340" s="302">
        <v>500</v>
      </c>
      <c r="V340" s="183">
        <f>W340/$E$340</f>
        <v>1</v>
      </c>
      <c r="W340" s="304">
        <v>625</v>
      </c>
      <c r="X340" s="183">
        <f>Y340/$E$340</f>
        <v>1</v>
      </c>
      <c r="Y340" s="307">
        <v>625</v>
      </c>
      <c r="Z340" s="183">
        <f>AA340/$E$340</f>
        <v>1</v>
      </c>
      <c r="AA340" s="302">
        <v>625</v>
      </c>
      <c r="AB340" s="183">
        <f>AC340/$E$340</f>
        <v>1</v>
      </c>
      <c r="AC340" s="302">
        <v>625</v>
      </c>
      <c r="AD340" s="127">
        <f t="shared" ref="AD340:AD346" si="60">SUM(G340,I340,K340,M340,O340,Q340,S340,U340,W340,Y340,AA340,AC340)</f>
        <v>6500</v>
      </c>
    </row>
    <row r="341" spans="1:30" x14ac:dyDescent="0.25">
      <c r="A341" s="1">
        <v>338</v>
      </c>
      <c r="B341" s="19" t="s">
        <v>191</v>
      </c>
      <c r="C341" s="1">
        <f>'Exh IDM-2 - Revenue Summary'!D568</f>
        <v>0.2</v>
      </c>
      <c r="E341" s="1">
        <f>'Exh IDM-2 - Revenue Summary'!D569</f>
        <v>0.2</v>
      </c>
      <c r="F341" s="128">
        <f>G341/$C$341</f>
        <v>520000</v>
      </c>
      <c r="G341" s="302">
        <v>104000</v>
      </c>
      <c r="H341" s="128">
        <f>I341/$C$341</f>
        <v>520000</v>
      </c>
      <c r="I341" s="301">
        <v>104000</v>
      </c>
      <c r="J341" s="128">
        <f>K341/$C$341</f>
        <v>520000</v>
      </c>
      <c r="K341" s="302">
        <v>104000</v>
      </c>
      <c r="L341" s="128">
        <f>M341/$C$341</f>
        <v>520000</v>
      </c>
      <c r="M341" s="302">
        <v>104000</v>
      </c>
      <c r="N341" s="128">
        <f>O341/$C$341</f>
        <v>520000</v>
      </c>
      <c r="O341" s="302">
        <v>104000</v>
      </c>
      <c r="P341" s="128">
        <f>Q341/$C$341</f>
        <v>520000</v>
      </c>
      <c r="Q341" s="302">
        <v>104000</v>
      </c>
      <c r="R341" s="128">
        <f>S341/$C$341</f>
        <v>520000</v>
      </c>
      <c r="S341" s="303">
        <v>104000</v>
      </c>
      <c r="T341" s="128">
        <f>U341/$C$341</f>
        <v>520000</v>
      </c>
      <c r="U341" s="302">
        <v>104000</v>
      </c>
      <c r="V341" s="183">
        <f>W341/$E$341</f>
        <v>520000</v>
      </c>
      <c r="W341" s="304">
        <v>104000</v>
      </c>
      <c r="X341" s="183">
        <f>Y341/$E$341</f>
        <v>520000</v>
      </c>
      <c r="Y341" s="307">
        <v>104000</v>
      </c>
      <c r="Z341" s="183">
        <f>AA341/$E$341</f>
        <v>520000</v>
      </c>
      <c r="AA341" s="302">
        <v>104000</v>
      </c>
      <c r="AB341" s="183">
        <f>AC341/$E$341</f>
        <v>520000</v>
      </c>
      <c r="AC341" s="302">
        <v>104000</v>
      </c>
      <c r="AD341" s="127">
        <f t="shared" si="60"/>
        <v>1248000</v>
      </c>
    </row>
    <row r="342" spans="1:30" x14ac:dyDescent="0.25">
      <c r="A342" s="1">
        <v>339</v>
      </c>
      <c r="B342" s="19" t="s">
        <v>192</v>
      </c>
      <c r="C342" s="1">
        <f>'Exh IDM-2 - Revenue Summary'!D570</f>
        <v>4.0000000000000002E-4</v>
      </c>
      <c r="E342" s="1">
        <f>'Exh IDM-2 - Revenue Summary'!D571</f>
        <v>4.0000000000000002E-4</v>
      </c>
      <c r="F342" s="128">
        <f>G342/$C$342</f>
        <v>5635125</v>
      </c>
      <c r="G342" s="302">
        <v>2254.0500000000002</v>
      </c>
      <c r="H342" s="128">
        <f>I342/$C$342</f>
        <v>12750</v>
      </c>
      <c r="I342" s="301">
        <v>5.1000000000000005</v>
      </c>
      <c r="J342" s="128">
        <f>K342/$C$342</f>
        <v>1944474.9999999998</v>
      </c>
      <c r="K342" s="302">
        <v>777.79</v>
      </c>
      <c r="L342" s="128">
        <f>M342/$C$342</f>
        <v>1260900</v>
      </c>
      <c r="M342" s="302">
        <v>504.36</v>
      </c>
      <c r="N342" s="128">
        <f>O342/$C$342</f>
        <v>1654499.9999999998</v>
      </c>
      <c r="O342" s="302">
        <v>661.8</v>
      </c>
      <c r="P342" s="128">
        <f>Q342/$C$342</f>
        <v>1842849.9999999998</v>
      </c>
      <c r="Q342" s="302">
        <v>737.14</v>
      </c>
      <c r="R342" s="128">
        <f>S342/$C$342</f>
        <v>327900</v>
      </c>
      <c r="S342" s="303">
        <v>131.16</v>
      </c>
      <c r="T342" s="128">
        <f>U342/$C$342</f>
        <v>13280975</v>
      </c>
      <c r="U342" s="302">
        <v>5312.39</v>
      </c>
      <c r="V342" s="183">
        <f>W342/$E$342</f>
        <v>12762550</v>
      </c>
      <c r="W342" s="304">
        <v>5105.0200000000004</v>
      </c>
      <c r="X342" s="183">
        <f>Y342/$E$342</f>
        <v>14381024.999999998</v>
      </c>
      <c r="Y342" s="307">
        <v>5752.41</v>
      </c>
      <c r="Z342" s="183">
        <f>AA342/$E$342</f>
        <v>4034075</v>
      </c>
      <c r="AA342" s="302">
        <v>1613.63</v>
      </c>
      <c r="AB342" s="183">
        <f>AC342/$E$342</f>
        <v>28199.999999999996</v>
      </c>
      <c r="AC342" s="302">
        <v>11.28</v>
      </c>
      <c r="AD342" s="127">
        <f t="shared" si="60"/>
        <v>22866.13</v>
      </c>
    </row>
    <row r="343" spans="1:30" x14ac:dyDescent="0.25">
      <c r="A343" s="1">
        <v>340</v>
      </c>
      <c r="B343" s="19" t="s">
        <v>193</v>
      </c>
      <c r="C343" s="1">
        <f>'Exh IDM-2 - Revenue Summary'!D572</f>
        <v>5.7299999999999997E-2</v>
      </c>
      <c r="E343" s="1">
        <f>'Exh IDM-2 - Revenue Summary'!D576</f>
        <v>5.3310000000000003E-2</v>
      </c>
      <c r="F343" s="128">
        <f>G343/$C$343</f>
        <v>100000</v>
      </c>
      <c r="G343" s="302">
        <v>5730</v>
      </c>
      <c r="H343" s="128">
        <f>I343/$C$343</f>
        <v>12758.987783595116</v>
      </c>
      <c r="I343" s="301">
        <v>731.09</v>
      </c>
      <c r="J343" s="128">
        <f>K343/$C$343</f>
        <v>100000</v>
      </c>
      <c r="K343" s="302">
        <v>5730</v>
      </c>
      <c r="L343" s="128">
        <f>M343/$C$343</f>
        <v>100000</v>
      </c>
      <c r="M343" s="302">
        <v>5730</v>
      </c>
      <c r="N343" s="128">
        <f>O343/$C$343</f>
        <v>100000</v>
      </c>
      <c r="O343" s="302">
        <v>5730</v>
      </c>
      <c r="P343" s="128">
        <f>Q343/$C$343</f>
        <v>100000</v>
      </c>
      <c r="Q343" s="302">
        <v>5730</v>
      </c>
      <c r="R343" s="128">
        <f>S343/$C$343</f>
        <v>100000</v>
      </c>
      <c r="S343" s="303">
        <v>5730</v>
      </c>
      <c r="T343" s="128">
        <f>U343/$C$343</f>
        <v>100000</v>
      </c>
      <c r="U343" s="302">
        <v>5730</v>
      </c>
      <c r="V343" s="183">
        <f>W343/$E$343</f>
        <v>100000</v>
      </c>
      <c r="W343" s="304">
        <v>5331</v>
      </c>
      <c r="X343" s="183">
        <f>Y343/$E$343</f>
        <v>100000</v>
      </c>
      <c r="Y343" s="307">
        <v>5331</v>
      </c>
      <c r="Z343" s="183">
        <f>AA343/$E$343</f>
        <v>100000</v>
      </c>
      <c r="AA343" s="302">
        <v>5331</v>
      </c>
      <c r="AB343" s="183">
        <f>AC343/$E$343</f>
        <v>28205.027199399734</v>
      </c>
      <c r="AC343" s="302">
        <v>1503.61</v>
      </c>
      <c r="AD343" s="127">
        <f t="shared" si="60"/>
        <v>58337.7</v>
      </c>
    </row>
    <row r="344" spans="1:30" x14ac:dyDescent="0.25">
      <c r="A344" s="1">
        <v>341</v>
      </c>
      <c r="B344" s="19" t="s">
        <v>155</v>
      </c>
      <c r="C344" s="1">
        <f>'Exh IDM-2 - Revenue Summary'!D573</f>
        <v>2.0230000000000001E-2</v>
      </c>
      <c r="E344" s="1">
        <f>'Exh IDM-2 - Revenue Summary'!D577</f>
        <v>1.9449999999999999E-2</v>
      </c>
      <c r="F344" s="128">
        <f>G344/$C$344</f>
        <v>200000</v>
      </c>
      <c r="G344" s="302">
        <v>4046</v>
      </c>
      <c r="H344" s="128">
        <f>I344/$C$344</f>
        <v>0</v>
      </c>
      <c r="J344" s="128">
        <f>K344/$C$344</f>
        <v>200000</v>
      </c>
      <c r="K344" s="302">
        <v>4046</v>
      </c>
      <c r="L344" s="128">
        <f>M344/$C$344</f>
        <v>200000</v>
      </c>
      <c r="M344" s="302">
        <v>4046</v>
      </c>
      <c r="N344" s="128">
        <f>O344/$C$344</f>
        <v>200000</v>
      </c>
      <c r="O344" s="302">
        <v>4046</v>
      </c>
      <c r="P344" s="128">
        <f>Q344/$C$344</f>
        <v>200000</v>
      </c>
      <c r="Q344" s="302">
        <v>4046</v>
      </c>
      <c r="R344" s="128">
        <f>S344/$C$344</f>
        <v>200000</v>
      </c>
      <c r="S344" s="303">
        <v>4046</v>
      </c>
      <c r="T344" s="128">
        <f>U344/$C$344</f>
        <v>200000</v>
      </c>
      <c r="U344" s="302">
        <v>4046</v>
      </c>
      <c r="V344" s="183">
        <f>W344/$E$344</f>
        <v>200000.00000000003</v>
      </c>
      <c r="W344" s="304">
        <v>3890</v>
      </c>
      <c r="X344" s="183">
        <f>Y344/$E$344</f>
        <v>200000.00000000003</v>
      </c>
      <c r="Y344" s="307">
        <v>3890</v>
      </c>
      <c r="Z344" s="183">
        <f>AA344/$E$344</f>
        <v>200000.00000000003</v>
      </c>
      <c r="AA344" s="302">
        <v>3890</v>
      </c>
      <c r="AB344" s="183">
        <f>AC344/$E$344</f>
        <v>0</v>
      </c>
      <c r="AD344" s="127">
        <f t="shared" si="60"/>
        <v>39992</v>
      </c>
    </row>
    <row r="345" spans="1:30" x14ac:dyDescent="0.25">
      <c r="A345" s="1">
        <v>342</v>
      </c>
      <c r="B345" s="19" t="s">
        <v>155</v>
      </c>
      <c r="C345" s="1">
        <f>'Exh IDM-2 - Revenue Summary'!D574</f>
        <v>1.187E-2</v>
      </c>
      <c r="E345" s="1">
        <f>'Exh IDM-2 - Revenue Summary'!D578</f>
        <v>1.1820000000000001E-2</v>
      </c>
      <c r="F345" s="128">
        <f>G345/$C$345</f>
        <v>200000</v>
      </c>
      <c r="G345" s="302">
        <v>2374</v>
      </c>
      <c r="H345" s="128">
        <f>I345/$C$345</f>
        <v>0</v>
      </c>
      <c r="J345" s="128">
        <f>K345/$C$345</f>
        <v>200000</v>
      </c>
      <c r="K345" s="302">
        <v>2374</v>
      </c>
      <c r="L345" s="128">
        <f>M345/$C$345</f>
        <v>200000</v>
      </c>
      <c r="M345" s="302">
        <v>2374</v>
      </c>
      <c r="N345" s="128">
        <f>O345/$C$345</f>
        <v>200000</v>
      </c>
      <c r="O345" s="302">
        <v>2374</v>
      </c>
      <c r="P345" s="128">
        <f>Q345/$C$345</f>
        <v>200000</v>
      </c>
      <c r="Q345" s="302">
        <v>2374</v>
      </c>
      <c r="R345" s="128">
        <f>S345/$C$345</f>
        <v>27896.377422072452</v>
      </c>
      <c r="S345" s="303">
        <v>331.13</v>
      </c>
      <c r="T345" s="128">
        <f>U345/$C$345</f>
        <v>200000</v>
      </c>
      <c r="U345" s="302">
        <v>2374</v>
      </c>
      <c r="V345" s="183">
        <f>W345/$E$345</f>
        <v>200000</v>
      </c>
      <c r="W345" s="304">
        <v>2364</v>
      </c>
      <c r="X345" s="183">
        <f>Y345/$E$345</f>
        <v>200000</v>
      </c>
      <c r="Y345" s="307">
        <v>2364</v>
      </c>
      <c r="Z345" s="183">
        <f>AA345/$E$345</f>
        <v>200000</v>
      </c>
      <c r="AA345" s="302">
        <v>2364</v>
      </c>
      <c r="AB345" s="183">
        <f>AC345/$E$345</f>
        <v>0</v>
      </c>
      <c r="AD345" s="127">
        <f t="shared" si="60"/>
        <v>21667.129999999997</v>
      </c>
    </row>
    <row r="346" spans="1:30" x14ac:dyDescent="0.25">
      <c r="A346" s="1">
        <v>343</v>
      </c>
      <c r="B346" s="19" t="s">
        <v>156</v>
      </c>
      <c r="C346" s="1">
        <f>'Exh IDM-2 - Revenue Summary'!D575</f>
        <v>5.0800000000000003E-3</v>
      </c>
      <c r="E346" s="1">
        <f>'Exh IDM-2 - Revenue Summary'!D579</f>
        <v>5.62E-3</v>
      </c>
      <c r="F346" s="128">
        <f>G346/$C$346</f>
        <v>5135114.1732283467</v>
      </c>
      <c r="G346" s="302">
        <v>26086.38</v>
      </c>
      <c r="H346" s="128">
        <f>I346/$C$346</f>
        <v>0</v>
      </c>
      <c r="I346" s="301"/>
      <c r="J346" s="128">
        <f>K346/$C$346</f>
        <v>1444464.5669291338</v>
      </c>
      <c r="K346" s="302">
        <v>7337.88</v>
      </c>
      <c r="L346" s="128">
        <f>M346/$C$346</f>
        <v>760897.63779527554</v>
      </c>
      <c r="M346" s="302">
        <v>3865.36</v>
      </c>
      <c r="N346" s="128">
        <f>O346/$C$346</f>
        <v>1154492.1259842517</v>
      </c>
      <c r="O346" s="302">
        <v>5864.82</v>
      </c>
      <c r="P346" s="128">
        <f>Q346/$C$346</f>
        <v>1342852.3622047242</v>
      </c>
      <c r="Q346" s="302">
        <v>6821.69</v>
      </c>
      <c r="R346" s="128">
        <f>S346/$C$346</f>
        <v>0</v>
      </c>
      <c r="T346" s="128">
        <f>U346/$C$346</f>
        <v>12780978.346456693</v>
      </c>
      <c r="U346" s="302">
        <v>64927.37</v>
      </c>
      <c r="V346" s="183">
        <f>W346/$E$346</f>
        <v>12262544.483985765</v>
      </c>
      <c r="W346" s="304">
        <v>68915.5</v>
      </c>
      <c r="X346" s="183">
        <f>Y346/$E$346</f>
        <v>13881026.690391459</v>
      </c>
      <c r="Y346" s="307">
        <v>78011.37</v>
      </c>
      <c r="Z346" s="183">
        <f>AA346/$E$346</f>
        <v>3534081.8505338081</v>
      </c>
      <c r="AA346" s="302">
        <v>19861.54</v>
      </c>
      <c r="AB346" s="183">
        <f>AC346/$E$346</f>
        <v>0</v>
      </c>
      <c r="AD346" s="127">
        <f t="shared" si="60"/>
        <v>281691.90999999997</v>
      </c>
    </row>
    <row r="347" spans="1:30" x14ac:dyDescent="0.25">
      <c r="A347" s="1">
        <v>344</v>
      </c>
      <c r="B347" s="99" t="s">
        <v>224</v>
      </c>
      <c r="G347" s="302"/>
      <c r="H347" s="183"/>
      <c r="I347" s="301"/>
      <c r="J347" s="315"/>
      <c r="K347" s="302"/>
      <c r="L347" s="183"/>
      <c r="M347" s="302"/>
      <c r="N347" s="183"/>
      <c r="O347" s="302"/>
      <c r="P347" s="183"/>
      <c r="Q347" s="302"/>
      <c r="R347" s="183"/>
      <c r="U347" s="302"/>
      <c r="V347" s="183"/>
      <c r="W347" s="304">
        <v>-7274.65</v>
      </c>
      <c r="X347" s="317"/>
      <c r="Y347" s="307">
        <v>-8197.19</v>
      </c>
      <c r="Z347" s="319"/>
      <c r="AA347" s="302">
        <v>-2299.4299999999998</v>
      </c>
      <c r="AB347" s="183"/>
      <c r="AC347" s="302">
        <v>-17.77</v>
      </c>
      <c r="AD347" s="127">
        <f t="shared" ref="AD347:AD408" si="61">SUM(G347:AC347)</f>
        <v>-17789.04</v>
      </c>
    </row>
    <row r="348" spans="1:30" x14ac:dyDescent="0.25">
      <c r="A348" s="1">
        <v>345</v>
      </c>
      <c r="B348" s="99" t="s">
        <v>225</v>
      </c>
      <c r="G348" s="302"/>
      <c r="H348" s="183"/>
      <c r="I348" s="301"/>
      <c r="J348" s="315"/>
      <c r="K348" s="302"/>
      <c r="L348" s="183"/>
      <c r="M348" s="302"/>
      <c r="N348" s="183"/>
      <c r="O348" s="302"/>
      <c r="P348" s="183"/>
      <c r="Q348" s="302"/>
      <c r="R348" s="183"/>
      <c r="U348" s="302"/>
      <c r="V348" s="183"/>
      <c r="W348" s="304">
        <v>-3445.89</v>
      </c>
      <c r="X348" s="317"/>
      <c r="Y348" s="307">
        <v>-3882.88</v>
      </c>
      <c r="Z348" s="319"/>
      <c r="AA348" s="302">
        <v>-1089.2</v>
      </c>
      <c r="AB348" s="183"/>
      <c r="AC348" s="302">
        <v>-8.18</v>
      </c>
      <c r="AD348" s="127">
        <f t="shared" si="61"/>
        <v>-8426.1500000000015</v>
      </c>
    </row>
    <row r="349" spans="1:30" x14ac:dyDescent="0.25">
      <c r="A349" s="1">
        <v>346</v>
      </c>
      <c r="B349" s="99" t="s">
        <v>226</v>
      </c>
      <c r="G349" s="302"/>
      <c r="H349" s="183"/>
      <c r="I349" s="301"/>
      <c r="J349" s="315"/>
      <c r="K349" s="302"/>
      <c r="L349" s="183"/>
      <c r="M349" s="302"/>
      <c r="N349" s="183"/>
      <c r="O349" s="302"/>
      <c r="P349" s="183"/>
      <c r="Q349" s="302"/>
      <c r="R349" s="183"/>
      <c r="U349" s="302"/>
      <c r="V349" s="183"/>
      <c r="W349" s="304">
        <v>-6891.77</v>
      </c>
      <c r="X349" s="317"/>
      <c r="Y349" s="307">
        <v>-7765.75</v>
      </c>
      <c r="Z349" s="319"/>
      <c r="AA349" s="302">
        <v>-2178.4</v>
      </c>
      <c r="AB349" s="183"/>
      <c r="AC349" s="302">
        <v>-15.23</v>
      </c>
      <c r="AD349" s="127">
        <f t="shared" si="61"/>
        <v>-16851.150000000001</v>
      </c>
    </row>
    <row r="350" spans="1:30" x14ac:dyDescent="0.25">
      <c r="A350" s="1">
        <v>347</v>
      </c>
      <c r="B350" s="19" t="s">
        <v>139</v>
      </c>
      <c r="G350" s="302">
        <v>1521.48</v>
      </c>
      <c r="H350" s="183"/>
      <c r="I350" s="301">
        <v>3.44</v>
      </c>
      <c r="J350" s="315"/>
      <c r="K350" s="302">
        <v>525.01</v>
      </c>
      <c r="L350" s="183"/>
      <c r="M350" s="302">
        <v>340.44</v>
      </c>
      <c r="N350" s="183"/>
      <c r="O350" s="302">
        <v>446.71</v>
      </c>
      <c r="P350" s="183"/>
      <c r="Q350" s="302">
        <v>497.57</v>
      </c>
      <c r="R350" s="183"/>
      <c r="S350" s="303">
        <v>88.53</v>
      </c>
      <c r="T350" s="316"/>
      <c r="U350" s="302">
        <v>3585.86</v>
      </c>
      <c r="V350" s="183"/>
      <c r="W350" s="304">
        <v>3445.89</v>
      </c>
      <c r="X350" s="317"/>
      <c r="Y350" s="307">
        <v>3882.88</v>
      </c>
      <c r="Z350" s="319"/>
      <c r="AA350" s="302">
        <v>1089.2</v>
      </c>
      <c r="AB350" s="183"/>
      <c r="AC350" s="302">
        <v>7.62</v>
      </c>
      <c r="AD350" s="127">
        <f t="shared" si="61"/>
        <v>15434.630000000003</v>
      </c>
    </row>
    <row r="351" spans="1:30" x14ac:dyDescent="0.25">
      <c r="A351" s="1">
        <v>348</v>
      </c>
      <c r="B351" s="19" t="s">
        <v>140</v>
      </c>
      <c r="G351" s="302">
        <v>9917.8000000000011</v>
      </c>
      <c r="H351" s="183"/>
      <c r="I351" s="301">
        <v>22.46</v>
      </c>
      <c r="J351" s="315"/>
      <c r="K351" s="302">
        <v>3422.26</v>
      </c>
      <c r="L351" s="183"/>
      <c r="M351" s="302">
        <v>2219.1799999999998</v>
      </c>
      <c r="N351" s="183"/>
      <c r="O351" s="302">
        <v>2911.91</v>
      </c>
      <c r="P351" s="183"/>
      <c r="Q351" s="302">
        <v>3243.42</v>
      </c>
      <c r="R351" s="183"/>
      <c r="S351" s="303">
        <v>577.1</v>
      </c>
      <c r="T351" s="316"/>
      <c r="U351" s="302">
        <v>23374.52</v>
      </c>
      <c r="V351" s="183"/>
      <c r="W351" s="304">
        <v>8806.16</v>
      </c>
      <c r="X351" s="317"/>
      <c r="Y351" s="307">
        <v>9922.91</v>
      </c>
      <c r="Z351" s="319"/>
      <c r="AA351" s="302">
        <v>2783.52</v>
      </c>
      <c r="AB351" s="183"/>
      <c r="AC351" s="302">
        <v>48.23</v>
      </c>
      <c r="AD351" s="127">
        <f t="shared" si="61"/>
        <v>67249.47</v>
      </c>
    </row>
    <row r="352" spans="1:30" x14ac:dyDescent="0.25">
      <c r="A352" s="1">
        <v>349</v>
      </c>
      <c r="B352" s="18" t="s">
        <v>20</v>
      </c>
      <c r="G352" s="302">
        <v>6479.62</v>
      </c>
      <c r="H352" s="183"/>
      <c r="I352" s="301">
        <v>4703.01</v>
      </c>
      <c r="J352" s="315"/>
      <c r="K352" s="302">
        <v>5575.78</v>
      </c>
      <c r="L352" s="183"/>
      <c r="M352" s="302">
        <v>5408.37</v>
      </c>
      <c r="N352" s="183"/>
      <c r="O352" s="302">
        <v>5504.76</v>
      </c>
      <c r="P352" s="183"/>
      <c r="Q352" s="302">
        <v>5550.89</v>
      </c>
      <c r="R352" s="183"/>
      <c r="S352" s="303">
        <v>5127.6500000000005</v>
      </c>
      <c r="T352" s="316"/>
      <c r="U352" s="302">
        <v>8352.1</v>
      </c>
      <c r="V352" s="183"/>
      <c r="W352" s="127">
        <v>8429.11</v>
      </c>
      <c r="Y352" s="307">
        <v>8860.84</v>
      </c>
      <c r="Z352" s="319"/>
      <c r="AA352" s="302">
        <v>6100.83</v>
      </c>
      <c r="AB352" s="183"/>
      <c r="AC352" s="302">
        <v>4703.0600000000004</v>
      </c>
      <c r="AD352" s="127">
        <f t="shared" si="61"/>
        <v>74796.02</v>
      </c>
    </row>
    <row r="353" spans="1:30" x14ac:dyDescent="0.25">
      <c r="A353" s="1">
        <v>350</v>
      </c>
      <c r="B353" s="19" t="s">
        <v>30</v>
      </c>
      <c r="G353" s="302">
        <f>SUM(G340:G352)</f>
        <v>162909.32999999999</v>
      </c>
      <c r="H353" s="302"/>
      <c r="I353" s="302">
        <f t="shared" ref="I353:AC353" si="62">SUM(I340:I352)</f>
        <v>109965.1</v>
      </c>
      <c r="J353" s="302"/>
      <c r="K353" s="302">
        <f t="shared" si="62"/>
        <v>134288.72</v>
      </c>
      <c r="L353" s="302"/>
      <c r="M353" s="302">
        <f t="shared" si="62"/>
        <v>128987.70999999999</v>
      </c>
      <c r="N353" s="302"/>
      <c r="O353" s="302">
        <f t="shared" si="62"/>
        <v>132040</v>
      </c>
      <c r="P353" s="302"/>
      <c r="Q353" s="302">
        <f t="shared" si="62"/>
        <v>133500.71000000002</v>
      </c>
      <c r="R353" s="302"/>
      <c r="S353" s="302">
        <f t="shared" si="62"/>
        <v>120531.57</v>
      </c>
      <c r="T353" s="302"/>
      <c r="U353" s="302">
        <f t="shared" si="62"/>
        <v>222202.23999999999</v>
      </c>
      <c r="V353" s="302"/>
      <c r="W353" s="302">
        <f t="shared" si="62"/>
        <v>193299.37000000005</v>
      </c>
      <c r="X353" s="302"/>
      <c r="Y353" s="302">
        <f t="shared" si="62"/>
        <v>202794.59</v>
      </c>
      <c r="Z353" s="302"/>
      <c r="AA353" s="302">
        <f t="shared" si="62"/>
        <v>142091.69</v>
      </c>
      <c r="AB353" s="302"/>
      <c r="AC353" s="302">
        <f t="shared" si="62"/>
        <v>110857.62</v>
      </c>
      <c r="AD353" s="127">
        <f t="shared" si="61"/>
        <v>1793468.6500000004</v>
      </c>
    </row>
    <row r="354" spans="1:30" x14ac:dyDescent="0.25">
      <c r="A354" s="1">
        <v>351</v>
      </c>
      <c r="B354" s="19" t="s">
        <v>31</v>
      </c>
      <c r="F354" s="98"/>
      <c r="G354" s="550">
        <v>5635115</v>
      </c>
      <c r="H354" s="550"/>
      <c r="I354" s="551">
        <v>12759</v>
      </c>
      <c r="J354" s="551"/>
      <c r="K354" s="550">
        <v>1944464</v>
      </c>
      <c r="L354" s="550"/>
      <c r="M354" s="550">
        <v>1260898</v>
      </c>
      <c r="N354" s="550"/>
      <c r="O354" s="550">
        <v>1654493</v>
      </c>
      <c r="P354" s="550"/>
      <c r="Q354" s="550">
        <v>1842853</v>
      </c>
      <c r="R354" s="550"/>
      <c r="S354" s="552">
        <v>327896</v>
      </c>
      <c r="T354" s="552"/>
      <c r="U354" s="550">
        <v>13280978</v>
      </c>
      <c r="V354" s="550"/>
      <c r="W354" s="554">
        <v>12762544</v>
      </c>
      <c r="X354" s="554"/>
      <c r="Y354" s="553">
        <v>14381027</v>
      </c>
      <c r="Z354" s="553"/>
      <c r="AA354" s="550">
        <v>4034082</v>
      </c>
      <c r="AB354" s="550"/>
      <c r="AC354" s="550">
        <v>28205</v>
      </c>
      <c r="AD354" s="98">
        <f t="shared" si="61"/>
        <v>57165314</v>
      </c>
    </row>
    <row r="355" spans="1:30" x14ac:dyDescent="0.25">
      <c r="A355" s="1">
        <v>352</v>
      </c>
      <c r="B355" s="19" t="s">
        <v>32</v>
      </c>
      <c r="F355" s="98"/>
      <c r="G355" s="98"/>
      <c r="H355" s="98"/>
      <c r="I355" s="98"/>
      <c r="J355" s="98"/>
      <c r="K355" s="98"/>
      <c r="L355" s="98"/>
      <c r="M355" s="98"/>
      <c r="N355" s="98"/>
      <c r="O355" s="98"/>
      <c r="P355" s="98"/>
      <c r="Q355" s="98"/>
      <c r="R355" s="98"/>
      <c r="S355" s="552"/>
      <c r="T355" s="552"/>
      <c r="U355" s="550"/>
      <c r="V355" s="550"/>
      <c r="W355" s="98"/>
      <c r="X355" s="98"/>
      <c r="Y355" s="553"/>
      <c r="Z355" s="553"/>
      <c r="AA355" s="550"/>
      <c r="AB355" s="550"/>
      <c r="AC355" s="550"/>
      <c r="AD355" s="98">
        <f t="shared" si="61"/>
        <v>0</v>
      </c>
    </row>
    <row r="356" spans="1:30" x14ac:dyDescent="0.25">
      <c r="A356" s="1">
        <v>353</v>
      </c>
      <c r="B356" s="19" t="s">
        <v>33</v>
      </c>
      <c r="F356" s="98"/>
      <c r="G356" s="550">
        <f>SUM(G354:G355)</f>
        <v>5635115</v>
      </c>
      <c r="H356" s="550"/>
      <c r="I356" s="550">
        <f t="shared" ref="I356:AC356" si="63">SUM(I354:I355)</f>
        <v>12759</v>
      </c>
      <c r="J356" s="550"/>
      <c r="K356" s="550">
        <f t="shared" si="63"/>
        <v>1944464</v>
      </c>
      <c r="L356" s="550"/>
      <c r="M356" s="550">
        <f t="shared" si="63"/>
        <v>1260898</v>
      </c>
      <c r="N356" s="550"/>
      <c r="O356" s="550">
        <f t="shared" si="63"/>
        <v>1654493</v>
      </c>
      <c r="P356" s="550"/>
      <c r="Q356" s="550">
        <f t="shared" si="63"/>
        <v>1842853</v>
      </c>
      <c r="R356" s="550"/>
      <c r="S356" s="550">
        <f t="shared" si="63"/>
        <v>327896</v>
      </c>
      <c r="T356" s="550"/>
      <c r="U356" s="550">
        <f t="shared" si="63"/>
        <v>13280978</v>
      </c>
      <c r="V356" s="550"/>
      <c r="W356" s="550">
        <f t="shared" si="63"/>
        <v>12762544</v>
      </c>
      <c r="X356" s="550"/>
      <c r="Y356" s="550">
        <f t="shared" si="63"/>
        <v>14381027</v>
      </c>
      <c r="Z356" s="550"/>
      <c r="AA356" s="550">
        <f t="shared" si="63"/>
        <v>4034082</v>
      </c>
      <c r="AB356" s="550"/>
      <c r="AC356" s="550">
        <f t="shared" si="63"/>
        <v>28205</v>
      </c>
      <c r="AD356" s="98">
        <f t="shared" si="61"/>
        <v>57165314</v>
      </c>
    </row>
    <row r="357" spans="1:30" x14ac:dyDescent="0.25">
      <c r="A357" s="1">
        <v>354</v>
      </c>
      <c r="B357" s="18"/>
    </row>
    <row r="358" spans="1:30" x14ac:dyDescent="0.25">
      <c r="A358" s="1">
        <v>355</v>
      </c>
      <c r="B358" s="30" t="s">
        <v>171</v>
      </c>
    </row>
    <row r="359" spans="1:30" x14ac:dyDescent="0.25">
      <c r="A359" s="1">
        <v>356</v>
      </c>
      <c r="B359" s="19" t="s">
        <v>9</v>
      </c>
      <c r="C359" s="182">
        <f>'Exh IDM-2 - Revenue Summary'!D598</f>
        <v>500</v>
      </c>
      <c r="D359" s="182"/>
      <c r="E359" s="182">
        <f>'Exh IDM-2 - Revenue Summary'!D599</f>
        <v>625</v>
      </c>
      <c r="F359" s="128">
        <f>G359/$C$359</f>
        <v>1</v>
      </c>
      <c r="G359" s="302">
        <v>500</v>
      </c>
      <c r="H359" s="128">
        <f>I359/$C$359</f>
        <v>1</v>
      </c>
      <c r="I359" s="301">
        <v>500</v>
      </c>
      <c r="J359" s="128">
        <f>K359/$C$359</f>
        <v>1</v>
      </c>
      <c r="K359" s="302">
        <v>500</v>
      </c>
      <c r="L359" s="128">
        <f>M359/$C$359</f>
        <v>1</v>
      </c>
      <c r="M359" s="302">
        <v>500</v>
      </c>
      <c r="N359" s="128">
        <f>O359/$C$359</f>
        <v>1</v>
      </c>
      <c r="O359" s="302">
        <v>500</v>
      </c>
      <c r="P359" s="128">
        <f>Q359/$C$359</f>
        <v>1</v>
      </c>
      <c r="Q359" s="302">
        <v>500</v>
      </c>
      <c r="R359" s="128">
        <f>S359/$C$359</f>
        <v>1</v>
      </c>
      <c r="S359" s="303">
        <v>500</v>
      </c>
      <c r="T359" s="128">
        <f>U359/$C$359</f>
        <v>1</v>
      </c>
      <c r="U359" s="302">
        <v>500</v>
      </c>
      <c r="V359" s="128">
        <f>W359/$E$359</f>
        <v>1</v>
      </c>
      <c r="W359" s="127">
        <v>625</v>
      </c>
      <c r="X359" s="128">
        <f>Y359/$E$359</f>
        <v>1</v>
      </c>
      <c r="Y359" s="307">
        <v>625</v>
      </c>
      <c r="Z359" s="128">
        <f>AA359/$E$359</f>
        <v>1</v>
      </c>
      <c r="AA359" s="302">
        <v>625</v>
      </c>
      <c r="AB359" s="128">
        <f>AC359/$E$359</f>
        <v>1</v>
      </c>
      <c r="AC359" s="302">
        <v>625</v>
      </c>
      <c r="AD359" s="127">
        <f t="shared" ref="AD359:AD364" si="64">SUM(G359,I359,K359,M359,O359,Q359,S359,U359,W359,Y359,AA359,AC359)</f>
        <v>6500</v>
      </c>
    </row>
    <row r="360" spans="1:30" x14ac:dyDescent="0.25">
      <c r="A360" s="1">
        <v>357</v>
      </c>
      <c r="B360" s="19" t="s">
        <v>192</v>
      </c>
      <c r="C360" s="1">
        <f>'Exh IDM-2 - Revenue Summary'!D600</f>
        <v>4.0000000000000002E-4</v>
      </c>
      <c r="E360" s="1">
        <f>'Exh IDM-2 - Revenue Summary'!D601</f>
        <v>4.0000000000000002E-4</v>
      </c>
      <c r="F360" s="128">
        <f>G360/$C$360</f>
        <v>666975</v>
      </c>
      <c r="G360" s="302">
        <v>266.79000000000002</v>
      </c>
      <c r="H360" s="128">
        <f>I360/$C$360</f>
        <v>134600</v>
      </c>
      <c r="I360" s="301">
        <v>53.84</v>
      </c>
      <c r="J360" s="128">
        <f>K360/$C$360</f>
        <v>681950</v>
      </c>
      <c r="K360" s="302">
        <v>272.78000000000003</v>
      </c>
      <c r="L360" s="128">
        <f>M360/$C$360</f>
        <v>187650</v>
      </c>
      <c r="M360" s="302">
        <v>75.06</v>
      </c>
      <c r="N360" s="128">
        <f>O360/$C$360</f>
        <v>182525</v>
      </c>
      <c r="O360" s="302">
        <v>73.010000000000005</v>
      </c>
      <c r="P360" s="128">
        <f>Q360/$C$360</f>
        <v>319300</v>
      </c>
      <c r="Q360" s="302">
        <v>127.72</v>
      </c>
      <c r="R360" s="128">
        <f>S360/$C$360</f>
        <v>986350</v>
      </c>
      <c r="S360" s="303">
        <v>394.54</v>
      </c>
      <c r="T360" s="128">
        <f>U360/$C$360</f>
        <v>5205425</v>
      </c>
      <c r="U360" s="302">
        <v>2082.17</v>
      </c>
      <c r="V360" s="128">
        <f>W360/$E$360</f>
        <v>5293474.9999999991</v>
      </c>
      <c r="W360" s="127">
        <v>2117.39</v>
      </c>
      <c r="X360" s="128">
        <f>Y360/$E$360</f>
        <v>2080900</v>
      </c>
      <c r="Y360" s="307">
        <v>832.36</v>
      </c>
      <c r="Z360" s="128">
        <f>AA360/$E$360</f>
        <v>2001550</v>
      </c>
      <c r="AA360" s="302">
        <v>800.62</v>
      </c>
      <c r="AB360" s="128">
        <f>AC360/$E$360</f>
        <v>33900</v>
      </c>
      <c r="AC360" s="302">
        <v>13.56</v>
      </c>
      <c r="AD360" s="127">
        <f t="shared" si="64"/>
        <v>7109.8399999999992</v>
      </c>
    </row>
    <row r="361" spans="1:30" x14ac:dyDescent="0.25">
      <c r="A361" s="1">
        <v>358</v>
      </c>
      <c r="B361" s="19" t="s">
        <v>193</v>
      </c>
      <c r="C361" s="1">
        <f>'Exh IDM-2 - Revenue Summary'!D602</f>
        <v>5.7299999999999997E-2</v>
      </c>
      <c r="E361" s="1">
        <f>'Exh IDM-2 - Revenue Summary'!D603</f>
        <v>5.3310000000000003E-2</v>
      </c>
      <c r="F361" s="128">
        <f>G361/$C$361</f>
        <v>100000</v>
      </c>
      <c r="G361" s="302">
        <v>5730</v>
      </c>
      <c r="H361" s="128">
        <f>I361/$C$361</f>
        <v>100000</v>
      </c>
      <c r="I361" s="301">
        <v>5730</v>
      </c>
      <c r="J361" s="128">
        <f>K361/$C$361</f>
        <v>100000</v>
      </c>
      <c r="K361" s="302">
        <v>5730</v>
      </c>
      <c r="L361" s="128">
        <f>M361/$C$361</f>
        <v>100000</v>
      </c>
      <c r="M361" s="302">
        <v>5730</v>
      </c>
      <c r="N361" s="128">
        <f>O361/$C$361</f>
        <v>100000</v>
      </c>
      <c r="O361" s="302">
        <v>5730</v>
      </c>
      <c r="P361" s="128">
        <f>Q361/$C$361</f>
        <v>100000</v>
      </c>
      <c r="Q361" s="302">
        <v>5730</v>
      </c>
      <c r="R361" s="128">
        <f>S361/$C$361</f>
        <v>100000</v>
      </c>
      <c r="S361" s="303">
        <v>5730</v>
      </c>
      <c r="T361" s="128">
        <f>U361/$C$361</f>
        <v>100000</v>
      </c>
      <c r="U361" s="302">
        <v>5730</v>
      </c>
      <c r="V361" s="128">
        <f>W361/$E$361</f>
        <v>100000</v>
      </c>
      <c r="W361" s="127">
        <v>5331</v>
      </c>
      <c r="X361" s="128">
        <f>Y361/$E$361</f>
        <v>100000</v>
      </c>
      <c r="Y361" s="307">
        <v>5331</v>
      </c>
      <c r="Z361" s="128">
        <f>AA361/$E$361</f>
        <v>100000</v>
      </c>
      <c r="AA361" s="302">
        <v>5331</v>
      </c>
      <c r="AB361" s="128">
        <f>AC361/$E$361</f>
        <v>33897.955355468017</v>
      </c>
      <c r="AC361" s="302">
        <v>1807.1</v>
      </c>
      <c r="AD361" s="127">
        <f t="shared" si="64"/>
        <v>63640.1</v>
      </c>
    </row>
    <row r="362" spans="1:30" x14ac:dyDescent="0.25">
      <c r="A362" s="1">
        <v>359</v>
      </c>
      <c r="B362" s="19" t="s">
        <v>155</v>
      </c>
      <c r="C362" s="1">
        <f>'Exh IDM-2 - Revenue Summary'!D604</f>
        <v>2.0230000000000001E-2</v>
      </c>
      <c r="E362" s="1">
        <f>'Exh IDM-2 - Revenue Summary'!D605</f>
        <v>1.9449999999999999E-2</v>
      </c>
      <c r="F362" s="128">
        <f>G362/$C$362</f>
        <v>200000</v>
      </c>
      <c r="G362" s="302">
        <v>4046</v>
      </c>
      <c r="H362" s="128">
        <f>I362/$C$362</f>
        <v>34610.973801285218</v>
      </c>
      <c r="I362" s="301">
        <v>700.18</v>
      </c>
      <c r="J362" s="128">
        <f>K362/$C$362</f>
        <v>200000</v>
      </c>
      <c r="K362" s="302">
        <v>4046</v>
      </c>
      <c r="L362" s="128">
        <f>M362/$C$362</f>
        <v>87639.149777558079</v>
      </c>
      <c r="M362" s="302">
        <v>1772.94</v>
      </c>
      <c r="N362" s="128">
        <f>O362/$C$362</f>
        <v>82521.008403361338</v>
      </c>
      <c r="O362" s="302">
        <v>1669.4</v>
      </c>
      <c r="P362" s="128">
        <f>Q362/$C$362</f>
        <v>200000</v>
      </c>
      <c r="Q362" s="302">
        <v>4046</v>
      </c>
      <c r="R362" s="128">
        <f>S362/$C$362</f>
        <v>200000</v>
      </c>
      <c r="S362" s="303">
        <v>4046</v>
      </c>
      <c r="T362" s="128">
        <f>U362/$C$362</f>
        <v>200000</v>
      </c>
      <c r="U362" s="302">
        <v>4046</v>
      </c>
      <c r="V362" s="128">
        <f>W362/$E$362</f>
        <v>200000.00000000003</v>
      </c>
      <c r="W362" s="127">
        <v>3890</v>
      </c>
      <c r="X362" s="128">
        <f>Y362/$E$362</f>
        <v>200000.00000000003</v>
      </c>
      <c r="Y362" s="307">
        <v>3890</v>
      </c>
      <c r="Z362" s="128">
        <f>AA362/$E$362</f>
        <v>200000.00000000003</v>
      </c>
      <c r="AA362" s="302">
        <v>3890</v>
      </c>
      <c r="AB362" s="128">
        <f>AC362/$E$362</f>
        <v>0</v>
      </c>
      <c r="AD362" s="127">
        <f t="shared" si="64"/>
        <v>36042.520000000004</v>
      </c>
    </row>
    <row r="363" spans="1:30" x14ac:dyDescent="0.25">
      <c r="A363" s="1">
        <v>360</v>
      </c>
      <c r="B363" s="19" t="s">
        <v>155</v>
      </c>
      <c r="C363" s="1">
        <f>'Exh IDM-2 - Revenue Summary'!D606</f>
        <v>1.187E-2</v>
      </c>
      <c r="E363" s="1">
        <f>'Exh IDM-2 - Revenue Summary'!D607</f>
        <v>1.1820000000000001E-2</v>
      </c>
      <c r="F363" s="128">
        <f>G363/$C$363</f>
        <v>200000</v>
      </c>
      <c r="G363" s="302">
        <v>2374</v>
      </c>
      <c r="H363" s="128">
        <f>I363/$C$363</f>
        <v>0</v>
      </c>
      <c r="J363" s="128">
        <f>K363/$C$363</f>
        <v>200000</v>
      </c>
      <c r="K363" s="302">
        <v>2374</v>
      </c>
      <c r="L363" s="128">
        <f>M363/$C$363</f>
        <v>0</v>
      </c>
      <c r="N363" s="128">
        <f>O363/$C$363</f>
        <v>0</v>
      </c>
      <c r="P363" s="128">
        <f>Q363/$C$363</f>
        <v>19310.867733782645</v>
      </c>
      <c r="Q363" s="302">
        <v>229.22</v>
      </c>
      <c r="R363" s="128">
        <f>S363/$C$363</f>
        <v>200000</v>
      </c>
      <c r="S363" s="303">
        <v>2374</v>
      </c>
      <c r="T363" s="128">
        <f>U363/$C$363</f>
        <v>200000</v>
      </c>
      <c r="U363" s="302">
        <v>2374</v>
      </c>
      <c r="V363" s="128">
        <f>W363/$E$363</f>
        <v>200000</v>
      </c>
      <c r="W363" s="127">
        <v>2364</v>
      </c>
      <c r="X363" s="128">
        <f>Y363/$E$363</f>
        <v>200000</v>
      </c>
      <c r="Y363" s="307">
        <v>2364</v>
      </c>
      <c r="Z363" s="128">
        <f>AA363/$E$363</f>
        <v>200000</v>
      </c>
      <c r="AA363" s="302">
        <v>2364</v>
      </c>
      <c r="AB363" s="128">
        <f>AC363/$E$363</f>
        <v>0</v>
      </c>
      <c r="AD363" s="127">
        <f t="shared" si="64"/>
        <v>16817.22</v>
      </c>
    </row>
    <row r="364" spans="1:30" x14ac:dyDescent="0.25">
      <c r="A364" s="1">
        <v>361</v>
      </c>
      <c r="B364" s="19" t="s">
        <v>222</v>
      </c>
      <c r="C364" s="1">
        <f>'Exh IDM-2 - Revenue Summary'!D608</f>
        <v>5.0800000000000003E-3</v>
      </c>
      <c r="E364" s="1">
        <f>'Exh IDM-2 - Revenue Summary'!D609</f>
        <v>5.62E-3</v>
      </c>
      <c r="F364" s="128">
        <f>G364/$C$364</f>
        <v>166978.3464566929</v>
      </c>
      <c r="G364" s="302">
        <v>848.25</v>
      </c>
      <c r="H364" s="128">
        <f>I364/$C$364</f>
        <v>0</v>
      </c>
      <c r="J364" s="128">
        <f>K364/$C$364</f>
        <v>181952.75590551182</v>
      </c>
      <c r="K364" s="302">
        <v>924.32</v>
      </c>
      <c r="L364" s="128">
        <f>M364/$C$364</f>
        <v>0</v>
      </c>
      <c r="N364" s="128">
        <f>O364/$C$364</f>
        <v>0</v>
      </c>
      <c r="P364" s="128">
        <f>Q364/$C$364</f>
        <v>0</v>
      </c>
      <c r="R364" s="128">
        <f>S364/$C$364</f>
        <v>486358.26771653548</v>
      </c>
      <c r="S364" s="303">
        <v>2470.7000000000003</v>
      </c>
      <c r="T364" s="128">
        <f>U364/$C$364</f>
        <v>4705433.0708661415</v>
      </c>
      <c r="U364" s="302">
        <v>23903.599999999999</v>
      </c>
      <c r="V364" s="128">
        <f>W364/$E$364</f>
        <v>4793485.7651245547</v>
      </c>
      <c r="W364" s="127">
        <v>26939.39</v>
      </c>
      <c r="X364" s="128">
        <f>Y364/$E$364</f>
        <v>1580893.2384341639</v>
      </c>
      <c r="Y364" s="307">
        <v>8884.6200000000008</v>
      </c>
      <c r="Z364" s="128">
        <f>AA364/$E$364</f>
        <v>1501542.7046263346</v>
      </c>
      <c r="AA364" s="302">
        <v>8438.67</v>
      </c>
      <c r="AB364" s="128">
        <f>AC364/$E$364</f>
        <v>0</v>
      </c>
      <c r="AD364" s="127">
        <f t="shared" si="64"/>
        <v>72409.55</v>
      </c>
    </row>
    <row r="365" spans="1:30" x14ac:dyDescent="0.25">
      <c r="A365" s="1">
        <v>362</v>
      </c>
      <c r="B365" s="99" t="s">
        <v>224</v>
      </c>
      <c r="G365" s="302"/>
      <c r="H365" s="183"/>
      <c r="K365" s="302"/>
      <c r="L365" s="183"/>
      <c r="S365" s="303"/>
      <c r="T365" s="316"/>
      <c r="U365" s="302"/>
      <c r="V365" s="183"/>
      <c r="W365" s="127">
        <v>-3017.29</v>
      </c>
      <c r="Y365" s="307">
        <v>-1186.1100000000001</v>
      </c>
      <c r="Z365" s="319"/>
      <c r="AA365" s="302">
        <v>-1140.8800000000001</v>
      </c>
      <c r="AB365" s="183"/>
      <c r="AC365" s="302">
        <v>-21.36</v>
      </c>
      <c r="AD365" s="127">
        <f>SUM(G365:AC365)</f>
        <v>-5365.6399999999994</v>
      </c>
    </row>
    <row r="366" spans="1:30" x14ac:dyDescent="0.25">
      <c r="A366" s="1">
        <v>363</v>
      </c>
      <c r="B366" s="99" t="s">
        <v>225</v>
      </c>
      <c r="G366" s="302"/>
      <c r="H366" s="183"/>
      <c r="K366" s="302"/>
      <c r="L366" s="183"/>
      <c r="S366" s="303"/>
      <c r="T366" s="316"/>
      <c r="U366" s="302"/>
      <c r="V366" s="183"/>
      <c r="W366" s="127">
        <v>-1429.24</v>
      </c>
      <c r="Y366" s="307">
        <v>-561.84</v>
      </c>
      <c r="Z366" s="319"/>
      <c r="AA366" s="302">
        <v>-540.41999999999996</v>
      </c>
      <c r="AB366" s="183"/>
      <c r="AC366" s="302">
        <v>-9.83</v>
      </c>
      <c r="AD366" s="127">
        <f t="shared" si="61"/>
        <v>-2541.33</v>
      </c>
    </row>
    <row r="367" spans="1:30" x14ac:dyDescent="0.25">
      <c r="A367" s="1">
        <v>364</v>
      </c>
      <c r="B367" s="99" t="s">
        <v>226</v>
      </c>
      <c r="G367" s="302"/>
      <c r="H367" s="183"/>
      <c r="K367" s="302"/>
      <c r="L367" s="183"/>
      <c r="S367" s="303"/>
      <c r="T367" s="316"/>
      <c r="U367" s="302"/>
      <c r="V367" s="183"/>
      <c r="W367" s="127">
        <v>-2858.48</v>
      </c>
      <c r="Y367" s="307">
        <v>-1123.68</v>
      </c>
      <c r="Z367" s="319"/>
      <c r="AA367" s="302">
        <v>-1080.83</v>
      </c>
      <c r="AB367" s="183"/>
      <c r="AC367" s="302">
        <v>-18.3</v>
      </c>
      <c r="AD367" s="127">
        <f t="shared" si="61"/>
        <v>-5081.29</v>
      </c>
    </row>
    <row r="368" spans="1:30" x14ac:dyDescent="0.25">
      <c r="A368" s="1">
        <v>365</v>
      </c>
      <c r="B368" s="18" t="s">
        <v>139</v>
      </c>
      <c r="G368" s="302">
        <v>180.08</v>
      </c>
      <c r="H368" s="183"/>
      <c r="I368" s="301">
        <v>36.340000000000003</v>
      </c>
      <c r="J368" s="315"/>
      <c r="K368" s="302">
        <v>184.13</v>
      </c>
      <c r="L368" s="183"/>
      <c r="M368" s="302">
        <v>50.66</v>
      </c>
      <c r="N368" s="183"/>
      <c r="O368" s="302">
        <v>49.28</v>
      </c>
      <c r="P368" s="183"/>
      <c r="Q368" s="302">
        <v>86.21</v>
      </c>
      <c r="R368" s="183"/>
      <c r="S368" s="303">
        <v>266.32</v>
      </c>
      <c r="T368" s="316"/>
      <c r="U368" s="302">
        <v>1405.47</v>
      </c>
      <c r="V368" s="183"/>
      <c r="W368" s="127">
        <v>1429.24</v>
      </c>
      <c r="Y368" s="307">
        <v>561.84</v>
      </c>
      <c r="Z368" s="319"/>
      <c r="AA368" s="302">
        <v>540.41999999999996</v>
      </c>
      <c r="AB368" s="183"/>
      <c r="AC368" s="302">
        <v>9.15</v>
      </c>
      <c r="AD368" s="127">
        <f t="shared" si="61"/>
        <v>4799.1399999999994</v>
      </c>
    </row>
    <row r="369" spans="1:31" x14ac:dyDescent="0.25">
      <c r="A369" s="1">
        <v>366</v>
      </c>
      <c r="B369" s="18" t="s">
        <v>140</v>
      </c>
      <c r="G369" s="302">
        <v>1173.8800000000001</v>
      </c>
      <c r="H369" s="183"/>
      <c r="I369" s="301">
        <v>236.92</v>
      </c>
      <c r="J369" s="315"/>
      <c r="K369" s="302">
        <v>1200.24</v>
      </c>
      <c r="L369" s="183"/>
      <c r="M369" s="302">
        <v>330.24</v>
      </c>
      <c r="N369" s="183"/>
      <c r="O369" s="302">
        <v>321.24</v>
      </c>
      <c r="P369" s="183"/>
      <c r="Q369" s="302">
        <v>561.99</v>
      </c>
      <c r="R369" s="183"/>
      <c r="S369" s="303">
        <v>1735.99</v>
      </c>
      <c r="T369" s="316"/>
      <c r="U369" s="302">
        <v>9161.56</v>
      </c>
      <c r="V369" s="183"/>
      <c r="W369" s="127">
        <v>3652.51</v>
      </c>
      <c r="Y369" s="307">
        <v>1435.82</v>
      </c>
      <c r="Z369" s="319"/>
      <c r="AA369" s="302">
        <v>1381.06</v>
      </c>
      <c r="AB369" s="183"/>
      <c r="AC369" s="302">
        <v>57.97</v>
      </c>
      <c r="AD369" s="127">
        <f t="shared" si="61"/>
        <v>21249.420000000002</v>
      </c>
    </row>
    <row r="370" spans="1:31" x14ac:dyDescent="0.25">
      <c r="A370" s="1">
        <v>367</v>
      </c>
      <c r="B370" s="18" t="s">
        <v>184</v>
      </c>
      <c r="G370" s="302">
        <v>-5188</v>
      </c>
      <c r="H370" s="183"/>
      <c r="I370" s="301">
        <v>-5188</v>
      </c>
      <c r="J370" s="315"/>
      <c r="K370" s="302">
        <v>-5188</v>
      </c>
      <c r="L370" s="183"/>
      <c r="M370" s="302">
        <v>-5188</v>
      </c>
      <c r="N370" s="183"/>
      <c r="O370" s="302">
        <v>-5188</v>
      </c>
      <c r="P370" s="183"/>
      <c r="Q370" s="302">
        <v>-5188</v>
      </c>
      <c r="R370" s="183"/>
      <c r="S370" s="303">
        <v>-5188</v>
      </c>
      <c r="T370" s="316"/>
      <c r="U370" s="302">
        <v>-5188</v>
      </c>
      <c r="V370" s="183"/>
      <c r="W370" s="302">
        <v>-5188</v>
      </c>
      <c r="X370" s="183"/>
      <c r="Y370" s="307">
        <v>-5188</v>
      </c>
      <c r="Z370" s="319"/>
      <c r="AA370" s="302">
        <v>-5188</v>
      </c>
      <c r="AB370" s="183"/>
      <c r="AC370" s="302">
        <v>-1758.63</v>
      </c>
      <c r="AD370" s="127">
        <f t="shared" si="61"/>
        <v>-58826.63</v>
      </c>
      <c r="AE370" s="302"/>
    </row>
    <row r="371" spans="1:31" x14ac:dyDescent="0.25">
      <c r="A371" s="1">
        <v>368</v>
      </c>
      <c r="B371" s="18" t="s">
        <v>185</v>
      </c>
      <c r="G371" s="302">
        <v>-3494</v>
      </c>
      <c r="H371" s="183"/>
      <c r="I371" s="301">
        <v>-604.65</v>
      </c>
      <c r="J371" s="315"/>
      <c r="K371" s="302">
        <v>-3494</v>
      </c>
      <c r="L371" s="183"/>
      <c r="M371" s="302">
        <v>-1531.05</v>
      </c>
      <c r="N371" s="183"/>
      <c r="O371" s="302">
        <v>-1441.64</v>
      </c>
      <c r="P371" s="183"/>
      <c r="Q371" s="302">
        <v>-3494</v>
      </c>
      <c r="R371" s="183"/>
      <c r="S371" s="303">
        <v>-3494</v>
      </c>
      <c r="T371" s="316"/>
      <c r="U371" s="302">
        <v>-3494</v>
      </c>
      <c r="V371" s="183"/>
      <c r="W371" s="302">
        <v>-3494</v>
      </c>
      <c r="X371" s="183"/>
      <c r="Y371" s="307">
        <v>-3494</v>
      </c>
      <c r="Z371" s="319"/>
      <c r="AA371" s="302">
        <v>-3494</v>
      </c>
      <c r="AB371" s="183"/>
      <c r="AD371" s="127">
        <f t="shared" si="61"/>
        <v>-31529.339999999997</v>
      </c>
      <c r="AE371" s="302"/>
    </row>
    <row r="372" spans="1:31" x14ac:dyDescent="0.25">
      <c r="A372" s="1">
        <v>369</v>
      </c>
      <c r="B372" s="18" t="s">
        <v>185</v>
      </c>
      <c r="G372" s="302">
        <v>-1682</v>
      </c>
      <c r="H372" s="183"/>
      <c r="K372" s="302">
        <v>-1682</v>
      </c>
      <c r="L372" s="183"/>
      <c r="Q372" s="302">
        <v>-162.41</v>
      </c>
      <c r="R372" s="183"/>
      <c r="S372" s="303">
        <v>-1682</v>
      </c>
      <c r="T372" s="316"/>
      <c r="U372" s="302">
        <v>-1682</v>
      </c>
      <c r="V372" s="183"/>
      <c r="W372" s="302">
        <v>-1682</v>
      </c>
      <c r="X372" s="183"/>
      <c r="Y372" s="307">
        <v>-1682</v>
      </c>
      <c r="Z372" s="319"/>
      <c r="AA372" s="302">
        <v>-1682</v>
      </c>
      <c r="AB372" s="183"/>
      <c r="AD372" s="127">
        <f t="shared" si="61"/>
        <v>-11936.41</v>
      </c>
      <c r="AE372" s="302"/>
    </row>
    <row r="373" spans="1:31" x14ac:dyDescent="0.25">
      <c r="A373" s="1">
        <v>370</v>
      </c>
      <c r="B373" s="18" t="s">
        <v>186</v>
      </c>
      <c r="G373" s="302">
        <v>-825</v>
      </c>
      <c r="H373" s="183"/>
      <c r="K373" s="302">
        <v>-825</v>
      </c>
      <c r="L373" s="183"/>
      <c r="S373" s="303">
        <v>-825</v>
      </c>
      <c r="T373" s="316"/>
      <c r="U373" s="302">
        <v>-825</v>
      </c>
      <c r="V373" s="183"/>
      <c r="W373" s="302">
        <v>-825</v>
      </c>
      <c r="X373" s="183"/>
      <c r="Y373" s="307">
        <v>-825</v>
      </c>
      <c r="Z373" s="319"/>
      <c r="AA373" s="302">
        <v>-825</v>
      </c>
      <c r="AB373" s="183"/>
      <c r="AD373" s="127">
        <f t="shared" si="61"/>
        <v>-5775</v>
      </c>
      <c r="AE373" s="302"/>
    </row>
    <row r="374" spans="1:31" x14ac:dyDescent="0.25">
      <c r="A374" s="1">
        <v>371</v>
      </c>
      <c r="B374" s="18" t="s">
        <v>187</v>
      </c>
      <c r="G374" s="302">
        <v>-432.01</v>
      </c>
      <c r="H374" s="183"/>
      <c r="K374" s="302">
        <v>-528.6</v>
      </c>
      <c r="L374" s="183"/>
      <c r="S374" s="303">
        <v>-1935</v>
      </c>
      <c r="T374" s="316"/>
      <c r="U374" s="302">
        <v>-1935</v>
      </c>
      <c r="V374" s="183"/>
      <c r="W374" s="302">
        <v>-1935</v>
      </c>
      <c r="X374" s="183"/>
      <c r="Y374" s="307">
        <v>-1935</v>
      </c>
      <c r="Z374" s="319"/>
      <c r="AA374" s="302">
        <v>-1935</v>
      </c>
      <c r="AB374" s="183"/>
      <c r="AD374" s="127">
        <f t="shared" si="61"/>
        <v>-10635.61</v>
      </c>
      <c r="AE374" s="302"/>
    </row>
    <row r="375" spans="1:31" x14ac:dyDescent="0.25">
      <c r="A375" s="1">
        <v>372</v>
      </c>
      <c r="B375" s="18" t="s">
        <v>223</v>
      </c>
      <c r="G375" s="302"/>
      <c r="H375" s="183"/>
      <c r="K375" s="302"/>
      <c r="L375" s="183"/>
      <c r="S375" s="303">
        <v>-388.61</v>
      </c>
      <c r="T375" s="316"/>
      <c r="U375" s="302">
        <v>-1800</v>
      </c>
      <c r="V375" s="183"/>
      <c r="W375" s="302">
        <v>-1800</v>
      </c>
      <c r="X375" s="183"/>
      <c r="Y375" s="307">
        <v>-1800</v>
      </c>
      <c r="Z375" s="319"/>
      <c r="AA375" s="302">
        <v>-1800</v>
      </c>
      <c r="AB375" s="183"/>
      <c r="AD375" s="127">
        <f t="shared" si="61"/>
        <v>-7588.6100000000006</v>
      </c>
      <c r="AE375" s="302"/>
    </row>
    <row r="376" spans="1:31" x14ac:dyDescent="0.25">
      <c r="A376" s="1">
        <v>373</v>
      </c>
      <c r="B376" s="64" t="s">
        <v>227</v>
      </c>
      <c r="G376" s="302"/>
      <c r="H376" s="183"/>
      <c r="K376" s="302"/>
      <c r="L376" s="183"/>
      <c r="S376" s="303"/>
      <c r="T376" s="316"/>
      <c r="U376" s="302">
        <v>-11716.3</v>
      </c>
      <c r="V376" s="183"/>
      <c r="W376" s="127">
        <v>-11980.46</v>
      </c>
      <c r="Y376" s="307">
        <v>-2342.6799999999998</v>
      </c>
      <c r="Z376" s="319"/>
      <c r="AA376" s="302">
        <v>-2104.63</v>
      </c>
      <c r="AB376" s="183"/>
      <c r="AD376" s="127">
        <f t="shared" si="61"/>
        <v>-28144.07</v>
      </c>
      <c r="AE376" s="302"/>
    </row>
    <row r="377" spans="1:31" x14ac:dyDescent="0.25">
      <c r="A377" s="1">
        <v>374</v>
      </c>
      <c r="B377" s="18" t="s">
        <v>188</v>
      </c>
      <c r="G377" s="302">
        <v>120485</v>
      </c>
      <c r="H377" s="183"/>
      <c r="I377" s="301">
        <v>120485</v>
      </c>
      <c r="J377" s="315"/>
      <c r="K377" s="302">
        <v>120485</v>
      </c>
      <c r="L377" s="183"/>
      <c r="M377" s="302">
        <v>120485</v>
      </c>
      <c r="N377" s="183"/>
      <c r="O377" s="302">
        <v>120485</v>
      </c>
      <c r="P377" s="183"/>
      <c r="Q377" s="302">
        <v>120485</v>
      </c>
      <c r="R377" s="183"/>
      <c r="S377" s="303">
        <v>120485</v>
      </c>
      <c r="T377" s="316"/>
      <c r="U377" s="302">
        <v>120485</v>
      </c>
      <c r="V377" s="183"/>
      <c r="W377" s="127">
        <v>120485</v>
      </c>
      <c r="Y377" s="307">
        <v>120485</v>
      </c>
      <c r="Z377" s="319"/>
      <c r="AA377" s="302">
        <v>120485</v>
      </c>
      <c r="AB377" s="183"/>
      <c r="AC377" s="302">
        <v>120485</v>
      </c>
      <c r="AD377" s="127">
        <f t="shared" si="61"/>
        <v>1445820</v>
      </c>
    </row>
    <row r="378" spans="1:31" x14ac:dyDescent="0.25">
      <c r="A378" s="1">
        <v>375</v>
      </c>
      <c r="B378" s="18" t="s">
        <v>189</v>
      </c>
      <c r="G378" s="302">
        <v>13272.75</v>
      </c>
      <c r="H378" s="183"/>
      <c r="I378" s="301">
        <v>13272.75</v>
      </c>
      <c r="J378" s="315"/>
      <c r="K378" s="302">
        <v>13272.75</v>
      </c>
      <c r="L378" s="183"/>
      <c r="M378" s="302">
        <v>13272.75</v>
      </c>
      <c r="N378" s="183"/>
      <c r="O378" s="302">
        <v>13272.75</v>
      </c>
      <c r="P378" s="183"/>
      <c r="Q378" s="302">
        <v>13272.75</v>
      </c>
      <c r="R378" s="183"/>
      <c r="S378" s="303">
        <v>13272.75</v>
      </c>
      <c r="T378" s="316"/>
      <c r="U378" s="302">
        <v>-347.12</v>
      </c>
      <c r="V378" s="183"/>
      <c r="W378" s="302">
        <v>-347.12</v>
      </c>
      <c r="X378" s="183"/>
      <c r="Y378" s="307">
        <v>-347.12</v>
      </c>
      <c r="Z378" s="319"/>
      <c r="AA378" s="302">
        <v>-347.12</v>
      </c>
      <c r="AB378" s="183"/>
      <c r="AC378" s="302">
        <v>-347.12</v>
      </c>
      <c r="AD378" s="127">
        <f t="shared" si="61"/>
        <v>91173.650000000023</v>
      </c>
    </row>
    <row r="379" spans="1:31" x14ac:dyDescent="0.25">
      <c r="A379" s="1">
        <v>376</v>
      </c>
      <c r="B379" s="18" t="s">
        <v>20</v>
      </c>
      <c r="G379" s="302">
        <v>6073.45</v>
      </c>
      <c r="H379" s="183"/>
      <c r="I379" s="301">
        <v>6030.88</v>
      </c>
      <c r="J379" s="315"/>
      <c r="K379" s="302">
        <v>6072.8</v>
      </c>
      <c r="L379" s="183"/>
      <c r="M379" s="302">
        <v>6038.37</v>
      </c>
      <c r="N379" s="183"/>
      <c r="O379" s="302">
        <v>6037.64</v>
      </c>
      <c r="P379" s="183"/>
      <c r="Q379" s="302">
        <v>6057.56</v>
      </c>
      <c r="R379" s="183"/>
      <c r="S379" s="303">
        <v>6067.13</v>
      </c>
      <c r="T379" s="316"/>
      <c r="U379" s="302">
        <v>5905.04</v>
      </c>
      <c r="V379" s="183"/>
      <c r="W379" s="127">
        <v>5959.7</v>
      </c>
      <c r="Y379" s="307">
        <v>5529.81</v>
      </c>
      <c r="Z379" s="319"/>
      <c r="AA379" s="302">
        <v>5519.19</v>
      </c>
      <c r="AB379" s="183"/>
      <c r="AC379" s="302">
        <v>5353.75</v>
      </c>
      <c r="AD379" s="127">
        <f t="shared" si="61"/>
        <v>70645.319999999992</v>
      </c>
    </row>
    <row r="380" spans="1:31" x14ac:dyDescent="0.25">
      <c r="A380" s="1">
        <v>377</v>
      </c>
      <c r="B380" s="19" t="s">
        <v>30</v>
      </c>
      <c r="G380" s="302">
        <f>SUM(G359:G379)</f>
        <v>143329.19</v>
      </c>
      <c r="H380" s="302"/>
      <c r="I380" s="302">
        <f t="shared" ref="I380:AC380" si="65">SUM(I359:I379)</f>
        <v>141253.26</v>
      </c>
      <c r="J380" s="302"/>
      <c r="K380" s="302">
        <f t="shared" si="65"/>
        <v>143344.41999999998</v>
      </c>
      <c r="L380" s="302"/>
      <c r="M380" s="302">
        <f t="shared" si="65"/>
        <v>141535.97</v>
      </c>
      <c r="N380" s="302"/>
      <c r="O380" s="302">
        <f t="shared" si="65"/>
        <v>141508.68</v>
      </c>
      <c r="P380" s="302"/>
      <c r="Q380" s="302">
        <f t="shared" si="65"/>
        <v>142252.03999999998</v>
      </c>
      <c r="R380" s="302"/>
      <c r="S380" s="302">
        <f t="shared" si="65"/>
        <v>143829.82</v>
      </c>
      <c r="T380" s="302"/>
      <c r="U380" s="302">
        <f t="shared" si="65"/>
        <v>148605.42000000001</v>
      </c>
      <c r="V380" s="302"/>
      <c r="W380" s="302">
        <f t="shared" si="65"/>
        <v>138236.64000000001</v>
      </c>
      <c r="X380" s="302"/>
      <c r="Y380" s="302">
        <f t="shared" si="65"/>
        <v>129454.02</v>
      </c>
      <c r="Z380" s="302"/>
      <c r="AA380" s="302">
        <f t="shared" si="65"/>
        <v>129237.08000000002</v>
      </c>
      <c r="AB380" s="302"/>
      <c r="AC380" s="302">
        <f t="shared" si="65"/>
        <v>126196.29000000001</v>
      </c>
      <c r="AD380" s="127">
        <f t="shared" si="61"/>
        <v>1668782.83</v>
      </c>
    </row>
    <row r="381" spans="1:31" x14ac:dyDescent="0.25">
      <c r="A381" s="1">
        <v>378</v>
      </c>
      <c r="B381" s="19" t="s">
        <v>31</v>
      </c>
      <c r="F381" s="98"/>
      <c r="G381" s="550">
        <v>666979</v>
      </c>
      <c r="H381" s="550"/>
      <c r="I381" s="551">
        <v>134611</v>
      </c>
      <c r="J381" s="551"/>
      <c r="K381" s="550">
        <v>681953</v>
      </c>
      <c r="L381" s="550"/>
      <c r="M381" s="550">
        <v>187639</v>
      </c>
      <c r="N381" s="550"/>
      <c r="O381" s="550">
        <v>182521</v>
      </c>
      <c r="P381" s="550"/>
      <c r="Q381" s="550">
        <v>319311</v>
      </c>
      <c r="R381" s="550"/>
      <c r="S381" s="552">
        <v>986358</v>
      </c>
      <c r="T381" s="552"/>
      <c r="U381" s="550">
        <v>5205434</v>
      </c>
      <c r="V381" s="550"/>
      <c r="W381" s="98">
        <v>5293486</v>
      </c>
      <c r="X381" s="98"/>
      <c r="Y381" s="553">
        <v>2080893</v>
      </c>
      <c r="Z381" s="553"/>
      <c r="AA381" s="550">
        <v>2001543</v>
      </c>
      <c r="AB381" s="550"/>
      <c r="AC381" s="550">
        <v>33898</v>
      </c>
      <c r="AD381" s="98">
        <f t="shared" si="61"/>
        <v>17774626</v>
      </c>
    </row>
    <row r="382" spans="1:31" x14ac:dyDescent="0.25">
      <c r="A382" s="1">
        <v>379</v>
      </c>
      <c r="B382" s="19" t="s">
        <v>32</v>
      </c>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f t="shared" si="61"/>
        <v>0</v>
      </c>
    </row>
    <row r="383" spans="1:31" x14ac:dyDescent="0.25">
      <c r="A383" s="1">
        <v>380</v>
      </c>
      <c r="B383" s="19" t="s">
        <v>33</v>
      </c>
      <c r="F383" s="98"/>
      <c r="G383" s="550">
        <f>SUM(G381:G382)</f>
        <v>666979</v>
      </c>
      <c r="H383" s="550"/>
      <c r="I383" s="550">
        <f t="shared" ref="I383:AC383" si="66">SUM(I381:I382)</f>
        <v>134611</v>
      </c>
      <c r="J383" s="550"/>
      <c r="K383" s="550">
        <f t="shared" si="66"/>
        <v>681953</v>
      </c>
      <c r="L383" s="550"/>
      <c r="M383" s="550">
        <f t="shared" si="66"/>
        <v>187639</v>
      </c>
      <c r="N383" s="550"/>
      <c r="O383" s="550">
        <f t="shared" si="66"/>
        <v>182521</v>
      </c>
      <c r="P383" s="550"/>
      <c r="Q383" s="550">
        <f t="shared" si="66"/>
        <v>319311</v>
      </c>
      <c r="R383" s="550"/>
      <c r="S383" s="550">
        <f t="shared" si="66"/>
        <v>986358</v>
      </c>
      <c r="T383" s="550"/>
      <c r="U383" s="550">
        <f t="shared" si="66"/>
        <v>5205434</v>
      </c>
      <c r="V383" s="550"/>
      <c r="W383" s="550">
        <f t="shared" si="66"/>
        <v>5293486</v>
      </c>
      <c r="X383" s="550"/>
      <c r="Y383" s="550">
        <f t="shared" si="66"/>
        <v>2080893</v>
      </c>
      <c r="Z383" s="550"/>
      <c r="AA383" s="550">
        <f t="shared" si="66"/>
        <v>2001543</v>
      </c>
      <c r="AB383" s="550"/>
      <c r="AC383" s="550">
        <f t="shared" si="66"/>
        <v>33898</v>
      </c>
      <c r="AD383" s="98">
        <f t="shared" si="61"/>
        <v>17774626</v>
      </c>
    </row>
    <row r="384" spans="1:31" x14ac:dyDescent="0.25">
      <c r="A384" s="1">
        <v>381</v>
      </c>
      <c r="B384" s="19"/>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row>
    <row r="385" spans="1:31" x14ac:dyDescent="0.25">
      <c r="A385" s="1">
        <v>382</v>
      </c>
      <c r="B385" s="30" t="s">
        <v>173</v>
      </c>
    </row>
    <row r="386" spans="1:31" x14ac:dyDescent="0.25">
      <c r="A386" s="1">
        <v>383</v>
      </c>
      <c r="B386" s="33" t="s">
        <v>25</v>
      </c>
      <c r="G386" s="302">
        <v>500</v>
      </c>
      <c r="H386" s="183"/>
      <c r="I386" s="301">
        <v>500</v>
      </c>
      <c r="J386" s="315"/>
      <c r="K386" s="302">
        <v>500</v>
      </c>
      <c r="L386" s="183"/>
      <c r="M386" s="302">
        <v>500</v>
      </c>
      <c r="N386" s="183"/>
      <c r="O386" s="302">
        <v>500</v>
      </c>
      <c r="P386" s="183"/>
      <c r="Q386" s="302">
        <v>500</v>
      </c>
      <c r="R386" s="183"/>
      <c r="S386" s="303">
        <v>500</v>
      </c>
      <c r="T386" s="316"/>
      <c r="U386" s="302">
        <v>500</v>
      </c>
      <c r="V386" s="183"/>
      <c r="W386" s="127">
        <v>500</v>
      </c>
      <c r="Y386" s="307">
        <v>625</v>
      </c>
      <c r="Z386" s="319"/>
      <c r="AA386" s="302">
        <v>625</v>
      </c>
      <c r="AB386" s="183"/>
      <c r="AC386" s="302">
        <v>625</v>
      </c>
      <c r="AD386" s="127">
        <f t="shared" si="61"/>
        <v>6375</v>
      </c>
    </row>
    <row r="387" spans="1:31" x14ac:dyDescent="0.25">
      <c r="A387" s="1">
        <v>384</v>
      </c>
      <c r="B387" s="33" t="s">
        <v>229</v>
      </c>
      <c r="G387" s="302"/>
      <c r="H387" s="183"/>
      <c r="I387" s="301"/>
      <c r="J387" s="315"/>
      <c r="K387" s="302"/>
      <c r="L387" s="183"/>
      <c r="M387" s="302"/>
      <c r="N387" s="183"/>
      <c r="O387" s="302"/>
      <c r="P387" s="183"/>
      <c r="Q387" s="302"/>
      <c r="R387" s="183"/>
      <c r="S387" s="303"/>
      <c r="T387" s="316"/>
      <c r="U387" s="302"/>
      <c r="V387" s="183"/>
      <c r="W387" s="127">
        <v>20468.36</v>
      </c>
      <c r="Y387" s="307">
        <v>20468.36</v>
      </c>
      <c r="Z387" s="319"/>
      <c r="AA387" s="302">
        <v>20468.36</v>
      </c>
      <c r="AB387" s="183"/>
      <c r="AC387" s="302">
        <v>20468.36</v>
      </c>
      <c r="AD387" s="127">
        <f t="shared" si="61"/>
        <v>81873.440000000002</v>
      </c>
    </row>
    <row r="388" spans="1:31" x14ac:dyDescent="0.25">
      <c r="A388" s="1">
        <v>385</v>
      </c>
      <c r="B388" s="33" t="s">
        <v>191</v>
      </c>
      <c r="G388" s="302">
        <v>20215.64</v>
      </c>
      <c r="H388" s="183"/>
      <c r="I388" s="301">
        <v>20215.64</v>
      </c>
      <c r="J388" s="315"/>
      <c r="K388" s="302">
        <v>20215.64</v>
      </c>
      <c r="L388" s="183"/>
      <c r="M388" s="302">
        <v>20215.64</v>
      </c>
      <c r="N388" s="183"/>
      <c r="O388" s="302">
        <v>20215.64</v>
      </c>
      <c r="P388" s="183"/>
      <c r="Q388" s="302">
        <v>20215.64</v>
      </c>
      <c r="R388" s="183"/>
      <c r="S388" s="303">
        <v>20215.64</v>
      </c>
      <c r="T388" s="316"/>
      <c r="U388" s="302">
        <v>20215.64</v>
      </c>
      <c r="V388" s="183"/>
      <c r="AD388" s="127">
        <f t="shared" si="61"/>
        <v>161725.12</v>
      </c>
    </row>
    <row r="389" spans="1:31" x14ac:dyDescent="0.25">
      <c r="A389" s="1">
        <v>386</v>
      </c>
      <c r="B389" s="33" t="s">
        <v>25</v>
      </c>
      <c r="G389" s="302">
        <v>1468</v>
      </c>
      <c r="H389" s="183"/>
      <c r="I389" s="301">
        <v>1428.01</v>
      </c>
      <c r="J389" s="315"/>
      <c r="K389" s="302">
        <v>1297.92</v>
      </c>
      <c r="L389" s="183"/>
      <c r="M389" s="302">
        <v>1339.74</v>
      </c>
      <c r="N389" s="183"/>
      <c r="O389" s="302">
        <v>1192.45</v>
      </c>
      <c r="P389" s="183"/>
      <c r="Q389" s="302">
        <v>1006.46</v>
      </c>
      <c r="R389" s="183"/>
      <c r="S389" s="303">
        <v>700.48</v>
      </c>
      <c r="T389" s="316"/>
      <c r="U389" s="302">
        <v>1237.68</v>
      </c>
      <c r="V389" s="183"/>
      <c r="W389" s="127">
        <v>813.89</v>
      </c>
      <c r="AD389" s="127">
        <f t="shared" si="61"/>
        <v>10484.629999999999</v>
      </c>
    </row>
    <row r="390" spans="1:31" x14ac:dyDescent="0.25">
      <c r="A390" s="1">
        <v>387</v>
      </c>
      <c r="B390" s="33" t="s">
        <v>192</v>
      </c>
      <c r="G390" s="302"/>
      <c r="H390" s="183"/>
      <c r="I390" s="301"/>
      <c r="J390" s="315"/>
      <c r="K390" s="302"/>
      <c r="L390" s="183"/>
      <c r="M390" s="302"/>
      <c r="N390" s="183"/>
      <c r="O390" s="302"/>
      <c r="P390" s="183"/>
      <c r="Q390" s="302"/>
      <c r="R390" s="183"/>
      <c r="S390" s="303"/>
      <c r="T390" s="316"/>
      <c r="U390" s="302"/>
      <c r="V390" s="183"/>
      <c r="Y390" s="307">
        <v>1274.49</v>
      </c>
      <c r="Z390" s="319"/>
      <c r="AA390" s="302">
        <v>2632.83</v>
      </c>
      <c r="AB390" s="183"/>
      <c r="AC390" s="302">
        <v>2982.09</v>
      </c>
      <c r="AD390" s="127">
        <f t="shared" si="61"/>
        <v>6889.41</v>
      </c>
    </row>
    <row r="391" spans="1:31" x14ac:dyDescent="0.25">
      <c r="A391" s="1">
        <v>388</v>
      </c>
      <c r="B391" s="33" t="s">
        <v>213</v>
      </c>
      <c r="G391" s="302">
        <v>108814.28</v>
      </c>
      <c r="H391" s="183"/>
      <c r="I391" s="301">
        <v>105849.58</v>
      </c>
      <c r="J391" s="315"/>
      <c r="K391" s="302">
        <v>96206.73</v>
      </c>
      <c r="L391" s="183"/>
      <c r="M391" s="302">
        <v>99306.78</v>
      </c>
      <c r="N391" s="183"/>
      <c r="O391" s="302">
        <v>88389.45</v>
      </c>
      <c r="P391" s="183"/>
      <c r="Q391" s="302">
        <v>74602.509999999995</v>
      </c>
      <c r="R391" s="183"/>
      <c r="S391" s="303">
        <v>51922.53</v>
      </c>
      <c r="T391" s="316"/>
      <c r="U391" s="302">
        <v>91741.94</v>
      </c>
      <c r="V391" s="183"/>
      <c r="W391" s="127">
        <v>61082.49</v>
      </c>
      <c r="Y391" s="307">
        <v>47825.56</v>
      </c>
      <c r="Z391" s="319"/>
      <c r="AA391" s="302">
        <v>98797.69</v>
      </c>
      <c r="AB391" s="183"/>
      <c r="AC391" s="302">
        <v>111903.66</v>
      </c>
      <c r="AD391" s="127">
        <f t="shared" si="61"/>
        <v>1036443.2000000001</v>
      </c>
    </row>
    <row r="392" spans="1:31" x14ac:dyDescent="0.25">
      <c r="A392" s="1">
        <v>389</v>
      </c>
      <c r="B392" s="33" t="s">
        <v>20</v>
      </c>
      <c r="G392" s="302">
        <v>5854.3</v>
      </c>
      <c r="H392" s="183"/>
      <c r="I392" s="301">
        <v>5720.02</v>
      </c>
      <c r="J392" s="315"/>
      <c r="K392" s="302">
        <v>5283.26</v>
      </c>
      <c r="L392" s="183"/>
      <c r="M392" s="302">
        <v>5423.67</v>
      </c>
      <c r="N392" s="183"/>
      <c r="O392" s="302">
        <v>4929.2</v>
      </c>
      <c r="P392" s="183"/>
      <c r="Q392" s="302">
        <v>4304.75</v>
      </c>
      <c r="R392" s="183"/>
      <c r="S392" s="303">
        <v>3277.5</v>
      </c>
      <c r="T392" s="316"/>
      <c r="U392" s="302">
        <v>5081.04</v>
      </c>
      <c r="V392" s="183"/>
      <c r="W392" s="127">
        <v>3671.74</v>
      </c>
      <c r="Y392" s="307">
        <v>3110.27</v>
      </c>
      <c r="Z392" s="319"/>
      <c r="AA392" s="302">
        <v>5429.03</v>
      </c>
      <c r="AB392" s="183"/>
      <c r="AC392" s="302">
        <v>6025.23</v>
      </c>
      <c r="AD392" s="127">
        <f t="shared" si="61"/>
        <v>58110.009999999995</v>
      </c>
    </row>
    <row r="393" spans="1:31" x14ac:dyDescent="0.25">
      <c r="A393" s="1">
        <v>390</v>
      </c>
      <c r="B393" s="33" t="s">
        <v>29</v>
      </c>
      <c r="G393" s="302"/>
      <c r="H393" s="183"/>
      <c r="I393" s="301"/>
      <c r="J393" s="315"/>
      <c r="K393" s="302"/>
      <c r="L393" s="183"/>
      <c r="M393" s="302"/>
      <c r="N393" s="183"/>
      <c r="O393" s="302"/>
      <c r="P393" s="183"/>
      <c r="Q393" s="302"/>
      <c r="R393" s="183"/>
      <c r="S393" s="303"/>
      <c r="T393" s="316"/>
      <c r="U393" s="302"/>
      <c r="V393" s="183"/>
      <c r="W393" s="127">
        <v>980.49</v>
      </c>
      <c r="AD393" s="127">
        <f t="shared" si="61"/>
        <v>980.49</v>
      </c>
    </row>
    <row r="394" spans="1:31" x14ac:dyDescent="0.25">
      <c r="A394" s="1">
        <v>391</v>
      </c>
      <c r="B394" s="19" t="s">
        <v>30</v>
      </c>
      <c r="G394" s="302">
        <f>SUM(G386:G393)</f>
        <v>136852.22</v>
      </c>
      <c r="H394" s="302"/>
      <c r="I394" s="302">
        <f t="shared" ref="I394:AC394" si="67">SUM(I386:I393)</f>
        <v>133713.25</v>
      </c>
      <c r="J394" s="302"/>
      <c r="K394" s="302">
        <f t="shared" si="67"/>
        <v>123503.54999999999</v>
      </c>
      <c r="L394" s="302"/>
      <c r="M394" s="302">
        <f t="shared" si="67"/>
        <v>126785.83</v>
      </c>
      <c r="N394" s="302"/>
      <c r="O394" s="302">
        <f t="shared" si="67"/>
        <v>115226.73999999999</v>
      </c>
      <c r="P394" s="302"/>
      <c r="Q394" s="302">
        <f t="shared" si="67"/>
        <v>100629.35999999999</v>
      </c>
      <c r="R394" s="302"/>
      <c r="S394" s="302">
        <f t="shared" si="67"/>
        <v>76616.149999999994</v>
      </c>
      <c r="T394" s="302"/>
      <c r="U394" s="302">
        <f t="shared" si="67"/>
        <v>118776.3</v>
      </c>
      <c r="V394" s="302"/>
      <c r="W394" s="302">
        <f t="shared" si="67"/>
        <v>87516.97</v>
      </c>
      <c r="X394" s="302"/>
      <c r="Y394" s="302">
        <f t="shared" si="67"/>
        <v>73303.680000000008</v>
      </c>
      <c r="Z394" s="302"/>
      <c r="AA394" s="302">
        <f t="shared" si="67"/>
        <v>127952.91</v>
      </c>
      <c r="AB394" s="302"/>
      <c r="AC394" s="302">
        <f t="shared" si="67"/>
        <v>142004.34000000003</v>
      </c>
      <c r="AD394" s="127">
        <f t="shared" si="61"/>
        <v>1362881.3</v>
      </c>
    </row>
    <row r="395" spans="1:31" x14ac:dyDescent="0.25">
      <c r="A395" s="1">
        <v>392</v>
      </c>
      <c r="B395" s="18" t="s">
        <v>31</v>
      </c>
      <c r="F395" s="98"/>
      <c r="G395" s="550">
        <v>7340017</v>
      </c>
      <c r="H395" s="550"/>
      <c r="I395" s="551">
        <v>7140034</v>
      </c>
      <c r="J395" s="551"/>
      <c r="K395" s="550">
        <v>6489580</v>
      </c>
      <c r="L395" s="550"/>
      <c r="M395" s="550">
        <v>6698693</v>
      </c>
      <c r="N395" s="550"/>
      <c r="O395" s="550">
        <v>5962269</v>
      </c>
      <c r="P395" s="550"/>
      <c r="Q395" s="550">
        <v>5032278</v>
      </c>
      <c r="R395" s="550"/>
      <c r="S395" s="552">
        <v>3502410</v>
      </c>
      <c r="T395" s="552"/>
      <c r="U395" s="550">
        <v>6188410</v>
      </c>
      <c r="V395" s="550"/>
      <c r="W395" s="98">
        <v>4069426</v>
      </c>
      <c r="X395" s="98"/>
      <c r="Y395" s="553">
        <v>3186225</v>
      </c>
      <c r="Z395" s="553"/>
      <c r="AA395" s="550">
        <v>6582081</v>
      </c>
      <c r="AB395" s="550"/>
      <c r="AC395" s="550">
        <v>7455224</v>
      </c>
      <c r="AD395" s="98">
        <f t="shared" si="61"/>
        <v>69646647</v>
      </c>
      <c r="AE395" s="98"/>
    </row>
    <row r="396" spans="1:31" x14ac:dyDescent="0.25">
      <c r="A396" s="1">
        <v>393</v>
      </c>
      <c r="B396" s="19" t="s">
        <v>32</v>
      </c>
      <c r="F396" s="98"/>
      <c r="G396" s="98"/>
      <c r="H396" s="98"/>
      <c r="I396" s="98"/>
      <c r="J396" s="98"/>
      <c r="K396" s="98"/>
      <c r="L396" s="98"/>
      <c r="M396" s="98"/>
      <c r="N396" s="98"/>
      <c r="O396" s="98"/>
      <c r="P396" s="98"/>
      <c r="Q396" s="98"/>
      <c r="R396" s="98"/>
      <c r="S396" s="552"/>
      <c r="T396" s="552"/>
      <c r="U396" s="550"/>
      <c r="V396" s="550"/>
      <c r="W396" s="98"/>
      <c r="X396" s="98"/>
      <c r="Y396" s="553"/>
      <c r="Z396" s="553"/>
      <c r="AA396" s="550"/>
      <c r="AB396" s="550"/>
      <c r="AC396" s="550"/>
      <c r="AD396" s="98">
        <f t="shared" si="61"/>
        <v>0</v>
      </c>
      <c r="AE396" s="98"/>
    </row>
    <row r="397" spans="1:31" x14ac:dyDescent="0.25">
      <c r="A397" s="1">
        <v>394</v>
      </c>
      <c r="B397" s="19" t="s">
        <v>33</v>
      </c>
      <c r="F397" s="98"/>
      <c r="G397" s="550">
        <f>SUM(G395:G396)</f>
        <v>7340017</v>
      </c>
      <c r="H397" s="550"/>
      <c r="I397" s="550">
        <f t="shared" ref="I397:AC397" si="68">SUM(I395:I396)</f>
        <v>7140034</v>
      </c>
      <c r="J397" s="550"/>
      <c r="K397" s="550">
        <f t="shared" si="68"/>
        <v>6489580</v>
      </c>
      <c r="L397" s="550"/>
      <c r="M397" s="550">
        <f t="shared" si="68"/>
        <v>6698693</v>
      </c>
      <c r="N397" s="550"/>
      <c r="O397" s="550">
        <f t="shared" si="68"/>
        <v>5962269</v>
      </c>
      <c r="P397" s="550"/>
      <c r="Q397" s="550">
        <f t="shared" si="68"/>
        <v>5032278</v>
      </c>
      <c r="R397" s="550"/>
      <c r="S397" s="550">
        <f t="shared" si="68"/>
        <v>3502410</v>
      </c>
      <c r="T397" s="550"/>
      <c r="U397" s="550">
        <f t="shared" si="68"/>
        <v>6188410</v>
      </c>
      <c r="V397" s="550"/>
      <c r="W397" s="550">
        <f t="shared" si="68"/>
        <v>4069426</v>
      </c>
      <c r="X397" s="550"/>
      <c r="Y397" s="550">
        <f t="shared" si="68"/>
        <v>3186225</v>
      </c>
      <c r="Z397" s="550"/>
      <c r="AA397" s="550">
        <f t="shared" si="68"/>
        <v>6582081</v>
      </c>
      <c r="AB397" s="550"/>
      <c r="AC397" s="550">
        <f t="shared" si="68"/>
        <v>7455224</v>
      </c>
      <c r="AD397" s="98">
        <f t="shared" si="61"/>
        <v>69646647</v>
      </c>
      <c r="AE397" s="98"/>
    </row>
    <row r="398" spans="1:31" x14ac:dyDescent="0.25">
      <c r="A398" s="1">
        <v>395</v>
      </c>
      <c r="B398" s="19"/>
    </row>
    <row r="399" spans="1:31" x14ac:dyDescent="0.25">
      <c r="A399" s="1">
        <v>396</v>
      </c>
      <c r="B399" s="30" t="s">
        <v>21</v>
      </c>
    </row>
    <row r="400" spans="1:31" x14ac:dyDescent="0.25">
      <c r="A400" s="1">
        <v>397</v>
      </c>
      <c r="B400" s="19" t="s">
        <v>25</v>
      </c>
      <c r="G400" s="302">
        <v>500</v>
      </c>
      <c r="H400" s="183"/>
      <c r="I400" s="301">
        <v>500</v>
      </c>
      <c r="J400" s="315"/>
      <c r="K400" s="302">
        <v>500</v>
      </c>
      <c r="L400" s="183"/>
      <c r="M400" s="302">
        <v>500</v>
      </c>
      <c r="N400" s="183"/>
      <c r="O400" s="302">
        <v>500</v>
      </c>
      <c r="P400" s="183"/>
      <c r="Q400" s="302">
        <v>500</v>
      </c>
      <c r="R400" s="183"/>
      <c r="S400" s="303">
        <v>500</v>
      </c>
      <c r="T400" s="316"/>
      <c r="U400" s="302">
        <v>500</v>
      </c>
      <c r="V400" s="183"/>
      <c r="W400" s="302">
        <v>500</v>
      </c>
      <c r="X400" s="183"/>
      <c r="Y400" s="307">
        <v>625</v>
      </c>
      <c r="Z400" s="319"/>
      <c r="AA400" s="302">
        <v>625</v>
      </c>
      <c r="AB400" s="183"/>
      <c r="AC400" s="302">
        <v>625</v>
      </c>
      <c r="AD400" s="127">
        <f t="shared" si="61"/>
        <v>6375</v>
      </c>
    </row>
    <row r="401" spans="1:31" x14ac:dyDescent="0.25">
      <c r="A401" s="1">
        <v>398</v>
      </c>
      <c r="B401" s="19" t="s">
        <v>229</v>
      </c>
      <c r="G401" s="302"/>
      <c r="H401" s="183"/>
      <c r="I401" s="301"/>
      <c r="J401" s="315"/>
      <c r="K401" s="302"/>
      <c r="L401" s="183"/>
      <c r="M401" s="302"/>
      <c r="N401" s="183"/>
      <c r="O401" s="302"/>
      <c r="P401" s="183"/>
      <c r="Q401" s="302"/>
      <c r="R401" s="183"/>
      <c r="S401" s="303"/>
      <c r="T401" s="316"/>
      <c r="U401" s="302">
        <v>14541.22</v>
      </c>
      <c r="V401" s="183"/>
      <c r="W401" s="302">
        <v>14541.22</v>
      </c>
      <c r="X401" s="183"/>
      <c r="Y401" s="307">
        <v>14541.22</v>
      </c>
      <c r="Z401" s="319"/>
      <c r="AA401" s="302">
        <v>14541.22</v>
      </c>
      <c r="AB401" s="183"/>
      <c r="AC401" s="302">
        <v>14541.22</v>
      </c>
      <c r="AD401" s="127">
        <f t="shared" si="61"/>
        <v>72706.099999999991</v>
      </c>
    </row>
    <row r="402" spans="1:31" x14ac:dyDescent="0.25">
      <c r="A402" s="1">
        <v>399</v>
      </c>
      <c r="B402" s="19" t="s">
        <v>191</v>
      </c>
      <c r="G402" s="302">
        <v>14368.8</v>
      </c>
      <c r="H402" s="183"/>
      <c r="I402" s="301">
        <v>14368.8</v>
      </c>
      <c r="J402" s="315"/>
      <c r="K402" s="302">
        <v>14368.8</v>
      </c>
      <c r="L402" s="183"/>
      <c r="M402" s="302">
        <v>14368.8</v>
      </c>
      <c r="N402" s="183"/>
      <c r="O402" s="302">
        <v>14368.8</v>
      </c>
      <c r="P402" s="183"/>
      <c r="Q402" s="302">
        <v>14368.8</v>
      </c>
      <c r="R402" s="183"/>
      <c r="S402" s="303">
        <v>14368.8</v>
      </c>
      <c r="T402" s="316"/>
      <c r="AD402" s="127">
        <f t="shared" si="61"/>
        <v>100581.6</v>
      </c>
    </row>
    <row r="403" spans="1:31" x14ac:dyDescent="0.25">
      <c r="A403" s="1">
        <v>400</v>
      </c>
      <c r="B403" s="19" t="s">
        <v>25</v>
      </c>
      <c r="G403" s="302">
        <v>451.79</v>
      </c>
      <c r="H403" s="183"/>
      <c r="K403" s="302">
        <v>266.73</v>
      </c>
      <c r="L403" s="183"/>
      <c r="M403" s="302">
        <v>81.540000000000006</v>
      </c>
      <c r="N403" s="183"/>
      <c r="Q403" s="302">
        <v>140.56</v>
      </c>
      <c r="R403" s="183"/>
      <c r="S403" s="303">
        <v>322</v>
      </c>
      <c r="T403" s="316"/>
      <c r="U403" s="302">
        <v>1338.41</v>
      </c>
      <c r="V403" s="183"/>
      <c r="W403" s="127">
        <v>1311.7</v>
      </c>
      <c r="AD403" s="127">
        <f t="shared" si="61"/>
        <v>3912.7299999999996</v>
      </c>
    </row>
    <row r="404" spans="1:31" x14ac:dyDescent="0.25">
      <c r="A404" s="1">
        <v>401</v>
      </c>
      <c r="B404" s="19" t="s">
        <v>192</v>
      </c>
      <c r="G404" s="302"/>
      <c r="H404" s="183"/>
      <c r="K404" s="302"/>
      <c r="L404" s="183"/>
      <c r="M404" s="302"/>
      <c r="N404" s="183"/>
      <c r="Q404" s="302"/>
      <c r="R404" s="183"/>
      <c r="S404" s="303"/>
      <c r="T404" s="316"/>
      <c r="U404" s="302"/>
      <c r="V404" s="183"/>
      <c r="AC404" s="302">
        <v>156.92000000000002</v>
      </c>
      <c r="AD404" s="127">
        <f t="shared" si="61"/>
        <v>156.92000000000002</v>
      </c>
    </row>
    <row r="405" spans="1:31" x14ac:dyDescent="0.25">
      <c r="A405" s="1">
        <v>402</v>
      </c>
      <c r="B405" s="19" t="s">
        <v>213</v>
      </c>
      <c r="G405" s="302">
        <v>32458.49</v>
      </c>
      <c r="H405" s="183"/>
      <c r="K405" s="302">
        <v>19162.84</v>
      </c>
      <c r="L405" s="183"/>
      <c r="M405" s="302">
        <v>5858.15</v>
      </c>
      <c r="N405" s="183"/>
      <c r="Q405" s="302">
        <v>10098.69</v>
      </c>
      <c r="R405" s="183"/>
      <c r="S405" s="303">
        <v>23134.06</v>
      </c>
      <c r="T405" s="316"/>
      <c r="U405" s="302">
        <v>97310.34</v>
      </c>
      <c r="V405" s="183"/>
      <c r="W405" s="127">
        <v>95368.27</v>
      </c>
      <c r="AC405" s="302">
        <v>5704.51</v>
      </c>
      <c r="AD405" s="127">
        <f t="shared" si="61"/>
        <v>289095.35000000003</v>
      </c>
    </row>
    <row r="406" spans="1:31" x14ac:dyDescent="0.25">
      <c r="A406" s="1">
        <v>403</v>
      </c>
      <c r="B406" s="19" t="s">
        <v>20</v>
      </c>
      <c r="G406" s="302">
        <v>2135.25</v>
      </c>
      <c r="H406" s="183"/>
      <c r="I406" s="301">
        <v>664.49</v>
      </c>
      <c r="J406" s="315"/>
      <c r="K406" s="302">
        <v>1532.79</v>
      </c>
      <c r="L406" s="183"/>
      <c r="M406" s="302">
        <v>929.93</v>
      </c>
      <c r="N406" s="183"/>
      <c r="O406" s="302">
        <v>664.49</v>
      </c>
      <c r="P406" s="183"/>
      <c r="Q406" s="302">
        <v>1122.08</v>
      </c>
      <c r="R406" s="183"/>
      <c r="S406" s="303">
        <v>1712.74</v>
      </c>
      <c r="T406" s="316"/>
      <c r="U406" s="302">
        <v>5080.8</v>
      </c>
      <c r="V406" s="183"/>
      <c r="W406" s="127">
        <v>4950.37</v>
      </c>
      <c r="Y406" s="307">
        <v>672.02</v>
      </c>
      <c r="Z406" s="319"/>
      <c r="AA406" s="302">
        <v>672.02</v>
      </c>
      <c r="AB406" s="183"/>
      <c r="AC406" s="302">
        <v>931.74</v>
      </c>
      <c r="AD406" s="127">
        <f t="shared" si="61"/>
        <v>21068.720000000001</v>
      </c>
    </row>
    <row r="407" spans="1:31" x14ac:dyDescent="0.25">
      <c r="A407" s="1">
        <v>404</v>
      </c>
      <c r="B407" s="19" t="s">
        <v>144</v>
      </c>
      <c r="G407" s="302">
        <v>3186.03</v>
      </c>
      <c r="H407" s="183"/>
      <c r="I407" s="301">
        <v>991.49</v>
      </c>
      <c r="J407" s="315"/>
      <c r="K407" s="302">
        <v>2287.1</v>
      </c>
      <c r="L407" s="183"/>
      <c r="M407" s="302">
        <v>1387.56</v>
      </c>
      <c r="N407" s="183"/>
      <c r="O407" s="302">
        <v>991.49</v>
      </c>
      <c r="P407" s="183"/>
      <c r="Q407" s="302">
        <v>1674.27</v>
      </c>
      <c r="R407" s="183"/>
      <c r="S407" s="303">
        <v>2555.6</v>
      </c>
      <c r="T407" s="316"/>
      <c r="U407" s="302">
        <v>7581.14</v>
      </c>
      <c r="V407" s="183"/>
      <c r="W407" s="127">
        <v>7447.15</v>
      </c>
      <c r="Y407" s="307">
        <v>1010.95</v>
      </c>
      <c r="Z407" s="319"/>
      <c r="AA407" s="302">
        <v>1010.95</v>
      </c>
      <c r="AB407" s="183"/>
      <c r="AC407" s="302">
        <v>1401.67</v>
      </c>
      <c r="AD407" s="127">
        <f t="shared" si="61"/>
        <v>31525.4</v>
      </c>
    </row>
    <row r="408" spans="1:31" x14ac:dyDescent="0.25">
      <c r="A408" s="1">
        <v>405</v>
      </c>
      <c r="B408" s="19" t="s">
        <v>29</v>
      </c>
      <c r="G408" s="302"/>
      <c r="H408" s="183"/>
      <c r="I408" s="301"/>
      <c r="J408" s="315"/>
      <c r="K408" s="302"/>
      <c r="L408" s="183"/>
      <c r="M408" s="302"/>
      <c r="N408" s="183"/>
      <c r="O408" s="302"/>
      <c r="P408" s="183"/>
      <c r="Q408" s="302"/>
      <c r="R408" s="183"/>
      <c r="S408" s="303"/>
      <c r="T408" s="316"/>
      <c r="U408" s="302"/>
      <c r="V408" s="183"/>
      <c r="W408" s="127">
        <v>1596.13</v>
      </c>
      <c r="AD408" s="127">
        <f t="shared" si="61"/>
        <v>1596.13</v>
      </c>
    </row>
    <row r="409" spans="1:31" x14ac:dyDescent="0.25">
      <c r="A409" s="1">
        <v>406</v>
      </c>
      <c r="B409" s="19" t="s">
        <v>30</v>
      </c>
      <c r="G409" s="302">
        <f>SUM(G400:G408)</f>
        <v>53100.36</v>
      </c>
      <c r="H409" s="302"/>
      <c r="I409" s="302">
        <f t="shared" ref="I409:AC409" si="69">SUM(I400:I408)</f>
        <v>16524.78</v>
      </c>
      <c r="J409" s="302"/>
      <c r="K409" s="302">
        <f t="shared" si="69"/>
        <v>38118.259999999995</v>
      </c>
      <c r="L409" s="302"/>
      <c r="M409" s="302">
        <f t="shared" si="69"/>
        <v>23125.98</v>
      </c>
      <c r="N409" s="302"/>
      <c r="O409" s="302">
        <f t="shared" si="69"/>
        <v>16524.78</v>
      </c>
      <c r="P409" s="302"/>
      <c r="Q409" s="302">
        <f t="shared" si="69"/>
        <v>27904.399999999998</v>
      </c>
      <c r="R409" s="302"/>
      <c r="S409" s="302">
        <f t="shared" si="69"/>
        <v>42593.2</v>
      </c>
      <c r="T409" s="302"/>
      <c r="U409" s="302">
        <f t="shared" si="69"/>
        <v>126351.91</v>
      </c>
      <c r="V409" s="302"/>
      <c r="W409" s="302">
        <f t="shared" si="69"/>
        <v>125714.84</v>
      </c>
      <c r="X409" s="302"/>
      <c r="Y409" s="302">
        <f t="shared" si="69"/>
        <v>16849.189999999999</v>
      </c>
      <c r="Z409" s="302"/>
      <c r="AA409" s="302">
        <f t="shared" si="69"/>
        <v>16849.189999999999</v>
      </c>
      <c r="AB409" s="302"/>
      <c r="AC409" s="302">
        <f t="shared" si="69"/>
        <v>23361.060000000005</v>
      </c>
      <c r="AD409" s="127">
        <f t="shared" ref="AD409:AD457" si="70">SUM(G409:AC409)</f>
        <v>527017.94999999995</v>
      </c>
    </row>
    <row r="410" spans="1:31" x14ac:dyDescent="0.25">
      <c r="A410" s="1">
        <v>407</v>
      </c>
      <c r="B410" s="19" t="s">
        <v>31</v>
      </c>
      <c r="F410" s="98"/>
      <c r="G410" s="550">
        <v>2258956</v>
      </c>
      <c r="H410" s="550"/>
      <c r="I410" s="98"/>
      <c r="J410" s="98"/>
      <c r="K410" s="550">
        <v>1333642</v>
      </c>
      <c r="L410" s="550"/>
      <c r="M410" s="550">
        <v>407699</v>
      </c>
      <c r="N410" s="550"/>
      <c r="O410" s="98"/>
      <c r="P410" s="98"/>
      <c r="Q410" s="550">
        <v>702821</v>
      </c>
      <c r="R410" s="550"/>
      <c r="S410" s="552">
        <v>1610020</v>
      </c>
      <c r="T410" s="552"/>
      <c r="U410" s="550">
        <v>6692043</v>
      </c>
      <c r="V410" s="550"/>
      <c r="W410" s="98">
        <v>6558487</v>
      </c>
      <c r="X410" s="98"/>
      <c r="Y410" s="98"/>
      <c r="Z410" s="98"/>
      <c r="AA410" s="98"/>
      <c r="AB410" s="98"/>
      <c r="AC410" s="550">
        <v>392300</v>
      </c>
      <c r="AD410" s="98">
        <f t="shared" si="70"/>
        <v>19955968</v>
      </c>
      <c r="AE410" s="98"/>
    </row>
    <row r="411" spans="1:31" x14ac:dyDescent="0.25">
      <c r="A411" s="1">
        <v>408</v>
      </c>
      <c r="B411" s="19" t="s">
        <v>32</v>
      </c>
      <c r="F411" s="98"/>
      <c r="G411" s="98"/>
      <c r="H411" s="98"/>
      <c r="I411" s="98"/>
      <c r="J411" s="98"/>
      <c r="K411" s="98"/>
      <c r="L411" s="98"/>
      <c r="M411" s="98"/>
      <c r="N411" s="98"/>
      <c r="O411" s="98"/>
      <c r="P411" s="98"/>
      <c r="Q411" s="98"/>
      <c r="R411" s="98"/>
      <c r="S411" s="552"/>
      <c r="T411" s="552"/>
      <c r="U411" s="550"/>
      <c r="V411" s="550"/>
      <c r="W411" s="98"/>
      <c r="X411" s="98"/>
      <c r="Y411" s="98"/>
      <c r="Z411" s="98"/>
      <c r="AA411" s="98"/>
      <c r="AB411" s="98"/>
      <c r="AC411" s="98"/>
      <c r="AD411" s="98">
        <f t="shared" si="70"/>
        <v>0</v>
      </c>
      <c r="AE411" s="98"/>
    </row>
    <row r="412" spans="1:31" x14ac:dyDescent="0.25">
      <c r="A412" s="1">
        <v>409</v>
      </c>
      <c r="B412" s="18" t="s">
        <v>33</v>
      </c>
      <c r="F412" s="98"/>
      <c r="G412" s="550">
        <f>SUM(G410:G411)</f>
        <v>2258956</v>
      </c>
      <c r="H412" s="550"/>
      <c r="I412" s="550">
        <f t="shared" ref="I412:AC412" si="71">SUM(I410:I411)</f>
        <v>0</v>
      </c>
      <c r="J412" s="550"/>
      <c r="K412" s="550">
        <f t="shared" si="71"/>
        <v>1333642</v>
      </c>
      <c r="L412" s="550"/>
      <c r="M412" s="550">
        <f t="shared" si="71"/>
        <v>407699</v>
      </c>
      <c r="N412" s="550"/>
      <c r="O412" s="550">
        <f t="shared" si="71"/>
        <v>0</v>
      </c>
      <c r="P412" s="550"/>
      <c r="Q412" s="550">
        <f t="shared" si="71"/>
        <v>702821</v>
      </c>
      <c r="R412" s="550"/>
      <c r="S412" s="550">
        <f t="shared" si="71"/>
        <v>1610020</v>
      </c>
      <c r="T412" s="550"/>
      <c r="U412" s="550">
        <f t="shared" si="71"/>
        <v>6692043</v>
      </c>
      <c r="V412" s="550"/>
      <c r="W412" s="550">
        <f t="shared" si="71"/>
        <v>6558487</v>
      </c>
      <c r="X412" s="550"/>
      <c r="Y412" s="550">
        <f t="shared" si="71"/>
        <v>0</v>
      </c>
      <c r="Z412" s="550"/>
      <c r="AA412" s="550">
        <f t="shared" si="71"/>
        <v>0</v>
      </c>
      <c r="AB412" s="550"/>
      <c r="AC412" s="550">
        <f t="shared" si="71"/>
        <v>392300</v>
      </c>
      <c r="AD412" s="98">
        <f t="shared" si="70"/>
        <v>19955968</v>
      </c>
      <c r="AE412" s="98"/>
    </row>
    <row r="413" spans="1:31" x14ac:dyDescent="0.25">
      <c r="A413" s="1">
        <v>410</v>
      </c>
      <c r="B413" s="19"/>
    </row>
    <row r="414" spans="1:31" x14ac:dyDescent="0.25">
      <c r="A414" s="1">
        <v>411</v>
      </c>
      <c r="B414" s="30" t="s">
        <v>176</v>
      </c>
    </row>
    <row r="415" spans="1:31" x14ac:dyDescent="0.25">
      <c r="A415" s="1">
        <v>412</v>
      </c>
      <c r="B415" s="64" t="s">
        <v>25</v>
      </c>
      <c r="G415" s="302">
        <v>500</v>
      </c>
      <c r="H415" s="183"/>
      <c r="I415" s="301">
        <v>500</v>
      </c>
      <c r="J415" s="315"/>
      <c r="K415" s="302">
        <v>500</v>
      </c>
      <c r="L415" s="183"/>
      <c r="M415" s="302">
        <v>500</v>
      </c>
      <c r="N415" s="183"/>
      <c r="O415" s="302">
        <v>500</v>
      </c>
      <c r="P415" s="183"/>
      <c r="Q415" s="302">
        <v>500</v>
      </c>
      <c r="R415" s="183"/>
      <c r="S415" s="303">
        <v>500</v>
      </c>
      <c r="T415" s="316"/>
      <c r="U415" s="302">
        <v>500</v>
      </c>
      <c r="V415" s="183"/>
      <c r="W415" s="304">
        <v>500</v>
      </c>
      <c r="X415" s="317"/>
      <c r="Y415" s="127">
        <v>0</v>
      </c>
      <c r="AA415" s="127">
        <v>0</v>
      </c>
      <c r="AC415" s="127">
        <v>0</v>
      </c>
      <c r="AD415" s="127">
        <f t="shared" si="70"/>
        <v>4500</v>
      </c>
    </row>
    <row r="416" spans="1:31" x14ac:dyDescent="0.25">
      <c r="A416" s="1">
        <v>413</v>
      </c>
      <c r="B416" s="64" t="s">
        <v>191</v>
      </c>
      <c r="G416" s="302">
        <v>62100</v>
      </c>
      <c r="H416" s="183"/>
      <c r="I416" s="301">
        <v>62100</v>
      </c>
      <c r="J416" s="315"/>
      <c r="K416" s="302">
        <v>62100</v>
      </c>
      <c r="L416" s="183"/>
      <c r="M416" s="302">
        <v>62100</v>
      </c>
      <c r="N416" s="183"/>
      <c r="O416" s="302">
        <v>62100</v>
      </c>
      <c r="P416" s="183"/>
      <c r="Q416" s="302">
        <v>62100</v>
      </c>
      <c r="R416" s="183"/>
      <c r="S416" s="303">
        <v>62100</v>
      </c>
      <c r="T416" s="316"/>
      <c r="U416" s="302">
        <v>62100</v>
      </c>
      <c r="V416" s="183"/>
      <c r="W416" s="304">
        <v>62100</v>
      </c>
      <c r="X416" s="317"/>
      <c r="Y416" s="127">
        <v>0</v>
      </c>
      <c r="AA416" s="127">
        <v>0</v>
      </c>
      <c r="AC416" s="127">
        <v>0</v>
      </c>
      <c r="AD416" s="127">
        <f t="shared" si="70"/>
        <v>558900</v>
      </c>
    </row>
    <row r="417" spans="1:30" x14ac:dyDescent="0.25">
      <c r="A417" s="1">
        <v>414</v>
      </c>
      <c r="B417" s="64" t="s">
        <v>190</v>
      </c>
      <c r="G417" s="302">
        <v>-20872.5</v>
      </c>
      <c r="H417" s="183"/>
      <c r="I417" s="301">
        <v>-20872.5</v>
      </c>
      <c r="J417" s="315"/>
      <c r="K417" s="302">
        <v>-20872.5</v>
      </c>
      <c r="L417" s="183"/>
      <c r="M417" s="302">
        <v>-20872.5</v>
      </c>
      <c r="N417" s="183"/>
      <c r="O417" s="302">
        <v>-20872.5</v>
      </c>
      <c r="P417" s="183"/>
      <c r="Q417" s="302">
        <v>-20872.5</v>
      </c>
      <c r="R417" s="183"/>
      <c r="S417" s="303">
        <v>-20872.5</v>
      </c>
      <c r="T417" s="316"/>
      <c r="U417" s="302">
        <v>-20872.5</v>
      </c>
      <c r="V417" s="183"/>
      <c r="W417" s="304">
        <v>-20872.5</v>
      </c>
      <c r="X417" s="317"/>
      <c r="Y417" s="127">
        <v>0</v>
      </c>
      <c r="AA417" s="127">
        <v>0</v>
      </c>
      <c r="AC417" s="127">
        <v>0</v>
      </c>
      <c r="AD417" s="127">
        <f t="shared" si="70"/>
        <v>-187852.5</v>
      </c>
    </row>
    <row r="418" spans="1:30" x14ac:dyDescent="0.25">
      <c r="A418" s="1">
        <v>415</v>
      </c>
      <c r="B418" s="64" t="s">
        <v>20</v>
      </c>
      <c r="G418" s="302">
        <v>1864.8</v>
      </c>
      <c r="H418" s="183"/>
      <c r="I418" s="301">
        <v>1864.8</v>
      </c>
      <c r="J418" s="315"/>
      <c r="K418" s="302">
        <v>1864.8</v>
      </c>
      <c r="L418" s="183"/>
      <c r="M418" s="302">
        <v>1864.8</v>
      </c>
      <c r="N418" s="183"/>
      <c r="O418" s="302">
        <v>1864.8</v>
      </c>
      <c r="P418" s="183"/>
      <c r="Q418" s="302">
        <v>1864.8</v>
      </c>
      <c r="R418" s="183"/>
      <c r="S418" s="303">
        <v>1864.8</v>
      </c>
      <c r="T418" s="316"/>
      <c r="U418" s="302">
        <v>1864.8</v>
      </c>
      <c r="V418" s="183"/>
      <c r="W418" s="304">
        <v>1848.95</v>
      </c>
      <c r="X418" s="317"/>
      <c r="Y418" s="127">
        <v>0</v>
      </c>
      <c r="AA418" s="127">
        <v>0</v>
      </c>
      <c r="AC418" s="127">
        <v>0</v>
      </c>
      <c r="AD418" s="127">
        <f t="shared" si="70"/>
        <v>16767.349999999999</v>
      </c>
    </row>
    <row r="419" spans="1:30" x14ac:dyDescent="0.25">
      <c r="A419" s="1">
        <v>416</v>
      </c>
      <c r="B419" s="19" t="s">
        <v>29</v>
      </c>
      <c r="G419" s="302"/>
      <c r="H419" s="183"/>
      <c r="I419" s="301"/>
      <c r="J419" s="315"/>
      <c r="K419" s="302"/>
      <c r="L419" s="183"/>
      <c r="M419" s="302"/>
      <c r="N419" s="183"/>
      <c r="O419" s="302"/>
      <c r="P419" s="183"/>
      <c r="Q419" s="302"/>
      <c r="R419" s="183"/>
      <c r="S419" s="303"/>
      <c r="T419" s="316"/>
      <c r="U419" s="302"/>
      <c r="V419" s="183"/>
      <c r="W419" s="304">
        <v>130.53</v>
      </c>
      <c r="X419" s="317"/>
      <c r="Y419" s="127">
        <v>0</v>
      </c>
      <c r="AA419" s="127">
        <v>0</v>
      </c>
      <c r="AC419" s="127">
        <v>0</v>
      </c>
      <c r="AD419" s="127">
        <f t="shared" si="70"/>
        <v>130.53</v>
      </c>
    </row>
    <row r="420" spans="1:30" x14ac:dyDescent="0.25">
      <c r="A420" s="1">
        <v>417</v>
      </c>
      <c r="B420" s="64" t="s">
        <v>30</v>
      </c>
      <c r="G420" s="302">
        <f>SUM(G415:G419)</f>
        <v>43592.3</v>
      </c>
      <c r="H420" s="302"/>
      <c r="I420" s="302">
        <f t="shared" ref="I420:AC420" si="72">SUM(I415:I419)</f>
        <v>43592.3</v>
      </c>
      <c r="J420" s="302"/>
      <c r="K420" s="302">
        <f t="shared" si="72"/>
        <v>43592.3</v>
      </c>
      <c r="L420" s="302"/>
      <c r="M420" s="302">
        <f t="shared" si="72"/>
        <v>43592.3</v>
      </c>
      <c r="N420" s="302"/>
      <c r="O420" s="302">
        <f t="shared" si="72"/>
        <v>43592.3</v>
      </c>
      <c r="P420" s="302"/>
      <c r="Q420" s="302">
        <f t="shared" si="72"/>
        <v>43592.3</v>
      </c>
      <c r="R420" s="302"/>
      <c r="S420" s="302">
        <f t="shared" si="72"/>
        <v>43592.3</v>
      </c>
      <c r="T420" s="302"/>
      <c r="U420" s="302">
        <f t="shared" si="72"/>
        <v>43592.3</v>
      </c>
      <c r="V420" s="302"/>
      <c r="W420" s="302">
        <f t="shared" si="72"/>
        <v>43706.979999999996</v>
      </c>
      <c r="X420" s="302"/>
      <c r="Y420" s="302">
        <f t="shared" si="72"/>
        <v>0</v>
      </c>
      <c r="Z420" s="302"/>
      <c r="AA420" s="302">
        <f t="shared" si="72"/>
        <v>0</v>
      </c>
      <c r="AB420" s="302"/>
      <c r="AC420" s="302">
        <f t="shared" si="72"/>
        <v>0</v>
      </c>
      <c r="AD420" s="127">
        <f t="shared" si="70"/>
        <v>392445.37999999995</v>
      </c>
    </row>
    <row r="421" spans="1:30" x14ac:dyDescent="0.25">
      <c r="A421" s="1">
        <v>418</v>
      </c>
      <c r="B421" s="64" t="s">
        <v>31</v>
      </c>
      <c r="Y421" s="127">
        <v>0</v>
      </c>
      <c r="AA421" s="127">
        <v>0</v>
      </c>
      <c r="AC421" s="127">
        <v>0</v>
      </c>
      <c r="AD421" s="127">
        <f t="shared" si="70"/>
        <v>0</v>
      </c>
    </row>
    <row r="422" spans="1:30" x14ac:dyDescent="0.25">
      <c r="A422" s="1">
        <v>419</v>
      </c>
      <c r="B422" s="18" t="s">
        <v>32</v>
      </c>
      <c r="Y422" s="127">
        <v>0</v>
      </c>
      <c r="AA422" s="127">
        <v>0</v>
      </c>
      <c r="AC422" s="127">
        <v>0</v>
      </c>
      <c r="AD422" s="127">
        <f t="shared" si="70"/>
        <v>0</v>
      </c>
    </row>
    <row r="423" spans="1:30" x14ac:dyDescent="0.25">
      <c r="A423" s="1">
        <v>420</v>
      </c>
      <c r="B423" s="19" t="s">
        <v>33</v>
      </c>
      <c r="Y423" s="127">
        <v>0</v>
      </c>
      <c r="AA423" s="127">
        <v>0</v>
      </c>
      <c r="AC423" s="127">
        <v>0</v>
      </c>
      <c r="AD423" s="127">
        <f t="shared" si="70"/>
        <v>0</v>
      </c>
    </row>
    <row r="424" spans="1:30" x14ac:dyDescent="0.25">
      <c r="A424" s="1">
        <v>421</v>
      </c>
      <c r="B424" s="19"/>
    </row>
    <row r="425" spans="1:30" x14ac:dyDescent="0.25">
      <c r="A425" s="1">
        <v>422</v>
      </c>
      <c r="B425" s="30" t="s">
        <v>178</v>
      </c>
    </row>
    <row r="426" spans="1:30" x14ac:dyDescent="0.25">
      <c r="A426" s="1">
        <v>423</v>
      </c>
      <c r="B426" s="19" t="s">
        <v>25</v>
      </c>
      <c r="G426" s="302">
        <v>500</v>
      </c>
      <c r="H426" s="183"/>
      <c r="I426" s="301">
        <v>500</v>
      </c>
      <c r="J426" s="315"/>
      <c r="K426" s="302">
        <v>500</v>
      </c>
      <c r="L426" s="183"/>
      <c r="M426" s="302">
        <v>500</v>
      </c>
      <c r="N426" s="183"/>
      <c r="O426" s="302">
        <v>500</v>
      </c>
      <c r="P426" s="183"/>
      <c r="Q426" s="302">
        <v>500</v>
      </c>
      <c r="R426" s="183"/>
      <c r="S426" s="303">
        <v>500</v>
      </c>
      <c r="T426" s="316"/>
      <c r="U426" s="302">
        <v>500</v>
      </c>
      <c r="V426" s="183"/>
      <c r="W426" s="302">
        <v>500</v>
      </c>
      <c r="X426" s="183"/>
      <c r="Y426" s="307">
        <v>625</v>
      </c>
      <c r="Z426" s="319"/>
      <c r="AA426" s="302">
        <v>625</v>
      </c>
      <c r="AB426" s="183"/>
      <c r="AC426" s="302">
        <v>625</v>
      </c>
      <c r="AD426" s="127">
        <f t="shared" si="70"/>
        <v>6375</v>
      </c>
    </row>
    <row r="427" spans="1:30" x14ac:dyDescent="0.25">
      <c r="A427" s="1">
        <v>424</v>
      </c>
      <c r="B427" s="19" t="s">
        <v>25</v>
      </c>
      <c r="G427" s="302">
        <v>84.61</v>
      </c>
      <c r="H427" s="183"/>
      <c r="I427" s="301">
        <v>190.78</v>
      </c>
      <c r="J427" s="315"/>
      <c r="K427" s="302">
        <v>139.45000000000002</v>
      </c>
      <c r="L427" s="183"/>
      <c r="M427" s="302">
        <v>185.06</v>
      </c>
      <c r="N427" s="183"/>
      <c r="O427" s="302">
        <v>49.73</v>
      </c>
      <c r="P427" s="183"/>
      <c r="Q427" s="302">
        <v>352.19</v>
      </c>
      <c r="R427" s="183"/>
      <c r="S427" s="303">
        <v>170.23</v>
      </c>
      <c r="T427" s="316"/>
      <c r="U427" s="302">
        <v>284.33</v>
      </c>
      <c r="V427" s="183"/>
      <c r="W427" s="127">
        <v>255.15</v>
      </c>
      <c r="AD427" s="127">
        <f t="shared" si="70"/>
        <v>1711.5300000000002</v>
      </c>
    </row>
    <row r="428" spans="1:30" x14ac:dyDescent="0.25">
      <c r="A428" s="1">
        <v>425</v>
      </c>
      <c r="B428" s="19" t="s">
        <v>192</v>
      </c>
      <c r="G428" s="302"/>
      <c r="H428" s="183"/>
      <c r="I428" s="301"/>
      <c r="J428" s="315"/>
      <c r="K428" s="302"/>
      <c r="L428" s="183"/>
      <c r="M428" s="302"/>
      <c r="N428" s="183"/>
      <c r="O428" s="302"/>
      <c r="P428" s="183"/>
      <c r="Q428" s="302"/>
      <c r="R428" s="183"/>
      <c r="S428" s="303"/>
      <c r="T428" s="316"/>
      <c r="U428" s="302"/>
      <c r="V428" s="183"/>
      <c r="Y428" s="307">
        <v>10.31</v>
      </c>
      <c r="Z428" s="319"/>
      <c r="AA428" s="302">
        <v>6.08</v>
      </c>
      <c r="AB428" s="183"/>
      <c r="AC428" s="302">
        <v>9.76</v>
      </c>
      <c r="AD428" s="127">
        <f t="shared" si="70"/>
        <v>26.15</v>
      </c>
    </row>
    <row r="429" spans="1:30" x14ac:dyDescent="0.25">
      <c r="A429" s="1">
        <v>426</v>
      </c>
      <c r="B429" s="19" t="s">
        <v>215</v>
      </c>
      <c r="G429" s="302">
        <v>4230.46</v>
      </c>
      <c r="H429" s="183"/>
      <c r="I429" s="301">
        <v>9538.9699999999993</v>
      </c>
      <c r="J429" s="315"/>
      <c r="K429" s="302">
        <v>6972.34</v>
      </c>
      <c r="L429" s="183"/>
      <c r="M429" s="302">
        <v>9253.11</v>
      </c>
      <c r="N429" s="183"/>
      <c r="O429" s="302">
        <v>2486.2600000000002</v>
      </c>
      <c r="P429" s="183"/>
      <c r="Q429" s="302">
        <v>17609.39</v>
      </c>
      <c r="R429" s="183"/>
      <c r="S429" s="303">
        <v>8511.43</v>
      </c>
      <c r="T429" s="316"/>
      <c r="U429" s="302">
        <v>14216.49</v>
      </c>
      <c r="V429" s="183"/>
      <c r="W429" s="127">
        <v>12757.63</v>
      </c>
      <c r="Y429" s="307">
        <v>257.64</v>
      </c>
      <c r="Z429" s="319"/>
      <c r="AA429" s="302">
        <v>152.08000000000001</v>
      </c>
      <c r="AB429" s="183"/>
      <c r="AC429" s="302">
        <v>244.01</v>
      </c>
      <c r="AD429" s="127">
        <f t="shared" si="70"/>
        <v>86229.81</v>
      </c>
    </row>
    <row r="430" spans="1:30" x14ac:dyDescent="0.25">
      <c r="A430" s="1">
        <v>427</v>
      </c>
      <c r="B430" s="19" t="s">
        <v>214</v>
      </c>
      <c r="G430" s="302">
        <v>9669.5400000000009</v>
      </c>
      <c r="H430" s="183"/>
      <c r="I430" s="301">
        <v>4361.03</v>
      </c>
      <c r="J430" s="315"/>
      <c r="K430" s="302">
        <v>6927.66</v>
      </c>
      <c r="L430" s="183"/>
      <c r="M430" s="302">
        <v>4646.8900000000003</v>
      </c>
      <c r="N430" s="183"/>
      <c r="O430" s="302">
        <v>11413.74</v>
      </c>
      <c r="P430" s="183"/>
      <c r="S430" s="303">
        <v>5388.57</v>
      </c>
      <c r="T430" s="316"/>
      <c r="W430" s="127">
        <v>1142.3699999999999</v>
      </c>
      <c r="Y430" s="307">
        <v>13642.36</v>
      </c>
      <c r="Z430" s="319"/>
      <c r="AA430" s="302">
        <v>13747.92</v>
      </c>
      <c r="AB430" s="183"/>
      <c r="AC430" s="302">
        <v>13655.99</v>
      </c>
      <c r="AD430" s="127">
        <f t="shared" si="70"/>
        <v>84596.07</v>
      </c>
    </row>
    <row r="431" spans="1:30" x14ac:dyDescent="0.25">
      <c r="A431" s="1">
        <v>428</v>
      </c>
      <c r="B431" s="19" t="s">
        <v>20</v>
      </c>
      <c r="G431" s="302">
        <v>647.32000000000005</v>
      </c>
      <c r="H431" s="183"/>
      <c r="I431" s="301">
        <v>652.06000000000006</v>
      </c>
      <c r="J431" s="315"/>
      <c r="K431" s="302">
        <v>649.77</v>
      </c>
      <c r="L431" s="183"/>
      <c r="M431" s="302">
        <v>651.81000000000006</v>
      </c>
      <c r="N431" s="183"/>
      <c r="O431" s="302">
        <v>645.76</v>
      </c>
      <c r="P431" s="183"/>
      <c r="Q431" s="302">
        <v>825.05</v>
      </c>
      <c r="R431" s="183"/>
      <c r="S431" s="303">
        <v>651.14</v>
      </c>
      <c r="T431" s="316"/>
      <c r="U431" s="302">
        <v>670.39</v>
      </c>
      <c r="V431" s="183"/>
      <c r="W431" s="127">
        <v>649.37</v>
      </c>
      <c r="Y431" s="307">
        <v>644.06000000000006</v>
      </c>
      <c r="Z431" s="319"/>
      <c r="AA431" s="302">
        <v>643.87</v>
      </c>
      <c r="AB431" s="183"/>
      <c r="AC431" s="302">
        <v>644.04</v>
      </c>
      <c r="AD431" s="127">
        <f t="shared" si="70"/>
        <v>7974.6400000000012</v>
      </c>
    </row>
    <row r="432" spans="1:30" x14ac:dyDescent="0.25">
      <c r="A432" s="1">
        <v>429</v>
      </c>
      <c r="B432" s="19" t="s">
        <v>29</v>
      </c>
      <c r="G432" s="302"/>
      <c r="H432" s="183"/>
      <c r="I432" s="301"/>
      <c r="J432" s="315"/>
      <c r="K432" s="302"/>
      <c r="L432" s="183"/>
      <c r="M432" s="302"/>
      <c r="N432" s="183"/>
      <c r="O432" s="302"/>
      <c r="P432" s="183"/>
      <c r="Q432" s="302"/>
      <c r="R432" s="183"/>
      <c r="S432" s="303"/>
      <c r="T432" s="316"/>
      <c r="U432" s="302"/>
      <c r="V432" s="183"/>
      <c r="W432" s="127">
        <v>396.99</v>
      </c>
      <c r="AD432" s="127">
        <f t="shared" si="70"/>
        <v>396.99</v>
      </c>
    </row>
    <row r="433" spans="1:31" x14ac:dyDescent="0.25">
      <c r="A433" s="1">
        <v>430</v>
      </c>
      <c r="B433" s="64" t="s">
        <v>30</v>
      </c>
      <c r="G433" s="302">
        <f>SUM(G426:G432)</f>
        <v>15131.93</v>
      </c>
      <c r="H433" s="302"/>
      <c r="I433" s="302">
        <f t="shared" ref="I433:AC433" si="73">SUM(I426:I432)</f>
        <v>15242.839999999998</v>
      </c>
      <c r="J433" s="302"/>
      <c r="K433" s="302">
        <f t="shared" si="73"/>
        <v>15189.220000000001</v>
      </c>
      <c r="L433" s="302"/>
      <c r="M433" s="302">
        <f t="shared" si="73"/>
        <v>15236.87</v>
      </c>
      <c r="N433" s="302"/>
      <c r="O433" s="302">
        <f t="shared" si="73"/>
        <v>15095.49</v>
      </c>
      <c r="P433" s="302"/>
      <c r="Q433" s="302">
        <f t="shared" si="73"/>
        <v>19286.629999999997</v>
      </c>
      <c r="R433" s="302"/>
      <c r="S433" s="302">
        <f t="shared" si="73"/>
        <v>15221.369999999999</v>
      </c>
      <c r="T433" s="302"/>
      <c r="U433" s="302">
        <f t="shared" si="73"/>
        <v>15671.21</v>
      </c>
      <c r="V433" s="302"/>
      <c r="W433" s="302">
        <f t="shared" si="73"/>
        <v>15701.509999999998</v>
      </c>
      <c r="X433" s="302"/>
      <c r="Y433" s="302">
        <f t="shared" si="73"/>
        <v>15179.37</v>
      </c>
      <c r="Z433" s="302"/>
      <c r="AA433" s="302">
        <f t="shared" si="73"/>
        <v>15174.95</v>
      </c>
      <c r="AB433" s="302"/>
      <c r="AC433" s="302">
        <f t="shared" si="73"/>
        <v>15178.8</v>
      </c>
      <c r="AD433" s="127">
        <f t="shared" si="70"/>
        <v>187310.19</v>
      </c>
    </row>
    <row r="434" spans="1:31" x14ac:dyDescent="0.25">
      <c r="A434" s="1">
        <v>431</v>
      </c>
      <c r="B434" s="64" t="s">
        <v>31</v>
      </c>
      <c r="F434" s="98"/>
      <c r="G434" s="550">
        <v>423046</v>
      </c>
      <c r="H434" s="550"/>
      <c r="I434" s="551">
        <v>953897</v>
      </c>
      <c r="J434" s="551"/>
      <c r="K434" s="550">
        <v>697234</v>
      </c>
      <c r="L434" s="550"/>
      <c r="M434" s="550">
        <v>925311</v>
      </c>
      <c r="N434" s="550"/>
      <c r="O434" s="550">
        <v>248626</v>
      </c>
      <c r="P434" s="550"/>
      <c r="Q434" s="550">
        <v>1760939</v>
      </c>
      <c r="R434" s="550"/>
      <c r="S434" s="552">
        <v>851143</v>
      </c>
      <c r="T434" s="552"/>
      <c r="U434" s="550">
        <v>1421649</v>
      </c>
      <c r="V434" s="550"/>
      <c r="W434" s="98">
        <v>1275763</v>
      </c>
      <c r="X434" s="98"/>
      <c r="Y434" s="98"/>
      <c r="Z434" s="98"/>
      <c r="AA434" s="550">
        <v>15208</v>
      </c>
      <c r="AB434" s="550"/>
      <c r="AC434" s="550">
        <v>24401</v>
      </c>
      <c r="AD434" s="98">
        <f t="shared" si="70"/>
        <v>8597217</v>
      </c>
      <c r="AE434" s="98"/>
    </row>
    <row r="435" spans="1:31" x14ac:dyDescent="0.25">
      <c r="A435" s="1">
        <v>432</v>
      </c>
      <c r="B435" s="18" t="s">
        <v>32</v>
      </c>
      <c r="F435" s="98"/>
      <c r="G435" s="98"/>
      <c r="H435" s="98"/>
      <c r="I435" s="98"/>
      <c r="J435" s="98"/>
      <c r="K435" s="98"/>
      <c r="L435" s="98"/>
      <c r="M435" s="98"/>
      <c r="N435" s="98"/>
      <c r="O435" s="98"/>
      <c r="P435" s="98"/>
      <c r="Q435" s="98"/>
      <c r="R435" s="98"/>
      <c r="S435" s="552"/>
      <c r="T435" s="552"/>
      <c r="U435" s="550"/>
      <c r="V435" s="550"/>
      <c r="W435" s="98"/>
      <c r="X435" s="98"/>
      <c r="Y435" s="98"/>
      <c r="Z435" s="98"/>
      <c r="AA435" s="98"/>
      <c r="AB435" s="98"/>
      <c r="AC435" s="98"/>
      <c r="AD435" s="98">
        <f t="shared" si="70"/>
        <v>0</v>
      </c>
      <c r="AE435" s="98"/>
    </row>
    <row r="436" spans="1:31" x14ac:dyDescent="0.25">
      <c r="A436" s="1">
        <v>433</v>
      </c>
      <c r="B436" s="19" t="s">
        <v>33</v>
      </c>
      <c r="F436" s="98"/>
      <c r="G436" s="550">
        <f>SUM(G434:G435)</f>
        <v>423046</v>
      </c>
      <c r="H436" s="550"/>
      <c r="I436" s="550">
        <f t="shared" ref="I436:AC436" si="74">SUM(I434:I435)</f>
        <v>953897</v>
      </c>
      <c r="J436" s="550"/>
      <c r="K436" s="550">
        <f t="shared" si="74"/>
        <v>697234</v>
      </c>
      <c r="L436" s="550"/>
      <c r="M436" s="550">
        <f t="shared" si="74"/>
        <v>925311</v>
      </c>
      <c r="N436" s="550"/>
      <c r="O436" s="550">
        <f t="shared" si="74"/>
        <v>248626</v>
      </c>
      <c r="P436" s="550"/>
      <c r="Q436" s="550">
        <f t="shared" si="74"/>
        <v>1760939</v>
      </c>
      <c r="R436" s="550"/>
      <c r="S436" s="550">
        <f t="shared" si="74"/>
        <v>851143</v>
      </c>
      <c r="T436" s="550"/>
      <c r="U436" s="550">
        <f t="shared" si="74"/>
        <v>1421649</v>
      </c>
      <c r="V436" s="550"/>
      <c r="W436" s="550">
        <f t="shared" si="74"/>
        <v>1275763</v>
      </c>
      <c r="X436" s="550"/>
      <c r="Y436" s="550">
        <f t="shared" si="74"/>
        <v>0</v>
      </c>
      <c r="Z436" s="550"/>
      <c r="AA436" s="550">
        <f t="shared" si="74"/>
        <v>15208</v>
      </c>
      <c r="AB436" s="550"/>
      <c r="AC436" s="550">
        <f t="shared" si="74"/>
        <v>24401</v>
      </c>
      <c r="AD436" s="98">
        <f t="shared" si="70"/>
        <v>8597217</v>
      </c>
      <c r="AE436" s="98"/>
    </row>
    <row r="437" spans="1:31" x14ac:dyDescent="0.25">
      <c r="A437" s="1">
        <v>434</v>
      </c>
      <c r="B437" s="19"/>
    </row>
    <row r="438" spans="1:31" x14ac:dyDescent="0.25">
      <c r="A438" s="1">
        <v>435</v>
      </c>
      <c r="B438" s="30" t="s">
        <v>180</v>
      </c>
    </row>
    <row r="439" spans="1:31" x14ac:dyDescent="0.25">
      <c r="A439" s="1">
        <v>436</v>
      </c>
      <c r="B439" s="19" t="s">
        <v>9</v>
      </c>
      <c r="C439" s="5">
        <f>'Exh IDM-2 - Revenue Summary'!D723</f>
        <v>500</v>
      </c>
      <c r="E439" s="5">
        <f>'Exh IDM-2 - Revenue Summary'!D724</f>
        <v>625</v>
      </c>
      <c r="F439" s="128">
        <f>G439/$C$439</f>
        <v>1</v>
      </c>
      <c r="G439" s="302">
        <v>500</v>
      </c>
      <c r="H439" s="128">
        <f>I439/$C$439</f>
        <v>1</v>
      </c>
      <c r="I439" s="301">
        <v>500</v>
      </c>
      <c r="J439" s="128">
        <f>K439/$C$439</f>
        <v>1</v>
      </c>
      <c r="K439" s="302">
        <v>500</v>
      </c>
      <c r="L439" s="128">
        <f>M439/$C$439</f>
        <v>1</v>
      </c>
      <c r="M439" s="302">
        <v>500</v>
      </c>
      <c r="N439" s="128">
        <f>O439/$C$439</f>
        <v>1</v>
      </c>
      <c r="O439" s="302">
        <v>500</v>
      </c>
      <c r="P439" s="128">
        <f>Q439/$C$439</f>
        <v>1</v>
      </c>
      <c r="Q439" s="302">
        <v>500</v>
      </c>
      <c r="R439" s="128">
        <f>S439/$C$439</f>
        <v>1</v>
      </c>
      <c r="S439" s="303">
        <v>500</v>
      </c>
      <c r="T439" s="128">
        <f>U439/$C$439</f>
        <v>1</v>
      </c>
      <c r="U439" s="302">
        <v>500</v>
      </c>
      <c r="V439" s="128">
        <f>W439/$E$439</f>
        <v>1</v>
      </c>
      <c r="W439" s="304">
        <v>625</v>
      </c>
      <c r="X439" s="128">
        <f>Y439/$E$439</f>
        <v>0</v>
      </c>
      <c r="Y439" s="127">
        <v>0</v>
      </c>
      <c r="Z439" s="128">
        <f>AA439/$E$439</f>
        <v>0</v>
      </c>
      <c r="AA439" s="127">
        <v>0</v>
      </c>
      <c r="AB439" s="128">
        <f>AC439/$E$439</f>
        <v>0</v>
      </c>
      <c r="AC439" s="127">
        <v>0</v>
      </c>
      <c r="AD439" s="127">
        <f>SUM(G439,I439,K439,M439,O439,Q439,S439,U439,W439,Y439,AA439,AC439)</f>
        <v>4625</v>
      </c>
    </row>
    <row r="440" spans="1:31" x14ac:dyDescent="0.25">
      <c r="A440" s="1">
        <v>437</v>
      </c>
      <c r="B440" s="19" t="s">
        <v>191</v>
      </c>
      <c r="C440" s="5">
        <f>'Exh IDM-2 - Revenue Summary'!D725</f>
        <v>60000</v>
      </c>
      <c r="F440" s="128">
        <f>G440/$C$440</f>
        <v>1</v>
      </c>
      <c r="G440" s="302">
        <v>60000</v>
      </c>
      <c r="H440" s="128">
        <f>I440/$C$440</f>
        <v>1</v>
      </c>
      <c r="I440" s="301">
        <v>60000</v>
      </c>
      <c r="J440" s="128">
        <f>K440/$C$440</f>
        <v>1</v>
      </c>
      <c r="K440" s="302">
        <v>60000</v>
      </c>
      <c r="L440" s="128">
        <f>M440/$C$440</f>
        <v>1</v>
      </c>
      <c r="M440" s="302">
        <v>60000</v>
      </c>
      <c r="N440" s="128">
        <f>O440/$C$440</f>
        <v>1</v>
      </c>
      <c r="O440" s="302">
        <v>60000</v>
      </c>
      <c r="P440" s="128">
        <f>Q440/$C$440</f>
        <v>1</v>
      </c>
      <c r="Q440" s="302">
        <v>60000</v>
      </c>
      <c r="R440" s="128">
        <f>S440/$C$440</f>
        <v>1</v>
      </c>
      <c r="S440" s="303">
        <v>60000</v>
      </c>
      <c r="T440" s="128">
        <f>U440/$C$440</f>
        <v>1</v>
      </c>
      <c r="U440" s="302">
        <v>60000</v>
      </c>
      <c r="V440" s="128">
        <f>W440/$C$440</f>
        <v>1</v>
      </c>
      <c r="W440" s="304">
        <v>60000</v>
      </c>
      <c r="X440" s="128">
        <f>Y440/$C$440</f>
        <v>0</v>
      </c>
      <c r="Y440" s="127">
        <v>0</v>
      </c>
      <c r="Z440" s="128">
        <f>AA440/$C$440</f>
        <v>0</v>
      </c>
      <c r="AA440" s="127">
        <v>0</v>
      </c>
      <c r="AB440" s="128">
        <f>AC440/$C$440</f>
        <v>0</v>
      </c>
      <c r="AC440" s="127">
        <v>0</v>
      </c>
      <c r="AD440" s="127">
        <f t="shared" ref="AD440:AD446" si="75">SUM(G440,I440,K440,M440,O440,Q440,S440,U440,W440,Y440,AA440,AC440)</f>
        <v>540000</v>
      </c>
    </row>
    <row r="441" spans="1:31" x14ac:dyDescent="0.25">
      <c r="A441" s="1">
        <v>438</v>
      </c>
      <c r="B441" s="19" t="s">
        <v>190</v>
      </c>
      <c r="C441" s="5">
        <f>'Exh IDM-2 - Revenue Summary'!D726</f>
        <v>20872.5</v>
      </c>
      <c r="F441" s="128">
        <f>G441/$C$441</f>
        <v>1</v>
      </c>
      <c r="G441" s="302">
        <v>20872.5</v>
      </c>
      <c r="H441" s="128">
        <f>I441/$C$441</f>
        <v>1</v>
      </c>
      <c r="I441" s="301">
        <v>20872.5</v>
      </c>
      <c r="J441" s="128">
        <f>K441/$C$441</f>
        <v>1</v>
      </c>
      <c r="K441" s="302">
        <v>20872.5</v>
      </c>
      <c r="L441" s="128">
        <f>M441/$C$441</f>
        <v>1</v>
      </c>
      <c r="M441" s="302">
        <v>20872.5</v>
      </c>
      <c r="N441" s="128">
        <f>O441/$C$441</f>
        <v>1</v>
      </c>
      <c r="O441" s="302">
        <v>20872.5</v>
      </c>
      <c r="P441" s="128">
        <f>Q441/$C$441</f>
        <v>1</v>
      </c>
      <c r="Q441" s="302">
        <v>20872.5</v>
      </c>
      <c r="R441" s="128">
        <f>S441/$C$441</f>
        <v>1</v>
      </c>
      <c r="S441" s="303">
        <v>20872.5</v>
      </c>
      <c r="T441" s="128">
        <f>U441/$C$441</f>
        <v>1</v>
      </c>
      <c r="U441" s="302">
        <v>20872.5</v>
      </c>
      <c r="V441" s="128">
        <f>W441/$C$441</f>
        <v>1</v>
      </c>
      <c r="W441" s="304">
        <v>20872.5</v>
      </c>
      <c r="X441" s="128">
        <f>Y441/$C$441</f>
        <v>0</v>
      </c>
      <c r="Y441" s="127">
        <v>0</v>
      </c>
      <c r="AA441" s="127">
        <v>0</v>
      </c>
      <c r="AC441" s="127">
        <v>0</v>
      </c>
      <c r="AD441" s="127">
        <f t="shared" si="75"/>
        <v>187852.5</v>
      </c>
    </row>
    <row r="442" spans="1:31" x14ac:dyDescent="0.25">
      <c r="A442" s="1">
        <v>439</v>
      </c>
      <c r="B442" s="19" t="s">
        <v>192</v>
      </c>
      <c r="C442" s="322">
        <f>'Exh IDM-2 - Revenue Summary'!D727</f>
        <v>4.0000000000000002E-4</v>
      </c>
      <c r="F442" s="128">
        <f>G442/$C$442</f>
        <v>8993200</v>
      </c>
      <c r="G442" s="302">
        <v>3597.28</v>
      </c>
      <c r="H442" s="128">
        <f>I442/$C$442</f>
        <v>2815849.9999999995</v>
      </c>
      <c r="I442" s="301">
        <v>1126.3399999999999</v>
      </c>
      <c r="J442" s="128">
        <f>K442/$C$442</f>
        <v>4831275</v>
      </c>
      <c r="K442" s="302">
        <v>1932.51</v>
      </c>
      <c r="L442" s="128">
        <f>M442/$C$442</f>
        <v>9711675</v>
      </c>
      <c r="M442" s="302">
        <v>3884.67</v>
      </c>
      <c r="N442" s="128">
        <f>O442/$C$442</f>
        <v>3084325</v>
      </c>
      <c r="O442" s="302">
        <v>1233.73</v>
      </c>
      <c r="P442" s="128">
        <f>Q442/$C$442</f>
        <v>7217799.9999999991</v>
      </c>
      <c r="Q442" s="302">
        <v>2887.12</v>
      </c>
      <c r="R442" s="128">
        <f>S442/$C$442</f>
        <v>6524500</v>
      </c>
      <c r="S442" s="303">
        <v>2609.8000000000002</v>
      </c>
      <c r="T442" s="128">
        <f>U442/$C$442</f>
        <v>13440374.999999998</v>
      </c>
      <c r="U442" s="302">
        <v>5376.15</v>
      </c>
      <c r="V442" s="128">
        <f>W442/$C$442</f>
        <v>14392899.999999998</v>
      </c>
      <c r="W442" s="304">
        <v>5757.16</v>
      </c>
      <c r="X442" s="128">
        <f>Y442/$C$442</f>
        <v>0</v>
      </c>
      <c r="Y442" s="127">
        <v>0</v>
      </c>
      <c r="AA442" s="127">
        <v>0</v>
      </c>
      <c r="AC442" s="127">
        <v>0</v>
      </c>
      <c r="AD442" s="127">
        <f t="shared" si="75"/>
        <v>28404.76</v>
      </c>
    </row>
    <row r="443" spans="1:31" x14ac:dyDescent="0.25">
      <c r="A443" s="1">
        <v>440</v>
      </c>
      <c r="B443" s="19" t="s">
        <v>193</v>
      </c>
      <c r="C443" s="322">
        <f>'Exh IDM-2 - Revenue Summary'!D728</f>
        <v>5.7299999999999997E-2</v>
      </c>
      <c r="F443" s="128">
        <f>G443/$C$443</f>
        <v>100000</v>
      </c>
      <c r="G443" s="302">
        <v>5730</v>
      </c>
      <c r="H443" s="128">
        <f>I443/$C$443</f>
        <v>100000</v>
      </c>
      <c r="I443" s="301">
        <v>5730</v>
      </c>
      <c r="J443" s="128">
        <f>K443/$C$443</f>
        <v>100000</v>
      </c>
      <c r="K443" s="302">
        <v>5730</v>
      </c>
      <c r="L443" s="128">
        <f>M443/$C$443</f>
        <v>100000</v>
      </c>
      <c r="M443" s="302">
        <v>5730</v>
      </c>
      <c r="N443" s="128">
        <f>O443/$C$443</f>
        <v>100000</v>
      </c>
      <c r="O443" s="302">
        <v>5730</v>
      </c>
      <c r="P443" s="128">
        <f>Q443/$C$443</f>
        <v>100000</v>
      </c>
      <c r="Q443" s="302">
        <v>5730</v>
      </c>
      <c r="R443" s="128">
        <f>S443/$C$443</f>
        <v>100000</v>
      </c>
      <c r="S443" s="303">
        <v>5730</v>
      </c>
      <c r="T443" s="128">
        <f>U443/$C$443</f>
        <v>100000</v>
      </c>
      <c r="U443" s="302">
        <v>5730</v>
      </c>
      <c r="V443" s="128">
        <f>W443/$C$443</f>
        <v>93036.649214659687</v>
      </c>
      <c r="W443" s="304">
        <v>5331</v>
      </c>
      <c r="X443" s="128">
        <f>Y443/$C$443</f>
        <v>0</v>
      </c>
      <c r="Y443" s="127">
        <v>0</v>
      </c>
      <c r="AA443" s="127">
        <v>0</v>
      </c>
      <c r="AC443" s="127">
        <v>0</v>
      </c>
      <c r="AD443" s="127">
        <f t="shared" si="75"/>
        <v>51171</v>
      </c>
    </row>
    <row r="444" spans="1:31" x14ac:dyDescent="0.25">
      <c r="A444" s="1">
        <v>441</v>
      </c>
      <c r="B444" s="19" t="s">
        <v>155</v>
      </c>
      <c r="C444" s="322">
        <f>'Exh IDM-2 - Revenue Summary'!D729</f>
        <v>2.0230000000000001E-2</v>
      </c>
      <c r="F444" s="128">
        <f>G444/$C$444</f>
        <v>200000</v>
      </c>
      <c r="G444" s="302">
        <v>4046</v>
      </c>
      <c r="H444" s="128">
        <f>I444/$C$444</f>
        <v>200000</v>
      </c>
      <c r="I444" s="301">
        <v>4046</v>
      </c>
      <c r="J444" s="128">
        <f>K444/$C$444</f>
        <v>200000</v>
      </c>
      <c r="K444" s="302">
        <v>4046</v>
      </c>
      <c r="L444" s="128">
        <f>M444/$C$444</f>
        <v>200000</v>
      </c>
      <c r="M444" s="302">
        <v>4046</v>
      </c>
      <c r="N444" s="128">
        <f>O444/$C$444</f>
        <v>200000</v>
      </c>
      <c r="O444" s="302">
        <v>4046</v>
      </c>
      <c r="P444" s="128">
        <f>Q444/$C$444</f>
        <v>200000</v>
      </c>
      <c r="Q444" s="302">
        <v>4046</v>
      </c>
      <c r="R444" s="128">
        <f>S444/$C$444</f>
        <v>200000</v>
      </c>
      <c r="S444" s="303">
        <v>4046</v>
      </c>
      <c r="T444" s="128">
        <f>U444/$C$444</f>
        <v>200000</v>
      </c>
      <c r="U444" s="302">
        <v>4046</v>
      </c>
      <c r="V444" s="128">
        <f>W444/$C$444</f>
        <v>192288.68017795353</v>
      </c>
      <c r="W444" s="304">
        <v>3890</v>
      </c>
      <c r="X444" s="128">
        <f>Y444/$C$444</f>
        <v>0</v>
      </c>
      <c r="Y444" s="127">
        <v>0</v>
      </c>
      <c r="AA444" s="127">
        <v>0</v>
      </c>
      <c r="AC444" s="127">
        <v>0</v>
      </c>
      <c r="AD444" s="127">
        <f t="shared" si="75"/>
        <v>36258</v>
      </c>
    </row>
    <row r="445" spans="1:31" x14ac:dyDescent="0.25">
      <c r="A445" s="1">
        <v>442</v>
      </c>
      <c r="B445" s="19" t="s">
        <v>155</v>
      </c>
      <c r="C445" s="322">
        <f>'Exh IDM-2 - Revenue Summary'!D730</f>
        <v>1.187E-2</v>
      </c>
      <c r="F445" s="128">
        <f>G445/$C$445</f>
        <v>200000</v>
      </c>
      <c r="G445" s="302">
        <v>2374</v>
      </c>
      <c r="H445" s="128">
        <f>I445/$C$445</f>
        <v>200000</v>
      </c>
      <c r="I445" s="301">
        <v>2374</v>
      </c>
      <c r="J445" s="128">
        <f>K445/$C$445</f>
        <v>200000</v>
      </c>
      <c r="K445" s="302">
        <v>2374</v>
      </c>
      <c r="L445" s="128">
        <f>M445/$C$445</f>
        <v>200000</v>
      </c>
      <c r="M445" s="302">
        <v>2374</v>
      </c>
      <c r="N445" s="128">
        <f>O445/$C$445</f>
        <v>200000</v>
      </c>
      <c r="O445" s="302">
        <v>2374</v>
      </c>
      <c r="P445" s="128">
        <f>Q445/$C$445</f>
        <v>200000</v>
      </c>
      <c r="Q445" s="302">
        <v>2374</v>
      </c>
      <c r="R445" s="128">
        <f>S445/$C$445</f>
        <v>200000</v>
      </c>
      <c r="S445" s="303">
        <v>2374</v>
      </c>
      <c r="T445" s="128">
        <f>U445/$C$445</f>
        <v>200000</v>
      </c>
      <c r="U445" s="302">
        <v>2374</v>
      </c>
      <c r="V445" s="128">
        <f>W445/$C$445</f>
        <v>199157.54001684921</v>
      </c>
      <c r="W445" s="304">
        <v>2364</v>
      </c>
      <c r="X445" s="128">
        <f>Y445/$C$445</f>
        <v>0</v>
      </c>
      <c r="Y445" s="127">
        <v>0</v>
      </c>
      <c r="AA445" s="127">
        <v>0</v>
      </c>
      <c r="AC445" s="127">
        <v>0</v>
      </c>
      <c r="AD445" s="127">
        <f t="shared" si="75"/>
        <v>21356</v>
      </c>
    </row>
    <row r="446" spans="1:31" x14ac:dyDescent="0.25">
      <c r="A446" s="1">
        <v>443</v>
      </c>
      <c r="B446" s="18" t="s">
        <v>156</v>
      </c>
      <c r="C446" s="322">
        <f>'Exh IDM-2 - Revenue Summary'!D731</f>
        <v>5.0800000000000003E-3</v>
      </c>
      <c r="F446" s="128">
        <f>G446/$C$446</f>
        <v>8493196.8503937013</v>
      </c>
      <c r="G446" s="302">
        <v>43145.440000000002</v>
      </c>
      <c r="H446" s="128">
        <f>I446/$C$446</f>
        <v>2315838.582677165</v>
      </c>
      <c r="I446" s="301">
        <v>11764.46</v>
      </c>
      <c r="J446" s="128">
        <f>K446/$C$446</f>
        <v>4331267.7165354332</v>
      </c>
      <c r="K446" s="302">
        <v>22002.84</v>
      </c>
      <c r="L446" s="128">
        <f>M446/$C$446</f>
        <v>9211683.0708661415</v>
      </c>
      <c r="M446" s="302">
        <v>46795.35</v>
      </c>
      <c r="N446" s="128">
        <f>O446/$C$446</f>
        <v>2584330.708661417</v>
      </c>
      <c r="O446" s="302">
        <v>13128.4</v>
      </c>
      <c r="P446" s="128">
        <f>Q446/$C$446</f>
        <v>6717811.0236220472</v>
      </c>
      <c r="Q446" s="302">
        <v>34126.480000000003</v>
      </c>
      <c r="R446" s="128">
        <f>S446/$C$446</f>
        <v>6024492.1259842515</v>
      </c>
      <c r="S446" s="303">
        <v>30604.42</v>
      </c>
      <c r="T446" s="128">
        <f>U446/$C$446</f>
        <v>12940379.921259843</v>
      </c>
      <c r="U446" s="302">
        <v>65737.13</v>
      </c>
      <c r="V446" s="128">
        <f>W446/$C$446</f>
        <v>15369706.692913385</v>
      </c>
      <c r="W446" s="304">
        <v>78078.11</v>
      </c>
      <c r="X446" s="128">
        <f>Y446/$C$446</f>
        <v>0</v>
      </c>
      <c r="Y446" s="127">
        <v>0</v>
      </c>
      <c r="AA446" s="127">
        <v>0</v>
      </c>
      <c r="AC446" s="127">
        <v>0</v>
      </c>
      <c r="AD446" s="127">
        <f t="shared" si="75"/>
        <v>345382.63</v>
      </c>
    </row>
    <row r="447" spans="1:31" x14ac:dyDescent="0.25">
      <c r="A447" s="1">
        <v>444</v>
      </c>
      <c r="B447" s="19" t="s">
        <v>224</v>
      </c>
      <c r="G447" s="302"/>
      <c r="H447" s="183"/>
      <c r="I447" s="301"/>
      <c r="J447" s="315"/>
      <c r="K447" s="302"/>
      <c r="L447" s="183"/>
      <c r="M447" s="302"/>
      <c r="N447" s="183"/>
      <c r="O447" s="302"/>
      <c r="P447" s="183"/>
      <c r="Q447" s="302"/>
      <c r="R447" s="183"/>
      <c r="S447" s="303"/>
      <c r="T447" s="316"/>
      <c r="U447" s="302"/>
      <c r="V447" s="183"/>
      <c r="W447" s="304">
        <v>-8203.9500000000007</v>
      </c>
      <c r="X447" s="317"/>
      <c r="Y447" s="127">
        <v>0</v>
      </c>
      <c r="AA447" s="127">
        <v>0</v>
      </c>
      <c r="AC447" s="127">
        <v>0</v>
      </c>
      <c r="AD447" s="127">
        <f>SUM(G447,I447,K447,M447,O447,Q447,S447,U447,W447,Y447,AA447,AC447)</f>
        <v>-8203.9500000000007</v>
      </c>
    </row>
    <row r="448" spans="1:31" x14ac:dyDescent="0.25">
      <c r="A448" s="1">
        <v>445</v>
      </c>
      <c r="B448" s="19" t="s">
        <v>225</v>
      </c>
      <c r="G448" s="302"/>
      <c r="H448" s="183"/>
      <c r="I448" s="301"/>
      <c r="J448" s="315"/>
      <c r="K448" s="302"/>
      <c r="L448" s="183"/>
      <c r="M448" s="302"/>
      <c r="N448" s="183"/>
      <c r="O448" s="302"/>
      <c r="P448" s="183"/>
      <c r="Q448" s="302"/>
      <c r="R448" s="183"/>
      <c r="S448" s="303"/>
      <c r="T448" s="316"/>
      <c r="U448" s="302"/>
      <c r="V448" s="183"/>
      <c r="W448" s="304">
        <v>-3886.08</v>
      </c>
      <c r="X448" s="317"/>
      <c r="Y448" s="127">
        <v>0</v>
      </c>
      <c r="AA448" s="127">
        <v>0</v>
      </c>
      <c r="AC448" s="127">
        <v>0</v>
      </c>
      <c r="AD448" s="127">
        <f t="shared" si="70"/>
        <v>-3886.08</v>
      </c>
    </row>
    <row r="449" spans="1:30" x14ac:dyDescent="0.25">
      <c r="A449" s="1">
        <v>446</v>
      </c>
      <c r="B449" s="19" t="s">
        <v>226</v>
      </c>
      <c r="G449" s="302"/>
      <c r="H449" s="183"/>
      <c r="I449" s="301"/>
      <c r="J449" s="315"/>
      <c r="K449" s="302"/>
      <c r="L449" s="183"/>
      <c r="M449" s="302"/>
      <c r="N449" s="183"/>
      <c r="O449" s="302"/>
      <c r="P449" s="183"/>
      <c r="Q449" s="302"/>
      <c r="R449" s="183"/>
      <c r="S449" s="303"/>
      <c r="T449" s="316"/>
      <c r="U449" s="302"/>
      <c r="V449" s="183"/>
      <c r="W449" s="304">
        <v>-7772.17</v>
      </c>
      <c r="X449" s="317"/>
      <c r="Y449" s="127">
        <v>0</v>
      </c>
      <c r="AA449" s="127">
        <v>0</v>
      </c>
      <c r="AC449" s="127">
        <v>0</v>
      </c>
      <c r="AD449" s="127">
        <f t="shared" si="70"/>
        <v>-7772.17</v>
      </c>
    </row>
    <row r="450" spans="1:30" x14ac:dyDescent="0.25">
      <c r="A450" s="1">
        <v>447</v>
      </c>
      <c r="B450" s="19" t="s">
        <v>139</v>
      </c>
      <c r="G450" s="302">
        <v>2428.16</v>
      </c>
      <c r="H450" s="183"/>
      <c r="I450" s="301">
        <v>760.28</v>
      </c>
      <c r="J450" s="315"/>
      <c r="K450" s="302">
        <v>1304.44</v>
      </c>
      <c r="L450" s="183"/>
      <c r="M450" s="302">
        <v>2622.15</v>
      </c>
      <c r="N450" s="183"/>
      <c r="O450" s="302">
        <v>832.77</v>
      </c>
      <c r="P450" s="183"/>
      <c r="Q450" s="302">
        <v>1948.81</v>
      </c>
      <c r="R450" s="183"/>
      <c r="S450" s="303">
        <v>1761.61</v>
      </c>
      <c r="T450" s="316"/>
      <c r="U450" s="302">
        <v>3628.9</v>
      </c>
      <c r="V450" s="183"/>
      <c r="W450" s="304">
        <v>3886.08</v>
      </c>
      <c r="X450" s="317"/>
      <c r="Y450" s="127">
        <v>0</v>
      </c>
      <c r="AA450" s="127">
        <v>0</v>
      </c>
      <c r="AC450" s="127">
        <v>0</v>
      </c>
      <c r="AD450" s="127">
        <f t="shared" si="70"/>
        <v>19173.199999999997</v>
      </c>
    </row>
    <row r="451" spans="1:30" x14ac:dyDescent="0.25">
      <c r="A451" s="1">
        <v>448</v>
      </c>
      <c r="B451" s="19" t="s">
        <v>140</v>
      </c>
      <c r="G451" s="302">
        <v>15828.03</v>
      </c>
      <c r="H451" s="183"/>
      <c r="I451" s="301">
        <v>4955.87</v>
      </c>
      <c r="J451" s="315"/>
      <c r="K451" s="302">
        <v>8503.0300000000007</v>
      </c>
      <c r="L451" s="183"/>
      <c r="M451" s="302">
        <v>17092.560000000001</v>
      </c>
      <c r="N451" s="183"/>
      <c r="O451" s="302">
        <v>5428.42</v>
      </c>
      <c r="P451" s="183"/>
      <c r="Q451" s="302">
        <v>12703.35</v>
      </c>
      <c r="R451" s="183"/>
      <c r="S451" s="303">
        <v>11483.11</v>
      </c>
      <c r="T451" s="316"/>
      <c r="U451" s="302">
        <v>23655.07</v>
      </c>
      <c r="V451" s="183"/>
      <c r="W451" s="304">
        <v>9931.1</v>
      </c>
      <c r="X451" s="317"/>
      <c r="Y451" s="127">
        <v>0</v>
      </c>
      <c r="AA451" s="127">
        <v>0</v>
      </c>
      <c r="AC451" s="127">
        <v>0</v>
      </c>
      <c r="AD451" s="127">
        <f t="shared" si="70"/>
        <v>109580.54000000001</v>
      </c>
    </row>
    <row r="452" spans="1:30" x14ac:dyDescent="0.25">
      <c r="A452" s="1">
        <v>449</v>
      </c>
      <c r="B452" s="18" t="s">
        <v>20</v>
      </c>
      <c r="G452" s="302">
        <v>6268.45</v>
      </c>
      <c r="H452" s="183"/>
      <c r="I452" s="301">
        <v>4755.6099999999997</v>
      </c>
      <c r="J452" s="315"/>
      <c r="K452" s="302">
        <v>5249.19</v>
      </c>
      <c r="L452" s="183"/>
      <c r="M452" s="302">
        <v>6444.41</v>
      </c>
      <c r="N452" s="183"/>
      <c r="O452" s="302">
        <v>4821.3599999999997</v>
      </c>
      <c r="P452" s="183"/>
      <c r="Q452" s="302">
        <v>5833.66</v>
      </c>
      <c r="R452" s="183"/>
      <c r="S452" s="303">
        <v>5663.86</v>
      </c>
      <c r="T452" s="316"/>
      <c r="U452" s="302">
        <v>7357.57</v>
      </c>
      <c r="V452" s="183"/>
      <c r="W452" s="304">
        <v>7839.23</v>
      </c>
      <c r="X452" s="317"/>
      <c r="Y452" s="127">
        <v>0</v>
      </c>
      <c r="AA452" s="127">
        <v>0</v>
      </c>
      <c r="AC452" s="127">
        <v>0</v>
      </c>
      <c r="AD452" s="127">
        <f t="shared" si="70"/>
        <v>54233.34</v>
      </c>
    </row>
    <row r="453" spans="1:30" x14ac:dyDescent="0.25">
      <c r="A453" s="1">
        <v>450</v>
      </c>
      <c r="B453" s="195" t="s">
        <v>150</v>
      </c>
      <c r="G453" s="302">
        <v>60</v>
      </c>
      <c r="H453" s="183"/>
      <c r="I453" s="301">
        <v>60</v>
      </c>
      <c r="J453" s="315"/>
      <c r="K453" s="302">
        <v>60</v>
      </c>
      <c r="L453" s="183"/>
      <c r="M453" s="302">
        <v>60</v>
      </c>
      <c r="N453" s="183"/>
      <c r="O453" s="302">
        <v>60</v>
      </c>
      <c r="P453" s="183"/>
      <c r="Q453" s="302">
        <v>60</v>
      </c>
      <c r="R453" s="183"/>
      <c r="S453" s="303">
        <v>60</v>
      </c>
      <c r="T453" s="316"/>
      <c r="U453" s="302">
        <v>60</v>
      </c>
      <c r="V453" s="183"/>
      <c r="W453" s="304">
        <v>60</v>
      </c>
      <c r="X453" s="317"/>
      <c r="Y453" s="127">
        <v>0</v>
      </c>
      <c r="AA453" s="127">
        <v>0</v>
      </c>
      <c r="AC453" s="127">
        <v>0</v>
      </c>
      <c r="AD453" s="127">
        <f t="shared" si="70"/>
        <v>540</v>
      </c>
    </row>
    <row r="454" spans="1:30" x14ac:dyDescent="0.25">
      <c r="A454" s="1">
        <v>451</v>
      </c>
      <c r="B454" s="64" t="s">
        <v>30</v>
      </c>
      <c r="G454" s="302">
        <f>SUM(G439:G453)</f>
        <v>164849.86000000002</v>
      </c>
      <c r="H454" s="302"/>
      <c r="I454" s="302">
        <f t="shared" ref="I454:AC454" si="76">SUM(I439:I453)</f>
        <v>116945.05999999998</v>
      </c>
      <c r="J454" s="302"/>
      <c r="K454" s="302">
        <f t="shared" si="76"/>
        <v>132574.50999999998</v>
      </c>
      <c r="L454" s="302"/>
      <c r="M454" s="302">
        <f t="shared" si="76"/>
        <v>170421.63999999998</v>
      </c>
      <c r="N454" s="302"/>
      <c r="O454" s="302">
        <f t="shared" si="76"/>
        <v>119027.18</v>
      </c>
      <c r="P454" s="302"/>
      <c r="Q454" s="302">
        <f t="shared" si="76"/>
        <v>151081.92000000001</v>
      </c>
      <c r="R454" s="302"/>
      <c r="S454" s="302">
        <f t="shared" si="76"/>
        <v>145705.29999999999</v>
      </c>
      <c r="T454" s="302"/>
      <c r="U454" s="302">
        <f t="shared" si="76"/>
        <v>199337.32</v>
      </c>
      <c r="V454" s="302"/>
      <c r="W454" s="302">
        <f t="shared" si="76"/>
        <v>178771.98</v>
      </c>
      <c r="X454" s="302"/>
      <c r="Y454" s="302">
        <f t="shared" si="76"/>
        <v>0</v>
      </c>
      <c r="Z454" s="302"/>
      <c r="AA454" s="302">
        <f t="shared" si="76"/>
        <v>0</v>
      </c>
      <c r="AB454" s="302"/>
      <c r="AC454" s="302">
        <f t="shared" si="76"/>
        <v>0</v>
      </c>
      <c r="AD454" s="127">
        <f>SUM(G454:AC454)</f>
        <v>1378714.77</v>
      </c>
    </row>
    <row r="455" spans="1:30" x14ac:dyDescent="0.25">
      <c r="A455" s="1">
        <v>452</v>
      </c>
      <c r="B455" s="64" t="s">
        <v>31</v>
      </c>
      <c r="F455" s="98"/>
      <c r="G455" s="550">
        <v>8993197</v>
      </c>
      <c r="H455" s="550"/>
      <c r="I455" s="551">
        <v>2815838</v>
      </c>
      <c r="J455" s="551"/>
      <c r="K455" s="550">
        <v>4831267</v>
      </c>
      <c r="L455" s="550"/>
      <c r="M455" s="550">
        <v>9711684</v>
      </c>
      <c r="N455" s="550"/>
      <c r="O455" s="550">
        <v>3084330</v>
      </c>
      <c r="P455" s="550"/>
      <c r="Q455" s="550">
        <v>7217812</v>
      </c>
      <c r="R455" s="550"/>
      <c r="S455" s="552">
        <v>6524493</v>
      </c>
      <c r="T455" s="552"/>
      <c r="U455" s="550">
        <v>13440380</v>
      </c>
      <c r="V455" s="550"/>
      <c r="W455" s="98"/>
      <c r="X455" s="98"/>
      <c r="Y455" s="98">
        <v>0</v>
      </c>
      <c r="Z455" s="98"/>
      <c r="AA455" s="98">
        <v>0</v>
      </c>
      <c r="AB455" s="98"/>
      <c r="AC455" s="98">
        <v>0</v>
      </c>
      <c r="AD455" s="98">
        <f>SUM(G455:AC455)</f>
        <v>56619001</v>
      </c>
    </row>
    <row r="456" spans="1:30" x14ac:dyDescent="0.25">
      <c r="A456" s="1">
        <v>453</v>
      </c>
      <c r="B456" s="18" t="s">
        <v>32</v>
      </c>
      <c r="F456" s="98"/>
      <c r="G456" s="98"/>
      <c r="H456" s="98"/>
      <c r="I456" s="98"/>
      <c r="J456" s="98"/>
      <c r="K456" s="98"/>
      <c r="L456" s="98"/>
      <c r="M456" s="98"/>
      <c r="N456" s="98"/>
      <c r="O456" s="98"/>
      <c r="P456" s="98"/>
      <c r="Q456" s="98"/>
      <c r="R456" s="98"/>
      <c r="S456" s="98"/>
      <c r="T456" s="98"/>
      <c r="U456" s="98"/>
      <c r="V456" s="98"/>
      <c r="W456" s="98"/>
      <c r="X456" s="98"/>
      <c r="Y456" s="98">
        <v>0</v>
      </c>
      <c r="Z456" s="98"/>
      <c r="AA456" s="98">
        <v>0</v>
      </c>
      <c r="AB456" s="98"/>
      <c r="AC456" s="98">
        <v>0</v>
      </c>
      <c r="AD456" s="98">
        <f t="shared" si="70"/>
        <v>0</v>
      </c>
    </row>
    <row r="457" spans="1:30" x14ac:dyDescent="0.25">
      <c r="A457" s="1">
        <v>454</v>
      </c>
      <c r="B457" s="19" t="s">
        <v>33</v>
      </c>
      <c r="F457" s="98"/>
      <c r="G457" s="550">
        <f>SUM(G455:G456)</f>
        <v>8993197</v>
      </c>
      <c r="H457" s="550"/>
      <c r="I457" s="550">
        <f t="shared" ref="I457:AC457" si="77">SUM(I455:I456)</f>
        <v>2815838</v>
      </c>
      <c r="J457" s="550"/>
      <c r="K457" s="550">
        <f t="shared" si="77"/>
        <v>4831267</v>
      </c>
      <c r="L457" s="550"/>
      <c r="M457" s="550">
        <f t="shared" si="77"/>
        <v>9711684</v>
      </c>
      <c r="N457" s="550"/>
      <c r="O457" s="550">
        <f t="shared" si="77"/>
        <v>3084330</v>
      </c>
      <c r="P457" s="550"/>
      <c r="Q457" s="550">
        <f t="shared" si="77"/>
        <v>7217812</v>
      </c>
      <c r="R457" s="550"/>
      <c r="S457" s="550">
        <f t="shared" si="77"/>
        <v>6524493</v>
      </c>
      <c r="T457" s="550"/>
      <c r="U457" s="550">
        <f t="shared" si="77"/>
        <v>13440380</v>
      </c>
      <c r="V457" s="550"/>
      <c r="W457" s="550">
        <f t="shared" si="77"/>
        <v>0</v>
      </c>
      <c r="X457" s="550"/>
      <c r="Y457" s="550">
        <f t="shared" si="77"/>
        <v>0</v>
      </c>
      <c r="Z457" s="550"/>
      <c r="AA457" s="550">
        <f t="shared" si="77"/>
        <v>0</v>
      </c>
      <c r="AB457" s="550"/>
      <c r="AC457" s="550">
        <f t="shared" si="77"/>
        <v>0</v>
      </c>
      <c r="AD457" s="98">
        <f t="shared" si="70"/>
        <v>56619001</v>
      </c>
    </row>
    <row r="458" spans="1:30" x14ac:dyDescent="0.25">
      <c r="A458" s="1">
        <v>455</v>
      </c>
      <c r="B458" s="31"/>
    </row>
    <row r="459" spans="1:30" x14ac:dyDescent="0.25">
      <c r="A459" s="1">
        <v>456</v>
      </c>
    </row>
    <row r="460" spans="1:30" x14ac:dyDescent="0.25">
      <c r="A460" s="1">
        <v>457</v>
      </c>
      <c r="G460" s="127">
        <f>SUM(G454,G433,G420,G409,G394,G380,G353,G334,G314,G300,G286,G272,G258,G244,G231,G202,G186,G166,G148,G133,G115,G90,G64,G40,G17)</f>
        <v>38286089.350000001</v>
      </c>
      <c r="I460" s="127">
        <f t="shared" ref="I460:AC460" si="78">SUM(I454,I433,I420,I409,I394,I380,I353,I334,I314,I300,I286,I272,I258,I244,I231,I202,I186,I166,I148,I133,I115,I90,I64,I40,I17)</f>
        <v>28095633.710000005</v>
      </c>
      <c r="K460" s="127">
        <f t="shared" si="78"/>
        <v>32334814.500000004</v>
      </c>
      <c r="M460" s="127">
        <f t="shared" si="78"/>
        <v>23211779.84</v>
      </c>
      <c r="O460" s="127">
        <f t="shared" si="78"/>
        <v>15408139.469999999</v>
      </c>
      <c r="Q460" s="127">
        <f t="shared" si="78"/>
        <v>10357646.68</v>
      </c>
      <c r="S460" s="127">
        <f t="shared" si="78"/>
        <v>8949393.209999999</v>
      </c>
      <c r="U460" s="127">
        <f t="shared" si="78"/>
        <v>8791614.660000002</v>
      </c>
      <c r="W460" s="127">
        <f t="shared" si="78"/>
        <v>8789180.8000000007</v>
      </c>
      <c r="Y460" s="127">
        <f t="shared" si="78"/>
        <v>12602932.339999998</v>
      </c>
      <c r="AA460" s="127">
        <f t="shared" si="78"/>
        <v>16605020.780000001</v>
      </c>
      <c r="AC460" s="127">
        <f t="shared" si="78"/>
        <v>26158379.919999998</v>
      </c>
    </row>
    <row r="461" spans="1:30" x14ac:dyDescent="0.25">
      <c r="A461" s="1">
        <v>458</v>
      </c>
      <c r="B461" s="1" t="s">
        <v>360</v>
      </c>
      <c r="G461" s="127">
        <v>38286089.350000001</v>
      </c>
      <c r="I461" s="127">
        <v>28095633.710000001</v>
      </c>
      <c r="K461" s="127">
        <v>32334814.5</v>
      </c>
      <c r="M461" s="127">
        <v>23211779.84</v>
      </c>
      <c r="O461" s="127">
        <v>15408139.470000001</v>
      </c>
      <c r="Q461" s="127">
        <v>10357646.68</v>
      </c>
      <c r="S461" s="127">
        <v>8949393.2100000009</v>
      </c>
      <c r="U461" s="127">
        <v>8791614.6600000001</v>
      </c>
      <c r="W461" s="127">
        <v>8789180.8000000007</v>
      </c>
      <c r="Y461" s="127">
        <v>12602932.34</v>
      </c>
      <c r="AA461" s="127">
        <v>16605020.779999999</v>
      </c>
      <c r="AC461" s="127">
        <v>26158379.920000002</v>
      </c>
    </row>
    <row r="462" spans="1:30" x14ac:dyDescent="0.25">
      <c r="A462" s="1">
        <v>459</v>
      </c>
      <c r="G462" s="127">
        <f>G460-G461</f>
        <v>0</v>
      </c>
      <c r="I462" s="127">
        <f t="shared" ref="I462:AC462" si="79">I460-I461</f>
        <v>0</v>
      </c>
      <c r="K462" s="127">
        <f t="shared" si="79"/>
        <v>0</v>
      </c>
      <c r="M462" s="127">
        <f t="shared" si="79"/>
        <v>0</v>
      </c>
      <c r="O462" s="127">
        <f t="shared" si="79"/>
        <v>0</v>
      </c>
      <c r="Q462" s="127">
        <f t="shared" si="79"/>
        <v>0</v>
      </c>
      <c r="S462" s="127">
        <f t="shared" si="79"/>
        <v>0</v>
      </c>
      <c r="U462" s="127">
        <f t="shared" si="79"/>
        <v>0</v>
      </c>
      <c r="W462" s="127">
        <f t="shared" si="79"/>
        <v>0</v>
      </c>
      <c r="Y462" s="127">
        <f t="shared" si="79"/>
        <v>0</v>
      </c>
      <c r="AA462" s="127">
        <f t="shared" si="79"/>
        <v>0</v>
      </c>
      <c r="AC462" s="127">
        <f t="shared" si="79"/>
        <v>0</v>
      </c>
    </row>
    <row r="463" spans="1:30" x14ac:dyDescent="0.25">
      <c r="A463" s="1">
        <v>460</v>
      </c>
      <c r="C463" s="196"/>
      <c r="D463" s="196"/>
    </row>
    <row r="464" spans="1:30" x14ac:dyDescent="0.25">
      <c r="C464"/>
      <c r="D464"/>
    </row>
    <row r="465" spans="2:5" x14ac:dyDescent="0.25">
      <c r="C465"/>
      <c r="D465"/>
    </row>
    <row r="466" spans="2:5" x14ac:dyDescent="0.25">
      <c r="C466"/>
      <c r="D466"/>
    </row>
    <row r="467" spans="2:5" x14ac:dyDescent="0.25">
      <c r="C467" s="197"/>
      <c r="D467" s="197"/>
    </row>
    <row r="468" spans="2:5" x14ac:dyDescent="0.25">
      <c r="C468"/>
      <c r="D468"/>
    </row>
    <row r="469" spans="2:5" x14ac:dyDescent="0.25">
      <c r="C469"/>
      <c r="D469"/>
    </row>
    <row r="470" spans="2:5" x14ac:dyDescent="0.25">
      <c r="C470"/>
      <c r="D470"/>
    </row>
    <row r="471" spans="2:5" x14ac:dyDescent="0.25">
      <c r="C471"/>
      <c r="D471"/>
    </row>
    <row r="472" spans="2:5" x14ac:dyDescent="0.25">
      <c r="C472"/>
      <c r="D472"/>
    </row>
    <row r="473" spans="2:5" x14ac:dyDescent="0.25">
      <c r="C473"/>
      <c r="D473"/>
    </row>
    <row r="474" spans="2:5" x14ac:dyDescent="0.25">
      <c r="C474"/>
      <c r="D474"/>
    </row>
    <row r="475" spans="2:5" x14ac:dyDescent="0.25">
      <c r="B475" s="195"/>
      <c r="C475" s="127"/>
      <c r="D475" s="127"/>
      <c r="E475" s="182"/>
    </row>
    <row r="476" spans="2:5" x14ac:dyDescent="0.25">
      <c r="B476" s="195"/>
      <c r="C476" s="127"/>
      <c r="D476" s="127"/>
      <c r="E476" s="182"/>
    </row>
    <row r="477" spans="2:5" x14ac:dyDescent="0.25">
      <c r="B477" s="195"/>
      <c r="C477" s="311"/>
      <c r="D477" s="311"/>
      <c r="E477" s="182"/>
    </row>
    <row r="478" spans="2:5" x14ac:dyDescent="0.25">
      <c r="B478"/>
      <c r="C478"/>
      <c r="D478"/>
      <c r="E478" s="182"/>
    </row>
    <row r="479" spans="2:5" x14ac:dyDescent="0.25">
      <c r="B479" s="195"/>
      <c r="C479" s="127"/>
      <c r="D479" s="127"/>
      <c r="E479" s="182"/>
    </row>
    <row r="480" spans="2:5" x14ac:dyDescent="0.25">
      <c r="B480"/>
      <c r="C480"/>
      <c r="D480"/>
      <c r="E480" s="182"/>
    </row>
    <row r="481" spans="2:5" x14ac:dyDescent="0.25">
      <c r="B481" s="240"/>
      <c r="C481"/>
      <c r="D481"/>
      <c r="E481" s="182"/>
    </row>
    <row r="482" spans="2:5" x14ac:dyDescent="0.25">
      <c r="B482" s="19"/>
      <c r="C482" s="127"/>
      <c r="D482" s="127"/>
      <c r="E482" s="182"/>
    </row>
    <row r="483" spans="2:5" x14ac:dyDescent="0.25">
      <c r="B483" s="19"/>
      <c r="C483" s="127"/>
      <c r="D483" s="127"/>
      <c r="E483" s="182"/>
    </row>
    <row r="484" spans="2:5" x14ac:dyDescent="0.25">
      <c r="B484" s="19"/>
      <c r="C484" s="127"/>
      <c r="D484" s="127"/>
      <c r="E484" s="182"/>
    </row>
    <row r="485" spans="2:5" x14ac:dyDescent="0.25">
      <c r="B485" s="19"/>
      <c r="C485" s="127"/>
      <c r="D485" s="127"/>
      <c r="E485" s="182"/>
    </row>
    <row r="486" spans="2:5" x14ac:dyDescent="0.25">
      <c r="B486" s="19"/>
      <c r="C486" s="127"/>
      <c r="D486" s="127"/>
      <c r="E486" s="182"/>
    </row>
    <row r="487" spans="2:5" x14ac:dyDescent="0.25">
      <c r="B487" s="33"/>
      <c r="C487" s="127"/>
      <c r="D487" s="127"/>
      <c r="E487" s="182"/>
    </row>
    <row r="488" spans="2:5" x14ac:dyDescent="0.25">
      <c r="B488" s="33"/>
      <c r="C488" s="127"/>
      <c r="D488" s="127"/>
      <c r="E488" s="182"/>
    </row>
    <row r="489" spans="2:5" x14ac:dyDescent="0.25">
      <c r="B489" s="33"/>
      <c r="C489" s="127"/>
      <c r="D489" s="127"/>
      <c r="E489" s="182"/>
    </row>
    <row r="490" spans="2:5" x14ac:dyDescent="0.25">
      <c r="B490" s="195"/>
      <c r="C490" s="127"/>
      <c r="D490" s="127"/>
    </row>
    <row r="491" spans="2:5" x14ac:dyDescent="0.25">
      <c r="B491" s="195"/>
      <c r="C491" s="127"/>
      <c r="D491" s="127"/>
      <c r="E491" s="182"/>
    </row>
    <row r="492" spans="2:5" x14ac:dyDescent="0.25">
      <c r="B492" s="195"/>
      <c r="C492" s="127"/>
      <c r="D492" s="127"/>
    </row>
    <row r="493" spans="2:5" x14ac:dyDescent="0.25">
      <c r="B493" s="195"/>
      <c r="C493" s="127"/>
      <c r="D493" s="127"/>
      <c r="E493" s="182"/>
    </row>
    <row r="494" spans="2:5" x14ac:dyDescent="0.25">
      <c r="B494" s="19"/>
      <c r="C494" s="127"/>
      <c r="D494" s="127"/>
      <c r="E494" s="182"/>
    </row>
    <row r="495" spans="2:5" x14ac:dyDescent="0.25">
      <c r="B495" s="195"/>
      <c r="C495" s="127"/>
      <c r="D495" s="127"/>
      <c r="E495" s="182"/>
    </row>
    <row r="496" spans="2:5" x14ac:dyDescent="0.25">
      <c r="B496" s="195"/>
      <c r="C496" s="127"/>
      <c r="D496" s="127"/>
      <c r="E496" s="182"/>
    </row>
    <row r="497" spans="2:41" x14ac:dyDescent="0.25">
      <c r="B497" s="195"/>
      <c r="C497" s="127"/>
      <c r="D497" s="127"/>
      <c r="E497" s="182"/>
    </row>
    <row r="498" spans="2:41" x14ac:dyDescent="0.25">
      <c r="B498" s="195"/>
      <c r="C498" s="127"/>
      <c r="D498" s="127"/>
      <c r="E498" s="182"/>
    </row>
    <row r="499" spans="2:41" x14ac:dyDescent="0.25">
      <c r="B499" s="195"/>
      <c r="C499" s="127"/>
      <c r="D499" s="127"/>
      <c r="E499" s="182"/>
    </row>
    <row r="500" spans="2:41" x14ac:dyDescent="0.25">
      <c r="B500" s="195"/>
      <c r="C500" s="127"/>
      <c r="D500" s="127"/>
      <c r="E500" s="182"/>
    </row>
    <row r="501" spans="2:41" x14ac:dyDescent="0.25">
      <c r="B501" s="195"/>
      <c r="C501" s="127"/>
      <c r="D501" s="127"/>
      <c r="E501" s="182"/>
    </row>
    <row r="502" spans="2:41" x14ac:dyDescent="0.25">
      <c r="B502" s="195"/>
      <c r="C502" s="127"/>
      <c r="D502" s="127"/>
      <c r="E502" s="182"/>
    </row>
    <row r="503" spans="2:41" x14ac:dyDescent="0.25">
      <c r="B503" s="195"/>
      <c r="C503" s="127"/>
      <c r="D503" s="127"/>
      <c r="E503" s="182"/>
    </row>
    <row r="504" spans="2:41" x14ac:dyDescent="0.25">
      <c r="B504" s="195"/>
      <c r="C504" s="127"/>
      <c r="D504" s="127"/>
      <c r="E504" s="182"/>
    </row>
    <row r="505" spans="2:41" x14ac:dyDescent="0.25">
      <c r="B505" s="195"/>
      <c r="C505" s="127"/>
      <c r="D505" s="127"/>
      <c r="E505" s="182"/>
      <c r="G505" s="1"/>
      <c r="I505" s="1"/>
      <c r="K505" s="1"/>
      <c r="M505" s="1"/>
      <c r="O505" s="1"/>
      <c r="Q505" s="1"/>
      <c r="S505" s="1"/>
      <c r="U505" s="1"/>
      <c r="W505" s="1"/>
      <c r="Y505" s="1"/>
      <c r="AA505" s="1"/>
      <c r="AC505" s="1"/>
      <c r="AD505" s="1"/>
      <c r="AE505" s="1"/>
      <c r="AF505" s="1"/>
      <c r="AG505" s="1"/>
      <c r="AH505" s="1"/>
      <c r="AI505" s="1"/>
      <c r="AJ505" s="1"/>
      <c r="AK505" s="1"/>
      <c r="AL505" s="1"/>
      <c r="AM505" s="1"/>
      <c r="AN505" s="1"/>
      <c r="AO505" s="1"/>
    </row>
    <row r="506" spans="2:41" x14ac:dyDescent="0.25">
      <c r="B506" s="195"/>
      <c r="C506" s="127"/>
      <c r="D506" s="127"/>
      <c r="E506" s="182"/>
    </row>
    <row r="507" spans="2:41" x14ac:dyDescent="0.25">
      <c r="B507" s="195"/>
      <c r="C507" s="127"/>
      <c r="D507" s="127"/>
      <c r="E507" s="182"/>
      <c r="G507" s="1"/>
      <c r="I507" s="1"/>
      <c r="K507" s="1"/>
      <c r="M507" s="1"/>
      <c r="O507" s="1"/>
      <c r="Q507" s="1"/>
      <c r="S507" s="1"/>
      <c r="U507" s="1"/>
      <c r="W507" s="1"/>
      <c r="Y507" s="1"/>
      <c r="AA507" s="1"/>
      <c r="AC507" s="1"/>
      <c r="AD507" s="1"/>
      <c r="AE507" s="1"/>
      <c r="AF507" s="1"/>
      <c r="AG507" s="1"/>
      <c r="AH507" s="1"/>
      <c r="AI507" s="1"/>
      <c r="AJ507" s="1"/>
      <c r="AK507" s="1"/>
      <c r="AL507" s="1"/>
      <c r="AM507" s="1"/>
      <c r="AN507" s="1"/>
      <c r="AO507" s="1"/>
    </row>
    <row r="508" spans="2:41" x14ac:dyDescent="0.25">
      <c r="B508" s="195"/>
      <c r="C508" s="127"/>
      <c r="D508" s="127"/>
      <c r="E508" s="182"/>
      <c r="G508" s="1"/>
      <c r="I508" s="1"/>
      <c r="K508" s="1"/>
      <c r="M508" s="1"/>
      <c r="O508" s="1"/>
      <c r="Q508" s="1"/>
      <c r="S508" s="1"/>
      <c r="U508" s="1"/>
      <c r="W508" s="1"/>
      <c r="Y508" s="1"/>
      <c r="AA508" s="1"/>
      <c r="AC508" s="1"/>
      <c r="AD508" s="1"/>
      <c r="AE508" s="1"/>
      <c r="AF508" s="1"/>
      <c r="AG508" s="1"/>
      <c r="AH508" s="1"/>
      <c r="AI508" s="1"/>
      <c r="AJ508" s="1"/>
      <c r="AK508" s="1"/>
      <c r="AL508" s="1"/>
      <c r="AM508" s="1"/>
      <c r="AN508" s="1"/>
      <c r="AO508" s="1"/>
    </row>
    <row r="509" spans="2:41" x14ac:dyDescent="0.25">
      <c r="B509" s="195"/>
      <c r="C509" s="127"/>
      <c r="D509" s="127"/>
      <c r="E509" s="182"/>
    </row>
    <row r="510" spans="2:41" x14ac:dyDescent="0.25">
      <c r="B510" s="195"/>
      <c r="C510" s="127"/>
      <c r="D510" s="127"/>
      <c r="E510" s="182"/>
    </row>
    <row r="511" spans="2:41" x14ac:dyDescent="0.25">
      <c r="B511" s="19"/>
      <c r="C511" s="127"/>
      <c r="D511" s="127"/>
      <c r="E511" s="182"/>
      <c r="F511" s="183"/>
      <c r="G511" s="302"/>
      <c r="H511" s="183"/>
      <c r="I511" s="302"/>
      <c r="J511" s="183"/>
      <c r="K511" s="302"/>
      <c r="L511" s="183"/>
      <c r="M511" s="302"/>
      <c r="N511" s="183"/>
      <c r="O511" s="302"/>
      <c r="P511" s="183"/>
      <c r="Q511" s="302"/>
      <c r="R511" s="183"/>
      <c r="S511" s="302"/>
      <c r="T511" s="183"/>
      <c r="V511" s="183"/>
      <c r="W511" s="302"/>
      <c r="AD511" s="310"/>
      <c r="AE511" s="310"/>
      <c r="AF511" s="310"/>
      <c r="AG511" s="302"/>
      <c r="AH511" s="302"/>
      <c r="AI511" s="302"/>
      <c r="AJ511" s="302"/>
      <c r="AL511" s="302"/>
    </row>
    <row r="512" spans="2:41" x14ac:dyDescent="0.25">
      <c r="B512" s="195"/>
      <c r="C512" s="127"/>
      <c r="D512" s="127"/>
      <c r="E512" s="182"/>
    </row>
    <row r="513" spans="2:5" x14ac:dyDescent="0.25">
      <c r="B513" s="195"/>
      <c r="C513" s="127"/>
      <c r="D513" s="127"/>
      <c r="E513" s="182"/>
    </row>
    <row r="514" spans="2:5" x14ac:dyDescent="0.25">
      <c r="B514" s="195"/>
      <c r="C514" s="127"/>
      <c r="D514" s="127"/>
      <c r="E514" s="182"/>
    </row>
    <row r="515" spans="2:5" x14ac:dyDescent="0.25">
      <c r="E515" s="182"/>
    </row>
    <row r="516" spans="2:5" x14ac:dyDescent="0.25">
      <c r="C516" s="182"/>
      <c r="D516" s="182"/>
      <c r="E516" s="182"/>
    </row>
    <row r="518" spans="2:5" x14ac:dyDescent="0.25">
      <c r="E518" s="182"/>
    </row>
    <row r="519" spans="2:5" x14ac:dyDescent="0.25">
      <c r="E519" s="182"/>
    </row>
    <row r="520" spans="2:5" x14ac:dyDescent="0.25">
      <c r="E520" s="182"/>
    </row>
    <row r="521" spans="2:5" x14ac:dyDescent="0.25">
      <c r="E521" s="182"/>
    </row>
    <row r="524" spans="2:5" x14ac:dyDescent="0.25">
      <c r="E524" s="182"/>
    </row>
    <row r="525" spans="2:5" x14ac:dyDescent="0.25">
      <c r="E525" s="182"/>
    </row>
  </sheetData>
  <printOptions horizontalCentered="1"/>
  <pageMargins left="0.5" right="0.5" top="1" bottom="0.75" header="0.5" footer="0.3"/>
  <pageSetup scale="40" fitToHeight="0" orientation="landscape" horizontalDpi="1200" verticalDpi="1200" r:id="rId1"/>
  <headerFooter scaleWithDoc="0">
    <oddHeader>&amp;C&amp;9Cascade Natural Gas Corporation
1501 Summary
IDM WP-1.1&amp;R&amp;9Page &amp;P of &amp;N</oddHeader>
    <oddFooter>&amp;L&amp;A</oddFooter>
  </headerFooter>
  <rowBreaks count="5" manualBreakCount="5">
    <brk id="68" max="30" man="1"/>
    <brk id="148" max="30" man="1"/>
    <brk id="223" max="30" man="1"/>
    <brk id="304" max="30" man="1"/>
    <brk id="390" max="30" man="1"/>
  </rowBreaks>
  <colBreaks count="1" manualBreakCount="1">
    <brk id="15" max="463"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529"/>
  <sheetViews>
    <sheetView zoomScale="60" zoomScaleNormal="60" workbookViewId="0">
      <pane xSplit="3" ySplit="4" topLeftCell="D5" activePane="bottomRight" state="frozen"/>
      <selection activeCell="A31" sqref="A31"/>
      <selection pane="topRight" activeCell="A31" sqref="A31"/>
      <selection pane="bottomLeft" activeCell="A31" sqref="A31"/>
      <selection pane="bottomRight" activeCell="D5" sqref="D5"/>
    </sheetView>
  </sheetViews>
  <sheetFormatPr defaultColWidth="7.5703125" defaultRowHeight="15" x14ac:dyDescent="0.25"/>
  <cols>
    <col min="1" max="1" width="7.5703125" style="6"/>
    <col min="2" max="2" width="12.5703125" style="6" bestFit="1" customWidth="1"/>
    <col min="3" max="3" width="26.85546875" style="6" customWidth="1"/>
    <col min="4" max="5" width="7.5703125" style="7" customWidth="1"/>
    <col min="6" max="6" width="18.5703125" style="6" bestFit="1" customWidth="1"/>
    <col min="7" max="7" width="16.85546875" style="6" bestFit="1" customWidth="1"/>
    <col min="8" max="8" width="16.42578125" style="6" bestFit="1" customWidth="1"/>
    <col min="9" max="9" width="16.85546875" style="6" bestFit="1" customWidth="1"/>
    <col min="10" max="15" width="16.5703125" style="6" bestFit="1" customWidth="1"/>
    <col min="16" max="17" width="16.85546875" style="6" bestFit="1" customWidth="1"/>
    <col min="18" max="18" width="18.140625" style="6" bestFit="1" customWidth="1"/>
    <col min="19" max="19" width="14.140625" style="6" customWidth="1"/>
    <col min="20" max="20" width="11.28515625" style="6" bestFit="1" customWidth="1"/>
    <col min="21" max="16384" width="7.5703125" style="6"/>
  </cols>
  <sheetData>
    <row r="1" spans="1:19" x14ac:dyDescent="0.25">
      <c r="B1" s="583" t="s">
        <v>726</v>
      </c>
      <c r="C1" s="583"/>
      <c r="D1" s="583"/>
      <c r="E1" s="583"/>
      <c r="F1" s="583"/>
      <c r="G1" s="583"/>
      <c r="H1" s="583"/>
      <c r="I1" s="583"/>
      <c r="J1" s="583"/>
      <c r="K1" s="583"/>
      <c r="L1" s="583"/>
      <c r="M1" s="583"/>
      <c r="N1" s="583"/>
      <c r="O1" s="583"/>
      <c r="P1" s="583"/>
      <c r="Q1" s="583"/>
      <c r="R1" s="583"/>
    </row>
    <row r="2" spans="1:19" x14ac:dyDescent="0.25">
      <c r="A2" s="15" t="s">
        <v>731</v>
      </c>
      <c r="F2" s="8" t="s">
        <v>137</v>
      </c>
      <c r="G2" s="8" t="s">
        <v>136</v>
      </c>
      <c r="H2" s="8" t="s">
        <v>135</v>
      </c>
      <c r="I2" s="8" t="s">
        <v>134</v>
      </c>
      <c r="J2" s="8" t="s">
        <v>133</v>
      </c>
      <c r="K2" s="8" t="s">
        <v>132</v>
      </c>
      <c r="L2" s="8" t="s">
        <v>131</v>
      </c>
      <c r="M2" s="8" t="s">
        <v>130</v>
      </c>
      <c r="N2" s="8" t="s">
        <v>129</v>
      </c>
      <c r="O2" s="8" t="s">
        <v>128</v>
      </c>
      <c r="P2" s="8" t="s">
        <v>127</v>
      </c>
      <c r="Q2" s="8" t="s">
        <v>126</v>
      </c>
    </row>
    <row r="3" spans="1:19" x14ac:dyDescent="0.25">
      <c r="A3" s="6">
        <v>1</v>
      </c>
      <c r="C3" s="548" t="s">
        <v>374</v>
      </c>
      <c r="D3" s="548" t="s">
        <v>375</v>
      </c>
      <c r="E3" s="548" t="s">
        <v>34</v>
      </c>
      <c r="F3" s="548" t="s">
        <v>35</v>
      </c>
      <c r="G3" s="548" t="s">
        <v>37</v>
      </c>
      <c r="H3" s="548" t="s">
        <v>39</v>
      </c>
      <c r="I3" s="548" t="s">
        <v>50</v>
      </c>
      <c r="J3" s="548" t="s">
        <v>51</v>
      </c>
      <c r="K3" s="548" t="s">
        <v>79</v>
      </c>
      <c r="L3" s="549" t="s">
        <v>52</v>
      </c>
      <c r="M3" s="548" t="s">
        <v>41</v>
      </c>
      <c r="N3" s="548" t="s">
        <v>43</v>
      </c>
      <c r="O3" s="548" t="s">
        <v>44</v>
      </c>
      <c r="P3" s="549" t="s">
        <v>386</v>
      </c>
      <c r="Q3" s="548" t="s">
        <v>388</v>
      </c>
      <c r="R3" s="548" t="s">
        <v>616</v>
      </c>
    </row>
    <row r="4" spans="1:19" x14ac:dyDescent="0.25">
      <c r="A4" s="6">
        <v>2</v>
      </c>
      <c r="F4" s="29">
        <v>43101</v>
      </c>
      <c r="G4" s="29">
        <v>43132</v>
      </c>
      <c r="H4" s="29">
        <v>43160</v>
      </c>
      <c r="I4" s="29">
        <v>43191</v>
      </c>
      <c r="J4" s="29">
        <v>43221</v>
      </c>
      <c r="K4" s="29">
        <v>43252</v>
      </c>
      <c r="L4" s="29">
        <v>43282</v>
      </c>
      <c r="M4" s="29">
        <v>43313</v>
      </c>
      <c r="N4" s="29">
        <v>43344</v>
      </c>
      <c r="O4" s="29">
        <v>43374</v>
      </c>
      <c r="P4" s="29">
        <v>43405</v>
      </c>
      <c r="Q4" s="29">
        <v>43435</v>
      </c>
      <c r="R4" s="9" t="s">
        <v>26</v>
      </c>
    </row>
    <row r="5" spans="1:19" x14ac:dyDescent="0.25">
      <c r="A5" s="6">
        <v>3</v>
      </c>
      <c r="B5" s="6" t="s">
        <v>27</v>
      </c>
      <c r="C5" s="15" t="s">
        <v>125</v>
      </c>
      <c r="D5" s="7" t="s">
        <v>34</v>
      </c>
      <c r="E5" s="7">
        <v>63</v>
      </c>
      <c r="F5" s="28"/>
      <c r="G5" s="28"/>
      <c r="H5" s="28"/>
      <c r="I5" s="28"/>
      <c r="J5" s="28"/>
      <c r="K5" s="28"/>
      <c r="L5" s="28"/>
      <c r="M5" s="28"/>
      <c r="N5" s="28"/>
      <c r="O5" s="28"/>
      <c r="P5" s="28"/>
      <c r="Q5" s="28"/>
    </row>
    <row r="6" spans="1:19" x14ac:dyDescent="0.25">
      <c r="A6" s="6">
        <v>4</v>
      </c>
      <c r="C6" s="6" t="s">
        <v>31</v>
      </c>
      <c r="D6" s="7" t="s">
        <v>35</v>
      </c>
      <c r="E6" s="7">
        <v>63</v>
      </c>
      <c r="F6" s="49">
        <v>101143</v>
      </c>
      <c r="G6" s="49">
        <v>76835</v>
      </c>
      <c r="H6" s="49">
        <v>91997</v>
      </c>
      <c r="I6" s="49">
        <v>56470</v>
      </c>
      <c r="J6" s="49">
        <v>28538</v>
      </c>
      <c r="K6" s="49">
        <v>10206</v>
      </c>
      <c r="L6" s="49">
        <v>4948</v>
      </c>
      <c r="M6" s="49">
        <v>566</v>
      </c>
      <c r="N6" s="49">
        <v>0</v>
      </c>
      <c r="O6" s="49">
        <v>0</v>
      </c>
      <c r="P6" s="49">
        <v>0</v>
      </c>
      <c r="Q6" s="49">
        <v>0</v>
      </c>
      <c r="R6" s="49">
        <f t="shared" ref="R6:R19" si="0">SUM(F6:Q6)</f>
        <v>370703</v>
      </c>
      <c r="S6" s="11"/>
    </row>
    <row r="7" spans="1:19" x14ac:dyDescent="0.25">
      <c r="A7" s="6">
        <v>5</v>
      </c>
      <c r="C7" s="6" t="s">
        <v>36</v>
      </c>
      <c r="D7" s="7" t="s">
        <v>37</v>
      </c>
      <c r="E7" s="7">
        <v>63</v>
      </c>
      <c r="F7" s="49">
        <v>0</v>
      </c>
      <c r="G7" s="49">
        <v>0</v>
      </c>
      <c r="H7" s="49">
        <v>0</v>
      </c>
      <c r="I7" s="49">
        <v>0</v>
      </c>
      <c r="J7" s="49">
        <v>0</v>
      </c>
      <c r="K7" s="49">
        <v>0</v>
      </c>
      <c r="L7" s="49">
        <v>0</v>
      </c>
      <c r="M7" s="49">
        <v>0</v>
      </c>
      <c r="N7" s="49">
        <v>0</v>
      </c>
      <c r="O7" s="49">
        <v>0</v>
      </c>
      <c r="P7" s="49">
        <v>0</v>
      </c>
      <c r="Q7" s="49">
        <v>0</v>
      </c>
      <c r="R7" s="49">
        <f t="shared" si="0"/>
        <v>0</v>
      </c>
      <c r="S7" s="11"/>
    </row>
    <row r="8" spans="1:19" x14ac:dyDescent="0.25">
      <c r="A8" s="6">
        <v>6</v>
      </c>
      <c r="C8" s="6" t="s">
        <v>38</v>
      </c>
      <c r="D8" s="7" t="s">
        <v>39</v>
      </c>
      <c r="E8" s="7">
        <v>63</v>
      </c>
      <c r="F8" s="49">
        <v>0</v>
      </c>
      <c r="G8" s="49">
        <v>0</v>
      </c>
      <c r="H8" s="49">
        <v>0</v>
      </c>
      <c r="I8" s="49">
        <v>0</v>
      </c>
      <c r="J8" s="49">
        <v>0</v>
      </c>
      <c r="K8" s="49">
        <v>0</v>
      </c>
      <c r="L8" s="49">
        <v>0</v>
      </c>
      <c r="M8" s="49">
        <v>0</v>
      </c>
      <c r="N8" s="49">
        <v>0</v>
      </c>
      <c r="O8" s="49">
        <v>0</v>
      </c>
      <c r="P8" s="49">
        <v>0</v>
      </c>
      <c r="Q8" s="49">
        <v>0</v>
      </c>
      <c r="R8" s="49">
        <f t="shared" si="0"/>
        <v>0</v>
      </c>
      <c r="S8" s="11"/>
    </row>
    <row r="9" spans="1:19" x14ac:dyDescent="0.25">
      <c r="A9" s="6">
        <v>7</v>
      </c>
      <c r="C9" s="6" t="s">
        <v>40</v>
      </c>
      <c r="D9" s="7" t="s">
        <v>41</v>
      </c>
      <c r="E9" s="7">
        <v>63</v>
      </c>
      <c r="F9" s="49">
        <v>0</v>
      </c>
      <c r="G9" s="49">
        <v>0</v>
      </c>
      <c r="H9" s="49">
        <v>0</v>
      </c>
      <c r="I9" s="49">
        <v>0</v>
      </c>
      <c r="J9" s="49">
        <v>0</v>
      </c>
      <c r="K9" s="49">
        <v>0</v>
      </c>
      <c r="L9" s="49">
        <v>0</v>
      </c>
      <c r="M9" s="49">
        <v>0</v>
      </c>
      <c r="N9" s="49">
        <v>0</v>
      </c>
      <c r="O9" s="49">
        <v>0</v>
      </c>
      <c r="P9" s="49">
        <v>0</v>
      </c>
      <c r="Q9" s="49">
        <v>0</v>
      </c>
      <c r="R9" s="49">
        <f t="shared" si="0"/>
        <v>0</v>
      </c>
      <c r="S9" s="11"/>
    </row>
    <row r="10" spans="1:19" x14ac:dyDescent="0.25">
      <c r="A10" s="6">
        <v>8</v>
      </c>
      <c r="C10" s="6" t="s">
        <v>42</v>
      </c>
      <c r="D10" s="7" t="s">
        <v>43</v>
      </c>
      <c r="E10" s="7">
        <v>63</v>
      </c>
      <c r="F10" s="49">
        <v>0</v>
      </c>
      <c r="G10" s="49">
        <v>0</v>
      </c>
      <c r="H10" s="49">
        <v>0</v>
      </c>
      <c r="I10" s="49">
        <v>0</v>
      </c>
      <c r="J10" s="49">
        <v>0</v>
      </c>
      <c r="K10" s="49">
        <v>0</v>
      </c>
      <c r="L10" s="49">
        <v>0</v>
      </c>
      <c r="M10" s="49">
        <v>0</v>
      </c>
      <c r="N10" s="49">
        <v>0</v>
      </c>
      <c r="O10" s="49">
        <v>0</v>
      </c>
      <c r="P10" s="49">
        <v>0</v>
      </c>
      <c r="Q10" s="49">
        <v>0</v>
      </c>
      <c r="R10" s="49">
        <f t="shared" si="0"/>
        <v>0</v>
      </c>
      <c r="S10" s="11"/>
    </row>
    <row r="11" spans="1:19" x14ac:dyDescent="0.25">
      <c r="A11" s="6">
        <v>9</v>
      </c>
      <c r="C11" s="6" t="s">
        <v>33</v>
      </c>
      <c r="D11" s="7" t="s">
        <v>44</v>
      </c>
      <c r="E11" s="7">
        <v>63</v>
      </c>
      <c r="F11" s="49">
        <v>101143</v>
      </c>
      <c r="G11" s="49">
        <v>76835</v>
      </c>
      <c r="H11" s="49">
        <v>91997</v>
      </c>
      <c r="I11" s="49">
        <v>56470</v>
      </c>
      <c r="J11" s="49">
        <v>28538</v>
      </c>
      <c r="K11" s="49">
        <v>10206</v>
      </c>
      <c r="L11" s="49">
        <v>4948</v>
      </c>
      <c r="M11" s="49">
        <v>566</v>
      </c>
      <c r="N11" s="49">
        <v>0</v>
      </c>
      <c r="O11" s="49">
        <v>0</v>
      </c>
      <c r="P11" s="49">
        <v>0</v>
      </c>
      <c r="Q11" s="49">
        <v>0</v>
      </c>
      <c r="R11" s="49">
        <f t="shared" si="0"/>
        <v>370703</v>
      </c>
      <c r="S11" s="11"/>
    </row>
    <row r="12" spans="1:19" x14ac:dyDescent="0.25">
      <c r="A12" s="6">
        <v>10</v>
      </c>
      <c r="C12" s="10" t="s">
        <v>45</v>
      </c>
      <c r="F12" s="49"/>
      <c r="G12" s="49"/>
      <c r="H12" s="49"/>
      <c r="I12" s="49"/>
      <c r="J12" s="49"/>
      <c r="K12" s="49"/>
      <c r="L12" s="49"/>
      <c r="M12" s="49"/>
      <c r="N12" s="49"/>
      <c r="O12" s="49"/>
      <c r="P12" s="49"/>
      <c r="Q12" s="49"/>
      <c r="R12" s="49">
        <f t="shared" si="0"/>
        <v>0</v>
      </c>
      <c r="S12" s="11"/>
    </row>
    <row r="13" spans="1:19" x14ac:dyDescent="0.25">
      <c r="A13" s="6">
        <v>11</v>
      </c>
      <c r="C13" s="6" t="s">
        <v>46</v>
      </c>
      <c r="D13" s="7" t="s">
        <v>35</v>
      </c>
      <c r="E13" s="7">
        <v>107</v>
      </c>
      <c r="F13" s="49">
        <v>79757.960000000006</v>
      </c>
      <c r="G13" s="49">
        <v>63142.18</v>
      </c>
      <c r="H13" s="98">
        <v>73644.289999999994</v>
      </c>
      <c r="I13" s="5">
        <v>48859.87</v>
      </c>
      <c r="J13" s="49">
        <v>29458.720000000001</v>
      </c>
      <c r="K13" s="49">
        <v>16682.939999999999</v>
      </c>
      <c r="L13" s="49">
        <v>13593.92</v>
      </c>
      <c r="M13" s="49">
        <v>2307.9</v>
      </c>
      <c r="N13" s="49">
        <v>0</v>
      </c>
      <c r="O13" s="49">
        <v>0</v>
      </c>
      <c r="P13" s="49">
        <v>0</v>
      </c>
      <c r="Q13" s="49">
        <v>0</v>
      </c>
      <c r="R13" s="49">
        <f t="shared" si="0"/>
        <v>327447.78000000003</v>
      </c>
      <c r="S13" s="11"/>
    </row>
    <row r="14" spans="1:19" x14ac:dyDescent="0.25">
      <c r="A14" s="6">
        <v>12</v>
      </c>
      <c r="C14" s="6" t="s">
        <v>47</v>
      </c>
      <c r="D14" s="7" t="s">
        <v>37</v>
      </c>
      <c r="E14" s="7">
        <v>107</v>
      </c>
      <c r="F14" s="49">
        <v>0</v>
      </c>
      <c r="G14" s="49">
        <v>0</v>
      </c>
      <c r="H14" s="49">
        <v>0</v>
      </c>
      <c r="I14" s="49">
        <v>0</v>
      </c>
      <c r="J14" s="49">
        <v>0</v>
      </c>
      <c r="K14" s="49">
        <v>0</v>
      </c>
      <c r="L14" s="49">
        <v>0</v>
      </c>
      <c r="M14" s="49">
        <v>0</v>
      </c>
      <c r="N14" s="49">
        <v>0</v>
      </c>
      <c r="O14" s="49">
        <v>0</v>
      </c>
      <c r="P14" s="49">
        <v>0</v>
      </c>
      <c r="Q14" s="49">
        <v>0</v>
      </c>
      <c r="R14" s="49">
        <f t="shared" si="0"/>
        <v>0</v>
      </c>
      <c r="S14" s="11"/>
    </row>
    <row r="15" spans="1:19" x14ac:dyDescent="0.25">
      <c r="A15" s="6">
        <v>13</v>
      </c>
      <c r="C15" s="6" t="s">
        <v>48</v>
      </c>
      <c r="D15" s="7" t="s">
        <v>39</v>
      </c>
      <c r="E15" s="7">
        <v>107</v>
      </c>
      <c r="F15" s="49">
        <v>0</v>
      </c>
      <c r="G15" s="49">
        <v>0</v>
      </c>
      <c r="H15" s="49">
        <v>0</v>
      </c>
      <c r="I15" s="49">
        <v>0</v>
      </c>
      <c r="J15" s="49">
        <v>0</v>
      </c>
      <c r="K15" s="49">
        <v>0</v>
      </c>
      <c r="L15" s="49">
        <v>0</v>
      </c>
      <c r="M15" s="49">
        <v>0</v>
      </c>
      <c r="N15" s="49">
        <v>0</v>
      </c>
      <c r="O15" s="49">
        <v>0</v>
      </c>
      <c r="P15" s="49">
        <v>0</v>
      </c>
      <c r="Q15" s="49">
        <v>0</v>
      </c>
      <c r="R15" s="49">
        <f t="shared" si="0"/>
        <v>0</v>
      </c>
      <c r="S15" s="11"/>
    </row>
    <row r="16" spans="1:19" x14ac:dyDescent="0.25">
      <c r="A16" s="6">
        <v>14</v>
      </c>
      <c r="C16" s="6" t="s">
        <v>49</v>
      </c>
      <c r="D16" s="7" t="s">
        <v>50</v>
      </c>
      <c r="E16" s="7">
        <v>107</v>
      </c>
      <c r="F16" s="49">
        <v>-1762.34</v>
      </c>
      <c r="G16" s="49">
        <v>-664.64</v>
      </c>
      <c r="H16" s="49">
        <v>-3200.18</v>
      </c>
      <c r="I16" s="49">
        <v>-1936.86</v>
      </c>
      <c r="J16" s="49">
        <v>-798.71</v>
      </c>
      <c r="K16" s="49">
        <v>-25.68</v>
      </c>
      <c r="L16" s="49">
        <v>83.92</v>
      </c>
      <c r="M16" s="49">
        <v>0</v>
      </c>
      <c r="N16" s="49">
        <v>0</v>
      </c>
      <c r="O16" s="49">
        <v>0</v>
      </c>
      <c r="P16" s="49">
        <v>0</v>
      </c>
      <c r="Q16" s="49">
        <v>0</v>
      </c>
      <c r="R16" s="49">
        <f t="shared" si="0"/>
        <v>-8304.49</v>
      </c>
      <c r="S16" s="11"/>
    </row>
    <row r="17" spans="1:19" x14ac:dyDescent="0.25">
      <c r="A17" s="6">
        <v>15</v>
      </c>
      <c r="C17" s="27" t="s">
        <v>278</v>
      </c>
      <c r="D17" s="7" t="s">
        <v>51</v>
      </c>
      <c r="E17" s="7">
        <v>107</v>
      </c>
      <c r="F17" s="49">
        <v>-139.58000000000001</v>
      </c>
      <c r="G17" s="49">
        <v>-106.04</v>
      </c>
      <c r="H17" s="49">
        <v>-127.02</v>
      </c>
      <c r="I17" s="49">
        <v>-77.86</v>
      </c>
      <c r="J17" s="49">
        <v>-39.380000000000003</v>
      </c>
      <c r="K17" s="49">
        <v>-14.09</v>
      </c>
      <c r="L17" s="49">
        <v>-6.82</v>
      </c>
      <c r="M17" s="49">
        <v>0</v>
      </c>
      <c r="N17" s="49">
        <v>0</v>
      </c>
      <c r="O17" s="49">
        <v>0</v>
      </c>
      <c r="P17" s="49">
        <v>0</v>
      </c>
      <c r="Q17" s="49">
        <v>0</v>
      </c>
      <c r="R17" s="49">
        <f t="shared" si="0"/>
        <v>-510.78999999999996</v>
      </c>
      <c r="S17" s="11"/>
    </row>
    <row r="18" spans="1:19" x14ac:dyDescent="0.25">
      <c r="A18" s="6">
        <v>16</v>
      </c>
      <c r="C18" s="6" t="s">
        <v>80</v>
      </c>
      <c r="D18" s="7" t="s">
        <v>79</v>
      </c>
      <c r="E18" s="7">
        <v>107</v>
      </c>
      <c r="F18" s="49">
        <v>0</v>
      </c>
      <c r="G18" s="49">
        <v>0</v>
      </c>
      <c r="H18" s="49">
        <v>0</v>
      </c>
      <c r="I18" s="49">
        <v>0</v>
      </c>
      <c r="J18" s="49">
        <v>0</v>
      </c>
      <c r="K18" s="49">
        <v>0</v>
      </c>
      <c r="L18" s="49">
        <v>0</v>
      </c>
      <c r="M18" s="49">
        <v>0</v>
      </c>
      <c r="N18" s="49">
        <v>0</v>
      </c>
      <c r="O18" s="49">
        <v>0</v>
      </c>
      <c r="P18" s="49">
        <v>0</v>
      </c>
      <c r="Q18" s="49">
        <v>0</v>
      </c>
      <c r="R18" s="49">
        <f t="shared" si="0"/>
        <v>0</v>
      </c>
      <c r="S18" s="11"/>
    </row>
    <row r="19" spans="1:19" x14ac:dyDescent="0.25">
      <c r="A19" s="6">
        <v>17</v>
      </c>
      <c r="C19" s="6" t="s">
        <v>13</v>
      </c>
      <c r="D19" s="7" t="s">
        <v>52</v>
      </c>
      <c r="E19" s="7">
        <v>107</v>
      </c>
      <c r="F19" s="49">
        <v>6.18</v>
      </c>
      <c r="G19" s="49">
        <v>-0.79</v>
      </c>
      <c r="H19" s="49">
        <v>-0.21</v>
      </c>
      <c r="I19" s="49">
        <v>1.82</v>
      </c>
      <c r="J19" s="49">
        <v>4.53</v>
      </c>
      <c r="K19" s="49">
        <v>0.96</v>
      </c>
      <c r="L19" s="49">
        <v>0.05</v>
      </c>
      <c r="M19" s="49">
        <v>0</v>
      </c>
      <c r="N19" s="49">
        <v>0.01</v>
      </c>
      <c r="O19" s="49">
        <v>-0.01</v>
      </c>
      <c r="P19" s="49"/>
      <c r="Q19" s="49">
        <v>0</v>
      </c>
      <c r="R19" s="49">
        <f t="shared" si="0"/>
        <v>12.540000000000003</v>
      </c>
      <c r="S19" s="11"/>
    </row>
    <row r="20" spans="1:19" x14ac:dyDescent="0.25">
      <c r="A20" s="6">
        <v>18</v>
      </c>
      <c r="C20" s="6" t="s">
        <v>53</v>
      </c>
      <c r="D20" s="7" t="s">
        <v>41</v>
      </c>
      <c r="E20" s="7">
        <v>107</v>
      </c>
      <c r="F20" s="49">
        <v>0</v>
      </c>
      <c r="G20" s="49">
        <v>0</v>
      </c>
      <c r="H20" s="49">
        <v>0</v>
      </c>
      <c r="I20" s="49">
        <v>0</v>
      </c>
      <c r="J20" s="49">
        <v>0</v>
      </c>
      <c r="K20" s="49">
        <v>0</v>
      </c>
      <c r="L20" s="49">
        <v>0</v>
      </c>
      <c r="M20" s="49">
        <v>0</v>
      </c>
      <c r="N20" s="49">
        <v>0</v>
      </c>
      <c r="O20" s="49">
        <v>0</v>
      </c>
      <c r="P20" s="49">
        <v>0</v>
      </c>
      <c r="Q20" s="49">
        <v>0</v>
      </c>
      <c r="R20" s="49">
        <f>SUM(F20:Q20)</f>
        <v>0</v>
      </c>
      <c r="S20" s="11"/>
    </row>
    <row r="21" spans="1:19" x14ac:dyDescent="0.25">
      <c r="A21" s="6">
        <v>19</v>
      </c>
      <c r="C21" s="6" t="s">
        <v>54</v>
      </c>
      <c r="D21" s="7" t="s">
        <v>43</v>
      </c>
      <c r="E21" s="7">
        <v>107</v>
      </c>
      <c r="F21" s="49">
        <v>0</v>
      </c>
      <c r="G21" s="49">
        <v>0</v>
      </c>
      <c r="H21" s="49">
        <v>0</v>
      </c>
      <c r="I21" s="49">
        <v>0</v>
      </c>
      <c r="J21" s="49">
        <v>0</v>
      </c>
      <c r="K21" s="49">
        <v>0</v>
      </c>
      <c r="L21" s="49">
        <v>0</v>
      </c>
      <c r="M21" s="49">
        <v>0</v>
      </c>
      <c r="N21" s="49">
        <v>0</v>
      </c>
      <c r="O21" s="49">
        <v>0</v>
      </c>
      <c r="P21" s="49">
        <v>0</v>
      </c>
      <c r="Q21" s="49">
        <v>0</v>
      </c>
      <c r="R21" s="49">
        <f>SUM(F21:Q21)</f>
        <v>0</v>
      </c>
      <c r="S21" s="11"/>
    </row>
    <row r="22" spans="1:19" x14ac:dyDescent="0.25">
      <c r="A22" s="6">
        <v>20</v>
      </c>
      <c r="C22" s="6" t="s">
        <v>30</v>
      </c>
      <c r="D22" s="7" t="s">
        <v>44</v>
      </c>
      <c r="E22" s="7">
        <v>107</v>
      </c>
      <c r="F22" s="49">
        <f>SUM(F13:F21)</f>
        <v>77862.22</v>
      </c>
      <c r="G22" s="49">
        <f t="shared" ref="G22:Q22" si="1">SUM(G13:G21)</f>
        <v>62370.71</v>
      </c>
      <c r="H22" s="49">
        <f t="shared" si="1"/>
        <v>70316.87999999999</v>
      </c>
      <c r="I22" s="49">
        <f t="shared" si="1"/>
        <v>46846.97</v>
      </c>
      <c r="J22" s="49">
        <f t="shared" si="1"/>
        <v>28625.16</v>
      </c>
      <c r="K22" s="49">
        <f t="shared" si="1"/>
        <v>16644.129999999997</v>
      </c>
      <c r="L22" s="49">
        <f t="shared" si="1"/>
        <v>13671.07</v>
      </c>
      <c r="M22" s="49">
        <f t="shared" si="1"/>
        <v>2307.9</v>
      </c>
      <c r="N22" s="49">
        <f t="shared" si="1"/>
        <v>0.01</v>
      </c>
      <c r="O22" s="49">
        <f t="shared" si="1"/>
        <v>-0.01</v>
      </c>
      <c r="P22" s="49">
        <f t="shared" si="1"/>
        <v>0</v>
      </c>
      <c r="Q22" s="49">
        <f t="shared" si="1"/>
        <v>0</v>
      </c>
      <c r="R22" s="49">
        <f>SUM(F22:Q22)</f>
        <v>318645.04000000004</v>
      </c>
      <c r="S22" s="11"/>
    </row>
    <row r="23" spans="1:19" x14ac:dyDescent="0.25">
      <c r="A23" s="6">
        <v>21</v>
      </c>
      <c r="C23" s="10" t="s">
        <v>45</v>
      </c>
      <c r="F23" s="49"/>
      <c r="G23" s="49"/>
      <c r="H23" s="49"/>
      <c r="I23" s="49"/>
      <c r="J23" s="49"/>
      <c r="K23" s="49"/>
      <c r="L23" s="49"/>
      <c r="M23" s="49"/>
      <c r="N23" s="49"/>
      <c r="O23" s="49"/>
      <c r="P23" s="49"/>
      <c r="Q23" s="49"/>
      <c r="R23" s="49"/>
      <c r="S23" s="11"/>
    </row>
    <row r="24" spans="1:19" x14ac:dyDescent="0.25">
      <c r="A24" s="6">
        <v>22</v>
      </c>
      <c r="F24" s="50"/>
      <c r="G24" s="50"/>
      <c r="H24" s="50"/>
      <c r="I24" s="50"/>
      <c r="J24" s="50"/>
      <c r="K24" s="50"/>
      <c r="L24" s="50"/>
      <c r="M24" s="50"/>
      <c r="N24" s="50"/>
      <c r="O24" s="50"/>
      <c r="P24" s="50"/>
      <c r="Q24" s="50"/>
      <c r="R24" s="49"/>
      <c r="S24" s="11"/>
    </row>
    <row r="25" spans="1:19" x14ac:dyDescent="0.25">
      <c r="A25" s="6">
        <v>23</v>
      </c>
      <c r="B25" s="6" t="s">
        <v>27</v>
      </c>
      <c r="C25" s="15" t="s">
        <v>124</v>
      </c>
      <c r="D25" s="7" t="s">
        <v>34</v>
      </c>
      <c r="E25" s="7">
        <v>64</v>
      </c>
      <c r="F25" s="52"/>
      <c r="G25" s="52"/>
      <c r="H25" s="52"/>
      <c r="I25" s="52"/>
      <c r="J25" s="52"/>
      <c r="K25" s="52"/>
      <c r="L25" s="52"/>
      <c r="M25" s="52"/>
      <c r="N25" s="52"/>
      <c r="O25" s="52"/>
      <c r="P25" s="52"/>
      <c r="Q25" s="52"/>
      <c r="R25" s="49"/>
      <c r="S25" s="11"/>
    </row>
    <row r="26" spans="1:19" x14ac:dyDescent="0.25">
      <c r="A26" s="6">
        <v>24</v>
      </c>
      <c r="C26" s="6" t="s">
        <v>31</v>
      </c>
      <c r="D26" s="7" t="s">
        <v>35</v>
      </c>
      <c r="E26" s="7">
        <v>64</v>
      </c>
      <c r="F26" s="49">
        <v>22509354</v>
      </c>
      <c r="G26" s="49">
        <v>15853594</v>
      </c>
      <c r="H26" s="49">
        <v>18788639</v>
      </c>
      <c r="I26" s="49">
        <v>12498389</v>
      </c>
      <c r="J26" s="49">
        <v>7376446</v>
      </c>
      <c r="K26" s="49">
        <v>4008784</v>
      </c>
      <c r="L26" s="49">
        <v>3117860</v>
      </c>
      <c r="M26" s="49">
        <v>2714543</v>
      </c>
      <c r="N26" s="49">
        <v>2809188</v>
      </c>
      <c r="O26" s="49">
        <v>5307116</v>
      </c>
      <c r="P26" s="49">
        <v>8960930</v>
      </c>
      <c r="Q26" s="49">
        <v>17031202</v>
      </c>
      <c r="R26" s="49">
        <f t="shared" ref="R26:R42" si="2">SUM(F26:Q26)</f>
        <v>120976045</v>
      </c>
      <c r="S26" s="11"/>
    </row>
    <row r="27" spans="1:19" x14ac:dyDescent="0.25">
      <c r="A27" s="6">
        <v>25</v>
      </c>
      <c r="C27" s="6" t="s">
        <v>36</v>
      </c>
      <c r="D27" s="7" t="s">
        <v>37</v>
      </c>
      <c r="E27" s="7">
        <v>64</v>
      </c>
      <c r="F27" s="49">
        <v>12394705</v>
      </c>
      <c r="G27" s="49">
        <v>14191411</v>
      </c>
      <c r="H27" s="49">
        <v>9771873</v>
      </c>
      <c r="I27" s="49">
        <v>6423644</v>
      </c>
      <c r="J27" s="49">
        <v>3061183</v>
      </c>
      <c r="K27" s="49">
        <v>2628458</v>
      </c>
      <c r="L27" s="49">
        <v>2376801</v>
      </c>
      <c r="M27" s="49">
        <v>1072372</v>
      </c>
      <c r="N27" s="49">
        <v>1999718</v>
      </c>
      <c r="O27" s="49">
        <v>4772036</v>
      </c>
      <c r="P27" s="49">
        <v>11306377</v>
      </c>
      <c r="Q27" s="49">
        <v>13675573</v>
      </c>
      <c r="R27" s="49">
        <f t="shared" si="2"/>
        <v>83674151</v>
      </c>
      <c r="S27" s="11"/>
    </row>
    <row r="28" spans="1:19" x14ac:dyDescent="0.25">
      <c r="A28" s="6">
        <v>26</v>
      </c>
      <c r="C28" s="6" t="s">
        <v>38</v>
      </c>
      <c r="D28" s="7" t="s">
        <v>39</v>
      </c>
      <c r="E28" s="7">
        <v>64</v>
      </c>
      <c r="F28" s="49">
        <v>-16210590</v>
      </c>
      <c r="G28" s="49">
        <v>-12394705</v>
      </c>
      <c r="H28" s="49">
        <v>-14191411</v>
      </c>
      <c r="I28" s="49">
        <v>-9771873</v>
      </c>
      <c r="J28" s="49">
        <v>-6423644</v>
      </c>
      <c r="K28" s="49">
        <v>-3061183</v>
      </c>
      <c r="L28" s="49">
        <v>-2628458</v>
      </c>
      <c r="M28" s="49">
        <v>-2376801</v>
      </c>
      <c r="N28" s="49">
        <v>-1072372</v>
      </c>
      <c r="O28" s="49">
        <v>-1999718</v>
      </c>
      <c r="P28" s="49">
        <v>-4772036</v>
      </c>
      <c r="Q28" s="49">
        <v>-11306377</v>
      </c>
      <c r="R28" s="49">
        <f t="shared" si="2"/>
        <v>-86209168</v>
      </c>
      <c r="S28" s="11"/>
    </row>
    <row r="29" spans="1:19" x14ac:dyDescent="0.25">
      <c r="A29" s="6">
        <v>27</v>
      </c>
      <c r="C29" s="6" t="s">
        <v>40</v>
      </c>
      <c r="D29" s="7" t="s">
        <v>41</v>
      </c>
      <c r="E29" s="7">
        <v>64</v>
      </c>
      <c r="F29" s="49">
        <v>0</v>
      </c>
      <c r="G29" s="49">
        <v>0</v>
      </c>
      <c r="H29" s="49">
        <v>0</v>
      </c>
      <c r="I29" s="49">
        <v>0</v>
      </c>
      <c r="J29" s="49">
        <v>0</v>
      </c>
      <c r="K29" s="49">
        <v>0</v>
      </c>
      <c r="L29" s="49">
        <v>0</v>
      </c>
      <c r="M29" s="49">
        <v>0</v>
      </c>
      <c r="N29" s="49">
        <v>0</v>
      </c>
      <c r="O29" s="49">
        <v>0</v>
      </c>
      <c r="P29" s="49">
        <v>0</v>
      </c>
      <c r="Q29" s="49">
        <v>0</v>
      </c>
      <c r="R29" s="49">
        <f t="shared" si="2"/>
        <v>0</v>
      </c>
      <c r="S29" s="11"/>
    </row>
    <row r="30" spans="1:19" x14ac:dyDescent="0.25">
      <c r="A30" s="6">
        <v>28</v>
      </c>
      <c r="C30" s="6" t="s">
        <v>42</v>
      </c>
      <c r="D30" s="7" t="s">
        <v>43</v>
      </c>
      <c r="E30" s="7">
        <v>64</v>
      </c>
      <c r="F30" s="49">
        <v>0</v>
      </c>
      <c r="G30" s="49">
        <v>0</v>
      </c>
      <c r="H30" s="49">
        <v>0</v>
      </c>
      <c r="I30" s="49">
        <v>0</v>
      </c>
      <c r="J30" s="49">
        <v>0</v>
      </c>
      <c r="K30" s="49">
        <v>0</v>
      </c>
      <c r="L30" s="49">
        <v>0</v>
      </c>
      <c r="M30" s="49">
        <v>0</v>
      </c>
      <c r="N30" s="49">
        <v>0</v>
      </c>
      <c r="O30" s="49">
        <v>0</v>
      </c>
      <c r="P30" s="49">
        <v>0</v>
      </c>
      <c r="Q30" s="49">
        <v>0</v>
      </c>
      <c r="R30" s="49">
        <f t="shared" si="2"/>
        <v>0</v>
      </c>
      <c r="S30" s="11"/>
    </row>
    <row r="31" spans="1:19" x14ac:dyDescent="0.25">
      <c r="A31" s="6">
        <v>29</v>
      </c>
      <c r="C31" s="6" t="s">
        <v>33</v>
      </c>
      <c r="D31" s="7" t="s">
        <v>44</v>
      </c>
      <c r="E31" s="7">
        <v>64</v>
      </c>
      <c r="F31" s="49">
        <v>18693469</v>
      </c>
      <c r="G31" s="49">
        <v>17650300</v>
      </c>
      <c r="H31" s="49">
        <v>14369101</v>
      </c>
      <c r="I31" s="49">
        <v>9150160</v>
      </c>
      <c r="J31" s="49">
        <v>4013985</v>
      </c>
      <c r="K31" s="49">
        <v>3576059</v>
      </c>
      <c r="L31" s="49">
        <v>2866203</v>
      </c>
      <c r="M31" s="49">
        <v>1410114</v>
      </c>
      <c r="N31" s="49">
        <v>3736534</v>
      </c>
      <c r="O31" s="49">
        <v>8079434</v>
      </c>
      <c r="P31" s="49">
        <v>15495271</v>
      </c>
      <c r="Q31" s="49">
        <v>19400398</v>
      </c>
      <c r="R31" s="49">
        <f t="shared" si="2"/>
        <v>118441028</v>
      </c>
      <c r="S31" s="11"/>
    </row>
    <row r="32" spans="1:19" x14ac:dyDescent="0.25">
      <c r="A32" s="6">
        <v>30</v>
      </c>
      <c r="C32" s="10" t="s">
        <v>45</v>
      </c>
      <c r="F32" s="49"/>
      <c r="G32" s="49"/>
      <c r="H32" s="49"/>
      <c r="I32" s="49"/>
      <c r="J32" s="49"/>
      <c r="K32" s="49"/>
      <c r="L32" s="49"/>
      <c r="M32" s="49"/>
      <c r="N32" s="49"/>
      <c r="O32" s="49"/>
      <c r="P32" s="49"/>
      <c r="Q32" s="49"/>
      <c r="R32" s="49">
        <f t="shared" si="2"/>
        <v>0</v>
      </c>
      <c r="S32" s="11"/>
    </row>
    <row r="33" spans="1:19" x14ac:dyDescent="0.25">
      <c r="A33" s="6">
        <v>31</v>
      </c>
      <c r="C33" s="6" t="s">
        <v>46</v>
      </c>
      <c r="D33" s="7" t="s">
        <v>35</v>
      </c>
      <c r="E33" s="7">
        <v>108</v>
      </c>
      <c r="F33" s="49">
        <v>20588575.16</v>
      </c>
      <c r="G33" s="49">
        <v>14728125.949999999</v>
      </c>
      <c r="H33" s="49">
        <v>17303267.280000001</v>
      </c>
      <c r="I33" s="49">
        <v>11771330.01</v>
      </c>
      <c r="J33" s="49">
        <v>7270299.9800000004</v>
      </c>
      <c r="K33" s="49">
        <v>4311041.6900000004</v>
      </c>
      <c r="L33" s="49">
        <v>3529565.68</v>
      </c>
      <c r="M33" s="49">
        <v>3204545.72</v>
      </c>
      <c r="N33" s="49">
        <v>3321638.99</v>
      </c>
      <c r="O33" s="49">
        <v>5392377.1500000004</v>
      </c>
      <c r="P33" s="49">
        <v>8180457.6200000001</v>
      </c>
      <c r="Q33" s="49">
        <v>13857751.83</v>
      </c>
      <c r="R33" s="49">
        <f t="shared" si="2"/>
        <v>113458977.06</v>
      </c>
      <c r="S33" s="11"/>
    </row>
    <row r="34" spans="1:19" x14ac:dyDescent="0.25">
      <c r="A34" s="6">
        <v>32</v>
      </c>
      <c r="C34" s="6" t="s">
        <v>47</v>
      </c>
      <c r="D34" s="7" t="s">
        <v>37</v>
      </c>
      <c r="E34" s="7">
        <v>108</v>
      </c>
      <c r="F34" s="49">
        <v>10380317.540000001</v>
      </c>
      <c r="G34" s="49">
        <v>11885022.880000001</v>
      </c>
      <c r="H34" s="49">
        <v>8183748.2000000002</v>
      </c>
      <c r="I34" s="49">
        <v>5379673.3700000001</v>
      </c>
      <c r="J34" s="49">
        <v>2563679.54</v>
      </c>
      <c r="K34" s="49">
        <v>2201281.0100000002</v>
      </c>
      <c r="L34" s="49">
        <v>1990523.3</v>
      </c>
      <c r="M34" s="49">
        <v>861028.93</v>
      </c>
      <c r="N34" s="49">
        <v>1605613.57</v>
      </c>
      <c r="O34" s="49">
        <v>3831563.1399999997</v>
      </c>
      <c r="P34" s="49">
        <v>8368301.8700000001</v>
      </c>
      <c r="Q34" s="49">
        <v>10122112.119999999</v>
      </c>
      <c r="R34" s="49">
        <f t="shared" si="2"/>
        <v>67372865.469999999</v>
      </c>
      <c r="S34" s="11"/>
    </row>
    <row r="35" spans="1:19" x14ac:dyDescent="0.25">
      <c r="A35" s="6">
        <v>33</v>
      </c>
      <c r="C35" s="6" t="s">
        <v>48</v>
      </c>
      <c r="D35" s="7" t="s">
        <v>39</v>
      </c>
      <c r="E35" s="7">
        <v>108</v>
      </c>
      <c r="F35" s="49">
        <v>-13553187.99</v>
      </c>
      <c r="G35" s="49">
        <v>-10380317.539999999</v>
      </c>
      <c r="H35" s="49">
        <v>-11885022.880000001</v>
      </c>
      <c r="I35" s="49">
        <v>-8183748.2000000002</v>
      </c>
      <c r="J35" s="49">
        <v>-5379673.3700000001</v>
      </c>
      <c r="K35" s="49">
        <v>-2563679.54</v>
      </c>
      <c r="L35" s="49">
        <v>-2201281.0099999998</v>
      </c>
      <c r="M35" s="49">
        <v>-1990523.3</v>
      </c>
      <c r="N35" s="49">
        <v>-861028.93</v>
      </c>
      <c r="O35" s="49">
        <v>-1605613.57</v>
      </c>
      <c r="P35" s="49">
        <v>-3563561.75</v>
      </c>
      <c r="Q35" s="49">
        <v>-8368301.8700000001</v>
      </c>
      <c r="R35" s="49">
        <f t="shared" si="2"/>
        <v>-70535939.950000003</v>
      </c>
      <c r="S35" s="11"/>
    </row>
    <row r="36" spans="1:19" x14ac:dyDescent="0.25">
      <c r="A36" s="6">
        <v>34</v>
      </c>
      <c r="C36" s="6" t="s">
        <v>49</v>
      </c>
      <c r="D36" s="7" t="s">
        <v>50</v>
      </c>
      <c r="E36" s="7">
        <v>108</v>
      </c>
      <c r="F36" s="49">
        <v>253284.24</v>
      </c>
      <c r="G36" s="49">
        <v>-475229.54</v>
      </c>
      <c r="H36" s="49">
        <v>-276175.96000000002</v>
      </c>
      <c r="I36" s="49">
        <v>-213604.16</v>
      </c>
      <c r="J36" s="49">
        <v>429903.53</v>
      </c>
      <c r="K36" s="49">
        <v>28588.93</v>
      </c>
      <c r="L36" s="49">
        <v>47296.94</v>
      </c>
      <c r="M36" s="49">
        <v>287367.84999999998</v>
      </c>
      <c r="N36" s="49">
        <v>-45275.58</v>
      </c>
      <c r="O36" s="49">
        <v>247854.96</v>
      </c>
      <c r="P36" s="49">
        <v>353450.88</v>
      </c>
      <c r="Q36" s="49">
        <v>810428.95</v>
      </c>
      <c r="R36" s="49">
        <f t="shared" si="2"/>
        <v>1447891.04</v>
      </c>
      <c r="S36" s="11"/>
    </row>
    <row r="37" spans="1:19" x14ac:dyDescent="0.25">
      <c r="A37" s="6">
        <v>35</v>
      </c>
      <c r="C37" s="27" t="s">
        <v>278</v>
      </c>
      <c r="D37" s="7" t="s">
        <v>51</v>
      </c>
      <c r="E37" s="7">
        <v>108</v>
      </c>
      <c r="F37" s="49">
        <v>-31062.91</v>
      </c>
      <c r="G37" s="49">
        <v>-21877.96</v>
      </c>
      <c r="H37" s="49">
        <v>-25928.32</v>
      </c>
      <c r="I37" s="49">
        <v>-17247.78</v>
      </c>
      <c r="J37" s="49">
        <v>-10179.49</v>
      </c>
      <c r="K37" s="49">
        <v>-5532.12</v>
      </c>
      <c r="L37" s="49">
        <v>-4302.6499999999996</v>
      </c>
      <c r="M37" s="49">
        <v>11884.46</v>
      </c>
      <c r="N37" s="49">
        <v>40171.4</v>
      </c>
      <c r="O37" s="49">
        <v>-67003.199999999997</v>
      </c>
      <c r="P37" s="49">
        <v>66659.179999999993</v>
      </c>
      <c r="Q37" s="49">
        <v>390227.86</v>
      </c>
      <c r="R37" s="49">
        <f t="shared" si="2"/>
        <v>325808.46999999997</v>
      </c>
      <c r="S37" s="11"/>
    </row>
    <row r="38" spans="1:19" x14ac:dyDescent="0.25">
      <c r="A38" s="6">
        <v>36</v>
      </c>
      <c r="C38" s="6" t="s">
        <v>80</v>
      </c>
      <c r="D38" s="7" t="s">
        <v>79</v>
      </c>
      <c r="E38" s="7">
        <v>108</v>
      </c>
      <c r="F38" s="49">
        <v>0</v>
      </c>
      <c r="G38" s="49">
        <v>0</v>
      </c>
      <c r="H38" s="49">
        <v>0</v>
      </c>
      <c r="I38" s="49">
        <v>0</v>
      </c>
      <c r="J38" s="49">
        <v>0</v>
      </c>
      <c r="K38" s="49">
        <v>0</v>
      </c>
      <c r="L38" s="49">
        <v>0</v>
      </c>
      <c r="M38" s="49">
        <v>0</v>
      </c>
      <c r="N38" s="49">
        <v>0</v>
      </c>
      <c r="O38" s="49">
        <v>0</v>
      </c>
      <c r="P38" s="49">
        <v>0</v>
      </c>
      <c r="Q38" s="49">
        <v>0</v>
      </c>
      <c r="R38" s="49">
        <f t="shared" si="2"/>
        <v>0</v>
      </c>
      <c r="S38" s="11"/>
    </row>
    <row r="39" spans="1:19" x14ac:dyDescent="0.25">
      <c r="A39" s="6">
        <v>37</v>
      </c>
      <c r="C39" s="6" t="s">
        <v>13</v>
      </c>
      <c r="D39" s="7" t="s">
        <v>52</v>
      </c>
      <c r="E39" s="7">
        <v>108</v>
      </c>
      <c r="F39" s="49">
        <v>0</v>
      </c>
      <c r="G39" s="49">
        <v>0</v>
      </c>
      <c r="H39" s="49">
        <v>0</v>
      </c>
      <c r="I39" s="49">
        <v>0</v>
      </c>
      <c r="J39" s="49">
        <v>0</v>
      </c>
      <c r="K39" s="49">
        <v>0</v>
      </c>
      <c r="L39" s="49">
        <v>0</v>
      </c>
      <c r="M39" s="49">
        <v>0</v>
      </c>
      <c r="N39" s="49">
        <v>0</v>
      </c>
      <c r="O39" s="49">
        <v>0</v>
      </c>
      <c r="P39" s="49">
        <v>0.01</v>
      </c>
      <c r="Q39" s="49">
        <v>-0.02</v>
      </c>
      <c r="R39" s="49">
        <f t="shared" si="2"/>
        <v>-0.01</v>
      </c>
      <c r="S39" s="11"/>
    </row>
    <row r="40" spans="1:19" x14ac:dyDescent="0.25">
      <c r="A40" s="6">
        <v>38</v>
      </c>
      <c r="C40" s="6" t="s">
        <v>55</v>
      </c>
      <c r="D40" s="7" t="s">
        <v>41</v>
      </c>
      <c r="E40" s="7">
        <v>108</v>
      </c>
      <c r="F40" s="49">
        <v>0</v>
      </c>
      <c r="G40" s="49">
        <v>0</v>
      </c>
      <c r="H40" s="49">
        <v>0</v>
      </c>
      <c r="I40" s="49">
        <v>0</v>
      </c>
      <c r="J40" s="49">
        <v>0</v>
      </c>
      <c r="K40" s="49">
        <v>0</v>
      </c>
      <c r="L40" s="49">
        <v>0</v>
      </c>
      <c r="M40" s="49">
        <v>0</v>
      </c>
      <c r="N40" s="49">
        <v>0</v>
      </c>
      <c r="O40" s="49">
        <v>0</v>
      </c>
      <c r="P40" s="49">
        <v>0</v>
      </c>
      <c r="Q40" s="49">
        <v>0</v>
      </c>
      <c r="R40" s="49">
        <f t="shared" si="2"/>
        <v>0</v>
      </c>
      <c r="S40" s="11"/>
    </row>
    <row r="41" spans="1:19" x14ac:dyDescent="0.25">
      <c r="A41" s="6">
        <v>39</v>
      </c>
      <c r="C41" s="6" t="s">
        <v>56</v>
      </c>
      <c r="D41" s="7" t="s">
        <v>43</v>
      </c>
      <c r="E41" s="7">
        <v>108</v>
      </c>
      <c r="F41" s="49">
        <v>0</v>
      </c>
      <c r="G41" s="49">
        <v>0</v>
      </c>
      <c r="H41" s="49">
        <v>0</v>
      </c>
      <c r="I41" s="49">
        <v>0</v>
      </c>
      <c r="J41" s="49">
        <v>0</v>
      </c>
      <c r="K41" s="49">
        <v>0</v>
      </c>
      <c r="L41" s="49">
        <v>0</v>
      </c>
      <c r="M41" s="49">
        <v>0</v>
      </c>
      <c r="N41" s="49">
        <v>0</v>
      </c>
      <c r="O41" s="49">
        <v>0</v>
      </c>
      <c r="P41" s="49">
        <v>0</v>
      </c>
      <c r="Q41" s="49">
        <v>0</v>
      </c>
      <c r="R41" s="49">
        <f t="shared" si="2"/>
        <v>0</v>
      </c>
      <c r="S41" s="11"/>
    </row>
    <row r="42" spans="1:19" x14ac:dyDescent="0.25">
      <c r="A42" s="6">
        <v>40</v>
      </c>
      <c r="C42" s="6" t="s">
        <v>30</v>
      </c>
      <c r="D42" s="7" t="s">
        <v>44</v>
      </c>
      <c r="E42" s="7">
        <v>108</v>
      </c>
      <c r="F42" s="49">
        <f>17637926.04</f>
        <v>17637926.039999999</v>
      </c>
      <c r="G42" s="49">
        <f>15735723.79</f>
        <v>15735723.789999999</v>
      </c>
      <c r="H42" s="49">
        <f>13299888.32</f>
        <v>13299888.32</v>
      </c>
      <c r="I42" s="49">
        <f>8736403.24</f>
        <v>8736403.2400000002</v>
      </c>
      <c r="J42" s="49">
        <f>4874030.19</f>
        <v>4874030.1900000004</v>
      </c>
      <c r="K42" s="49">
        <f>3971699.97</f>
        <v>3971699.97</v>
      </c>
      <c r="L42" s="49">
        <f>3361802.26</f>
        <v>3361802.26</v>
      </c>
      <c r="M42" s="49">
        <v>2374303.66</v>
      </c>
      <c r="N42" s="49">
        <f>4061119.45</f>
        <v>4061119.45</v>
      </c>
      <c r="O42" s="49">
        <f>7799178.48</f>
        <v>7799178.4800000004</v>
      </c>
      <c r="P42" s="49">
        <f>13405307.81</f>
        <v>13405307.810000001</v>
      </c>
      <c r="Q42" s="49">
        <f>16812218.87</f>
        <v>16812218.870000001</v>
      </c>
      <c r="R42" s="49">
        <f t="shared" si="2"/>
        <v>112069602.08000001</v>
      </c>
      <c r="S42" s="11"/>
    </row>
    <row r="43" spans="1:19" x14ac:dyDescent="0.25">
      <c r="A43" s="6">
        <v>41</v>
      </c>
      <c r="C43" s="10" t="s">
        <v>45</v>
      </c>
      <c r="F43" s="49"/>
      <c r="G43" s="49"/>
      <c r="H43" s="49"/>
      <c r="I43" s="49"/>
      <c r="J43" s="49"/>
      <c r="K43" s="49"/>
      <c r="L43" s="49"/>
      <c r="M43" s="49"/>
      <c r="N43" s="49"/>
      <c r="O43" s="49"/>
      <c r="P43" s="49"/>
      <c r="Q43" s="49"/>
      <c r="R43" s="49"/>
      <c r="S43" s="11"/>
    </row>
    <row r="44" spans="1:19" x14ac:dyDescent="0.25">
      <c r="A44" s="6">
        <v>42</v>
      </c>
      <c r="F44" s="50"/>
      <c r="G44" s="50"/>
      <c r="H44" s="50"/>
      <c r="I44" s="50"/>
      <c r="J44" s="50"/>
      <c r="K44" s="50"/>
      <c r="L44" s="50"/>
      <c r="M44" s="50"/>
      <c r="N44" s="50"/>
      <c r="O44" s="50"/>
      <c r="P44" s="50"/>
      <c r="Q44" s="50"/>
      <c r="R44" s="49"/>
      <c r="S44" s="11"/>
    </row>
    <row r="45" spans="1:19" x14ac:dyDescent="0.25">
      <c r="A45" s="6">
        <v>43</v>
      </c>
      <c r="B45" s="27" t="s">
        <v>22</v>
      </c>
      <c r="C45" s="15" t="s">
        <v>123</v>
      </c>
      <c r="D45" s="7" t="s">
        <v>34</v>
      </c>
      <c r="E45" s="7">
        <v>71</v>
      </c>
      <c r="F45" s="52"/>
      <c r="G45" s="52"/>
      <c r="H45" s="52"/>
      <c r="I45" s="52"/>
      <c r="J45" s="52"/>
      <c r="K45" s="52"/>
      <c r="L45" s="52"/>
      <c r="M45" s="52"/>
      <c r="N45" s="52"/>
      <c r="O45" s="52"/>
      <c r="P45" s="52"/>
      <c r="Q45" s="52"/>
      <c r="R45" s="49"/>
      <c r="S45" s="11"/>
    </row>
    <row r="46" spans="1:19" x14ac:dyDescent="0.25">
      <c r="A46" s="6">
        <v>44</v>
      </c>
      <c r="C46" s="6" t="s">
        <v>31</v>
      </c>
      <c r="D46" s="7" t="s">
        <v>35</v>
      </c>
      <c r="E46" s="7">
        <v>71</v>
      </c>
      <c r="F46" s="49">
        <v>15180300</v>
      </c>
      <c r="G46" s="49">
        <v>10866171</v>
      </c>
      <c r="H46" s="49">
        <v>12580071</v>
      </c>
      <c r="I46" s="49">
        <v>8686632</v>
      </c>
      <c r="J46" s="49">
        <v>5472382</v>
      </c>
      <c r="K46" s="49">
        <v>3426032</v>
      </c>
      <c r="L46" s="49">
        <v>2887016</v>
      </c>
      <c r="M46" s="49">
        <v>2801474</v>
      </c>
      <c r="N46" s="49">
        <v>2784183</v>
      </c>
      <c r="O46" s="49">
        <v>4259766</v>
      </c>
      <c r="P46" s="49">
        <v>6153881</v>
      </c>
      <c r="Q46" s="49">
        <v>11460190</v>
      </c>
      <c r="R46" s="49">
        <f t="shared" ref="R46:R61" si="3">SUM(F46:Q46)</f>
        <v>86558098</v>
      </c>
      <c r="S46" s="11"/>
    </row>
    <row r="47" spans="1:19" x14ac:dyDescent="0.25">
      <c r="A47" s="6">
        <v>45</v>
      </c>
      <c r="C47" s="6" t="s">
        <v>36</v>
      </c>
      <c r="D47" s="7" t="s">
        <v>37</v>
      </c>
      <c r="E47" s="7">
        <v>71</v>
      </c>
      <c r="F47" s="49">
        <v>9146743</v>
      </c>
      <c r="G47" s="49">
        <v>10687012</v>
      </c>
      <c r="H47" s="49">
        <v>7181224</v>
      </c>
      <c r="I47" s="49">
        <v>4977541</v>
      </c>
      <c r="J47" s="49">
        <v>2554573</v>
      </c>
      <c r="K47" s="49">
        <v>2530552</v>
      </c>
      <c r="L47" s="49">
        <v>2469451</v>
      </c>
      <c r="M47" s="49">
        <v>1246891</v>
      </c>
      <c r="N47" s="49">
        <v>2233399</v>
      </c>
      <c r="O47" s="49">
        <v>4424005</v>
      </c>
      <c r="P47" s="49">
        <v>8615742</v>
      </c>
      <c r="Q47" s="49">
        <v>10228218</v>
      </c>
      <c r="R47" s="49">
        <f t="shared" si="3"/>
        <v>66295351</v>
      </c>
      <c r="S47" s="11"/>
    </row>
    <row r="48" spans="1:19" x14ac:dyDescent="0.25">
      <c r="A48" s="6">
        <v>46</v>
      </c>
      <c r="C48" s="6" t="s">
        <v>38</v>
      </c>
      <c r="D48" s="7" t="s">
        <v>39</v>
      </c>
      <c r="E48" s="7">
        <v>71</v>
      </c>
      <c r="F48" s="49">
        <v>-11843174</v>
      </c>
      <c r="G48" s="49">
        <v>-9146743</v>
      </c>
      <c r="H48" s="49">
        <v>-10687012</v>
      </c>
      <c r="I48" s="49">
        <v>-7181224</v>
      </c>
      <c r="J48" s="49">
        <v>-4977541</v>
      </c>
      <c r="K48" s="49">
        <v>-2554573</v>
      </c>
      <c r="L48" s="49">
        <v>-2530552</v>
      </c>
      <c r="M48" s="49">
        <v>-2469451</v>
      </c>
      <c r="N48" s="49">
        <v>-1246891</v>
      </c>
      <c r="O48" s="49">
        <v>-2233399</v>
      </c>
      <c r="P48" s="49">
        <v>-4424005</v>
      </c>
      <c r="Q48" s="49">
        <v>-8615742</v>
      </c>
      <c r="R48" s="49">
        <f t="shared" si="3"/>
        <v>-67910307</v>
      </c>
      <c r="S48" s="11"/>
    </row>
    <row r="49" spans="1:19" x14ac:dyDescent="0.25">
      <c r="A49" s="6">
        <v>47</v>
      </c>
      <c r="C49" s="6" t="s">
        <v>40</v>
      </c>
      <c r="D49" s="7" t="s">
        <v>41</v>
      </c>
      <c r="E49" s="7">
        <v>71</v>
      </c>
      <c r="F49" s="49">
        <v>0</v>
      </c>
      <c r="G49" s="49">
        <v>0</v>
      </c>
      <c r="H49" s="49">
        <v>0</v>
      </c>
      <c r="I49" s="49">
        <v>0</v>
      </c>
      <c r="J49" s="49">
        <v>0</v>
      </c>
      <c r="K49" s="49">
        <v>0</v>
      </c>
      <c r="L49" s="49">
        <v>0</v>
      </c>
      <c r="M49" s="49">
        <v>0</v>
      </c>
      <c r="N49" s="49">
        <v>0</v>
      </c>
      <c r="O49" s="49">
        <v>0</v>
      </c>
      <c r="P49" s="49">
        <v>0</v>
      </c>
      <c r="Q49" s="49">
        <v>0</v>
      </c>
      <c r="R49" s="49">
        <f t="shared" si="3"/>
        <v>0</v>
      </c>
      <c r="S49" s="11"/>
    </row>
    <row r="50" spans="1:19" x14ac:dyDescent="0.25">
      <c r="A50" s="6">
        <v>48</v>
      </c>
      <c r="C50" s="6" t="s">
        <v>42</v>
      </c>
      <c r="D50" s="7" t="s">
        <v>43</v>
      </c>
      <c r="E50" s="7">
        <v>71</v>
      </c>
      <c r="F50" s="49">
        <v>0</v>
      </c>
      <c r="G50" s="49">
        <v>0</v>
      </c>
      <c r="H50" s="49">
        <v>0</v>
      </c>
      <c r="I50" s="49">
        <v>0</v>
      </c>
      <c r="J50" s="49">
        <v>0</v>
      </c>
      <c r="K50" s="49">
        <v>0</v>
      </c>
      <c r="L50" s="49">
        <v>0</v>
      </c>
      <c r="M50" s="49">
        <v>0</v>
      </c>
      <c r="N50" s="49">
        <v>0</v>
      </c>
      <c r="O50" s="49">
        <v>0</v>
      </c>
      <c r="P50" s="49">
        <v>0</v>
      </c>
      <c r="Q50" s="49">
        <v>0</v>
      </c>
      <c r="R50" s="49">
        <f t="shared" si="3"/>
        <v>0</v>
      </c>
      <c r="S50" s="11"/>
    </row>
    <row r="51" spans="1:19" x14ac:dyDescent="0.25">
      <c r="A51" s="6">
        <v>49</v>
      </c>
      <c r="C51" s="6" t="s">
        <v>33</v>
      </c>
      <c r="D51" s="7" t="s">
        <v>44</v>
      </c>
      <c r="E51" s="7">
        <v>71</v>
      </c>
      <c r="F51" s="49">
        <v>12483869</v>
      </c>
      <c r="G51" s="49">
        <v>12406440</v>
      </c>
      <c r="H51" s="49">
        <v>9074283</v>
      </c>
      <c r="I51" s="49">
        <v>6482949</v>
      </c>
      <c r="J51" s="49">
        <v>3049414</v>
      </c>
      <c r="K51" s="49">
        <v>3402011</v>
      </c>
      <c r="L51" s="49">
        <v>2825915</v>
      </c>
      <c r="M51" s="49">
        <v>1578914</v>
      </c>
      <c r="N51" s="49">
        <v>3770691</v>
      </c>
      <c r="O51" s="49">
        <v>6450372</v>
      </c>
      <c r="P51" s="49">
        <v>10345618</v>
      </c>
      <c r="Q51" s="49">
        <v>13072666</v>
      </c>
      <c r="R51" s="49">
        <f t="shared" si="3"/>
        <v>84943142</v>
      </c>
      <c r="S51" s="11"/>
    </row>
    <row r="52" spans="1:19" x14ac:dyDescent="0.25">
      <c r="A52" s="6">
        <v>50</v>
      </c>
      <c r="C52" s="10" t="s">
        <v>45</v>
      </c>
      <c r="F52" s="49"/>
      <c r="G52" s="49"/>
      <c r="H52" s="49"/>
      <c r="I52" s="49"/>
      <c r="J52" s="49"/>
      <c r="K52" s="49"/>
      <c r="L52" s="49"/>
      <c r="M52" s="49"/>
      <c r="N52" s="49"/>
      <c r="O52" s="49"/>
      <c r="P52" s="49"/>
      <c r="Q52" s="49"/>
      <c r="R52" s="49">
        <f t="shared" si="3"/>
        <v>0</v>
      </c>
      <c r="S52" s="11"/>
    </row>
    <row r="53" spans="1:19" x14ac:dyDescent="0.25">
      <c r="A53" s="6">
        <v>51</v>
      </c>
      <c r="C53" s="6" t="s">
        <v>46</v>
      </c>
      <c r="D53" s="7" t="s">
        <v>35</v>
      </c>
      <c r="E53" s="7">
        <v>115</v>
      </c>
      <c r="F53" s="49">
        <v>12879862.02</v>
      </c>
      <c r="G53" s="49">
        <v>9294655.6300000008</v>
      </c>
      <c r="H53" s="49">
        <v>10715795.880000001</v>
      </c>
      <c r="I53" s="49">
        <v>7484302.2800000003</v>
      </c>
      <c r="J53" s="49">
        <v>4817765.0599999996</v>
      </c>
      <c r="K53" s="49">
        <v>3123873.32</v>
      </c>
      <c r="L53" s="49">
        <v>2673772.7200000002</v>
      </c>
      <c r="M53" s="49">
        <v>2596538.5099999998</v>
      </c>
      <c r="N53" s="49">
        <v>2572550.38</v>
      </c>
      <c r="O53" s="49">
        <v>3737979.47</v>
      </c>
      <c r="P53" s="49">
        <v>5063017.71</v>
      </c>
      <c r="Q53" s="49">
        <v>8493510.5800000001</v>
      </c>
      <c r="R53" s="49">
        <f t="shared" si="3"/>
        <v>73453623.560000002</v>
      </c>
      <c r="S53" s="11"/>
    </row>
    <row r="54" spans="1:19" x14ac:dyDescent="0.25">
      <c r="A54" s="6">
        <v>52</v>
      </c>
      <c r="C54" s="6" t="s">
        <v>47</v>
      </c>
      <c r="D54" s="7" t="s">
        <v>37</v>
      </c>
      <c r="E54" s="7">
        <v>115</v>
      </c>
      <c r="F54" s="49">
        <v>7011606.8900000006</v>
      </c>
      <c r="G54" s="49">
        <v>8189934.8700000001</v>
      </c>
      <c r="H54" s="49">
        <v>5501199.6299999999</v>
      </c>
      <c r="I54" s="49">
        <v>3803303.45</v>
      </c>
      <c r="J54" s="49">
        <v>1946644.25</v>
      </c>
      <c r="K54" s="49">
        <v>1925573.99</v>
      </c>
      <c r="L54" s="49">
        <v>1881579.1300000001</v>
      </c>
      <c r="M54" s="49">
        <v>923601.15</v>
      </c>
      <c r="N54" s="49">
        <v>1655190.3800000001</v>
      </c>
      <c r="O54" s="49">
        <v>3268429.63</v>
      </c>
      <c r="P54" s="49">
        <v>5847994.0499999998</v>
      </c>
      <c r="Q54" s="49">
        <v>6952410.0099999998</v>
      </c>
      <c r="R54" s="49">
        <f t="shared" si="3"/>
        <v>48907467.429999992</v>
      </c>
      <c r="S54" s="11"/>
    </row>
    <row r="55" spans="1:19" x14ac:dyDescent="0.25">
      <c r="A55" s="6">
        <v>53</v>
      </c>
      <c r="C55" s="6" t="s">
        <v>48</v>
      </c>
      <c r="D55" s="7" t="s">
        <v>39</v>
      </c>
      <c r="E55" s="7">
        <v>115</v>
      </c>
      <c r="F55" s="49">
        <v>-9084034.9199999999</v>
      </c>
      <c r="G55" s="49">
        <v>-7011606.8899999997</v>
      </c>
      <c r="H55" s="49">
        <v>-8189934.8700000001</v>
      </c>
      <c r="I55" s="49">
        <v>-5501199.6299999999</v>
      </c>
      <c r="J55" s="49">
        <v>-3803303.45</v>
      </c>
      <c r="K55" s="49">
        <v>-1946644.25</v>
      </c>
      <c r="L55" s="49">
        <v>-1925573.99</v>
      </c>
      <c r="M55" s="49">
        <v>-1881579.13</v>
      </c>
      <c r="N55" s="49">
        <v>-923601.15</v>
      </c>
      <c r="O55" s="49">
        <v>-1655190.38</v>
      </c>
      <c r="P55" s="49">
        <v>-3073662</v>
      </c>
      <c r="Q55" s="49">
        <v>-5847994.0499999998</v>
      </c>
      <c r="R55" s="49">
        <f t="shared" si="3"/>
        <v>-50844324.710000001</v>
      </c>
      <c r="S55" s="11"/>
    </row>
    <row r="56" spans="1:19" x14ac:dyDescent="0.25">
      <c r="A56" s="6">
        <v>54</v>
      </c>
      <c r="C56" s="6" t="s">
        <v>49</v>
      </c>
      <c r="D56" s="7" t="s">
        <v>50</v>
      </c>
      <c r="E56" s="7">
        <v>115</v>
      </c>
      <c r="F56" s="49">
        <v>63598.31</v>
      </c>
      <c r="G56" s="49">
        <v>-342637.93</v>
      </c>
      <c r="H56" s="49">
        <v>-167017.76</v>
      </c>
      <c r="I56" s="49">
        <v>-261565.76</v>
      </c>
      <c r="J56" s="49">
        <v>134311.09</v>
      </c>
      <c r="K56" s="49">
        <v>-92947.63</v>
      </c>
      <c r="L56" s="49">
        <v>-436.92</v>
      </c>
      <c r="M56" s="49">
        <v>165924.67000000001</v>
      </c>
      <c r="N56" s="49">
        <v>-13472.65</v>
      </c>
      <c r="O56" s="49">
        <v>138927.65</v>
      </c>
      <c r="P56" s="49">
        <v>62059.8</v>
      </c>
      <c r="Q56" s="49">
        <v>362046.29</v>
      </c>
      <c r="R56" s="49">
        <f t="shared" si="3"/>
        <v>48789.159999999916</v>
      </c>
      <c r="S56" s="11"/>
    </row>
    <row r="57" spans="1:19" x14ac:dyDescent="0.25">
      <c r="A57" s="6">
        <v>55</v>
      </c>
      <c r="C57" s="27" t="s">
        <v>278</v>
      </c>
      <c r="D57" s="7" t="s">
        <v>51</v>
      </c>
      <c r="E57" s="7">
        <v>115</v>
      </c>
      <c r="F57" s="49">
        <v>-53282.86</v>
      </c>
      <c r="G57" s="49">
        <v>-38140.26</v>
      </c>
      <c r="H57" s="49">
        <v>-44156.05</v>
      </c>
      <c r="I57" s="49">
        <v>-30490.080000000002</v>
      </c>
      <c r="J57" s="49">
        <v>-19208.060000000001</v>
      </c>
      <c r="K57" s="49">
        <v>-12025.37</v>
      </c>
      <c r="L57" s="49">
        <v>-10133.43</v>
      </c>
      <c r="M57" s="49">
        <v>2038.619999999999</v>
      </c>
      <c r="N57" s="49">
        <v>23749.09</v>
      </c>
      <c r="O57" s="49">
        <v>-63607.41</v>
      </c>
      <c r="P57" s="49">
        <v>45705.36</v>
      </c>
      <c r="Q57" s="49">
        <v>348962.79</v>
      </c>
      <c r="R57" s="49">
        <f t="shared" si="3"/>
        <v>149412.33999999997</v>
      </c>
      <c r="S57" s="11"/>
    </row>
    <row r="58" spans="1:19" x14ac:dyDescent="0.25">
      <c r="A58" s="6">
        <v>56</v>
      </c>
      <c r="C58" s="6" t="s">
        <v>80</v>
      </c>
      <c r="D58" s="7" t="s">
        <v>79</v>
      </c>
      <c r="E58" s="7">
        <v>115</v>
      </c>
      <c r="F58" s="49">
        <v>10030.18</v>
      </c>
      <c r="G58" s="49">
        <v>2999.46</v>
      </c>
      <c r="H58" s="49">
        <v>2920.74</v>
      </c>
      <c r="I58" s="49">
        <v>1039.53</v>
      </c>
      <c r="J58" s="49">
        <v>0</v>
      </c>
      <c r="K58" s="49">
        <v>0</v>
      </c>
      <c r="L58" s="49">
        <v>0</v>
      </c>
      <c r="M58" s="49">
        <v>13275.45</v>
      </c>
      <c r="N58" s="49">
        <v>1683.97</v>
      </c>
      <c r="O58" s="49">
        <v>3175.42</v>
      </c>
      <c r="P58" s="49">
        <v>0</v>
      </c>
      <c r="Q58" s="49">
        <v>19327.34</v>
      </c>
      <c r="R58" s="49">
        <f t="shared" si="3"/>
        <v>54452.09</v>
      </c>
      <c r="S58" s="11"/>
    </row>
    <row r="59" spans="1:19" x14ac:dyDescent="0.25">
      <c r="A59" s="6">
        <v>57</v>
      </c>
      <c r="C59" s="6" t="s">
        <v>13</v>
      </c>
      <c r="D59" s="7" t="s">
        <v>52</v>
      </c>
      <c r="E59" s="7">
        <v>115</v>
      </c>
      <c r="F59" s="49">
        <v>-6.58</v>
      </c>
      <c r="G59" s="49">
        <v>26.06</v>
      </c>
      <c r="H59" s="49">
        <v>7.3</v>
      </c>
      <c r="I59" s="49">
        <v>-65.010000000000005</v>
      </c>
      <c r="J59" s="49">
        <v>1.66</v>
      </c>
      <c r="K59" s="49">
        <v>0</v>
      </c>
      <c r="L59" s="49">
        <v>19.48</v>
      </c>
      <c r="M59" s="49">
        <v>0.02</v>
      </c>
      <c r="N59" s="49">
        <v>-0.01</v>
      </c>
      <c r="O59" s="49">
        <v>0</v>
      </c>
      <c r="P59" s="49">
        <v>-1.24</v>
      </c>
      <c r="Q59" s="49">
        <v>0</v>
      </c>
      <c r="R59" s="49">
        <f t="shared" si="3"/>
        <v>-18.320000000000007</v>
      </c>
      <c r="S59" s="11"/>
    </row>
    <row r="60" spans="1:19" x14ac:dyDescent="0.25">
      <c r="A60" s="6">
        <v>58</v>
      </c>
      <c r="C60" s="6" t="s">
        <v>55</v>
      </c>
      <c r="D60" s="7" t="s">
        <v>41</v>
      </c>
      <c r="E60" s="7">
        <v>115</v>
      </c>
      <c r="F60" s="49">
        <v>0</v>
      </c>
      <c r="G60" s="49">
        <v>0</v>
      </c>
      <c r="H60" s="49">
        <v>0</v>
      </c>
      <c r="I60" s="49">
        <v>0</v>
      </c>
      <c r="J60" s="49">
        <v>0</v>
      </c>
      <c r="K60" s="49">
        <v>0</v>
      </c>
      <c r="L60" s="49">
        <v>0</v>
      </c>
      <c r="M60" s="49">
        <v>0</v>
      </c>
      <c r="N60" s="49">
        <v>0</v>
      </c>
      <c r="O60" s="49">
        <v>0</v>
      </c>
      <c r="P60" s="49">
        <v>0</v>
      </c>
      <c r="Q60" s="49">
        <v>0</v>
      </c>
      <c r="R60" s="49">
        <f t="shared" si="3"/>
        <v>0</v>
      </c>
      <c r="S60" s="11"/>
    </row>
    <row r="61" spans="1:19" x14ac:dyDescent="0.25">
      <c r="A61" s="6">
        <v>59</v>
      </c>
      <c r="C61" s="6" t="s">
        <v>56</v>
      </c>
      <c r="D61" s="7" t="s">
        <v>43</v>
      </c>
      <c r="E61" s="7">
        <v>115</v>
      </c>
      <c r="F61" s="49">
        <v>0</v>
      </c>
      <c r="G61" s="49">
        <v>0</v>
      </c>
      <c r="H61" s="49">
        <v>0</v>
      </c>
      <c r="I61" s="49">
        <v>0</v>
      </c>
      <c r="J61" s="49">
        <v>0</v>
      </c>
      <c r="K61" s="49">
        <v>0</v>
      </c>
      <c r="L61" s="49">
        <v>0</v>
      </c>
      <c r="M61" s="49">
        <v>0</v>
      </c>
      <c r="N61" s="49">
        <v>0</v>
      </c>
      <c r="O61" s="49">
        <v>0</v>
      </c>
      <c r="P61" s="49">
        <v>0</v>
      </c>
      <c r="Q61" s="49">
        <v>0</v>
      </c>
      <c r="R61" s="49">
        <f t="shared" si="3"/>
        <v>0</v>
      </c>
      <c r="S61" s="11"/>
    </row>
    <row r="62" spans="1:19" x14ac:dyDescent="0.25">
      <c r="A62" s="6">
        <v>60</v>
      </c>
      <c r="C62" s="6" t="s">
        <v>30</v>
      </c>
      <c r="D62" s="7" t="s">
        <v>44</v>
      </c>
      <c r="E62" s="7">
        <v>115</v>
      </c>
      <c r="F62" s="49">
        <v>10827773.040000001</v>
      </c>
      <c r="G62" s="49">
        <v>10095230.940000001</v>
      </c>
      <c r="H62" s="49">
        <v>7818814.870000002</v>
      </c>
      <c r="I62" s="49">
        <v>5495324.7800000012</v>
      </c>
      <c r="J62" s="49">
        <v>3076210.5499999993</v>
      </c>
      <c r="K62" s="49">
        <v>2997830.0599999996</v>
      </c>
      <c r="L62" s="49">
        <v>2619226.9900000002</v>
      </c>
      <c r="M62" s="49">
        <v>1819799.2899999996</v>
      </c>
      <c r="N62" s="49">
        <v>3316100.0100000002</v>
      </c>
      <c r="O62" s="49">
        <v>5429714.3799999999</v>
      </c>
      <c r="P62" s="49">
        <v>7945113.6799999997</v>
      </c>
      <c r="Q62" s="49">
        <v>10328262.959999997</v>
      </c>
      <c r="R62" s="49">
        <f>SUM(F62:Q62)</f>
        <v>71769401.550000012</v>
      </c>
      <c r="S62" s="11"/>
    </row>
    <row r="63" spans="1:19" x14ac:dyDescent="0.25">
      <c r="A63" s="6">
        <v>61</v>
      </c>
      <c r="C63" s="10" t="s">
        <v>45</v>
      </c>
      <c r="F63" s="49"/>
      <c r="G63" s="49"/>
      <c r="H63" s="49"/>
      <c r="I63" s="49"/>
      <c r="J63" s="49"/>
      <c r="K63" s="49"/>
      <c r="L63" s="49"/>
      <c r="M63" s="49"/>
      <c r="N63" s="49"/>
      <c r="O63" s="49"/>
      <c r="P63" s="49"/>
      <c r="Q63" s="49"/>
      <c r="R63" s="49"/>
      <c r="S63" s="11"/>
    </row>
    <row r="64" spans="1:19" x14ac:dyDescent="0.25">
      <c r="A64" s="6">
        <v>62</v>
      </c>
      <c r="F64" s="50"/>
      <c r="G64" s="50"/>
      <c r="H64" s="50"/>
      <c r="I64" s="50"/>
      <c r="J64" s="50"/>
      <c r="K64" s="50"/>
      <c r="L64" s="50"/>
      <c r="M64" s="50"/>
      <c r="N64" s="50"/>
      <c r="O64" s="50"/>
      <c r="P64" s="50"/>
      <c r="Q64" s="50"/>
      <c r="R64" s="49"/>
      <c r="S64" s="11"/>
    </row>
    <row r="65" spans="1:19" x14ac:dyDescent="0.25">
      <c r="A65" s="6">
        <v>63</v>
      </c>
      <c r="B65" s="27" t="s">
        <v>23</v>
      </c>
      <c r="C65" s="15" t="s">
        <v>122</v>
      </c>
      <c r="D65" s="7" t="s">
        <v>34</v>
      </c>
      <c r="E65" s="7">
        <v>67</v>
      </c>
      <c r="F65" s="52"/>
      <c r="G65" s="52"/>
      <c r="H65" s="52"/>
      <c r="I65" s="52"/>
      <c r="J65" s="52"/>
      <c r="K65" s="52"/>
      <c r="L65" s="52"/>
      <c r="M65" s="52"/>
      <c r="N65" s="52"/>
      <c r="O65" s="52"/>
      <c r="P65" s="52"/>
      <c r="Q65" s="52"/>
      <c r="R65" s="49"/>
      <c r="S65" s="11"/>
    </row>
    <row r="66" spans="1:19" x14ac:dyDescent="0.25">
      <c r="A66" s="6">
        <v>64</v>
      </c>
      <c r="C66" s="6" t="s">
        <v>31</v>
      </c>
      <c r="D66" s="7" t="s">
        <v>35</v>
      </c>
      <c r="E66" s="7">
        <v>67</v>
      </c>
      <c r="F66" s="49">
        <v>1543197</v>
      </c>
      <c r="G66" s="49">
        <v>1256468</v>
      </c>
      <c r="H66" s="49">
        <v>1403497</v>
      </c>
      <c r="I66" s="49">
        <v>1111390</v>
      </c>
      <c r="J66" s="49">
        <v>803238</v>
      </c>
      <c r="K66" s="49">
        <v>596675</v>
      </c>
      <c r="L66" s="49">
        <v>526644</v>
      </c>
      <c r="M66" s="49">
        <v>543579</v>
      </c>
      <c r="N66" s="49">
        <v>648016</v>
      </c>
      <c r="O66" s="49">
        <v>1031586</v>
      </c>
      <c r="P66" s="49">
        <v>989360</v>
      </c>
      <c r="Q66" s="49">
        <v>1475293</v>
      </c>
      <c r="R66" s="49">
        <f t="shared" ref="R66:R82" si="4">SUM(F66:Q66)</f>
        <v>11928943</v>
      </c>
      <c r="S66" s="11"/>
    </row>
    <row r="67" spans="1:19" x14ac:dyDescent="0.25">
      <c r="A67" s="6">
        <v>65</v>
      </c>
      <c r="C67" s="6" t="s">
        <v>36</v>
      </c>
      <c r="D67" s="7" t="s">
        <v>37</v>
      </c>
      <c r="E67" s="7">
        <v>67</v>
      </c>
      <c r="F67" s="49">
        <v>0</v>
      </c>
      <c r="G67" s="49">
        <v>0</v>
      </c>
      <c r="H67" s="49">
        <v>0</v>
      </c>
      <c r="I67" s="49">
        <v>0</v>
      </c>
      <c r="J67" s="49">
        <v>0</v>
      </c>
      <c r="K67" s="49">
        <v>0</v>
      </c>
      <c r="L67" s="49">
        <v>0</v>
      </c>
      <c r="M67" s="49">
        <v>0</v>
      </c>
      <c r="N67" s="49">
        <v>0</v>
      </c>
      <c r="O67" s="49">
        <v>0</v>
      </c>
      <c r="P67" s="49">
        <v>0</v>
      </c>
      <c r="Q67" s="49">
        <v>0</v>
      </c>
      <c r="R67" s="49">
        <f t="shared" si="4"/>
        <v>0</v>
      </c>
      <c r="S67" s="11"/>
    </row>
    <row r="68" spans="1:19" x14ac:dyDescent="0.25">
      <c r="A68" s="6">
        <v>66</v>
      </c>
      <c r="C68" s="6" t="s">
        <v>38</v>
      </c>
      <c r="D68" s="7" t="s">
        <v>39</v>
      </c>
      <c r="E68" s="7">
        <v>67</v>
      </c>
      <c r="F68" s="49">
        <v>0</v>
      </c>
      <c r="G68" s="49">
        <v>0</v>
      </c>
      <c r="H68" s="49">
        <v>0</v>
      </c>
      <c r="I68" s="49">
        <v>0</v>
      </c>
      <c r="J68" s="49">
        <v>0</v>
      </c>
      <c r="K68" s="49">
        <v>0</v>
      </c>
      <c r="L68" s="49">
        <v>0</v>
      </c>
      <c r="M68" s="49">
        <v>0</v>
      </c>
      <c r="N68" s="49">
        <v>0</v>
      </c>
      <c r="O68" s="49">
        <v>0</v>
      </c>
      <c r="P68" s="49">
        <v>0</v>
      </c>
      <c r="Q68" s="49">
        <v>0</v>
      </c>
      <c r="R68" s="49">
        <f t="shared" si="4"/>
        <v>0</v>
      </c>
      <c r="S68" s="11"/>
    </row>
    <row r="69" spans="1:19" x14ac:dyDescent="0.25">
      <c r="A69" s="6">
        <v>67</v>
      </c>
      <c r="C69" s="6" t="s">
        <v>40</v>
      </c>
      <c r="D69" s="7" t="s">
        <v>41</v>
      </c>
      <c r="E69" s="7">
        <v>67</v>
      </c>
      <c r="F69" s="49">
        <v>0</v>
      </c>
      <c r="G69" s="49">
        <v>0</v>
      </c>
      <c r="H69" s="49">
        <v>0</v>
      </c>
      <c r="I69" s="49">
        <v>0</v>
      </c>
      <c r="J69" s="49">
        <v>0</v>
      </c>
      <c r="K69" s="49">
        <v>0</v>
      </c>
      <c r="L69" s="49">
        <v>0</v>
      </c>
      <c r="M69" s="49">
        <v>0</v>
      </c>
      <c r="N69" s="49">
        <v>0</v>
      </c>
      <c r="O69" s="49">
        <v>0</v>
      </c>
      <c r="P69" s="49">
        <v>0</v>
      </c>
      <c r="Q69" s="49">
        <v>0</v>
      </c>
      <c r="R69" s="49">
        <f t="shared" si="4"/>
        <v>0</v>
      </c>
      <c r="S69" s="11"/>
    </row>
    <row r="70" spans="1:19" x14ac:dyDescent="0.25">
      <c r="A70" s="6">
        <v>68</v>
      </c>
      <c r="C70" s="6" t="s">
        <v>42</v>
      </c>
      <c r="D70" s="7" t="s">
        <v>43</v>
      </c>
      <c r="E70" s="7">
        <v>67</v>
      </c>
      <c r="F70" s="49">
        <v>0</v>
      </c>
      <c r="G70" s="49">
        <v>0</v>
      </c>
      <c r="H70" s="49">
        <v>0</v>
      </c>
      <c r="I70" s="49">
        <v>0</v>
      </c>
      <c r="J70" s="49">
        <v>0</v>
      </c>
      <c r="K70" s="49">
        <v>0</v>
      </c>
      <c r="L70" s="49">
        <v>0</v>
      </c>
      <c r="M70" s="49">
        <v>0</v>
      </c>
      <c r="N70" s="49">
        <v>0</v>
      </c>
      <c r="O70" s="49">
        <v>0</v>
      </c>
      <c r="P70" s="49">
        <v>0</v>
      </c>
      <c r="Q70" s="49">
        <v>0</v>
      </c>
      <c r="R70" s="49">
        <f t="shared" si="4"/>
        <v>0</v>
      </c>
      <c r="S70" s="11"/>
    </row>
    <row r="71" spans="1:19" x14ac:dyDescent="0.25">
      <c r="A71" s="6">
        <v>69</v>
      </c>
      <c r="C71" s="6" t="s">
        <v>33</v>
      </c>
      <c r="D71" s="7" t="s">
        <v>44</v>
      </c>
      <c r="E71" s="7">
        <v>67</v>
      </c>
      <c r="F71" s="49">
        <v>1543197</v>
      </c>
      <c r="G71" s="49">
        <v>1256468</v>
      </c>
      <c r="H71" s="49">
        <v>1403497</v>
      </c>
      <c r="I71" s="49">
        <v>1111390</v>
      </c>
      <c r="J71" s="49">
        <v>803238</v>
      </c>
      <c r="K71" s="49">
        <v>596675</v>
      </c>
      <c r="L71" s="49">
        <v>526644</v>
      </c>
      <c r="M71" s="49">
        <v>543579</v>
      </c>
      <c r="N71" s="49">
        <v>648016</v>
      </c>
      <c r="O71" s="49">
        <v>1031586</v>
      </c>
      <c r="P71" s="49">
        <v>989360</v>
      </c>
      <c r="Q71" s="49">
        <v>1475293</v>
      </c>
      <c r="R71" s="49">
        <f t="shared" si="4"/>
        <v>11928943</v>
      </c>
      <c r="S71" s="11"/>
    </row>
    <row r="72" spans="1:19" x14ac:dyDescent="0.25">
      <c r="A72" s="6">
        <v>70</v>
      </c>
      <c r="C72" s="10" t="s">
        <v>45</v>
      </c>
      <c r="F72" s="49"/>
      <c r="G72" s="49"/>
      <c r="H72" s="49"/>
      <c r="I72" s="49"/>
      <c r="J72" s="49"/>
      <c r="K72" s="49"/>
      <c r="L72" s="49"/>
      <c r="M72" s="49"/>
      <c r="N72" s="49"/>
      <c r="O72" s="49"/>
      <c r="P72" s="49"/>
      <c r="Q72" s="49"/>
      <c r="R72" s="49">
        <f t="shared" si="4"/>
        <v>0</v>
      </c>
      <c r="S72" s="11"/>
    </row>
    <row r="73" spans="1:19" x14ac:dyDescent="0.25">
      <c r="A73" s="6">
        <v>71</v>
      </c>
      <c r="C73" s="6" t="s">
        <v>46</v>
      </c>
      <c r="D73" s="7" t="s">
        <v>35</v>
      </c>
      <c r="E73" s="7">
        <v>111</v>
      </c>
      <c r="F73" s="49">
        <v>1154210.2</v>
      </c>
      <c r="G73" s="49">
        <v>922375.36</v>
      </c>
      <c r="H73" s="49">
        <v>1027571.33</v>
      </c>
      <c r="I73" s="49">
        <v>819669.3</v>
      </c>
      <c r="J73" s="49">
        <v>599876.13</v>
      </c>
      <c r="K73" s="49">
        <v>450764.51</v>
      </c>
      <c r="L73" s="49">
        <v>399968.56</v>
      </c>
      <c r="M73" s="49">
        <v>410375.23</v>
      </c>
      <c r="N73" s="49">
        <v>474686.47</v>
      </c>
      <c r="O73" s="49">
        <v>735073.95</v>
      </c>
      <c r="P73" s="49">
        <v>698006.01</v>
      </c>
      <c r="Q73" s="49">
        <v>963106.38</v>
      </c>
      <c r="R73" s="49">
        <f t="shared" si="4"/>
        <v>8655683.4299999997</v>
      </c>
      <c r="S73" s="11"/>
    </row>
    <row r="74" spans="1:19" x14ac:dyDescent="0.25">
      <c r="A74" s="6">
        <v>72</v>
      </c>
      <c r="C74" s="6" t="s">
        <v>47</v>
      </c>
      <c r="D74" s="7" t="s">
        <v>37</v>
      </c>
      <c r="E74" s="7">
        <v>111</v>
      </c>
      <c r="F74" s="49">
        <v>0</v>
      </c>
      <c r="G74" s="49">
        <v>0</v>
      </c>
      <c r="H74" s="49">
        <v>0</v>
      </c>
      <c r="I74" s="49">
        <v>0</v>
      </c>
      <c r="J74" s="49">
        <v>0</v>
      </c>
      <c r="K74" s="49">
        <v>0</v>
      </c>
      <c r="L74" s="49">
        <v>0</v>
      </c>
      <c r="M74" s="49">
        <v>0</v>
      </c>
      <c r="N74" s="49">
        <v>0</v>
      </c>
      <c r="O74" s="49">
        <v>0</v>
      </c>
      <c r="P74" s="49">
        <v>0</v>
      </c>
      <c r="Q74" s="49">
        <v>0</v>
      </c>
      <c r="R74" s="49">
        <f t="shared" si="4"/>
        <v>0</v>
      </c>
      <c r="S74" s="11"/>
    </row>
    <row r="75" spans="1:19" x14ac:dyDescent="0.25">
      <c r="A75" s="6">
        <v>73</v>
      </c>
      <c r="C75" s="6" t="s">
        <v>48</v>
      </c>
      <c r="D75" s="7" t="s">
        <v>39</v>
      </c>
      <c r="E75" s="7">
        <v>111</v>
      </c>
      <c r="F75" s="49">
        <v>0</v>
      </c>
      <c r="G75" s="49">
        <v>0</v>
      </c>
      <c r="H75" s="49">
        <v>0</v>
      </c>
      <c r="I75" s="49">
        <v>0</v>
      </c>
      <c r="J75" s="49">
        <v>0</v>
      </c>
      <c r="K75" s="49">
        <v>0</v>
      </c>
      <c r="L75" s="49">
        <v>0</v>
      </c>
      <c r="M75" s="49">
        <v>0</v>
      </c>
      <c r="N75" s="49">
        <v>0</v>
      </c>
      <c r="O75" s="49">
        <v>0</v>
      </c>
      <c r="P75" s="49">
        <v>0</v>
      </c>
      <c r="Q75" s="49">
        <v>0</v>
      </c>
      <c r="R75" s="49">
        <f t="shared" si="4"/>
        <v>0</v>
      </c>
      <c r="S75" s="11"/>
    </row>
    <row r="76" spans="1:19" x14ac:dyDescent="0.25">
      <c r="A76" s="6">
        <v>74</v>
      </c>
      <c r="C76" s="6" t="s">
        <v>49</v>
      </c>
      <c r="D76" s="7" t="s">
        <v>50</v>
      </c>
      <c r="E76" s="7">
        <v>111</v>
      </c>
      <c r="F76" s="49">
        <v>-27483.17</v>
      </c>
      <c r="G76" s="49">
        <v>50605.61</v>
      </c>
      <c r="H76" s="49">
        <v>-20390.240000000002</v>
      </c>
      <c r="I76" s="49">
        <v>-29441.26</v>
      </c>
      <c r="J76" s="49">
        <v>-3024.23</v>
      </c>
      <c r="K76" s="49">
        <v>5929.97</v>
      </c>
      <c r="L76" s="49">
        <v>11199.4</v>
      </c>
      <c r="M76" s="49">
        <v>-6744.3</v>
      </c>
      <c r="N76" s="49">
        <v>3815.09</v>
      </c>
      <c r="O76" s="49">
        <v>19282.52</v>
      </c>
      <c r="P76" s="49">
        <v>374.52</v>
      </c>
      <c r="Q76" s="49">
        <v>-11088.48</v>
      </c>
      <c r="R76" s="49">
        <f t="shared" si="4"/>
        <v>-6964.5699999999961</v>
      </c>
      <c r="S76" s="11"/>
    </row>
    <row r="77" spans="1:19" x14ac:dyDescent="0.25">
      <c r="A77" s="6">
        <v>75</v>
      </c>
      <c r="C77" s="27" t="s">
        <v>278</v>
      </c>
      <c r="D77" s="7" t="s">
        <v>51</v>
      </c>
      <c r="E77" s="7">
        <v>111</v>
      </c>
      <c r="F77" s="49">
        <v>-14567.78</v>
      </c>
      <c r="G77" s="49">
        <v>-11861.06</v>
      </c>
      <c r="H77" s="49">
        <v>-13249.01</v>
      </c>
      <c r="I77" s="49">
        <v>-10491.52</v>
      </c>
      <c r="J77" s="49">
        <v>-7582.57</v>
      </c>
      <c r="K77" s="49">
        <v>-5632.61</v>
      </c>
      <c r="L77" s="49">
        <v>-4971.5200000000004</v>
      </c>
      <c r="M77" s="49">
        <v>-3908.3700000000003</v>
      </c>
      <c r="N77" s="49">
        <v>-1181.5700000000002</v>
      </c>
      <c r="O77" s="49">
        <v>-17952.45</v>
      </c>
      <c r="P77" s="49">
        <v>-7896.85</v>
      </c>
      <c r="Q77" s="49">
        <v>-4735.6899999999996</v>
      </c>
      <c r="R77" s="49">
        <f t="shared" si="4"/>
        <v>-104031</v>
      </c>
      <c r="S77" s="11"/>
    </row>
    <row r="78" spans="1:19" x14ac:dyDescent="0.25">
      <c r="A78" s="6">
        <v>76</v>
      </c>
      <c r="C78" s="6" t="s">
        <v>80</v>
      </c>
      <c r="D78" s="7" t="s">
        <v>79</v>
      </c>
      <c r="E78" s="7">
        <v>111</v>
      </c>
      <c r="F78" s="49">
        <v>0</v>
      </c>
      <c r="G78" s="49">
        <v>0</v>
      </c>
      <c r="H78" s="49">
        <v>0</v>
      </c>
      <c r="I78" s="49">
        <v>0</v>
      </c>
      <c r="J78" s="49">
        <v>0</v>
      </c>
      <c r="K78" s="49">
        <v>0</v>
      </c>
      <c r="L78" s="49">
        <v>0</v>
      </c>
      <c r="M78" s="49">
        <v>0</v>
      </c>
      <c r="N78" s="49">
        <v>0</v>
      </c>
      <c r="O78" s="49">
        <v>0</v>
      </c>
      <c r="P78" s="49">
        <v>0</v>
      </c>
      <c r="Q78" s="49">
        <v>0</v>
      </c>
      <c r="R78" s="49">
        <f t="shared" si="4"/>
        <v>0</v>
      </c>
      <c r="S78" s="11"/>
    </row>
    <row r="79" spans="1:19" x14ac:dyDescent="0.25">
      <c r="A79" s="6">
        <v>77</v>
      </c>
      <c r="C79" s="6" t="s">
        <v>13</v>
      </c>
      <c r="D79" s="7" t="s">
        <v>52</v>
      </c>
      <c r="E79" s="7">
        <v>111</v>
      </c>
      <c r="F79" s="49">
        <v>0</v>
      </c>
      <c r="G79" s="49">
        <v>0</v>
      </c>
      <c r="H79" s="49">
        <v>0</v>
      </c>
      <c r="I79" s="49">
        <v>0</v>
      </c>
      <c r="J79" s="49">
        <v>0</v>
      </c>
      <c r="K79" s="49">
        <v>0</v>
      </c>
      <c r="L79" s="49">
        <v>0</v>
      </c>
      <c r="M79" s="49">
        <v>0</v>
      </c>
      <c r="N79" s="49">
        <v>0</v>
      </c>
      <c r="O79" s="49">
        <v>0</v>
      </c>
      <c r="P79" s="49">
        <v>0</v>
      </c>
      <c r="Q79" s="49">
        <v>0</v>
      </c>
      <c r="R79" s="49">
        <f t="shared" si="4"/>
        <v>0</v>
      </c>
      <c r="S79" s="11"/>
    </row>
    <row r="80" spans="1:19" x14ac:dyDescent="0.25">
      <c r="A80" s="6">
        <v>78</v>
      </c>
      <c r="C80" s="6" t="s">
        <v>55</v>
      </c>
      <c r="D80" s="7" t="s">
        <v>41</v>
      </c>
      <c r="E80" s="7">
        <v>111</v>
      </c>
      <c r="F80" s="49">
        <v>0</v>
      </c>
      <c r="G80" s="49">
        <v>0</v>
      </c>
      <c r="H80" s="49">
        <v>0</v>
      </c>
      <c r="I80" s="49">
        <v>0</v>
      </c>
      <c r="J80" s="49">
        <v>0</v>
      </c>
      <c r="K80" s="49">
        <v>0</v>
      </c>
      <c r="L80" s="49">
        <v>0</v>
      </c>
      <c r="M80" s="49">
        <v>0</v>
      </c>
      <c r="N80" s="49">
        <v>0</v>
      </c>
      <c r="O80" s="49">
        <v>0</v>
      </c>
      <c r="P80" s="49">
        <v>0</v>
      </c>
      <c r="Q80" s="49">
        <v>0</v>
      </c>
      <c r="R80" s="49">
        <f t="shared" si="4"/>
        <v>0</v>
      </c>
      <c r="S80" s="11"/>
    </row>
    <row r="81" spans="1:19" x14ac:dyDescent="0.25">
      <c r="A81" s="6">
        <v>79</v>
      </c>
      <c r="C81" s="6" t="s">
        <v>56</v>
      </c>
      <c r="D81" s="7" t="s">
        <v>43</v>
      </c>
      <c r="E81" s="7">
        <v>111</v>
      </c>
      <c r="F81" s="49">
        <v>0</v>
      </c>
      <c r="G81" s="49">
        <v>0</v>
      </c>
      <c r="H81" s="49">
        <v>0</v>
      </c>
      <c r="I81" s="49">
        <v>0</v>
      </c>
      <c r="J81" s="49">
        <v>0</v>
      </c>
      <c r="K81" s="49">
        <v>0</v>
      </c>
      <c r="L81" s="49">
        <v>0</v>
      </c>
      <c r="M81" s="49">
        <v>0</v>
      </c>
      <c r="N81" s="49">
        <v>0</v>
      </c>
      <c r="O81" s="49">
        <v>0</v>
      </c>
      <c r="P81" s="49">
        <v>0</v>
      </c>
      <c r="Q81" s="49">
        <v>0</v>
      </c>
      <c r="R81" s="49">
        <f t="shared" si="4"/>
        <v>0</v>
      </c>
      <c r="S81" s="11"/>
    </row>
    <row r="82" spans="1:19" x14ac:dyDescent="0.25">
      <c r="A82" s="6">
        <v>80</v>
      </c>
      <c r="C82" s="6" t="s">
        <v>30</v>
      </c>
      <c r="D82" s="7" t="s">
        <v>44</v>
      </c>
      <c r="E82" s="7">
        <v>111</v>
      </c>
      <c r="F82" s="49">
        <v>1112159.25</v>
      </c>
      <c r="G82" s="49">
        <v>961119.90999999992</v>
      </c>
      <c r="H82" s="49">
        <v>993932.08</v>
      </c>
      <c r="I82" s="49">
        <v>779736.52</v>
      </c>
      <c r="J82" s="49">
        <v>589269.33000000007</v>
      </c>
      <c r="K82" s="49">
        <v>451061.87</v>
      </c>
      <c r="L82" s="49">
        <v>406196.44</v>
      </c>
      <c r="M82" s="49">
        <v>399722.56</v>
      </c>
      <c r="N82" s="49">
        <v>477319.99</v>
      </c>
      <c r="O82" s="49">
        <v>736404.02</v>
      </c>
      <c r="P82" s="49">
        <v>690483.68</v>
      </c>
      <c r="Q82" s="49">
        <v>947282.21000000008</v>
      </c>
      <c r="R82" s="49">
        <f t="shared" si="4"/>
        <v>8544687.8600000013</v>
      </c>
      <c r="S82" s="11"/>
    </row>
    <row r="83" spans="1:19" x14ac:dyDescent="0.25">
      <c r="A83" s="6">
        <v>81</v>
      </c>
      <c r="C83" s="10" t="s">
        <v>45</v>
      </c>
      <c r="F83" s="49"/>
      <c r="G83" s="49"/>
      <c r="H83" s="49"/>
      <c r="I83" s="49"/>
      <c r="J83" s="49"/>
      <c r="K83" s="49"/>
      <c r="L83" s="49"/>
      <c r="M83" s="49"/>
      <c r="N83" s="49"/>
      <c r="O83" s="49"/>
      <c r="P83" s="49"/>
      <c r="Q83" s="49"/>
      <c r="R83" s="49"/>
      <c r="S83" s="11"/>
    </row>
    <row r="84" spans="1:19" x14ac:dyDescent="0.25">
      <c r="A84" s="6">
        <v>82</v>
      </c>
      <c r="F84" s="50"/>
      <c r="G84" s="50"/>
      <c r="H84" s="50"/>
      <c r="I84" s="50"/>
      <c r="J84" s="50"/>
      <c r="K84" s="50"/>
      <c r="L84" s="50"/>
      <c r="M84" s="50"/>
      <c r="N84" s="50"/>
      <c r="O84" s="50"/>
      <c r="P84" s="50"/>
      <c r="Q84" s="50"/>
      <c r="R84" s="49"/>
      <c r="S84" s="11"/>
    </row>
    <row r="85" spans="1:19" x14ac:dyDescent="0.25">
      <c r="A85" s="6">
        <v>83</v>
      </c>
      <c r="C85" s="15" t="s">
        <v>121</v>
      </c>
      <c r="D85" s="7" t="s">
        <v>34</v>
      </c>
      <c r="E85" s="7">
        <v>72</v>
      </c>
      <c r="F85" s="52"/>
      <c r="G85" s="52"/>
      <c r="H85" s="52"/>
      <c r="I85" s="52"/>
      <c r="J85" s="52"/>
      <c r="K85" s="52"/>
      <c r="L85" s="52"/>
      <c r="M85" s="52"/>
      <c r="N85" s="52"/>
      <c r="O85" s="52"/>
      <c r="P85" s="52"/>
      <c r="Q85" s="52"/>
      <c r="R85" s="49"/>
      <c r="S85" s="11"/>
    </row>
    <row r="86" spans="1:19" x14ac:dyDescent="0.25">
      <c r="A86" s="6">
        <v>84</v>
      </c>
      <c r="C86" s="6" t="s">
        <v>31</v>
      </c>
      <c r="D86" s="7" t="s">
        <v>35</v>
      </c>
      <c r="E86" s="7">
        <v>72</v>
      </c>
      <c r="F86" s="49">
        <v>1605280</v>
      </c>
      <c r="G86" s="49">
        <v>1166638</v>
      </c>
      <c r="H86" s="49">
        <v>1377202</v>
      </c>
      <c r="I86" s="49">
        <v>1076115</v>
      </c>
      <c r="J86" s="49">
        <v>763368</v>
      </c>
      <c r="K86" s="49">
        <v>506780</v>
      </c>
      <c r="L86" s="49">
        <v>404493</v>
      </c>
      <c r="M86" s="49">
        <v>395931</v>
      </c>
      <c r="N86" s="49">
        <v>384208</v>
      </c>
      <c r="O86" s="49">
        <v>674628</v>
      </c>
      <c r="P86" s="49">
        <v>791745</v>
      </c>
      <c r="Q86" s="49">
        <v>1383646</v>
      </c>
      <c r="R86" s="49">
        <f t="shared" ref="R86:R101" si="5">SUM(F86:Q86)</f>
        <v>10530034</v>
      </c>
      <c r="S86" s="11"/>
    </row>
    <row r="87" spans="1:19" x14ac:dyDescent="0.25">
      <c r="A87" s="6">
        <v>85</v>
      </c>
      <c r="C87" s="6" t="s">
        <v>36</v>
      </c>
      <c r="D87" s="7" t="s">
        <v>37</v>
      </c>
      <c r="E87" s="7">
        <v>72</v>
      </c>
      <c r="F87" s="49">
        <v>0</v>
      </c>
      <c r="G87" s="49">
        <v>0</v>
      </c>
      <c r="H87" s="49">
        <v>0</v>
      </c>
      <c r="I87" s="49">
        <v>0</v>
      </c>
      <c r="J87" s="49">
        <v>0</v>
      </c>
      <c r="K87" s="49">
        <v>0</v>
      </c>
      <c r="L87" s="49">
        <v>0</v>
      </c>
      <c r="M87" s="49">
        <v>0</v>
      </c>
      <c r="N87" s="49">
        <v>0</v>
      </c>
      <c r="O87" s="49">
        <v>0</v>
      </c>
      <c r="P87" s="49">
        <v>0</v>
      </c>
      <c r="Q87" s="49">
        <v>0</v>
      </c>
      <c r="R87" s="49">
        <f t="shared" si="5"/>
        <v>0</v>
      </c>
      <c r="S87" s="11"/>
    </row>
    <row r="88" spans="1:19" x14ac:dyDescent="0.25">
      <c r="A88" s="6">
        <v>86</v>
      </c>
      <c r="C88" s="6" t="s">
        <v>38</v>
      </c>
      <c r="D88" s="7" t="s">
        <v>39</v>
      </c>
      <c r="E88" s="7">
        <v>72</v>
      </c>
      <c r="F88" s="49">
        <v>0</v>
      </c>
      <c r="G88" s="49">
        <v>0</v>
      </c>
      <c r="H88" s="49">
        <v>0</v>
      </c>
      <c r="I88" s="49">
        <v>0</v>
      </c>
      <c r="J88" s="49">
        <v>0</v>
      </c>
      <c r="K88" s="49">
        <v>0</v>
      </c>
      <c r="L88" s="49">
        <v>0</v>
      </c>
      <c r="M88" s="49">
        <v>0</v>
      </c>
      <c r="N88" s="49">
        <v>0</v>
      </c>
      <c r="O88" s="49">
        <v>0</v>
      </c>
      <c r="P88" s="49">
        <v>0</v>
      </c>
      <c r="Q88" s="49">
        <v>0</v>
      </c>
      <c r="R88" s="49">
        <f t="shared" si="5"/>
        <v>0</v>
      </c>
      <c r="S88" s="11"/>
    </row>
    <row r="89" spans="1:19" x14ac:dyDescent="0.25">
      <c r="A89" s="6">
        <v>87</v>
      </c>
      <c r="C89" s="6" t="s">
        <v>40</v>
      </c>
      <c r="D89" s="7" t="s">
        <v>41</v>
      </c>
      <c r="E89" s="7">
        <v>72</v>
      </c>
      <c r="F89" s="49">
        <v>0</v>
      </c>
      <c r="G89" s="49">
        <v>0</v>
      </c>
      <c r="H89" s="49">
        <v>0</v>
      </c>
      <c r="I89" s="49">
        <v>0</v>
      </c>
      <c r="J89" s="49">
        <v>0</v>
      </c>
      <c r="K89" s="49">
        <v>0</v>
      </c>
      <c r="L89" s="49">
        <v>0</v>
      </c>
      <c r="M89" s="49">
        <v>0</v>
      </c>
      <c r="N89" s="49">
        <v>0</v>
      </c>
      <c r="O89" s="49">
        <v>0</v>
      </c>
      <c r="P89" s="49">
        <v>0</v>
      </c>
      <c r="Q89" s="49">
        <v>0</v>
      </c>
      <c r="R89" s="49">
        <f t="shared" si="5"/>
        <v>0</v>
      </c>
      <c r="S89" s="11"/>
    </row>
    <row r="90" spans="1:19" x14ac:dyDescent="0.25">
      <c r="A90" s="6">
        <v>88</v>
      </c>
      <c r="C90" s="6" t="s">
        <v>42</v>
      </c>
      <c r="D90" s="7" t="s">
        <v>43</v>
      </c>
      <c r="E90" s="7">
        <v>72</v>
      </c>
      <c r="F90" s="49">
        <v>0</v>
      </c>
      <c r="G90" s="49">
        <v>0</v>
      </c>
      <c r="H90" s="49">
        <v>0</v>
      </c>
      <c r="I90" s="49">
        <v>0</v>
      </c>
      <c r="J90" s="49">
        <v>0</v>
      </c>
      <c r="K90" s="49">
        <v>0</v>
      </c>
      <c r="L90" s="49">
        <v>0</v>
      </c>
      <c r="M90" s="49">
        <v>0</v>
      </c>
      <c r="N90" s="49">
        <v>0</v>
      </c>
      <c r="O90" s="49">
        <v>0</v>
      </c>
      <c r="P90" s="49">
        <v>0</v>
      </c>
      <c r="Q90" s="49">
        <v>0</v>
      </c>
      <c r="R90" s="49">
        <f t="shared" si="5"/>
        <v>0</v>
      </c>
      <c r="S90" s="11"/>
    </row>
    <row r="91" spans="1:19" x14ac:dyDescent="0.25">
      <c r="A91" s="6">
        <v>89</v>
      </c>
      <c r="C91" s="6" t="s">
        <v>33</v>
      </c>
      <c r="D91" s="7" t="s">
        <v>44</v>
      </c>
      <c r="E91" s="7">
        <v>72</v>
      </c>
      <c r="F91" s="49">
        <v>1605280</v>
      </c>
      <c r="G91" s="49">
        <v>1166638</v>
      </c>
      <c r="H91" s="49">
        <v>1377202</v>
      </c>
      <c r="I91" s="49">
        <v>1076115</v>
      </c>
      <c r="J91" s="49">
        <v>763368</v>
      </c>
      <c r="K91" s="49">
        <v>506780</v>
      </c>
      <c r="L91" s="49">
        <v>404493</v>
      </c>
      <c r="M91" s="49">
        <v>395931</v>
      </c>
      <c r="N91" s="49">
        <v>384208</v>
      </c>
      <c r="O91" s="49">
        <v>674628</v>
      </c>
      <c r="P91" s="49">
        <v>791745</v>
      </c>
      <c r="Q91" s="49">
        <v>1383646</v>
      </c>
      <c r="R91" s="49">
        <f t="shared" si="5"/>
        <v>10530034</v>
      </c>
      <c r="S91" s="11"/>
    </row>
    <row r="92" spans="1:19" x14ac:dyDescent="0.25">
      <c r="A92" s="6">
        <v>90</v>
      </c>
      <c r="C92" s="10" t="s">
        <v>45</v>
      </c>
      <c r="F92" s="49"/>
      <c r="G92" s="49"/>
      <c r="H92" s="49"/>
      <c r="I92" s="49"/>
      <c r="J92" s="49"/>
      <c r="K92" s="49"/>
      <c r="L92" s="49"/>
      <c r="M92" s="49"/>
      <c r="N92" s="49"/>
      <c r="O92" s="49"/>
      <c r="P92" s="49"/>
      <c r="Q92" s="49"/>
      <c r="R92" s="49">
        <f t="shared" si="5"/>
        <v>0</v>
      </c>
      <c r="S92" s="11"/>
    </row>
    <row r="93" spans="1:19" x14ac:dyDescent="0.25">
      <c r="A93" s="6">
        <v>91</v>
      </c>
      <c r="C93" s="6" t="s">
        <v>46</v>
      </c>
      <c r="D93" s="7" t="s">
        <v>35</v>
      </c>
      <c r="E93" s="7">
        <v>116</v>
      </c>
      <c r="F93" s="49">
        <v>1304883.2</v>
      </c>
      <c r="G93" s="49">
        <v>957659.66999999993</v>
      </c>
      <c r="H93" s="49">
        <v>1103401.6299999999</v>
      </c>
      <c r="I93" s="49">
        <v>941421.78</v>
      </c>
      <c r="J93" s="49">
        <v>716310.96</v>
      </c>
      <c r="K93" s="49">
        <v>515600.56</v>
      </c>
      <c r="L93" s="49">
        <v>442803.36</v>
      </c>
      <c r="M93" s="49">
        <v>433264.19000000006</v>
      </c>
      <c r="N93" s="49">
        <v>413398.86</v>
      </c>
      <c r="O93" s="49">
        <v>729268.95</v>
      </c>
      <c r="P93" s="49">
        <v>603819.99</v>
      </c>
      <c r="Q93" s="49">
        <v>941387.45000000007</v>
      </c>
      <c r="R93" s="49">
        <f t="shared" si="5"/>
        <v>9103220.6000000015</v>
      </c>
      <c r="S93" s="11"/>
    </row>
    <row r="94" spans="1:19" x14ac:dyDescent="0.25">
      <c r="A94" s="6">
        <v>92</v>
      </c>
      <c r="C94" s="6" t="s">
        <v>47</v>
      </c>
      <c r="D94" s="7" t="s">
        <v>37</v>
      </c>
      <c r="E94" s="7">
        <v>116</v>
      </c>
      <c r="F94" s="49">
        <v>0</v>
      </c>
      <c r="G94" s="49">
        <v>0</v>
      </c>
      <c r="H94" s="49">
        <v>0</v>
      </c>
      <c r="I94" s="49">
        <v>0</v>
      </c>
      <c r="J94" s="49">
        <v>0</v>
      </c>
      <c r="K94" s="49">
        <v>0</v>
      </c>
      <c r="L94" s="49">
        <v>0</v>
      </c>
      <c r="M94" s="49">
        <v>0</v>
      </c>
      <c r="N94" s="49">
        <v>0</v>
      </c>
      <c r="O94" s="49">
        <v>0</v>
      </c>
      <c r="P94" s="49">
        <v>0</v>
      </c>
      <c r="Q94" s="49">
        <v>0</v>
      </c>
      <c r="R94" s="49">
        <f t="shared" si="5"/>
        <v>0</v>
      </c>
      <c r="S94" s="11"/>
    </row>
    <row r="95" spans="1:19" x14ac:dyDescent="0.25">
      <c r="A95" s="6">
        <v>93</v>
      </c>
      <c r="C95" s="6" t="s">
        <v>48</v>
      </c>
      <c r="D95" s="7" t="s">
        <v>39</v>
      </c>
      <c r="E95" s="7">
        <v>116</v>
      </c>
      <c r="F95" s="49">
        <v>0</v>
      </c>
      <c r="G95" s="49">
        <v>0</v>
      </c>
      <c r="H95" s="49">
        <v>0</v>
      </c>
      <c r="I95" s="49">
        <v>0</v>
      </c>
      <c r="J95" s="49">
        <v>0</v>
      </c>
      <c r="K95" s="49">
        <v>0</v>
      </c>
      <c r="L95" s="49">
        <v>0</v>
      </c>
      <c r="M95" s="49">
        <v>0</v>
      </c>
      <c r="N95" s="49">
        <v>0</v>
      </c>
      <c r="O95" s="49">
        <v>0</v>
      </c>
      <c r="P95" s="49">
        <v>0</v>
      </c>
      <c r="Q95" s="49">
        <v>0</v>
      </c>
      <c r="R95" s="49">
        <f t="shared" si="5"/>
        <v>0</v>
      </c>
      <c r="S95" s="11"/>
    </row>
    <row r="96" spans="1:19" x14ac:dyDescent="0.25">
      <c r="A96" s="6">
        <v>94</v>
      </c>
      <c r="C96" s="6" t="s">
        <v>49</v>
      </c>
      <c r="D96" s="7" t="s">
        <v>50</v>
      </c>
      <c r="E96" s="7">
        <v>116</v>
      </c>
      <c r="F96" s="49">
        <v>-37674.47</v>
      </c>
      <c r="G96" s="49">
        <v>-48907.09</v>
      </c>
      <c r="H96" s="49">
        <v>15537.16</v>
      </c>
      <c r="I96" s="49">
        <v>-49647.520000000004</v>
      </c>
      <c r="J96" s="49">
        <v>-19444.879999999997</v>
      </c>
      <c r="K96" s="49">
        <v>-38864.29</v>
      </c>
      <c r="L96" s="49">
        <v>-38040.949999999997</v>
      </c>
      <c r="M96" s="49">
        <v>439.45000000000073</v>
      </c>
      <c r="N96" s="49">
        <v>-28279.95</v>
      </c>
      <c r="O96" s="49">
        <v>-101809.88</v>
      </c>
      <c r="P96" s="49">
        <v>-69379.42</v>
      </c>
      <c r="Q96" s="49">
        <v>-54847.75</v>
      </c>
      <c r="R96" s="49">
        <f t="shared" si="5"/>
        <v>-470919.58999999997</v>
      </c>
      <c r="S96" s="11"/>
    </row>
    <row r="97" spans="1:19" x14ac:dyDescent="0.25">
      <c r="A97" s="6">
        <v>95</v>
      </c>
      <c r="C97" s="27" t="s">
        <v>278</v>
      </c>
      <c r="D97" s="7" t="s">
        <v>51</v>
      </c>
      <c r="E97" s="7">
        <v>116</v>
      </c>
      <c r="F97" s="49">
        <v>33362.43</v>
      </c>
      <c r="G97" s="49">
        <v>24170.35</v>
      </c>
      <c r="H97" s="49">
        <v>28092.12</v>
      </c>
      <c r="I97" s="49">
        <v>23924.239999999998</v>
      </c>
      <c r="J97" s="49">
        <v>18259.68</v>
      </c>
      <c r="K97" s="49">
        <v>13029.470000000001</v>
      </c>
      <c r="L97" s="49">
        <v>11158.849999999999</v>
      </c>
      <c r="M97" s="49">
        <v>12431.77</v>
      </c>
      <c r="N97" s="49">
        <v>14486.279999999999</v>
      </c>
      <c r="O97" s="49">
        <v>18990.82</v>
      </c>
      <c r="P97" s="49">
        <v>29873.97</v>
      </c>
      <c r="Q97" s="49">
        <v>54227.02</v>
      </c>
      <c r="R97" s="49">
        <f t="shared" si="5"/>
        <v>282007</v>
      </c>
      <c r="S97" s="11"/>
    </row>
    <row r="98" spans="1:19" x14ac:dyDescent="0.25">
      <c r="A98" s="6">
        <v>96</v>
      </c>
      <c r="C98" s="6" t="s">
        <v>80</v>
      </c>
      <c r="D98" s="7" t="s">
        <v>79</v>
      </c>
      <c r="E98" s="7">
        <v>116</v>
      </c>
      <c r="F98" s="49">
        <v>0</v>
      </c>
      <c r="G98" s="49">
        <v>0</v>
      </c>
      <c r="H98" s="49">
        <v>0</v>
      </c>
      <c r="I98" s="49">
        <v>0</v>
      </c>
      <c r="J98" s="49">
        <v>0</v>
      </c>
      <c r="K98" s="49">
        <v>0</v>
      </c>
      <c r="L98" s="49">
        <v>0</v>
      </c>
      <c r="M98" s="49">
        <v>0</v>
      </c>
      <c r="N98" s="49">
        <v>0</v>
      </c>
      <c r="O98" s="49">
        <v>0</v>
      </c>
      <c r="P98" s="49">
        <v>0</v>
      </c>
      <c r="Q98" s="49">
        <v>0</v>
      </c>
      <c r="R98" s="49">
        <f t="shared" si="5"/>
        <v>0</v>
      </c>
      <c r="S98" s="11"/>
    </row>
    <row r="99" spans="1:19" x14ac:dyDescent="0.25">
      <c r="A99" s="6">
        <v>97</v>
      </c>
      <c r="C99" s="6" t="s">
        <v>13</v>
      </c>
      <c r="D99" s="7" t="s">
        <v>52</v>
      </c>
      <c r="E99" s="7">
        <v>116</v>
      </c>
      <c r="F99" s="49">
        <v>0</v>
      </c>
      <c r="G99" s="49">
        <v>0</v>
      </c>
      <c r="H99" s="49">
        <v>0</v>
      </c>
      <c r="I99" s="49">
        <v>0</v>
      </c>
      <c r="J99" s="49">
        <v>0</v>
      </c>
      <c r="K99" s="49">
        <v>0</v>
      </c>
      <c r="L99" s="49">
        <v>0</v>
      </c>
      <c r="M99" s="49">
        <v>0</v>
      </c>
      <c r="N99" s="49">
        <v>0</v>
      </c>
      <c r="O99" s="49">
        <v>0</v>
      </c>
      <c r="P99" s="49">
        <v>0</v>
      </c>
      <c r="Q99" s="49">
        <v>0</v>
      </c>
      <c r="R99" s="49">
        <f t="shared" si="5"/>
        <v>0</v>
      </c>
      <c r="S99" s="11"/>
    </row>
    <row r="100" spans="1:19" x14ac:dyDescent="0.25">
      <c r="A100" s="6">
        <v>98</v>
      </c>
      <c r="C100" s="6" t="s">
        <v>55</v>
      </c>
      <c r="D100" s="7" t="s">
        <v>41</v>
      </c>
      <c r="E100" s="7">
        <v>116</v>
      </c>
      <c r="F100" s="49">
        <v>0</v>
      </c>
      <c r="G100" s="49">
        <v>0</v>
      </c>
      <c r="H100" s="49">
        <v>0</v>
      </c>
      <c r="I100" s="49">
        <v>0</v>
      </c>
      <c r="J100" s="49">
        <v>0</v>
      </c>
      <c r="K100" s="49">
        <v>0</v>
      </c>
      <c r="L100" s="49">
        <v>0</v>
      </c>
      <c r="M100" s="49">
        <v>0</v>
      </c>
      <c r="N100" s="49">
        <v>0</v>
      </c>
      <c r="O100" s="49">
        <v>0</v>
      </c>
      <c r="P100" s="49">
        <v>0</v>
      </c>
      <c r="Q100" s="49">
        <v>0</v>
      </c>
      <c r="R100" s="49">
        <f t="shared" si="5"/>
        <v>0</v>
      </c>
      <c r="S100" s="11"/>
    </row>
    <row r="101" spans="1:19" x14ac:dyDescent="0.25">
      <c r="A101" s="6">
        <v>99</v>
      </c>
      <c r="C101" s="6" t="s">
        <v>56</v>
      </c>
      <c r="D101" s="7" t="s">
        <v>43</v>
      </c>
      <c r="E101" s="7">
        <v>116</v>
      </c>
      <c r="F101" s="49">
        <v>0</v>
      </c>
      <c r="G101" s="49">
        <v>0</v>
      </c>
      <c r="H101" s="49">
        <v>0</v>
      </c>
      <c r="I101" s="49">
        <v>0</v>
      </c>
      <c r="J101" s="49">
        <v>0</v>
      </c>
      <c r="K101" s="49">
        <v>0</v>
      </c>
      <c r="L101" s="49">
        <v>0</v>
      </c>
      <c r="M101" s="49">
        <v>0</v>
      </c>
      <c r="N101" s="49">
        <v>0</v>
      </c>
      <c r="O101" s="49">
        <v>0</v>
      </c>
      <c r="P101" s="49">
        <v>0</v>
      </c>
      <c r="Q101" s="49">
        <v>0</v>
      </c>
      <c r="R101" s="49">
        <f t="shared" si="5"/>
        <v>0</v>
      </c>
      <c r="S101" s="11"/>
    </row>
    <row r="102" spans="1:19" x14ac:dyDescent="0.25">
      <c r="A102" s="6">
        <v>100</v>
      </c>
      <c r="C102" s="6" t="s">
        <v>30</v>
      </c>
      <c r="D102" s="7" t="s">
        <v>44</v>
      </c>
      <c r="E102" s="7">
        <v>116</v>
      </c>
      <c r="F102" s="49">
        <v>1300571.1599999999</v>
      </c>
      <c r="G102" s="49">
        <v>932922.92999999993</v>
      </c>
      <c r="H102" s="49">
        <v>1147030.9099999999</v>
      </c>
      <c r="I102" s="49">
        <v>915698.5</v>
      </c>
      <c r="J102" s="49">
        <v>715125.76000000001</v>
      </c>
      <c r="K102" s="49">
        <v>489765.74</v>
      </c>
      <c r="L102" s="49">
        <v>415921.26</v>
      </c>
      <c r="M102" s="49">
        <v>446135.41000000009</v>
      </c>
      <c r="N102" s="49">
        <v>399605.18999999994</v>
      </c>
      <c r="O102" s="49">
        <v>646449.8899999999</v>
      </c>
      <c r="P102" s="49">
        <v>564314.53999999992</v>
      </c>
      <c r="Q102" s="49">
        <v>940766.72000000009</v>
      </c>
      <c r="R102" s="49">
        <f>SUM(F102:Q102)</f>
        <v>8914308.0099999998</v>
      </c>
      <c r="S102" s="11"/>
    </row>
    <row r="103" spans="1:19" x14ac:dyDescent="0.25">
      <c r="A103" s="6">
        <v>101</v>
      </c>
      <c r="C103" s="10" t="s">
        <v>45</v>
      </c>
      <c r="F103" s="49"/>
      <c r="G103" s="49"/>
      <c r="H103" s="49"/>
      <c r="I103" s="49"/>
      <c r="J103" s="49"/>
      <c r="K103" s="49"/>
      <c r="L103" s="49"/>
      <c r="M103" s="49"/>
      <c r="N103" s="49"/>
      <c r="O103" s="49"/>
      <c r="P103" s="49"/>
      <c r="Q103" s="49"/>
      <c r="R103" s="49"/>
      <c r="S103" s="11"/>
    </row>
    <row r="104" spans="1:19" x14ac:dyDescent="0.25">
      <c r="A104" s="6">
        <v>102</v>
      </c>
      <c r="C104" s="10"/>
      <c r="F104" s="49"/>
      <c r="G104" s="49"/>
      <c r="H104" s="49"/>
      <c r="I104" s="49"/>
      <c r="J104" s="49"/>
      <c r="K104" s="49"/>
      <c r="L104" s="49"/>
      <c r="M104" s="49"/>
      <c r="N104" s="49"/>
      <c r="O104" s="49"/>
      <c r="P104" s="49"/>
      <c r="Q104" s="49"/>
      <c r="R104" s="49"/>
      <c r="S104" s="11"/>
    </row>
    <row r="105" spans="1:19" x14ac:dyDescent="0.25">
      <c r="A105" s="6">
        <v>103</v>
      </c>
      <c r="C105" s="15" t="s">
        <v>218</v>
      </c>
      <c r="F105" s="55"/>
      <c r="G105" s="55"/>
      <c r="H105" s="55"/>
      <c r="I105" s="55"/>
      <c r="J105" s="55"/>
      <c r="K105" s="55"/>
      <c r="L105" s="55"/>
      <c r="M105" s="55"/>
      <c r="N105" s="55"/>
      <c r="O105" s="55"/>
      <c r="P105" s="55"/>
      <c r="Q105" s="55"/>
      <c r="R105" s="49"/>
      <c r="S105" s="11"/>
    </row>
    <row r="106" spans="1:19" x14ac:dyDescent="0.25">
      <c r="A106" s="6">
        <v>104</v>
      </c>
      <c r="C106" s="6" t="s">
        <v>31</v>
      </c>
      <c r="D106" s="7" t="s">
        <v>35</v>
      </c>
      <c r="E106" s="7">
        <v>69</v>
      </c>
      <c r="F106" s="49">
        <v>2767</v>
      </c>
      <c r="G106" s="49">
        <v>4356</v>
      </c>
      <c r="H106" s="49">
        <v>5757</v>
      </c>
      <c r="I106" s="49">
        <v>4526</v>
      </c>
      <c r="J106" s="49">
        <v>2823</v>
      </c>
      <c r="K106" s="49">
        <v>520</v>
      </c>
      <c r="L106" s="49">
        <v>438</v>
      </c>
      <c r="M106" s="49">
        <v>124</v>
      </c>
      <c r="N106" s="49">
        <v>158</v>
      </c>
      <c r="O106" s="49">
        <v>501</v>
      </c>
      <c r="P106" s="49">
        <v>2079</v>
      </c>
      <c r="Q106" s="49">
        <v>3464</v>
      </c>
      <c r="R106" s="49">
        <f t="shared" ref="R106:R121" si="6">SUM(F106:Q106)</f>
        <v>27513</v>
      </c>
      <c r="S106" s="11"/>
    </row>
    <row r="107" spans="1:19" x14ac:dyDescent="0.25">
      <c r="A107" s="6">
        <v>105</v>
      </c>
      <c r="C107" s="6" t="s">
        <v>36</v>
      </c>
      <c r="D107" s="7" t="s">
        <v>37</v>
      </c>
      <c r="E107" s="7">
        <v>69</v>
      </c>
      <c r="F107" s="49">
        <v>0</v>
      </c>
      <c r="G107" s="49">
        <v>0</v>
      </c>
      <c r="H107" s="49">
        <v>0</v>
      </c>
      <c r="I107" s="49">
        <v>0</v>
      </c>
      <c r="J107" s="49">
        <v>0</v>
      </c>
      <c r="K107" s="49">
        <v>0</v>
      </c>
      <c r="L107" s="49">
        <v>0</v>
      </c>
      <c r="M107" s="49">
        <v>0</v>
      </c>
      <c r="N107" s="49">
        <v>0</v>
      </c>
      <c r="O107" s="49">
        <v>0</v>
      </c>
      <c r="P107" s="49">
        <v>0</v>
      </c>
      <c r="Q107" s="49">
        <v>0</v>
      </c>
      <c r="R107" s="49">
        <f t="shared" si="6"/>
        <v>0</v>
      </c>
      <c r="S107" s="11"/>
    </row>
    <row r="108" spans="1:19" x14ac:dyDescent="0.25">
      <c r="A108" s="6">
        <v>106</v>
      </c>
      <c r="C108" s="6" t="s">
        <v>38</v>
      </c>
      <c r="D108" s="7" t="s">
        <v>39</v>
      </c>
      <c r="E108" s="7">
        <v>69</v>
      </c>
      <c r="F108" s="49">
        <v>0</v>
      </c>
      <c r="G108" s="49">
        <v>0</v>
      </c>
      <c r="H108" s="49">
        <v>0</v>
      </c>
      <c r="I108" s="49">
        <v>0</v>
      </c>
      <c r="J108" s="49">
        <v>0</v>
      </c>
      <c r="K108" s="49">
        <v>0</v>
      </c>
      <c r="L108" s="49">
        <v>0</v>
      </c>
      <c r="M108" s="49">
        <v>0</v>
      </c>
      <c r="N108" s="49">
        <v>0</v>
      </c>
      <c r="O108" s="49">
        <v>0</v>
      </c>
      <c r="P108" s="49">
        <v>0</v>
      </c>
      <c r="Q108" s="49">
        <v>0</v>
      </c>
      <c r="R108" s="49">
        <f t="shared" si="6"/>
        <v>0</v>
      </c>
      <c r="S108" s="11"/>
    </row>
    <row r="109" spans="1:19" x14ac:dyDescent="0.25">
      <c r="A109" s="6">
        <v>107</v>
      </c>
      <c r="C109" s="6" t="s">
        <v>40</v>
      </c>
      <c r="D109" s="7" t="s">
        <v>41</v>
      </c>
      <c r="E109" s="7">
        <v>69</v>
      </c>
      <c r="F109" s="49">
        <v>-2767</v>
      </c>
      <c r="G109" s="49">
        <v>-4356</v>
      </c>
      <c r="H109" s="49">
        <v>-5757</v>
      </c>
      <c r="I109" s="49">
        <v>-4526</v>
      </c>
      <c r="J109" s="49">
        <v>-2823</v>
      </c>
      <c r="K109" s="49">
        <v>-520</v>
      </c>
      <c r="L109" s="49">
        <v>-438</v>
      </c>
      <c r="M109" s="49">
        <v>-124</v>
      </c>
      <c r="N109" s="49">
        <v>-158</v>
      </c>
      <c r="O109" s="49">
        <v>-501</v>
      </c>
      <c r="P109" s="49">
        <v>-2079</v>
      </c>
      <c r="Q109" s="49">
        <v>-3464</v>
      </c>
      <c r="R109" s="49">
        <f t="shared" si="6"/>
        <v>-27513</v>
      </c>
      <c r="S109" s="11"/>
    </row>
    <row r="110" spans="1:19" x14ac:dyDescent="0.25">
      <c r="A110" s="6">
        <v>108</v>
      </c>
      <c r="C110" s="6" t="s">
        <v>42</v>
      </c>
      <c r="D110" s="7" t="s">
        <v>43</v>
      </c>
      <c r="E110" s="7">
        <v>69</v>
      </c>
      <c r="F110" s="49">
        <v>4356</v>
      </c>
      <c r="G110" s="49">
        <v>5757</v>
      </c>
      <c r="H110" s="49">
        <v>4526</v>
      </c>
      <c r="I110" s="49">
        <v>2823</v>
      </c>
      <c r="J110" s="49">
        <v>520</v>
      </c>
      <c r="K110" s="49">
        <v>438</v>
      </c>
      <c r="L110" s="49">
        <v>124</v>
      </c>
      <c r="M110" s="49">
        <v>158</v>
      </c>
      <c r="N110" s="49">
        <v>501</v>
      </c>
      <c r="O110" s="49">
        <v>2079</v>
      </c>
      <c r="P110" s="49">
        <v>3464</v>
      </c>
      <c r="Q110" s="49">
        <v>4915</v>
      </c>
      <c r="R110" s="49">
        <f t="shared" si="6"/>
        <v>29661</v>
      </c>
      <c r="S110" s="11"/>
    </row>
    <row r="111" spans="1:19" x14ac:dyDescent="0.25">
      <c r="A111" s="6">
        <v>109</v>
      </c>
      <c r="C111" s="6" t="s">
        <v>33</v>
      </c>
      <c r="D111" s="7" t="s">
        <v>44</v>
      </c>
      <c r="E111" s="7">
        <v>69</v>
      </c>
      <c r="F111" s="49">
        <v>4356</v>
      </c>
      <c r="G111" s="49">
        <v>5757</v>
      </c>
      <c r="H111" s="49">
        <v>4526</v>
      </c>
      <c r="I111" s="49">
        <v>2823</v>
      </c>
      <c r="J111" s="49">
        <v>520</v>
      </c>
      <c r="K111" s="49">
        <v>438</v>
      </c>
      <c r="L111" s="49">
        <v>124</v>
      </c>
      <c r="M111" s="49">
        <v>158</v>
      </c>
      <c r="N111" s="49">
        <v>501</v>
      </c>
      <c r="O111" s="49">
        <v>2079</v>
      </c>
      <c r="P111" s="49">
        <v>3464</v>
      </c>
      <c r="Q111" s="49">
        <v>4915</v>
      </c>
      <c r="R111" s="49">
        <f t="shared" si="6"/>
        <v>29661</v>
      </c>
      <c r="S111" s="11"/>
    </row>
    <row r="112" spans="1:19" x14ac:dyDescent="0.25">
      <c r="A112" s="6">
        <v>110</v>
      </c>
      <c r="C112" s="10" t="s">
        <v>45</v>
      </c>
      <c r="F112" s="155"/>
      <c r="G112" s="155"/>
      <c r="H112" s="155"/>
      <c r="I112" s="155"/>
      <c r="J112" s="155"/>
      <c r="K112" s="155"/>
      <c r="L112" s="155"/>
      <c r="M112" s="155"/>
      <c r="N112" s="155"/>
      <c r="O112" s="155"/>
      <c r="P112" s="155"/>
      <c r="Q112" s="155"/>
      <c r="R112" s="155">
        <f t="shared" si="6"/>
        <v>0</v>
      </c>
      <c r="S112" s="156"/>
    </row>
    <row r="113" spans="1:19" x14ac:dyDescent="0.25">
      <c r="A113" s="6">
        <v>111</v>
      </c>
      <c r="C113" s="6" t="s">
        <v>46</v>
      </c>
      <c r="D113" s="7" t="s">
        <v>35</v>
      </c>
      <c r="E113" s="7">
        <v>113</v>
      </c>
      <c r="F113" s="155">
        <v>2316.86</v>
      </c>
      <c r="G113" s="155">
        <v>3641.27</v>
      </c>
      <c r="H113" s="155">
        <v>4808.9799999999996</v>
      </c>
      <c r="I113" s="155">
        <v>3782.96</v>
      </c>
      <c r="J113" s="155">
        <v>2363.52</v>
      </c>
      <c r="K113" s="155">
        <v>444.02</v>
      </c>
      <c r="L113" s="155">
        <v>375.65</v>
      </c>
      <c r="M113" s="155">
        <v>113.95</v>
      </c>
      <c r="N113" s="155">
        <v>139.99</v>
      </c>
      <c r="O113" s="155">
        <v>414.03</v>
      </c>
      <c r="P113" s="155">
        <v>1674.69</v>
      </c>
      <c r="Q113" s="155">
        <v>2466.86</v>
      </c>
      <c r="R113" s="155">
        <f t="shared" si="6"/>
        <v>22542.780000000002</v>
      </c>
      <c r="S113" s="156"/>
    </row>
    <row r="114" spans="1:19" x14ac:dyDescent="0.25">
      <c r="A114" s="6">
        <v>112</v>
      </c>
      <c r="C114" s="6" t="s">
        <v>47</v>
      </c>
      <c r="D114" s="7" t="s">
        <v>37</v>
      </c>
      <c r="E114" s="7">
        <v>113</v>
      </c>
      <c r="F114" s="155">
        <v>0</v>
      </c>
      <c r="G114" s="155">
        <v>0</v>
      </c>
      <c r="H114" s="155">
        <v>0</v>
      </c>
      <c r="I114" s="155">
        <v>0</v>
      </c>
      <c r="J114" s="155">
        <v>0</v>
      </c>
      <c r="K114" s="155">
        <v>0</v>
      </c>
      <c r="L114" s="155">
        <v>0</v>
      </c>
      <c r="M114" s="155">
        <v>0</v>
      </c>
      <c r="N114" s="155">
        <v>0</v>
      </c>
      <c r="O114" s="155">
        <v>0</v>
      </c>
      <c r="P114" s="155">
        <v>0</v>
      </c>
      <c r="Q114" s="155">
        <v>0</v>
      </c>
      <c r="R114" s="155">
        <f t="shared" si="6"/>
        <v>0</v>
      </c>
      <c r="S114" s="156"/>
    </row>
    <row r="115" spans="1:19" x14ac:dyDescent="0.25">
      <c r="A115" s="6">
        <v>113</v>
      </c>
      <c r="C115" s="6" t="s">
        <v>48</v>
      </c>
      <c r="D115" s="7" t="s">
        <v>39</v>
      </c>
      <c r="E115" s="7">
        <v>113</v>
      </c>
      <c r="F115" s="155">
        <v>0</v>
      </c>
      <c r="G115" s="155">
        <v>0</v>
      </c>
      <c r="H115" s="155">
        <v>0</v>
      </c>
      <c r="I115" s="155">
        <v>0</v>
      </c>
      <c r="J115" s="155">
        <v>0</v>
      </c>
      <c r="K115" s="155">
        <v>0</v>
      </c>
      <c r="L115" s="155">
        <v>0</v>
      </c>
      <c r="M115" s="155">
        <v>0</v>
      </c>
      <c r="N115" s="155">
        <v>0</v>
      </c>
      <c r="O115" s="155">
        <v>0</v>
      </c>
      <c r="P115" s="155">
        <v>0</v>
      </c>
      <c r="Q115" s="155">
        <v>0</v>
      </c>
      <c r="R115" s="155">
        <f t="shared" si="6"/>
        <v>0</v>
      </c>
      <c r="S115" s="156"/>
    </row>
    <row r="116" spans="1:19" x14ac:dyDescent="0.25">
      <c r="A116" s="6">
        <v>114</v>
      </c>
      <c r="C116" s="6" t="s">
        <v>49</v>
      </c>
      <c r="D116" s="7" t="s">
        <v>50</v>
      </c>
      <c r="E116" s="7">
        <v>113</v>
      </c>
      <c r="F116" s="155">
        <v>-948.89</v>
      </c>
      <c r="G116" s="155">
        <v>-1995.5900000000001</v>
      </c>
      <c r="H116" s="155">
        <v>-1031.67</v>
      </c>
      <c r="I116" s="155">
        <v>-642.12</v>
      </c>
      <c r="J116" s="155">
        <v>-91.77</v>
      </c>
      <c r="K116" s="155">
        <v>-79.290000000000006</v>
      </c>
      <c r="L116" s="155">
        <v>-3.55</v>
      </c>
      <c r="M116" s="155">
        <v>-14.96</v>
      </c>
      <c r="N116" s="155">
        <v>-83.89</v>
      </c>
      <c r="O116" s="155">
        <v>-421.73</v>
      </c>
      <c r="P116" s="155">
        <v>-711.8</v>
      </c>
      <c r="Q116" s="155">
        <v>-1010.43</v>
      </c>
      <c r="R116" s="155">
        <f t="shared" si="6"/>
        <v>-7035.6900000000014</v>
      </c>
      <c r="S116" s="156"/>
    </row>
    <row r="117" spans="1:19" x14ac:dyDescent="0.25">
      <c r="A117" s="6">
        <v>115</v>
      </c>
      <c r="C117" s="27" t="s">
        <v>278</v>
      </c>
      <c r="D117" s="7" t="s">
        <v>51</v>
      </c>
      <c r="E117" s="7">
        <v>113</v>
      </c>
      <c r="F117" s="155">
        <v>-11.72</v>
      </c>
      <c r="G117" s="155">
        <v>-17.05</v>
      </c>
      <c r="H117" s="155">
        <v>-18.649999999999999</v>
      </c>
      <c r="I117" s="155">
        <v>-13.74</v>
      </c>
      <c r="J117" s="155">
        <v>-7.01</v>
      </c>
      <c r="K117" s="155">
        <v>-1.72</v>
      </c>
      <c r="L117" s="155">
        <v>-1.1499999999999999</v>
      </c>
      <c r="M117" s="155">
        <v>1.41</v>
      </c>
      <c r="N117" s="155">
        <v>5.04</v>
      </c>
      <c r="O117" s="155">
        <v>-3.75</v>
      </c>
      <c r="P117" s="155">
        <v>100.8</v>
      </c>
      <c r="Q117" s="155">
        <v>149.66</v>
      </c>
      <c r="R117" s="155">
        <f t="shared" si="6"/>
        <v>182.12</v>
      </c>
      <c r="S117" s="156"/>
    </row>
    <row r="118" spans="1:19" x14ac:dyDescent="0.25">
      <c r="A118" s="6">
        <v>116</v>
      </c>
      <c r="C118" s="6" t="s">
        <v>80</v>
      </c>
      <c r="D118" s="7" t="s">
        <v>79</v>
      </c>
      <c r="E118" s="7">
        <v>113</v>
      </c>
      <c r="F118" s="155">
        <v>0</v>
      </c>
      <c r="G118" s="155">
        <v>0</v>
      </c>
      <c r="H118" s="155">
        <v>0</v>
      </c>
      <c r="I118" s="155">
        <v>0</v>
      </c>
      <c r="J118" s="155">
        <v>0</v>
      </c>
      <c r="K118" s="155">
        <v>0</v>
      </c>
      <c r="L118" s="155">
        <v>0</v>
      </c>
      <c r="M118" s="155">
        <v>0</v>
      </c>
      <c r="N118" s="155">
        <v>0</v>
      </c>
      <c r="O118" s="155">
        <v>0</v>
      </c>
      <c r="P118" s="155">
        <v>0</v>
      </c>
      <c r="Q118" s="155">
        <v>0</v>
      </c>
      <c r="R118" s="155">
        <f t="shared" si="6"/>
        <v>0</v>
      </c>
      <c r="S118" s="156"/>
    </row>
    <row r="119" spans="1:19" x14ac:dyDescent="0.25">
      <c r="A119" s="6">
        <v>117</v>
      </c>
      <c r="C119" s="6" t="s">
        <v>13</v>
      </c>
      <c r="D119" s="7" t="s">
        <v>52</v>
      </c>
      <c r="E119" s="7">
        <v>113</v>
      </c>
      <c r="F119" s="155">
        <v>0</v>
      </c>
      <c r="G119" s="155">
        <v>0</v>
      </c>
      <c r="H119" s="155">
        <v>0</v>
      </c>
      <c r="I119" s="155">
        <v>0</v>
      </c>
      <c r="J119" s="155">
        <v>0</v>
      </c>
      <c r="K119" s="155">
        <v>0</v>
      </c>
      <c r="L119" s="155">
        <v>0</v>
      </c>
      <c r="M119" s="155">
        <v>0</v>
      </c>
      <c r="N119" s="155">
        <v>0</v>
      </c>
      <c r="O119" s="155">
        <v>0</v>
      </c>
      <c r="P119" s="155">
        <v>0</v>
      </c>
      <c r="Q119" s="155">
        <v>0</v>
      </c>
      <c r="R119" s="155">
        <f t="shared" si="6"/>
        <v>0</v>
      </c>
      <c r="S119" s="156"/>
    </row>
    <row r="120" spans="1:19" x14ac:dyDescent="0.25">
      <c r="A120" s="6">
        <v>118</v>
      </c>
      <c r="C120" s="6" t="s">
        <v>55</v>
      </c>
      <c r="D120" s="7" t="s">
        <v>41</v>
      </c>
      <c r="E120" s="7">
        <v>113</v>
      </c>
      <c r="F120" s="155">
        <v>-2310.33</v>
      </c>
      <c r="G120" s="155">
        <v>-3630.99</v>
      </c>
      <c r="H120" s="155">
        <v>-4795.3900000000003</v>
      </c>
      <c r="I120" s="155">
        <v>-3772.28</v>
      </c>
      <c r="J120" s="155">
        <v>-2356.86</v>
      </c>
      <c r="K120" s="155">
        <v>-442.79</v>
      </c>
      <c r="L120" s="155">
        <v>-374.62</v>
      </c>
      <c r="M120" s="155">
        <v>-113.66</v>
      </c>
      <c r="N120" s="155">
        <v>-139.62</v>
      </c>
      <c r="O120" s="155">
        <v>-412.85</v>
      </c>
      <c r="P120" s="155">
        <v>-1669.78</v>
      </c>
      <c r="Q120" s="155">
        <v>-2458.6799999999998</v>
      </c>
      <c r="R120" s="155">
        <f t="shared" si="6"/>
        <v>-22477.849999999995</v>
      </c>
      <c r="S120" s="156"/>
    </row>
    <row r="121" spans="1:19" x14ac:dyDescent="0.25">
      <c r="A121" s="6">
        <v>119</v>
      </c>
      <c r="C121" s="6" t="s">
        <v>56</v>
      </c>
      <c r="D121" s="7" t="s">
        <v>43</v>
      </c>
      <c r="E121" s="7">
        <v>113</v>
      </c>
      <c r="F121" s="155">
        <v>3630.99</v>
      </c>
      <c r="G121" s="155">
        <v>4795.3899999999994</v>
      </c>
      <c r="H121" s="155">
        <v>3772.28</v>
      </c>
      <c r="I121" s="155">
        <v>2356.86</v>
      </c>
      <c r="J121" s="155">
        <v>442.78999999999996</v>
      </c>
      <c r="K121" s="155">
        <v>374.62</v>
      </c>
      <c r="L121" s="155">
        <v>113.66</v>
      </c>
      <c r="M121" s="155">
        <v>139.62</v>
      </c>
      <c r="N121" s="155">
        <v>412.84999999999997</v>
      </c>
      <c r="O121" s="155">
        <v>1669.78</v>
      </c>
      <c r="P121" s="155">
        <v>2458.6800000000003</v>
      </c>
      <c r="Q121" s="155">
        <v>3482.9300000000003</v>
      </c>
      <c r="R121" s="155">
        <f t="shared" si="6"/>
        <v>23650.450000000004</v>
      </c>
      <c r="S121" s="156"/>
    </row>
    <row r="122" spans="1:19" x14ac:dyDescent="0.25">
      <c r="A122" s="6">
        <v>120</v>
      </c>
      <c r="C122" s="6" t="s">
        <v>30</v>
      </c>
      <c r="D122" s="7" t="s">
        <v>44</v>
      </c>
      <c r="E122" s="7">
        <v>113</v>
      </c>
      <c r="F122" s="155">
        <f>SUM(F113:F121)</f>
        <v>2676.91</v>
      </c>
      <c r="G122" s="155">
        <f t="shared" ref="G122:P122" si="7">SUM(G113:G121)</f>
        <v>2793.0299999999997</v>
      </c>
      <c r="H122" s="155">
        <f t="shared" si="7"/>
        <v>2735.5499999999993</v>
      </c>
      <c r="I122" s="155">
        <f t="shared" si="7"/>
        <v>1711.6800000000003</v>
      </c>
      <c r="J122" s="155">
        <f t="shared" si="7"/>
        <v>350.66999999999962</v>
      </c>
      <c r="K122" s="155">
        <f t="shared" si="7"/>
        <v>294.83999999999992</v>
      </c>
      <c r="L122" s="155">
        <f t="shared" si="7"/>
        <v>109.98999999999998</v>
      </c>
      <c r="M122" s="155">
        <f t="shared" si="7"/>
        <v>126.36000000000001</v>
      </c>
      <c r="N122" s="155">
        <f t="shared" si="7"/>
        <v>334.37</v>
      </c>
      <c r="O122" s="155">
        <f t="shared" si="7"/>
        <v>1245.48</v>
      </c>
      <c r="P122" s="155">
        <f t="shared" si="7"/>
        <v>1852.5900000000004</v>
      </c>
      <c r="Q122" s="155">
        <f>SUM(Q113:Q121)</f>
        <v>2630.3400000000011</v>
      </c>
      <c r="R122" s="155">
        <f>SUM(F122:Q122)</f>
        <v>16861.810000000001</v>
      </c>
      <c r="S122" s="156"/>
    </row>
    <row r="123" spans="1:19" x14ac:dyDescent="0.25">
      <c r="A123" s="6">
        <v>121</v>
      </c>
      <c r="C123" s="10" t="s">
        <v>45</v>
      </c>
      <c r="F123" s="155"/>
      <c r="G123" s="155"/>
      <c r="H123" s="155"/>
      <c r="I123" s="155"/>
      <c r="J123" s="155"/>
      <c r="K123" s="155"/>
      <c r="L123" s="155"/>
      <c r="M123" s="155"/>
      <c r="N123" s="155"/>
      <c r="O123" s="155"/>
      <c r="P123" s="155"/>
      <c r="Q123" s="155"/>
      <c r="R123" s="155"/>
      <c r="S123" s="156"/>
    </row>
    <row r="124" spans="1:19" x14ac:dyDescent="0.25">
      <c r="A124" s="6">
        <v>122</v>
      </c>
      <c r="C124" s="10"/>
      <c r="F124" s="155"/>
      <c r="G124" s="155"/>
      <c r="H124" s="155"/>
      <c r="I124" s="155"/>
      <c r="J124" s="155"/>
      <c r="K124" s="155"/>
      <c r="L124" s="155"/>
      <c r="M124" s="155"/>
      <c r="N124" s="155"/>
      <c r="O124" s="155"/>
      <c r="P124" s="155"/>
      <c r="Q124" s="155"/>
      <c r="R124" s="155"/>
      <c r="S124" s="156"/>
    </row>
    <row r="125" spans="1:19" x14ac:dyDescent="0.25">
      <c r="A125" s="6">
        <v>123</v>
      </c>
      <c r="C125" s="15" t="s">
        <v>120</v>
      </c>
      <c r="D125" s="7" t="s">
        <v>34</v>
      </c>
      <c r="E125" s="7">
        <v>73</v>
      </c>
      <c r="F125" s="157"/>
      <c r="G125" s="157"/>
      <c r="H125" s="157"/>
      <c r="I125" s="157"/>
      <c r="J125" s="157"/>
      <c r="K125" s="157"/>
      <c r="L125" s="157"/>
      <c r="M125" s="157"/>
      <c r="N125" s="157"/>
      <c r="O125" s="157"/>
      <c r="P125" s="157"/>
      <c r="Q125" s="157"/>
      <c r="R125" s="155"/>
      <c r="S125" s="156"/>
    </row>
    <row r="126" spans="1:19" x14ac:dyDescent="0.25">
      <c r="A126" s="6">
        <v>124</v>
      </c>
      <c r="C126" s="6" t="s">
        <v>31</v>
      </c>
      <c r="D126" s="7" t="s">
        <v>35</v>
      </c>
      <c r="E126" s="7">
        <v>73</v>
      </c>
      <c r="F126" s="155">
        <v>4437</v>
      </c>
      <c r="G126" s="155">
        <v>3570</v>
      </c>
      <c r="H126" s="155">
        <v>4165</v>
      </c>
      <c r="I126" s="155">
        <v>3827</v>
      </c>
      <c r="J126" s="155">
        <v>4610</v>
      </c>
      <c r="K126" s="155">
        <v>4475</v>
      </c>
      <c r="L126" s="155">
        <v>4195</v>
      </c>
      <c r="M126" s="155">
        <v>0</v>
      </c>
      <c r="N126" s="155">
        <v>0</v>
      </c>
      <c r="O126" s="155">
        <v>0</v>
      </c>
      <c r="P126" s="155">
        <v>0</v>
      </c>
      <c r="Q126" s="155">
        <v>0</v>
      </c>
      <c r="R126" s="155">
        <f t="shared" ref="R126:R141" si="8">SUM(F126:Q126)</f>
        <v>29279</v>
      </c>
      <c r="S126" s="156"/>
    </row>
    <row r="127" spans="1:19" x14ac:dyDescent="0.25">
      <c r="A127" s="6">
        <v>125</v>
      </c>
      <c r="C127" s="6" t="s">
        <v>36</v>
      </c>
      <c r="D127" s="7" t="s">
        <v>37</v>
      </c>
      <c r="E127" s="7">
        <v>73</v>
      </c>
      <c r="F127" s="155">
        <v>0</v>
      </c>
      <c r="G127" s="155">
        <v>0</v>
      </c>
      <c r="H127" s="155">
        <v>0</v>
      </c>
      <c r="I127" s="155">
        <v>0</v>
      </c>
      <c r="J127" s="155">
        <v>0</v>
      </c>
      <c r="K127" s="155">
        <v>0</v>
      </c>
      <c r="L127" s="155">
        <v>0</v>
      </c>
      <c r="M127" s="155">
        <v>0</v>
      </c>
      <c r="N127" s="155">
        <v>0</v>
      </c>
      <c r="O127" s="155">
        <v>0</v>
      </c>
      <c r="P127" s="155">
        <v>0</v>
      </c>
      <c r="Q127" s="155">
        <v>0</v>
      </c>
      <c r="R127" s="155">
        <f t="shared" si="8"/>
        <v>0</v>
      </c>
      <c r="S127" s="156"/>
    </row>
    <row r="128" spans="1:19" x14ac:dyDescent="0.25">
      <c r="A128" s="6">
        <v>126</v>
      </c>
      <c r="C128" s="6" t="s">
        <v>38</v>
      </c>
      <c r="D128" s="7" t="s">
        <v>39</v>
      </c>
      <c r="E128" s="7">
        <v>73</v>
      </c>
      <c r="F128" s="155">
        <v>0</v>
      </c>
      <c r="G128" s="155">
        <v>0</v>
      </c>
      <c r="H128" s="155">
        <v>0</v>
      </c>
      <c r="I128" s="155">
        <v>0</v>
      </c>
      <c r="J128" s="155">
        <v>0</v>
      </c>
      <c r="K128" s="155">
        <v>0</v>
      </c>
      <c r="L128" s="155">
        <v>0</v>
      </c>
      <c r="M128" s="155">
        <v>0</v>
      </c>
      <c r="N128" s="155">
        <v>0</v>
      </c>
      <c r="O128" s="155">
        <v>0</v>
      </c>
      <c r="P128" s="155">
        <v>0</v>
      </c>
      <c r="Q128" s="155">
        <v>0</v>
      </c>
      <c r="R128" s="155">
        <f t="shared" si="8"/>
        <v>0</v>
      </c>
      <c r="S128" s="156"/>
    </row>
    <row r="129" spans="1:19" x14ac:dyDescent="0.25">
      <c r="A129" s="6">
        <v>127</v>
      </c>
      <c r="C129" s="6" t="s">
        <v>40</v>
      </c>
      <c r="D129" s="7" t="s">
        <v>41</v>
      </c>
      <c r="E129" s="7">
        <v>73</v>
      </c>
      <c r="F129" s="155">
        <v>0</v>
      </c>
      <c r="G129" s="155">
        <v>0</v>
      </c>
      <c r="H129" s="155">
        <v>0</v>
      </c>
      <c r="I129" s="155">
        <v>0</v>
      </c>
      <c r="J129" s="155">
        <v>0</v>
      </c>
      <c r="K129" s="155">
        <v>0</v>
      </c>
      <c r="L129" s="155">
        <v>0</v>
      </c>
      <c r="M129" s="155">
        <v>0</v>
      </c>
      <c r="N129" s="155">
        <v>0</v>
      </c>
      <c r="O129" s="155">
        <v>0</v>
      </c>
      <c r="P129" s="155">
        <v>0</v>
      </c>
      <c r="Q129" s="155">
        <v>0</v>
      </c>
      <c r="R129" s="155">
        <f t="shared" si="8"/>
        <v>0</v>
      </c>
      <c r="S129" s="156"/>
    </row>
    <row r="130" spans="1:19" x14ac:dyDescent="0.25">
      <c r="A130" s="6">
        <v>128</v>
      </c>
      <c r="C130" s="6" t="s">
        <v>42</v>
      </c>
      <c r="D130" s="7" t="s">
        <v>43</v>
      </c>
      <c r="E130" s="7">
        <v>73</v>
      </c>
      <c r="F130" s="155">
        <v>0</v>
      </c>
      <c r="G130" s="155">
        <v>0</v>
      </c>
      <c r="H130" s="155">
        <v>0</v>
      </c>
      <c r="I130" s="155">
        <v>0</v>
      </c>
      <c r="J130" s="155">
        <v>0</v>
      </c>
      <c r="K130" s="155">
        <v>0</v>
      </c>
      <c r="L130" s="155">
        <v>0</v>
      </c>
      <c r="M130" s="155">
        <v>0</v>
      </c>
      <c r="N130" s="155">
        <v>0</v>
      </c>
      <c r="O130" s="155">
        <v>0</v>
      </c>
      <c r="P130" s="155">
        <v>0</v>
      </c>
      <c r="Q130" s="155">
        <v>0</v>
      </c>
      <c r="R130" s="155">
        <f t="shared" si="8"/>
        <v>0</v>
      </c>
      <c r="S130" s="156"/>
    </row>
    <row r="131" spans="1:19" x14ac:dyDescent="0.25">
      <c r="A131" s="6">
        <v>129</v>
      </c>
      <c r="C131" s="6" t="s">
        <v>33</v>
      </c>
      <c r="D131" s="7" t="s">
        <v>44</v>
      </c>
      <c r="E131" s="7">
        <v>73</v>
      </c>
      <c r="F131" s="155">
        <v>4437</v>
      </c>
      <c r="G131" s="155">
        <v>3570</v>
      </c>
      <c r="H131" s="155">
        <v>4165</v>
      </c>
      <c r="I131" s="155">
        <v>3827</v>
      </c>
      <c r="J131" s="155">
        <v>4610</v>
      </c>
      <c r="K131" s="155">
        <v>4475</v>
      </c>
      <c r="L131" s="155">
        <v>4195</v>
      </c>
      <c r="M131" s="155">
        <v>0</v>
      </c>
      <c r="N131" s="155">
        <v>0</v>
      </c>
      <c r="O131" s="155">
        <v>0</v>
      </c>
      <c r="P131" s="155">
        <v>0</v>
      </c>
      <c r="Q131" s="155">
        <v>0</v>
      </c>
      <c r="R131" s="155">
        <f t="shared" si="8"/>
        <v>29279</v>
      </c>
      <c r="S131" s="156"/>
    </row>
    <row r="132" spans="1:19" x14ac:dyDescent="0.25">
      <c r="A132" s="6">
        <v>130</v>
      </c>
      <c r="C132" s="10" t="s">
        <v>45</v>
      </c>
      <c r="F132" s="155"/>
      <c r="G132" s="155"/>
      <c r="H132" s="155"/>
      <c r="I132" s="155"/>
      <c r="J132" s="155"/>
      <c r="K132" s="155"/>
      <c r="L132" s="155"/>
      <c r="M132" s="155"/>
      <c r="N132" s="155"/>
      <c r="O132" s="155"/>
      <c r="P132" s="155"/>
      <c r="Q132" s="155"/>
      <c r="R132" s="155">
        <f t="shared" si="8"/>
        <v>0</v>
      </c>
      <c r="S132" s="156"/>
    </row>
    <row r="133" spans="1:19" x14ac:dyDescent="0.25">
      <c r="A133" s="6">
        <v>131</v>
      </c>
      <c r="C133" s="6" t="s">
        <v>46</v>
      </c>
      <c r="D133" s="7" t="s">
        <v>35</v>
      </c>
      <c r="E133" s="7">
        <v>117</v>
      </c>
      <c r="F133" s="155">
        <v>3550.71</v>
      </c>
      <c r="G133" s="155">
        <v>2859.8</v>
      </c>
      <c r="H133" s="155">
        <v>3333.95</v>
      </c>
      <c r="I133" s="155">
        <v>3064.6</v>
      </c>
      <c r="J133" s="155">
        <v>3688.58</v>
      </c>
      <c r="K133" s="155">
        <v>3581.01</v>
      </c>
      <c r="L133" s="155">
        <v>3357.87</v>
      </c>
      <c r="M133" s="155">
        <v>0</v>
      </c>
      <c r="N133" s="155">
        <v>0</v>
      </c>
      <c r="O133" s="155">
        <v>0</v>
      </c>
      <c r="P133" s="155">
        <v>0</v>
      </c>
      <c r="Q133" s="155">
        <v>0</v>
      </c>
      <c r="R133" s="155">
        <f t="shared" si="8"/>
        <v>23436.52</v>
      </c>
      <c r="S133" s="156"/>
    </row>
    <row r="134" spans="1:19" x14ac:dyDescent="0.25">
      <c r="A134" s="6">
        <v>132</v>
      </c>
      <c r="C134" s="6" t="s">
        <v>47</v>
      </c>
      <c r="D134" s="7" t="s">
        <v>37</v>
      </c>
      <c r="E134" s="7">
        <v>117</v>
      </c>
      <c r="F134" s="155">
        <v>0</v>
      </c>
      <c r="G134" s="155">
        <v>0</v>
      </c>
      <c r="H134" s="155">
        <v>0</v>
      </c>
      <c r="I134" s="155">
        <v>0</v>
      </c>
      <c r="J134" s="155">
        <v>0</v>
      </c>
      <c r="K134" s="155">
        <v>0</v>
      </c>
      <c r="L134" s="155">
        <v>0</v>
      </c>
      <c r="M134" s="155">
        <v>0</v>
      </c>
      <c r="N134" s="155">
        <v>0</v>
      </c>
      <c r="O134" s="155">
        <v>0</v>
      </c>
      <c r="P134" s="155">
        <v>0</v>
      </c>
      <c r="Q134" s="155">
        <v>0</v>
      </c>
      <c r="R134" s="155">
        <f t="shared" si="8"/>
        <v>0</v>
      </c>
      <c r="S134" s="156"/>
    </row>
    <row r="135" spans="1:19" x14ac:dyDescent="0.25">
      <c r="A135" s="6">
        <v>133</v>
      </c>
      <c r="C135" s="6" t="s">
        <v>48</v>
      </c>
      <c r="D135" s="7" t="s">
        <v>39</v>
      </c>
      <c r="E135" s="7">
        <v>117</v>
      </c>
      <c r="F135" s="155">
        <v>0</v>
      </c>
      <c r="G135" s="155">
        <v>0</v>
      </c>
      <c r="H135" s="155">
        <v>0</v>
      </c>
      <c r="I135" s="155">
        <v>0</v>
      </c>
      <c r="J135" s="155">
        <v>0</v>
      </c>
      <c r="K135" s="155">
        <v>0</v>
      </c>
      <c r="L135" s="155">
        <v>0</v>
      </c>
      <c r="M135" s="155">
        <v>0</v>
      </c>
      <c r="N135" s="155">
        <v>0</v>
      </c>
      <c r="O135" s="155">
        <v>0</v>
      </c>
      <c r="P135" s="155">
        <v>0</v>
      </c>
      <c r="Q135" s="155">
        <v>0</v>
      </c>
      <c r="R135" s="155">
        <f t="shared" si="8"/>
        <v>0</v>
      </c>
      <c r="S135" s="156"/>
    </row>
    <row r="136" spans="1:19" x14ac:dyDescent="0.25">
      <c r="A136" s="6">
        <v>134</v>
      </c>
      <c r="C136" s="6" t="s">
        <v>49</v>
      </c>
      <c r="D136" s="7" t="s">
        <v>50</v>
      </c>
      <c r="E136" s="7">
        <v>117</v>
      </c>
      <c r="F136" s="155">
        <v>-208.34</v>
      </c>
      <c r="G136" s="155">
        <v>50.91</v>
      </c>
      <c r="H136" s="155">
        <v>-3.87</v>
      </c>
      <c r="I136" s="155">
        <v>-42.1</v>
      </c>
      <c r="J136" s="155">
        <v>-127.8</v>
      </c>
      <c r="K136" s="155">
        <v>-97.52</v>
      </c>
      <c r="L136" s="155">
        <v>-52.19</v>
      </c>
      <c r="M136" s="155">
        <v>0</v>
      </c>
      <c r="N136" s="155">
        <v>0</v>
      </c>
      <c r="O136" s="155">
        <v>0</v>
      </c>
      <c r="P136" s="155">
        <v>0</v>
      </c>
      <c r="Q136" s="155">
        <v>0</v>
      </c>
      <c r="R136" s="155">
        <f t="shared" si="8"/>
        <v>-480.90999999999997</v>
      </c>
      <c r="S136" s="156"/>
    </row>
    <row r="137" spans="1:19" x14ac:dyDescent="0.25">
      <c r="A137" s="6">
        <v>135</v>
      </c>
      <c r="C137" s="27" t="s">
        <v>278</v>
      </c>
      <c r="D137" s="7" t="s">
        <v>51</v>
      </c>
      <c r="E137" s="7">
        <v>117</v>
      </c>
      <c r="F137" s="155">
        <v>-9.4499999999999993</v>
      </c>
      <c r="G137" s="155">
        <v>-7.61</v>
      </c>
      <c r="H137" s="155">
        <v>-8.8800000000000008</v>
      </c>
      <c r="I137" s="155">
        <v>-8.15</v>
      </c>
      <c r="J137" s="155">
        <v>-9.82</v>
      </c>
      <c r="K137" s="155">
        <v>-9.5299999999999994</v>
      </c>
      <c r="L137" s="155">
        <v>-8.94</v>
      </c>
      <c r="M137" s="155">
        <v>0</v>
      </c>
      <c r="N137" s="155">
        <v>0</v>
      </c>
      <c r="O137" s="155">
        <v>0</v>
      </c>
      <c r="P137" s="155">
        <v>0</v>
      </c>
      <c r="Q137" s="155">
        <v>0</v>
      </c>
      <c r="R137" s="155">
        <f t="shared" si="8"/>
        <v>-62.379999999999995</v>
      </c>
      <c r="S137" s="156"/>
    </row>
    <row r="138" spans="1:19" x14ac:dyDescent="0.25">
      <c r="A138" s="6">
        <v>136</v>
      </c>
      <c r="C138" s="6" t="s">
        <v>80</v>
      </c>
      <c r="D138" s="7" t="s">
        <v>79</v>
      </c>
      <c r="E138" s="7">
        <v>117</v>
      </c>
      <c r="F138" s="155">
        <v>0</v>
      </c>
      <c r="G138" s="155">
        <v>0</v>
      </c>
      <c r="H138" s="155">
        <v>0</v>
      </c>
      <c r="I138" s="155">
        <v>0</v>
      </c>
      <c r="J138" s="155">
        <v>0</v>
      </c>
      <c r="K138" s="155">
        <v>0</v>
      </c>
      <c r="L138" s="155">
        <v>0</v>
      </c>
      <c r="M138" s="155">
        <v>0</v>
      </c>
      <c r="N138" s="155">
        <v>0</v>
      </c>
      <c r="O138" s="155">
        <v>0</v>
      </c>
      <c r="P138" s="155">
        <v>0</v>
      </c>
      <c r="Q138" s="155">
        <v>0</v>
      </c>
      <c r="R138" s="155">
        <f t="shared" si="8"/>
        <v>0</v>
      </c>
      <c r="S138" s="156"/>
    </row>
    <row r="139" spans="1:19" x14ac:dyDescent="0.25">
      <c r="A139" s="6">
        <v>137</v>
      </c>
      <c r="C139" s="6" t="s">
        <v>13</v>
      </c>
      <c r="D139" s="7" t="s">
        <v>52</v>
      </c>
      <c r="E139" s="7">
        <v>117</v>
      </c>
      <c r="F139" s="155">
        <v>0</v>
      </c>
      <c r="G139" s="155">
        <v>0</v>
      </c>
      <c r="H139" s="155">
        <v>0</v>
      </c>
      <c r="I139" s="155">
        <v>0</v>
      </c>
      <c r="J139" s="155">
        <v>0</v>
      </c>
      <c r="K139" s="155">
        <v>0</v>
      </c>
      <c r="L139" s="155">
        <v>0</v>
      </c>
      <c r="M139" s="155">
        <v>0</v>
      </c>
      <c r="N139" s="155">
        <v>0</v>
      </c>
      <c r="O139" s="155">
        <v>0</v>
      </c>
      <c r="P139" s="155">
        <v>0</v>
      </c>
      <c r="Q139" s="155">
        <v>0</v>
      </c>
      <c r="R139" s="155">
        <f t="shared" si="8"/>
        <v>0</v>
      </c>
      <c r="S139" s="156"/>
    </row>
    <row r="140" spans="1:19" x14ac:dyDescent="0.25">
      <c r="A140" s="6">
        <v>138</v>
      </c>
      <c r="C140" s="6" t="s">
        <v>55</v>
      </c>
      <c r="D140" s="7" t="s">
        <v>41</v>
      </c>
      <c r="E140" s="7">
        <v>117</v>
      </c>
      <c r="F140" s="49">
        <v>0</v>
      </c>
      <c r="G140" s="49">
        <v>0</v>
      </c>
      <c r="H140" s="49">
        <v>0</v>
      </c>
      <c r="I140" s="49">
        <v>0</v>
      </c>
      <c r="J140" s="49">
        <v>0</v>
      </c>
      <c r="K140" s="49">
        <v>0</v>
      </c>
      <c r="L140" s="49">
        <v>0</v>
      </c>
      <c r="M140" s="49">
        <v>0</v>
      </c>
      <c r="N140" s="49">
        <v>0</v>
      </c>
      <c r="O140" s="49">
        <v>0</v>
      </c>
      <c r="P140" s="49">
        <v>0</v>
      </c>
      <c r="Q140" s="49">
        <v>0</v>
      </c>
      <c r="R140" s="49">
        <f t="shared" si="8"/>
        <v>0</v>
      </c>
      <c r="S140" s="11"/>
    </row>
    <row r="141" spans="1:19" x14ac:dyDescent="0.25">
      <c r="A141" s="6">
        <v>139</v>
      </c>
      <c r="C141" s="6" t="s">
        <v>56</v>
      </c>
      <c r="D141" s="7" t="s">
        <v>43</v>
      </c>
      <c r="E141" s="7">
        <v>117</v>
      </c>
      <c r="F141" s="49">
        <v>0</v>
      </c>
      <c r="G141" s="49">
        <v>0</v>
      </c>
      <c r="H141" s="49">
        <v>0</v>
      </c>
      <c r="I141" s="49">
        <v>0</v>
      </c>
      <c r="J141" s="49">
        <v>0</v>
      </c>
      <c r="K141" s="49">
        <v>0</v>
      </c>
      <c r="L141" s="49">
        <v>0</v>
      </c>
      <c r="M141" s="49">
        <v>0</v>
      </c>
      <c r="N141" s="49">
        <v>0</v>
      </c>
      <c r="O141" s="49">
        <v>0</v>
      </c>
      <c r="P141" s="49">
        <v>0</v>
      </c>
      <c r="Q141" s="49">
        <v>0</v>
      </c>
      <c r="R141" s="49">
        <f t="shared" si="8"/>
        <v>0</v>
      </c>
      <c r="S141" s="11"/>
    </row>
    <row r="142" spans="1:19" x14ac:dyDescent="0.25">
      <c r="A142" s="6">
        <v>140</v>
      </c>
      <c r="C142" s="6" t="s">
        <v>30</v>
      </c>
      <c r="D142" s="7" t="s">
        <v>44</v>
      </c>
      <c r="E142" s="7">
        <v>117</v>
      </c>
      <c r="F142" s="49">
        <f>SUM(F133:F141)</f>
        <v>3332.92</v>
      </c>
      <c r="G142" s="49">
        <f t="shared" ref="G142:L142" si="9">SUM(G133:G141)</f>
        <v>2903.1</v>
      </c>
      <c r="H142" s="49">
        <f t="shared" si="9"/>
        <v>3321.2</v>
      </c>
      <c r="I142" s="49">
        <f t="shared" si="9"/>
        <v>3014.35</v>
      </c>
      <c r="J142" s="49">
        <f t="shared" si="9"/>
        <v>3550.9599999999996</v>
      </c>
      <c r="K142" s="49">
        <f t="shared" si="9"/>
        <v>3473.96</v>
      </c>
      <c r="L142" s="49">
        <f t="shared" si="9"/>
        <v>3296.74</v>
      </c>
      <c r="M142" s="49">
        <v>0</v>
      </c>
      <c r="N142" s="49">
        <v>0</v>
      </c>
      <c r="O142" s="49">
        <v>0</v>
      </c>
      <c r="P142" s="49">
        <v>0</v>
      </c>
      <c r="Q142" s="49">
        <v>0</v>
      </c>
      <c r="R142" s="49">
        <f>SUM(F142:Q142)</f>
        <v>22893.230000000003</v>
      </c>
      <c r="S142" s="11"/>
    </row>
    <row r="143" spans="1:19" x14ac:dyDescent="0.25">
      <c r="A143" s="6">
        <v>141</v>
      </c>
      <c r="C143" s="10" t="s">
        <v>45</v>
      </c>
      <c r="F143" s="49"/>
      <c r="G143" s="49"/>
      <c r="H143" s="49"/>
      <c r="I143" s="49"/>
      <c r="J143" s="49"/>
      <c r="K143" s="49"/>
      <c r="L143" s="49"/>
      <c r="M143" s="49"/>
      <c r="N143" s="49"/>
      <c r="O143" s="49"/>
      <c r="P143" s="49"/>
      <c r="Q143" s="49"/>
      <c r="R143" s="49"/>
      <c r="S143" s="11"/>
    </row>
    <row r="144" spans="1:19" x14ac:dyDescent="0.25">
      <c r="A144" s="6">
        <v>142</v>
      </c>
      <c r="C144" s="10"/>
      <c r="F144" s="49"/>
      <c r="G144" s="49"/>
      <c r="H144" s="49"/>
      <c r="I144" s="49"/>
      <c r="J144" s="49"/>
      <c r="K144" s="49"/>
      <c r="L144" s="49"/>
      <c r="M144" s="49"/>
      <c r="N144" s="49"/>
      <c r="O144" s="49"/>
      <c r="P144" s="49"/>
      <c r="Q144" s="49"/>
      <c r="R144" s="49"/>
      <c r="S144" s="11"/>
    </row>
    <row r="145" spans="1:19" x14ac:dyDescent="0.25">
      <c r="A145" s="6">
        <v>143</v>
      </c>
      <c r="C145" s="15" t="s">
        <v>217</v>
      </c>
      <c r="F145" s="55"/>
      <c r="G145" s="55"/>
      <c r="H145" s="55"/>
      <c r="I145" s="55"/>
      <c r="J145" s="55"/>
      <c r="K145" s="55"/>
      <c r="L145" s="55"/>
      <c r="M145" s="55"/>
      <c r="N145" s="55"/>
      <c r="O145" s="55"/>
      <c r="P145" s="55"/>
      <c r="Q145" s="55"/>
      <c r="R145" s="49"/>
      <c r="S145" s="11"/>
    </row>
    <row r="146" spans="1:19" x14ac:dyDescent="0.25">
      <c r="A146" s="6">
        <v>144</v>
      </c>
      <c r="C146" s="6" t="s">
        <v>31</v>
      </c>
      <c r="D146" s="7" t="s">
        <v>35</v>
      </c>
      <c r="E146" s="7">
        <v>75</v>
      </c>
      <c r="F146" s="49">
        <v>417</v>
      </c>
      <c r="G146" s="49">
        <v>1267</v>
      </c>
      <c r="H146" s="49">
        <v>0</v>
      </c>
      <c r="I146" s="49">
        <v>51</v>
      </c>
      <c r="J146" s="49">
        <v>0</v>
      </c>
      <c r="K146" s="49">
        <v>0</v>
      </c>
      <c r="L146" s="49">
        <v>167</v>
      </c>
      <c r="M146" s="49">
        <v>0</v>
      </c>
      <c r="N146" s="49">
        <v>359</v>
      </c>
      <c r="O146" s="49">
        <v>188</v>
      </c>
      <c r="P146" s="49">
        <v>21</v>
      </c>
      <c r="Q146" s="49">
        <v>63</v>
      </c>
      <c r="R146" s="49">
        <f t="shared" ref="R146:R155" si="10">SUM(F146:Q146)</f>
        <v>2533</v>
      </c>
      <c r="S146" s="11"/>
    </row>
    <row r="147" spans="1:19" x14ac:dyDescent="0.25">
      <c r="A147" s="6">
        <v>145</v>
      </c>
      <c r="C147" s="6" t="s">
        <v>36</v>
      </c>
      <c r="D147" s="7" t="s">
        <v>37</v>
      </c>
      <c r="E147" s="7">
        <v>75</v>
      </c>
      <c r="F147" s="49">
        <v>0</v>
      </c>
      <c r="G147" s="49">
        <v>0</v>
      </c>
      <c r="H147" s="49">
        <v>0</v>
      </c>
      <c r="I147" s="49">
        <v>0</v>
      </c>
      <c r="J147" s="49">
        <v>0</v>
      </c>
      <c r="K147" s="49">
        <v>0</v>
      </c>
      <c r="L147" s="49">
        <v>0</v>
      </c>
      <c r="M147" s="49">
        <v>0</v>
      </c>
      <c r="N147" s="49">
        <v>0</v>
      </c>
      <c r="O147" s="49">
        <v>0</v>
      </c>
      <c r="P147" s="49">
        <v>0</v>
      </c>
      <c r="Q147" s="49">
        <v>0</v>
      </c>
      <c r="R147" s="49">
        <f t="shared" si="10"/>
        <v>0</v>
      </c>
      <c r="S147" s="11"/>
    </row>
    <row r="148" spans="1:19" x14ac:dyDescent="0.25">
      <c r="A148" s="6">
        <v>146</v>
      </c>
      <c r="C148" s="6" t="s">
        <v>38</v>
      </c>
      <c r="D148" s="7" t="s">
        <v>39</v>
      </c>
      <c r="E148" s="7">
        <v>75</v>
      </c>
      <c r="F148" s="49">
        <v>0</v>
      </c>
      <c r="G148" s="49">
        <v>0</v>
      </c>
      <c r="H148" s="49">
        <v>0</v>
      </c>
      <c r="I148" s="49">
        <v>0</v>
      </c>
      <c r="J148" s="49">
        <v>0</v>
      </c>
      <c r="K148" s="49">
        <v>0</v>
      </c>
      <c r="L148" s="49">
        <v>0</v>
      </c>
      <c r="M148" s="49">
        <v>0</v>
      </c>
      <c r="N148" s="49">
        <v>0</v>
      </c>
      <c r="O148" s="49">
        <v>0</v>
      </c>
      <c r="P148" s="49">
        <v>0</v>
      </c>
      <c r="Q148" s="49">
        <v>0</v>
      </c>
      <c r="R148" s="49">
        <f t="shared" si="10"/>
        <v>0</v>
      </c>
      <c r="S148" s="11"/>
    </row>
    <row r="149" spans="1:19" x14ac:dyDescent="0.25">
      <c r="A149" s="6">
        <v>147</v>
      </c>
      <c r="C149" s="6" t="s">
        <v>40</v>
      </c>
      <c r="D149" s="7" t="s">
        <v>41</v>
      </c>
      <c r="E149" s="7">
        <v>75</v>
      </c>
      <c r="F149" s="49">
        <v>-417</v>
      </c>
      <c r="G149" s="49">
        <v>-1267</v>
      </c>
      <c r="H149" s="49">
        <v>0</v>
      </c>
      <c r="I149" s="49">
        <v>-51</v>
      </c>
      <c r="J149" s="49">
        <v>0</v>
      </c>
      <c r="K149" s="49">
        <v>0</v>
      </c>
      <c r="L149" s="49">
        <v>-167</v>
      </c>
      <c r="M149" s="49">
        <v>0</v>
      </c>
      <c r="N149" s="49">
        <v>-359</v>
      </c>
      <c r="O149" s="49">
        <v>-188</v>
      </c>
      <c r="P149" s="49">
        <v>-21</v>
      </c>
      <c r="Q149" s="49">
        <v>-63</v>
      </c>
      <c r="R149" s="49">
        <f t="shared" si="10"/>
        <v>-2533</v>
      </c>
      <c r="S149" s="11"/>
    </row>
    <row r="150" spans="1:19" x14ac:dyDescent="0.25">
      <c r="A150" s="6">
        <v>148</v>
      </c>
      <c r="C150" s="6" t="s">
        <v>42</v>
      </c>
      <c r="D150" s="7" t="s">
        <v>43</v>
      </c>
      <c r="E150" s="7">
        <v>75</v>
      </c>
      <c r="F150" s="49">
        <v>1267</v>
      </c>
      <c r="G150" s="49">
        <v>0</v>
      </c>
      <c r="H150" s="49">
        <v>51</v>
      </c>
      <c r="I150" s="49">
        <v>0</v>
      </c>
      <c r="J150" s="49">
        <v>0</v>
      </c>
      <c r="K150" s="49">
        <v>167</v>
      </c>
      <c r="L150" s="49">
        <v>0</v>
      </c>
      <c r="M150" s="49">
        <v>359</v>
      </c>
      <c r="N150" s="49">
        <v>188</v>
      </c>
      <c r="O150" s="49">
        <v>21</v>
      </c>
      <c r="P150" s="49">
        <v>63</v>
      </c>
      <c r="Q150" s="49">
        <v>79</v>
      </c>
      <c r="R150" s="49">
        <f t="shared" si="10"/>
        <v>2195</v>
      </c>
      <c r="S150" s="11"/>
    </row>
    <row r="151" spans="1:19" x14ac:dyDescent="0.25">
      <c r="A151" s="6">
        <v>149</v>
      </c>
      <c r="C151" s="6" t="s">
        <v>33</v>
      </c>
      <c r="D151" s="7" t="s">
        <v>44</v>
      </c>
      <c r="E151" s="7">
        <v>75</v>
      </c>
      <c r="F151" s="49">
        <v>1267</v>
      </c>
      <c r="G151" s="49">
        <v>0</v>
      </c>
      <c r="H151" s="49">
        <v>51</v>
      </c>
      <c r="I151" s="49">
        <v>0</v>
      </c>
      <c r="J151" s="49">
        <v>0</v>
      </c>
      <c r="K151" s="49">
        <v>167</v>
      </c>
      <c r="L151" s="49">
        <v>0</v>
      </c>
      <c r="M151" s="49">
        <v>359</v>
      </c>
      <c r="N151" s="49">
        <v>188</v>
      </c>
      <c r="O151" s="49">
        <v>21</v>
      </c>
      <c r="P151" s="49">
        <v>63</v>
      </c>
      <c r="Q151" s="49">
        <v>79</v>
      </c>
      <c r="R151" s="49">
        <f t="shared" si="10"/>
        <v>2195</v>
      </c>
      <c r="S151" s="11"/>
    </row>
    <row r="152" spans="1:19" x14ac:dyDescent="0.25">
      <c r="A152" s="6">
        <v>150</v>
      </c>
      <c r="C152" s="10" t="s">
        <v>45</v>
      </c>
      <c r="F152" s="49"/>
      <c r="G152" s="49"/>
      <c r="H152" s="49"/>
      <c r="I152" s="49"/>
      <c r="J152" s="49"/>
      <c r="K152" s="49"/>
      <c r="L152" s="49"/>
      <c r="M152" s="49"/>
      <c r="N152" s="49"/>
      <c r="O152" s="49"/>
      <c r="P152" s="49"/>
      <c r="Q152" s="49"/>
      <c r="R152" s="49">
        <f t="shared" si="10"/>
        <v>0</v>
      </c>
      <c r="S152" s="11"/>
    </row>
    <row r="153" spans="1:19" x14ac:dyDescent="0.25">
      <c r="A153" s="6">
        <v>151</v>
      </c>
      <c r="C153" s="6" t="s">
        <v>46</v>
      </c>
      <c r="D153" s="7" t="s">
        <v>35</v>
      </c>
      <c r="E153" s="7">
        <v>110</v>
      </c>
      <c r="F153" s="58">
        <v>348.12</v>
      </c>
      <c r="G153" s="57">
        <v>931.71</v>
      </c>
      <c r="H153" s="58">
        <v>48</v>
      </c>
      <c r="I153" s="58">
        <v>84.7</v>
      </c>
      <c r="J153" s="62">
        <v>48</v>
      </c>
      <c r="K153" s="58">
        <v>48</v>
      </c>
      <c r="L153" s="59">
        <v>168.18</v>
      </c>
      <c r="M153" s="58">
        <v>48</v>
      </c>
      <c r="N153" s="1">
        <v>310.45</v>
      </c>
      <c r="O153" s="58">
        <v>191.15</v>
      </c>
      <c r="P153" s="58">
        <v>74.66</v>
      </c>
      <c r="Q153" s="58">
        <v>100.12</v>
      </c>
      <c r="R153" s="49">
        <f t="shared" si="10"/>
        <v>2401.0899999999997</v>
      </c>
      <c r="S153" s="11"/>
    </row>
    <row r="154" spans="1:19" x14ac:dyDescent="0.25">
      <c r="A154" s="6">
        <v>152</v>
      </c>
      <c r="C154" s="6" t="s">
        <v>47</v>
      </c>
      <c r="D154" s="7" t="s">
        <v>37</v>
      </c>
      <c r="E154" s="7">
        <v>110</v>
      </c>
      <c r="F154" s="49">
        <v>0</v>
      </c>
      <c r="G154" s="49">
        <v>0</v>
      </c>
      <c r="H154" s="49">
        <v>0</v>
      </c>
      <c r="I154" s="49">
        <v>0</v>
      </c>
      <c r="J154" s="49">
        <v>0</v>
      </c>
      <c r="K154" s="49">
        <v>0</v>
      </c>
      <c r="L154" s="49">
        <v>0</v>
      </c>
      <c r="M154" s="49">
        <v>0</v>
      </c>
      <c r="N154" s="49">
        <v>0</v>
      </c>
      <c r="O154" s="49">
        <v>0</v>
      </c>
      <c r="P154" s="49">
        <v>0</v>
      </c>
      <c r="Q154" s="49">
        <v>0</v>
      </c>
      <c r="R154" s="49">
        <f t="shared" si="10"/>
        <v>0</v>
      </c>
      <c r="S154" s="11"/>
    </row>
    <row r="155" spans="1:19" x14ac:dyDescent="0.25">
      <c r="A155" s="6">
        <v>153</v>
      </c>
      <c r="C155" s="6" t="s">
        <v>48</v>
      </c>
      <c r="D155" s="7" t="s">
        <v>39</v>
      </c>
      <c r="E155" s="7">
        <v>110</v>
      </c>
      <c r="F155" s="49">
        <v>0</v>
      </c>
      <c r="G155" s="49">
        <v>0</v>
      </c>
      <c r="H155" s="49">
        <v>0</v>
      </c>
      <c r="I155" s="49">
        <v>0</v>
      </c>
      <c r="J155" s="49">
        <v>0</v>
      </c>
      <c r="K155" s="49">
        <v>0</v>
      </c>
      <c r="L155" s="49">
        <v>0</v>
      </c>
      <c r="M155" s="49">
        <v>0</v>
      </c>
      <c r="N155" s="49">
        <v>0</v>
      </c>
      <c r="O155" s="49">
        <v>0</v>
      </c>
      <c r="P155" s="49">
        <v>0</v>
      </c>
      <c r="Q155" s="49">
        <v>0</v>
      </c>
      <c r="R155" s="49">
        <f t="shared" si="10"/>
        <v>0</v>
      </c>
      <c r="S155" s="11"/>
    </row>
    <row r="156" spans="1:19" x14ac:dyDescent="0.25">
      <c r="A156" s="6">
        <v>154</v>
      </c>
      <c r="C156" s="6" t="s">
        <v>49</v>
      </c>
      <c r="D156" s="7" t="s">
        <v>50</v>
      </c>
      <c r="E156" s="7">
        <v>110</v>
      </c>
      <c r="F156" s="49">
        <v>253.36</v>
      </c>
      <c r="G156" s="49">
        <v>523.33000000000004</v>
      </c>
      <c r="H156" s="49">
        <v>406.83</v>
      </c>
      <c r="I156" s="49">
        <v>304.64</v>
      </c>
      <c r="J156" s="49">
        <v>260.88</v>
      </c>
      <c r="K156" s="49">
        <v>179.28</v>
      </c>
      <c r="L156" s="49">
        <v>199.5</v>
      </c>
      <c r="M156" s="49">
        <v>97.34</v>
      </c>
      <c r="N156" s="49">
        <v>176.14</v>
      </c>
      <c r="O156" s="49">
        <v>353.52</v>
      </c>
      <c r="P156" s="49">
        <v>296.77999999999997</v>
      </c>
      <c r="Q156" s="49">
        <v>416.33</v>
      </c>
      <c r="R156" s="49">
        <f t="shared" ref="R156:R162" si="11">SUM(F156:Q156)</f>
        <v>3467.9299999999994</v>
      </c>
      <c r="S156" s="11"/>
    </row>
    <row r="157" spans="1:19" x14ac:dyDescent="0.25">
      <c r="A157" s="6">
        <v>155</v>
      </c>
      <c r="C157" s="27" t="s">
        <v>278</v>
      </c>
      <c r="D157" s="7" t="s">
        <v>51</v>
      </c>
      <c r="E157" s="7">
        <v>110</v>
      </c>
      <c r="F157" s="49">
        <v>-10.78</v>
      </c>
      <c r="G157" s="49">
        <v>-1.76</v>
      </c>
      <c r="H157" s="49">
        <v>-0.41</v>
      </c>
      <c r="I157" s="49">
        <v>-7.0000000000000007E-2</v>
      </c>
      <c r="J157" s="49">
        <v>0</v>
      </c>
      <c r="K157" s="49">
        <v>-1.34</v>
      </c>
      <c r="L157" s="49">
        <v>-0.23</v>
      </c>
      <c r="M157" s="49">
        <v>-2.89</v>
      </c>
      <c r="N157" s="49">
        <v>2.16</v>
      </c>
      <c r="O157" s="49">
        <v>-4.5999999999999996</v>
      </c>
      <c r="P157" s="49">
        <v>-0.23</v>
      </c>
      <c r="Q157" s="49">
        <v>-0.34</v>
      </c>
      <c r="R157" s="49">
        <f t="shared" si="11"/>
        <v>-20.490000000000002</v>
      </c>
      <c r="S157" s="11"/>
    </row>
    <row r="158" spans="1:19" x14ac:dyDescent="0.25">
      <c r="A158" s="6">
        <v>156</v>
      </c>
      <c r="C158" s="6" t="s">
        <v>80</v>
      </c>
      <c r="D158" s="7" t="s">
        <v>79</v>
      </c>
      <c r="E158" s="7">
        <v>110</v>
      </c>
      <c r="F158" s="49">
        <v>0</v>
      </c>
      <c r="G158" s="49">
        <v>0</v>
      </c>
      <c r="H158" s="49">
        <v>2201.4899999999998</v>
      </c>
      <c r="I158" s="49">
        <v>0</v>
      </c>
      <c r="J158" s="49">
        <v>0</v>
      </c>
      <c r="K158" s="49">
        <v>2133.3000000000002</v>
      </c>
      <c r="L158" s="49">
        <f>25213.64+3266.14</f>
        <v>28479.78</v>
      </c>
      <c r="M158" s="49">
        <v>0</v>
      </c>
      <c r="N158" s="49">
        <v>0</v>
      </c>
      <c r="O158" s="49">
        <v>0</v>
      </c>
      <c r="P158" s="49">
        <v>0</v>
      </c>
      <c r="Q158" s="49">
        <v>0</v>
      </c>
      <c r="R158" s="49">
        <f t="shared" si="11"/>
        <v>32814.57</v>
      </c>
      <c r="S158" s="11"/>
    </row>
    <row r="159" spans="1:19" x14ac:dyDescent="0.25">
      <c r="A159" s="6">
        <v>157</v>
      </c>
      <c r="C159" s="6" t="s">
        <v>13</v>
      </c>
      <c r="D159" s="7" t="s">
        <v>52</v>
      </c>
      <c r="E159" s="7">
        <v>110</v>
      </c>
      <c r="F159" s="49">
        <v>28.96</v>
      </c>
      <c r="G159" s="49">
        <v>0</v>
      </c>
      <c r="H159" s="49">
        <v>0</v>
      </c>
      <c r="I159" s="49">
        <v>0</v>
      </c>
      <c r="J159" s="49">
        <v>0</v>
      </c>
      <c r="K159" s="49">
        <v>0</v>
      </c>
      <c r="L159" s="49">
        <v>0</v>
      </c>
      <c r="M159" s="49">
        <v>0</v>
      </c>
      <c r="N159" s="49">
        <v>0</v>
      </c>
      <c r="O159" s="49">
        <v>0</v>
      </c>
      <c r="P159" s="49">
        <v>0</v>
      </c>
      <c r="Q159" s="49">
        <v>0</v>
      </c>
      <c r="R159" s="49">
        <f t="shared" si="11"/>
        <v>28.96</v>
      </c>
      <c r="S159" s="11"/>
    </row>
    <row r="160" spans="1:19" x14ac:dyDescent="0.25">
      <c r="A160" s="6">
        <v>158</v>
      </c>
      <c r="C160" s="6" t="s">
        <v>55</v>
      </c>
      <c r="D160" s="7" t="s">
        <v>41</v>
      </c>
      <c r="E160" s="7">
        <v>110</v>
      </c>
      <c r="F160" s="49">
        <v>-347.51</v>
      </c>
      <c r="G160" s="49">
        <v>-929.86</v>
      </c>
      <c r="H160" s="49">
        <v>-48</v>
      </c>
      <c r="I160" s="49">
        <v>-84.63</v>
      </c>
      <c r="J160" s="49">
        <v>-48</v>
      </c>
      <c r="K160" s="49">
        <v>-48</v>
      </c>
      <c r="L160" s="49">
        <v>-167.94</v>
      </c>
      <c r="M160" s="49">
        <v>-48</v>
      </c>
      <c r="N160" s="49">
        <v>-309.93</v>
      </c>
      <c r="O160" s="49">
        <v>-190.88</v>
      </c>
      <c r="P160" s="49">
        <v>-74.63</v>
      </c>
      <c r="Q160" s="49">
        <v>-100.03</v>
      </c>
      <c r="R160" s="49">
        <f t="shared" si="11"/>
        <v>-2397.4100000000003</v>
      </c>
      <c r="S160" s="11"/>
    </row>
    <row r="161" spans="1:19" x14ac:dyDescent="0.25">
      <c r="A161" s="6">
        <v>159</v>
      </c>
      <c r="C161" s="6" t="s">
        <v>56</v>
      </c>
      <c r="D161" s="7" t="s">
        <v>43</v>
      </c>
      <c r="E161" s="7">
        <v>110</v>
      </c>
      <c r="F161" s="49">
        <v>929.86</v>
      </c>
      <c r="G161" s="49">
        <v>48</v>
      </c>
      <c r="H161" s="49">
        <v>84.63</v>
      </c>
      <c r="I161" s="49">
        <v>48</v>
      </c>
      <c r="J161" s="49">
        <v>48</v>
      </c>
      <c r="K161" s="49">
        <v>167.94</v>
      </c>
      <c r="L161" s="49">
        <v>48</v>
      </c>
      <c r="M161" s="49">
        <v>309.93</v>
      </c>
      <c r="N161" s="49">
        <v>190.88</v>
      </c>
      <c r="O161" s="49">
        <v>74.63</v>
      </c>
      <c r="P161" s="49">
        <v>100.03</v>
      </c>
      <c r="Q161" s="49">
        <v>110.18</v>
      </c>
      <c r="R161" s="49">
        <f t="shared" si="11"/>
        <v>2160.0800000000004</v>
      </c>
      <c r="S161" s="11"/>
    </row>
    <row r="162" spans="1:19" x14ac:dyDescent="0.25">
      <c r="A162" s="6">
        <v>160</v>
      </c>
      <c r="C162" s="6" t="s">
        <v>30</v>
      </c>
      <c r="D162" s="7" t="s">
        <v>44</v>
      </c>
      <c r="E162" s="7">
        <v>110</v>
      </c>
      <c r="F162" s="49">
        <f t="shared" ref="F162:Q162" si="12">SUM(F153:F161)</f>
        <v>1202.0100000000002</v>
      </c>
      <c r="G162" s="49">
        <f t="shared" si="12"/>
        <v>571.41999999999996</v>
      </c>
      <c r="H162" s="49">
        <f t="shared" si="12"/>
        <v>2692.54</v>
      </c>
      <c r="I162" s="49">
        <f t="shared" si="12"/>
        <v>352.64</v>
      </c>
      <c r="J162" s="49">
        <f t="shared" si="12"/>
        <v>308.88</v>
      </c>
      <c r="K162" s="49">
        <f t="shared" si="12"/>
        <v>2479.1800000000003</v>
      </c>
      <c r="L162" s="49">
        <f t="shared" si="12"/>
        <v>28727.29</v>
      </c>
      <c r="M162" s="49">
        <f t="shared" si="12"/>
        <v>404.38</v>
      </c>
      <c r="N162" s="49">
        <f t="shared" si="12"/>
        <v>369.7</v>
      </c>
      <c r="O162" s="49">
        <f t="shared" si="12"/>
        <v>423.81999999999994</v>
      </c>
      <c r="P162" s="49">
        <f t="shared" si="12"/>
        <v>396.6099999999999</v>
      </c>
      <c r="Q162" s="49">
        <f t="shared" si="12"/>
        <v>526.26</v>
      </c>
      <c r="R162" s="49">
        <f t="shared" si="11"/>
        <v>38454.729999999996</v>
      </c>
      <c r="S162" s="11"/>
    </row>
    <row r="163" spans="1:19" x14ac:dyDescent="0.25">
      <c r="A163" s="6">
        <v>161</v>
      </c>
      <c r="C163" s="10" t="s">
        <v>45</v>
      </c>
      <c r="F163" s="49"/>
      <c r="G163" s="49"/>
      <c r="H163" s="49"/>
      <c r="I163" s="49"/>
      <c r="J163" s="49"/>
      <c r="K163" s="49"/>
      <c r="L163" s="49"/>
      <c r="M163" s="49"/>
      <c r="N163" s="49"/>
      <c r="O163" s="49"/>
      <c r="P163" s="49"/>
      <c r="Q163" s="49"/>
      <c r="R163" s="49"/>
      <c r="S163" s="11"/>
    </row>
    <row r="164" spans="1:19" x14ac:dyDescent="0.25">
      <c r="A164" s="6">
        <v>162</v>
      </c>
      <c r="C164" s="10"/>
      <c r="F164" s="49"/>
      <c r="G164" s="49"/>
      <c r="H164" s="49"/>
      <c r="I164" s="49"/>
      <c r="J164" s="49"/>
      <c r="K164" s="49"/>
      <c r="L164" s="49"/>
      <c r="M164" s="49"/>
      <c r="N164" s="49"/>
      <c r="O164" s="49"/>
      <c r="P164" s="49"/>
      <c r="Q164" s="49"/>
      <c r="R164" s="49"/>
      <c r="S164" s="11"/>
    </row>
    <row r="165" spans="1:19" x14ac:dyDescent="0.25">
      <c r="A165" s="6">
        <v>163</v>
      </c>
      <c r="C165" s="15" t="s">
        <v>119</v>
      </c>
      <c r="D165" s="7" t="s">
        <v>34</v>
      </c>
      <c r="E165" s="7">
        <v>77</v>
      </c>
      <c r="F165" s="52">
        <v>570</v>
      </c>
      <c r="G165" s="52">
        <v>570</v>
      </c>
      <c r="H165" s="52">
        <v>570</v>
      </c>
      <c r="I165" s="52">
        <v>570</v>
      </c>
      <c r="J165" s="52">
        <v>570</v>
      </c>
      <c r="K165" s="52">
        <v>570</v>
      </c>
      <c r="L165" s="52">
        <v>570</v>
      </c>
      <c r="M165" s="52">
        <v>570</v>
      </c>
      <c r="N165" s="52">
        <v>570</v>
      </c>
      <c r="O165" s="52">
        <v>570</v>
      </c>
      <c r="P165" s="52">
        <v>570</v>
      </c>
      <c r="Q165" s="52">
        <v>570</v>
      </c>
      <c r="R165" s="49"/>
      <c r="S165" s="11"/>
    </row>
    <row r="166" spans="1:19" x14ac:dyDescent="0.25">
      <c r="A166" s="6">
        <v>164</v>
      </c>
      <c r="C166" s="6" t="s">
        <v>31</v>
      </c>
      <c r="D166" s="7" t="s">
        <v>35</v>
      </c>
      <c r="E166" s="7">
        <v>77</v>
      </c>
      <c r="F166" s="49">
        <v>239049</v>
      </c>
      <c r="G166" s="49">
        <v>230244</v>
      </c>
      <c r="H166" s="49">
        <v>225310</v>
      </c>
      <c r="I166" s="49">
        <v>223925</v>
      </c>
      <c r="J166" s="49">
        <v>187493</v>
      </c>
      <c r="K166" s="49">
        <v>135541</v>
      </c>
      <c r="L166" s="49">
        <v>107356</v>
      </c>
      <c r="M166" s="49">
        <v>111904</v>
      </c>
      <c r="N166" s="49">
        <v>93391</v>
      </c>
      <c r="O166" s="49">
        <v>118645</v>
      </c>
      <c r="P166" s="49">
        <v>197742</v>
      </c>
      <c r="Q166" s="49">
        <v>217688</v>
      </c>
      <c r="R166" s="49">
        <f t="shared" ref="R166:R182" si="13">SUM(F166:Q166)</f>
        <v>2088288</v>
      </c>
      <c r="S166" s="11"/>
    </row>
    <row r="167" spans="1:19" x14ac:dyDescent="0.25">
      <c r="A167" s="6">
        <v>165</v>
      </c>
      <c r="C167" s="6" t="s">
        <v>36</v>
      </c>
      <c r="D167" s="7" t="s">
        <v>37</v>
      </c>
      <c r="E167" s="7">
        <v>77</v>
      </c>
      <c r="F167" s="49">
        <v>0</v>
      </c>
      <c r="G167" s="49">
        <v>0</v>
      </c>
      <c r="H167" s="49">
        <v>0</v>
      </c>
      <c r="I167" s="49">
        <v>0</v>
      </c>
      <c r="J167" s="49">
        <v>0</v>
      </c>
      <c r="K167" s="49">
        <v>0</v>
      </c>
      <c r="L167" s="49">
        <v>0</v>
      </c>
      <c r="M167" s="49">
        <v>0</v>
      </c>
      <c r="N167" s="49">
        <v>0</v>
      </c>
      <c r="O167" s="49">
        <v>0</v>
      </c>
      <c r="P167" s="49">
        <v>0</v>
      </c>
      <c r="Q167" s="49">
        <v>0</v>
      </c>
      <c r="R167" s="49">
        <f t="shared" si="13"/>
        <v>0</v>
      </c>
      <c r="S167" s="11"/>
    </row>
    <row r="168" spans="1:19" x14ac:dyDescent="0.25">
      <c r="A168" s="6">
        <v>166</v>
      </c>
      <c r="C168" s="6" t="s">
        <v>38</v>
      </c>
      <c r="D168" s="7" t="s">
        <v>39</v>
      </c>
      <c r="E168" s="7">
        <v>77</v>
      </c>
      <c r="F168" s="49">
        <v>0</v>
      </c>
      <c r="G168" s="49">
        <v>0</v>
      </c>
      <c r="H168" s="49">
        <v>0</v>
      </c>
      <c r="I168" s="49">
        <v>0</v>
      </c>
      <c r="J168" s="49">
        <v>0</v>
      </c>
      <c r="K168" s="49">
        <v>0</v>
      </c>
      <c r="L168" s="49">
        <v>0</v>
      </c>
      <c r="M168" s="49">
        <v>0</v>
      </c>
      <c r="N168" s="49">
        <v>0</v>
      </c>
      <c r="O168" s="49">
        <v>0</v>
      </c>
      <c r="P168" s="49">
        <v>0</v>
      </c>
      <c r="Q168" s="49">
        <v>0</v>
      </c>
      <c r="R168" s="49">
        <f t="shared" si="13"/>
        <v>0</v>
      </c>
      <c r="S168" s="11"/>
    </row>
    <row r="169" spans="1:19" x14ac:dyDescent="0.25">
      <c r="A169" s="6">
        <v>167</v>
      </c>
      <c r="C169" s="6" t="s">
        <v>40</v>
      </c>
      <c r="D169" s="7" t="s">
        <v>41</v>
      </c>
      <c r="E169" s="7">
        <v>77</v>
      </c>
      <c r="F169" s="49">
        <v>-239049</v>
      </c>
      <c r="G169" s="49">
        <v>-230244</v>
      </c>
      <c r="H169" s="49">
        <v>-225310</v>
      </c>
      <c r="I169" s="49">
        <v>-223925</v>
      </c>
      <c r="J169" s="49">
        <v>-187493</v>
      </c>
      <c r="K169" s="49">
        <v>-135541</v>
      </c>
      <c r="L169" s="49">
        <v>-107356</v>
      </c>
      <c r="M169" s="49">
        <v>-111904</v>
      </c>
      <c r="N169" s="49">
        <v>-93391</v>
      </c>
      <c r="O169" s="49">
        <v>-118645</v>
      </c>
      <c r="P169" s="49">
        <v>-197742</v>
      </c>
      <c r="Q169" s="49">
        <v>-217688</v>
      </c>
      <c r="R169" s="49">
        <f t="shared" si="13"/>
        <v>-2088288</v>
      </c>
      <c r="S169" s="11"/>
    </row>
    <row r="170" spans="1:19" x14ac:dyDescent="0.25">
      <c r="A170" s="6">
        <v>168</v>
      </c>
      <c r="C170" s="6" t="s">
        <v>42</v>
      </c>
      <c r="D170" s="7" t="s">
        <v>43</v>
      </c>
      <c r="E170" s="7">
        <v>77</v>
      </c>
      <c r="F170" s="49">
        <v>230244</v>
      </c>
      <c r="G170" s="49">
        <v>225310</v>
      </c>
      <c r="H170" s="49">
        <v>223925</v>
      </c>
      <c r="I170" s="49">
        <v>187493</v>
      </c>
      <c r="J170" s="49">
        <v>135541</v>
      </c>
      <c r="K170" s="49">
        <v>107356</v>
      </c>
      <c r="L170" s="49">
        <v>111904</v>
      </c>
      <c r="M170" s="49">
        <v>93391</v>
      </c>
      <c r="N170" s="49">
        <v>118645</v>
      </c>
      <c r="O170" s="49">
        <v>197742</v>
      </c>
      <c r="P170" s="49">
        <v>217688</v>
      </c>
      <c r="Q170" s="49">
        <v>260482</v>
      </c>
      <c r="R170" s="49">
        <f t="shared" si="13"/>
        <v>2109721</v>
      </c>
      <c r="S170" s="11"/>
    </row>
    <row r="171" spans="1:19" x14ac:dyDescent="0.25">
      <c r="A171" s="6">
        <v>169</v>
      </c>
      <c r="C171" s="6" t="s">
        <v>33</v>
      </c>
      <c r="D171" s="7" t="s">
        <v>44</v>
      </c>
      <c r="E171" s="7">
        <v>77</v>
      </c>
      <c r="F171" s="49">
        <v>230244</v>
      </c>
      <c r="G171" s="49">
        <v>225310</v>
      </c>
      <c r="H171" s="49">
        <v>223925</v>
      </c>
      <c r="I171" s="49">
        <v>187493</v>
      </c>
      <c r="J171" s="49">
        <v>135541</v>
      </c>
      <c r="K171" s="49">
        <v>107356</v>
      </c>
      <c r="L171" s="49">
        <v>111904</v>
      </c>
      <c r="M171" s="49">
        <v>93391</v>
      </c>
      <c r="N171" s="49">
        <v>118645</v>
      </c>
      <c r="O171" s="49">
        <v>197742</v>
      </c>
      <c r="P171" s="49">
        <v>217688</v>
      </c>
      <c r="Q171" s="49">
        <v>260482</v>
      </c>
      <c r="R171" s="49">
        <f t="shared" si="13"/>
        <v>2109721</v>
      </c>
      <c r="S171" s="11"/>
    </row>
    <row r="172" spans="1:19" x14ac:dyDescent="0.25">
      <c r="A172" s="6">
        <v>170</v>
      </c>
      <c r="C172" s="10" t="s">
        <v>45</v>
      </c>
      <c r="F172" s="49"/>
      <c r="G172" s="49"/>
      <c r="H172" s="49"/>
      <c r="I172" s="49"/>
      <c r="J172" s="49"/>
      <c r="K172" s="49"/>
      <c r="L172" s="49"/>
      <c r="M172" s="49"/>
      <c r="N172" s="49"/>
      <c r="O172" s="49"/>
      <c r="P172" s="49"/>
      <c r="Q172" s="49"/>
      <c r="R172" s="49">
        <f t="shared" si="13"/>
        <v>0</v>
      </c>
      <c r="S172" s="11"/>
    </row>
    <row r="173" spans="1:19" x14ac:dyDescent="0.25">
      <c r="A173" s="6">
        <v>171</v>
      </c>
      <c r="C173" s="6" t="s">
        <v>46</v>
      </c>
      <c r="D173" s="7" t="s">
        <v>35</v>
      </c>
      <c r="E173" s="7">
        <v>121</v>
      </c>
      <c r="F173" s="49">
        <v>134537.5</v>
      </c>
      <c r="G173" s="49">
        <v>129351.34</v>
      </c>
      <c r="H173" s="49">
        <v>126346.77</v>
      </c>
      <c r="I173" s="49">
        <v>125562.38</v>
      </c>
      <c r="J173" s="49">
        <v>105943.56</v>
      </c>
      <c r="K173" s="49">
        <v>77611.45</v>
      </c>
      <c r="L173" s="49">
        <v>62148.62</v>
      </c>
      <c r="M173" s="49">
        <v>65631.55</v>
      </c>
      <c r="N173" s="49">
        <v>54420.24</v>
      </c>
      <c r="O173" s="49">
        <v>68260.490000000005</v>
      </c>
      <c r="P173" s="49">
        <v>112346.54</v>
      </c>
      <c r="Q173" s="49">
        <v>112250.95</v>
      </c>
      <c r="R173" s="49">
        <f t="shared" si="13"/>
        <v>1174411.3899999999</v>
      </c>
      <c r="S173" s="11"/>
    </row>
    <row r="174" spans="1:19" x14ac:dyDescent="0.25">
      <c r="A174" s="6">
        <v>172</v>
      </c>
      <c r="C174" s="6" t="s">
        <v>47</v>
      </c>
      <c r="D174" s="7" t="s">
        <v>37</v>
      </c>
      <c r="E174" s="7">
        <v>121</v>
      </c>
      <c r="F174" s="49">
        <v>0</v>
      </c>
      <c r="G174" s="49">
        <v>0</v>
      </c>
      <c r="H174" s="49">
        <v>0</v>
      </c>
      <c r="I174" s="49">
        <v>0</v>
      </c>
      <c r="J174" s="49">
        <v>0</v>
      </c>
      <c r="K174" s="49">
        <v>0</v>
      </c>
      <c r="L174" s="49">
        <v>0</v>
      </c>
      <c r="M174" s="49">
        <v>0</v>
      </c>
      <c r="N174" s="49">
        <v>0</v>
      </c>
      <c r="O174" s="49">
        <v>0</v>
      </c>
      <c r="P174" s="49">
        <v>0</v>
      </c>
      <c r="Q174" s="49">
        <v>0</v>
      </c>
      <c r="R174" s="49">
        <f t="shared" si="13"/>
        <v>0</v>
      </c>
      <c r="S174" s="11"/>
    </row>
    <row r="175" spans="1:19" x14ac:dyDescent="0.25">
      <c r="A175" s="6">
        <v>173</v>
      </c>
      <c r="C175" s="6" t="s">
        <v>48</v>
      </c>
      <c r="D175" s="7" t="s">
        <v>39</v>
      </c>
      <c r="E175" s="7">
        <v>121</v>
      </c>
      <c r="F175" s="49">
        <v>0</v>
      </c>
      <c r="G175" s="49">
        <v>0</v>
      </c>
      <c r="H175" s="49">
        <v>0</v>
      </c>
      <c r="I175" s="49">
        <v>0</v>
      </c>
      <c r="J175" s="49">
        <v>0</v>
      </c>
      <c r="K175" s="49">
        <v>0</v>
      </c>
      <c r="L175" s="49">
        <v>0</v>
      </c>
      <c r="M175" s="49">
        <v>0</v>
      </c>
      <c r="N175" s="49">
        <v>0</v>
      </c>
      <c r="O175" s="49">
        <v>0</v>
      </c>
      <c r="P175" s="49">
        <v>0</v>
      </c>
      <c r="Q175" s="49">
        <v>0</v>
      </c>
      <c r="R175" s="49">
        <f t="shared" si="13"/>
        <v>0</v>
      </c>
      <c r="S175" s="11"/>
    </row>
    <row r="176" spans="1:19" x14ac:dyDescent="0.25">
      <c r="A176" s="6">
        <v>174</v>
      </c>
      <c r="C176" s="6" t="s">
        <v>49</v>
      </c>
      <c r="D176" s="7" t="s">
        <v>50</v>
      </c>
      <c r="E176" s="7">
        <v>121</v>
      </c>
      <c r="F176" s="49">
        <v>5247.94</v>
      </c>
      <c r="G176" s="49">
        <v>5714.71</v>
      </c>
      <c r="H176" s="49">
        <v>3220.5</v>
      </c>
      <c r="I176" s="49">
        <v>3676.51</v>
      </c>
      <c r="J176" s="49">
        <v>5077.08</v>
      </c>
      <c r="K176" s="49">
        <v>4147.3500000000004</v>
      </c>
      <c r="L176" s="49">
        <v>2014.92</v>
      </c>
      <c r="M176" s="49">
        <v>3387.13</v>
      </c>
      <c r="N176" s="49">
        <v>-182.52</v>
      </c>
      <c r="O176" s="49">
        <v>-2147.29</v>
      </c>
      <c r="P176" s="49">
        <v>1467.94</v>
      </c>
      <c r="Q176" s="49">
        <v>1862.34</v>
      </c>
      <c r="R176" s="49">
        <f t="shared" si="13"/>
        <v>33486.609999999993</v>
      </c>
      <c r="S176" s="11"/>
    </row>
    <row r="177" spans="1:19" x14ac:dyDescent="0.25">
      <c r="A177" s="6">
        <v>175</v>
      </c>
      <c r="C177" s="27" t="s">
        <v>278</v>
      </c>
      <c r="D177" s="7" t="s">
        <v>51</v>
      </c>
      <c r="E177" s="7">
        <v>121</v>
      </c>
      <c r="F177" s="49">
        <v>756.11</v>
      </c>
      <c r="G177" s="49">
        <v>741.45</v>
      </c>
      <c r="H177" s="49">
        <v>738.37</v>
      </c>
      <c r="I177" s="49">
        <v>603.41999999999996</v>
      </c>
      <c r="J177" s="49">
        <v>425.46</v>
      </c>
      <c r="K177" s="49">
        <v>342.43</v>
      </c>
      <c r="L177" s="49">
        <v>371.19</v>
      </c>
      <c r="M177" s="49">
        <v>534.92999999999995</v>
      </c>
      <c r="N177" s="49">
        <v>677.39</v>
      </c>
      <c r="O177" s="49">
        <v>193.84999999999997</v>
      </c>
      <c r="P177" s="49">
        <v>-1717.89</v>
      </c>
      <c r="Q177" s="49">
        <v>-2047.65</v>
      </c>
      <c r="R177" s="49">
        <f t="shared" si="13"/>
        <v>1619.06</v>
      </c>
      <c r="S177" s="11"/>
    </row>
    <row r="178" spans="1:19" x14ac:dyDescent="0.25">
      <c r="A178" s="6">
        <v>176</v>
      </c>
      <c r="C178" s="6" t="s">
        <v>80</v>
      </c>
      <c r="D178" s="7" t="s">
        <v>79</v>
      </c>
      <c r="E178" s="7">
        <v>121</v>
      </c>
      <c r="F178" s="49">
        <v>0</v>
      </c>
      <c r="G178" s="49">
        <v>0</v>
      </c>
      <c r="H178" s="49">
        <v>0</v>
      </c>
      <c r="I178" s="49">
        <v>0</v>
      </c>
      <c r="J178" s="49">
        <v>0</v>
      </c>
      <c r="K178" s="49">
        <v>0</v>
      </c>
      <c r="L178" s="49">
        <v>0</v>
      </c>
      <c r="M178" s="49">
        <v>0</v>
      </c>
      <c r="N178" s="49">
        <v>0</v>
      </c>
      <c r="O178" s="49">
        <v>0</v>
      </c>
      <c r="P178" s="49">
        <v>0</v>
      </c>
      <c r="Q178" s="49">
        <v>0</v>
      </c>
      <c r="R178" s="49">
        <f t="shared" si="13"/>
        <v>0</v>
      </c>
      <c r="S178" s="11"/>
    </row>
    <row r="179" spans="1:19" x14ac:dyDescent="0.25">
      <c r="A179" s="6">
        <v>177</v>
      </c>
      <c r="C179" s="6" t="s">
        <v>13</v>
      </c>
      <c r="D179" s="7" t="s">
        <v>52</v>
      </c>
      <c r="E179" s="7">
        <v>121</v>
      </c>
      <c r="F179" s="49">
        <v>0</v>
      </c>
      <c r="G179" s="49">
        <v>0</v>
      </c>
      <c r="H179" s="49">
        <v>0</v>
      </c>
      <c r="I179" s="49">
        <v>0</v>
      </c>
      <c r="J179" s="49">
        <v>0</v>
      </c>
      <c r="K179" s="49">
        <v>0</v>
      </c>
      <c r="L179" s="49">
        <v>0</v>
      </c>
      <c r="M179" s="49">
        <v>0</v>
      </c>
      <c r="N179" s="49">
        <v>0</v>
      </c>
      <c r="O179" s="49">
        <v>0</v>
      </c>
      <c r="P179" s="49">
        <v>0</v>
      </c>
      <c r="Q179" s="49">
        <v>0</v>
      </c>
      <c r="R179" s="49">
        <f t="shared" si="13"/>
        <v>0</v>
      </c>
      <c r="S179" s="11"/>
    </row>
    <row r="180" spans="1:19" x14ac:dyDescent="0.25">
      <c r="A180" s="6">
        <v>178</v>
      </c>
      <c r="C180" s="6" t="s">
        <v>55</v>
      </c>
      <c r="D180" s="7" t="s">
        <v>41</v>
      </c>
      <c r="E180" s="7">
        <v>121</v>
      </c>
      <c r="F180" s="49">
        <v>-134432.32999999999</v>
      </c>
      <c r="G180" s="49">
        <v>-129250.04</v>
      </c>
      <c r="H180" s="49">
        <v>-126247.63</v>
      </c>
      <c r="I180" s="49">
        <v>-125463.85</v>
      </c>
      <c r="J180" s="49">
        <v>-105861.06</v>
      </c>
      <c r="K180" s="49">
        <v>-77551.83</v>
      </c>
      <c r="L180" s="49">
        <v>-62101.38</v>
      </c>
      <c r="M180" s="49">
        <v>-65582.31</v>
      </c>
      <c r="N180" s="49">
        <v>-54379.16</v>
      </c>
      <c r="O180" s="49">
        <v>-68208.27</v>
      </c>
      <c r="P180" s="49">
        <v>-112259.53</v>
      </c>
      <c r="Q180" s="49">
        <v>-112155.17</v>
      </c>
      <c r="R180" s="49">
        <f t="shared" si="13"/>
        <v>-1173492.5599999998</v>
      </c>
      <c r="S180" s="11"/>
    </row>
    <row r="181" spans="1:19" x14ac:dyDescent="0.25">
      <c r="A181" s="6">
        <v>179</v>
      </c>
      <c r="C181" s="6" t="s">
        <v>56</v>
      </c>
      <c r="D181" s="7" t="s">
        <v>43</v>
      </c>
      <c r="E181" s="7">
        <v>121</v>
      </c>
      <c r="F181" s="49">
        <v>129250.04</v>
      </c>
      <c r="G181" s="49">
        <v>126247.63</v>
      </c>
      <c r="H181" s="49">
        <v>125463.85</v>
      </c>
      <c r="I181" s="49">
        <v>105861.06</v>
      </c>
      <c r="J181" s="49">
        <v>77551.83</v>
      </c>
      <c r="K181" s="49">
        <v>62101.380000000005</v>
      </c>
      <c r="L181" s="49">
        <v>65582.31</v>
      </c>
      <c r="M181" s="49">
        <v>54379.159999999996</v>
      </c>
      <c r="N181" s="49">
        <v>68208.27</v>
      </c>
      <c r="O181" s="49">
        <v>112259.53</v>
      </c>
      <c r="P181" s="49">
        <v>112155.17</v>
      </c>
      <c r="Q181" s="49">
        <v>133319.79</v>
      </c>
      <c r="R181" s="49">
        <f t="shared" si="13"/>
        <v>1172380.0200000003</v>
      </c>
      <c r="S181" s="11"/>
    </row>
    <row r="182" spans="1:19" x14ac:dyDescent="0.25">
      <c r="A182" s="6">
        <v>180</v>
      </c>
      <c r="C182" s="6" t="s">
        <v>30</v>
      </c>
      <c r="D182" s="7" t="s">
        <v>44</v>
      </c>
      <c r="E182" s="7">
        <v>121</v>
      </c>
      <c r="F182" s="49">
        <v>135359.26</v>
      </c>
      <c r="G182" s="49">
        <v>132805.09000000003</v>
      </c>
      <c r="H182" s="49">
        <v>129521.86</v>
      </c>
      <c r="I182" s="49">
        <v>110239.51999999999</v>
      </c>
      <c r="J182" s="49">
        <v>83136.87000000001</v>
      </c>
      <c r="K182" s="49">
        <v>66650.78</v>
      </c>
      <c r="L182" s="49">
        <v>68015.66</v>
      </c>
      <c r="M182" s="49">
        <v>58350.46</v>
      </c>
      <c r="N182" s="49">
        <v>68744.22</v>
      </c>
      <c r="O182" s="49">
        <v>110358.31000000001</v>
      </c>
      <c r="P182" s="49">
        <v>111992.23</v>
      </c>
      <c r="Q182" s="49">
        <v>133230.26</v>
      </c>
      <c r="R182" s="49">
        <f t="shared" si="13"/>
        <v>1208404.52</v>
      </c>
      <c r="S182" s="11"/>
    </row>
    <row r="183" spans="1:19" x14ac:dyDescent="0.25">
      <c r="A183" s="6">
        <v>181</v>
      </c>
      <c r="C183" s="10" t="s">
        <v>45</v>
      </c>
      <c r="F183" s="49"/>
      <c r="G183" s="49"/>
      <c r="H183" s="49"/>
      <c r="I183" s="49"/>
      <c r="J183" s="49"/>
      <c r="K183" s="49"/>
      <c r="L183" s="49"/>
      <c r="M183" s="49"/>
      <c r="N183" s="49"/>
      <c r="O183" s="49"/>
      <c r="P183" s="49"/>
      <c r="Q183" s="49"/>
      <c r="R183" s="49"/>
      <c r="S183" s="11"/>
    </row>
    <row r="184" spans="1:19" x14ac:dyDescent="0.25">
      <c r="A184" s="6">
        <v>182</v>
      </c>
      <c r="F184" s="50"/>
      <c r="G184" s="50"/>
      <c r="H184" s="50"/>
      <c r="I184" s="50"/>
      <c r="J184" s="50"/>
      <c r="K184" s="50"/>
      <c r="L184" s="50"/>
      <c r="M184" s="50"/>
      <c r="N184" s="50"/>
      <c r="O184" s="50"/>
      <c r="P184" s="50"/>
      <c r="Q184" s="50"/>
      <c r="R184" s="49"/>
      <c r="S184" s="11"/>
    </row>
    <row r="185" spans="1:19" x14ac:dyDescent="0.25">
      <c r="A185" s="6">
        <v>183</v>
      </c>
      <c r="C185" s="15" t="s">
        <v>118</v>
      </c>
      <c r="D185" s="7" t="s">
        <v>34</v>
      </c>
      <c r="E185" s="7">
        <v>78</v>
      </c>
      <c r="F185" s="52">
        <v>577</v>
      </c>
      <c r="G185" s="52">
        <v>577</v>
      </c>
      <c r="H185" s="52">
        <v>577</v>
      </c>
      <c r="I185" s="52">
        <v>577</v>
      </c>
      <c r="J185" s="52">
        <v>577</v>
      </c>
      <c r="K185" s="52">
        <v>577</v>
      </c>
      <c r="L185" s="52">
        <v>577</v>
      </c>
      <c r="M185" s="52">
        <v>577</v>
      </c>
      <c r="N185" s="52">
        <v>577</v>
      </c>
      <c r="O185" s="52">
        <v>577</v>
      </c>
      <c r="P185" s="52">
        <v>577</v>
      </c>
      <c r="Q185" s="52">
        <v>577</v>
      </c>
      <c r="R185" s="49"/>
      <c r="S185" s="11"/>
    </row>
    <row r="186" spans="1:19" x14ac:dyDescent="0.25">
      <c r="A186" s="6">
        <v>184</v>
      </c>
      <c r="C186" s="6" t="s">
        <v>31</v>
      </c>
      <c r="D186" s="7" t="s">
        <v>35</v>
      </c>
      <c r="E186" s="7">
        <v>78</v>
      </c>
      <c r="F186" s="49">
        <v>19015</v>
      </c>
      <c r="G186" s="49">
        <v>18619</v>
      </c>
      <c r="H186" s="49">
        <v>16849</v>
      </c>
      <c r="I186" s="49">
        <v>16355</v>
      </c>
      <c r="J186" s="49">
        <v>12692</v>
      </c>
      <c r="K186" s="49">
        <v>8985</v>
      </c>
      <c r="L186" s="49">
        <v>8561</v>
      </c>
      <c r="M186" s="49">
        <v>8245</v>
      </c>
      <c r="N186" s="49">
        <v>0</v>
      </c>
      <c r="O186" s="49">
        <v>0</v>
      </c>
      <c r="P186" s="49">
        <v>0</v>
      </c>
      <c r="Q186" s="49">
        <v>0</v>
      </c>
      <c r="R186" s="49">
        <f t="shared" ref="R186:R202" si="14">SUM(F186:Q186)</f>
        <v>109321</v>
      </c>
      <c r="S186" s="11"/>
    </row>
    <row r="187" spans="1:19" x14ac:dyDescent="0.25">
      <c r="A187" s="6">
        <v>185</v>
      </c>
      <c r="C187" s="6" t="s">
        <v>36</v>
      </c>
      <c r="D187" s="7" t="s">
        <v>37</v>
      </c>
      <c r="E187" s="7">
        <v>78</v>
      </c>
      <c r="F187" s="49">
        <v>0</v>
      </c>
      <c r="G187" s="49">
        <v>0</v>
      </c>
      <c r="H187" s="49">
        <v>0</v>
      </c>
      <c r="I187" s="49">
        <v>0</v>
      </c>
      <c r="J187" s="49">
        <v>0</v>
      </c>
      <c r="K187" s="49">
        <v>0</v>
      </c>
      <c r="L187" s="49">
        <v>0</v>
      </c>
      <c r="M187" s="49">
        <v>0</v>
      </c>
      <c r="N187" s="49">
        <v>0</v>
      </c>
      <c r="O187" s="49">
        <v>0</v>
      </c>
      <c r="P187" s="49">
        <v>0</v>
      </c>
      <c r="Q187" s="49">
        <v>0</v>
      </c>
      <c r="R187" s="49">
        <f t="shared" si="14"/>
        <v>0</v>
      </c>
      <c r="S187" s="11"/>
    </row>
    <row r="188" spans="1:19" x14ac:dyDescent="0.25">
      <c r="A188" s="6">
        <v>186</v>
      </c>
      <c r="C188" s="6" t="s">
        <v>38</v>
      </c>
      <c r="D188" s="7" t="s">
        <v>39</v>
      </c>
      <c r="E188" s="7">
        <v>78</v>
      </c>
      <c r="F188" s="49">
        <v>0</v>
      </c>
      <c r="G188" s="49">
        <v>0</v>
      </c>
      <c r="H188" s="49">
        <v>0</v>
      </c>
      <c r="I188" s="49">
        <v>0</v>
      </c>
      <c r="J188" s="49">
        <v>0</v>
      </c>
      <c r="K188" s="49">
        <v>0</v>
      </c>
      <c r="L188" s="49">
        <v>0</v>
      </c>
      <c r="M188" s="49">
        <v>0</v>
      </c>
      <c r="N188" s="49">
        <v>0</v>
      </c>
      <c r="O188" s="49">
        <v>0</v>
      </c>
      <c r="P188" s="49">
        <v>0</v>
      </c>
      <c r="Q188" s="49">
        <v>0</v>
      </c>
      <c r="R188" s="49">
        <f t="shared" si="14"/>
        <v>0</v>
      </c>
      <c r="S188" s="11"/>
    </row>
    <row r="189" spans="1:19" x14ac:dyDescent="0.25">
      <c r="A189" s="6">
        <v>187</v>
      </c>
      <c r="C189" s="6" t="s">
        <v>40</v>
      </c>
      <c r="D189" s="7" t="s">
        <v>41</v>
      </c>
      <c r="E189" s="7">
        <v>78</v>
      </c>
      <c r="F189" s="49">
        <v>-19015</v>
      </c>
      <c r="G189" s="49">
        <v>-18619</v>
      </c>
      <c r="H189" s="49">
        <v>-16849</v>
      </c>
      <c r="I189" s="49">
        <v>-16355</v>
      </c>
      <c r="J189" s="49">
        <v>-12692</v>
      </c>
      <c r="K189" s="49">
        <v>-8985</v>
      </c>
      <c r="L189" s="49">
        <v>-8561</v>
      </c>
      <c r="M189" s="49">
        <v>-3496</v>
      </c>
      <c r="N189" s="49">
        <v>0</v>
      </c>
      <c r="O189" s="49">
        <v>0</v>
      </c>
      <c r="P189" s="49">
        <v>0</v>
      </c>
      <c r="Q189" s="49">
        <v>0</v>
      </c>
      <c r="R189" s="49">
        <f t="shared" si="14"/>
        <v>-104572</v>
      </c>
      <c r="S189" s="11"/>
    </row>
    <row r="190" spans="1:19" x14ac:dyDescent="0.25">
      <c r="A190" s="6">
        <v>188</v>
      </c>
      <c r="C190" s="6" t="s">
        <v>42</v>
      </c>
      <c r="D190" s="7" t="s">
        <v>43</v>
      </c>
      <c r="E190" s="7">
        <v>78</v>
      </c>
      <c r="F190" s="49">
        <v>18619</v>
      </c>
      <c r="G190" s="49">
        <v>16849</v>
      </c>
      <c r="H190" s="49">
        <v>16355</v>
      </c>
      <c r="I190" s="49">
        <v>12692</v>
      </c>
      <c r="J190" s="49">
        <v>8985</v>
      </c>
      <c r="K190" s="49">
        <v>8561</v>
      </c>
      <c r="L190" s="49">
        <v>3496</v>
      </c>
      <c r="M190" s="49">
        <v>0</v>
      </c>
      <c r="N190" s="49">
        <v>0</v>
      </c>
      <c r="O190" s="49">
        <v>0</v>
      </c>
      <c r="P190" s="49">
        <v>0</v>
      </c>
      <c r="Q190" s="49">
        <v>0</v>
      </c>
      <c r="R190" s="49">
        <f t="shared" si="14"/>
        <v>85557</v>
      </c>
      <c r="S190" s="11"/>
    </row>
    <row r="191" spans="1:19" x14ac:dyDescent="0.25">
      <c r="A191" s="6">
        <v>189</v>
      </c>
      <c r="C191" s="6" t="s">
        <v>33</v>
      </c>
      <c r="D191" s="7" t="s">
        <v>44</v>
      </c>
      <c r="E191" s="7">
        <v>78</v>
      </c>
      <c r="F191" s="49">
        <v>18619</v>
      </c>
      <c r="G191" s="49">
        <v>16849</v>
      </c>
      <c r="H191" s="49">
        <v>16355</v>
      </c>
      <c r="I191" s="49">
        <v>12692</v>
      </c>
      <c r="J191" s="49">
        <v>8985</v>
      </c>
      <c r="K191" s="49">
        <v>8561</v>
      </c>
      <c r="L191" s="49">
        <v>3496</v>
      </c>
      <c r="M191" s="49">
        <v>4749</v>
      </c>
      <c r="N191" s="49">
        <v>0</v>
      </c>
      <c r="O191" s="49">
        <v>0</v>
      </c>
      <c r="P191" s="49">
        <v>0</v>
      </c>
      <c r="Q191" s="49">
        <v>0</v>
      </c>
      <c r="R191" s="49">
        <f t="shared" si="14"/>
        <v>90306</v>
      </c>
      <c r="S191" s="11"/>
    </row>
    <row r="192" spans="1:19" x14ac:dyDescent="0.25">
      <c r="A192" s="6">
        <v>190</v>
      </c>
      <c r="C192" s="10" t="s">
        <v>45</v>
      </c>
      <c r="F192" s="49"/>
      <c r="G192" s="49"/>
      <c r="H192" s="49"/>
      <c r="I192" s="49"/>
      <c r="J192" s="49"/>
      <c r="K192" s="49"/>
      <c r="L192" s="49"/>
      <c r="M192" s="49"/>
      <c r="N192" s="49"/>
      <c r="O192" s="49"/>
      <c r="P192" s="49"/>
      <c r="Q192" s="49"/>
      <c r="R192" s="49">
        <f t="shared" si="14"/>
        <v>0</v>
      </c>
      <c r="S192" s="11"/>
    </row>
    <row r="193" spans="1:20" x14ac:dyDescent="0.25">
      <c r="A193" s="6">
        <v>191</v>
      </c>
      <c r="C193" s="6" t="s">
        <v>46</v>
      </c>
      <c r="D193" s="7" t="s">
        <v>35</v>
      </c>
      <c r="E193" s="7">
        <v>122</v>
      </c>
      <c r="F193" s="49">
        <v>11977.78</v>
      </c>
      <c r="G193" s="49">
        <v>11745.32</v>
      </c>
      <c r="H193" s="49">
        <v>10681.53</v>
      </c>
      <c r="I193" s="49">
        <v>10412.11</v>
      </c>
      <c r="J193" s="49">
        <v>8212.7999999999993</v>
      </c>
      <c r="K193" s="49">
        <v>5969.97</v>
      </c>
      <c r="L193" s="49">
        <v>5711.73</v>
      </c>
      <c r="M193" s="49">
        <v>5506.88</v>
      </c>
      <c r="N193" s="49">
        <v>0</v>
      </c>
      <c r="O193" s="49">
        <v>0</v>
      </c>
      <c r="P193" s="49">
        <v>0</v>
      </c>
      <c r="Q193" s="49">
        <v>0</v>
      </c>
      <c r="R193" s="49">
        <f t="shared" si="14"/>
        <v>70218.12</v>
      </c>
      <c r="S193" s="11"/>
    </row>
    <row r="194" spans="1:20" x14ac:dyDescent="0.25">
      <c r="A194" s="6">
        <v>192</v>
      </c>
      <c r="C194" s="6" t="s">
        <v>47</v>
      </c>
      <c r="D194" s="7" t="s">
        <v>37</v>
      </c>
      <c r="E194" s="7">
        <v>122</v>
      </c>
      <c r="F194" s="49">
        <v>0</v>
      </c>
      <c r="G194" s="49">
        <v>0</v>
      </c>
      <c r="H194" s="49">
        <v>0</v>
      </c>
      <c r="I194" s="49">
        <v>0</v>
      </c>
      <c r="J194" s="49">
        <v>0</v>
      </c>
      <c r="K194" s="49">
        <v>0</v>
      </c>
      <c r="L194" s="49">
        <v>0</v>
      </c>
      <c r="M194" s="49">
        <v>0</v>
      </c>
      <c r="N194" s="49">
        <v>0</v>
      </c>
      <c r="O194" s="49">
        <v>0</v>
      </c>
      <c r="P194" s="49">
        <v>0</v>
      </c>
      <c r="Q194" s="49">
        <v>0</v>
      </c>
      <c r="R194" s="49">
        <f t="shared" si="14"/>
        <v>0</v>
      </c>
      <c r="S194" s="11"/>
    </row>
    <row r="195" spans="1:20" x14ac:dyDescent="0.25">
      <c r="A195" s="6">
        <v>193</v>
      </c>
      <c r="C195" s="6" t="s">
        <v>48</v>
      </c>
      <c r="D195" s="7" t="s">
        <v>39</v>
      </c>
      <c r="E195" s="7">
        <v>122</v>
      </c>
      <c r="F195" s="49">
        <v>0</v>
      </c>
      <c r="G195" s="49">
        <v>0</v>
      </c>
      <c r="H195" s="49">
        <v>0</v>
      </c>
      <c r="I195" s="49">
        <v>0</v>
      </c>
      <c r="J195" s="49">
        <v>0</v>
      </c>
      <c r="K195" s="49">
        <v>0</v>
      </c>
      <c r="L195" s="49">
        <v>0</v>
      </c>
      <c r="M195" s="49">
        <v>0</v>
      </c>
      <c r="N195" s="49">
        <v>0</v>
      </c>
      <c r="O195" s="49">
        <v>0</v>
      </c>
      <c r="P195" s="49">
        <v>0</v>
      </c>
      <c r="Q195" s="49">
        <v>0</v>
      </c>
      <c r="R195" s="49">
        <f t="shared" si="14"/>
        <v>0</v>
      </c>
      <c r="S195" s="11"/>
    </row>
    <row r="196" spans="1:20" x14ac:dyDescent="0.25">
      <c r="A196" s="6">
        <v>194</v>
      </c>
      <c r="C196" s="6" t="s">
        <v>49</v>
      </c>
      <c r="D196" s="7" t="s">
        <v>50</v>
      </c>
      <c r="E196" s="7">
        <v>122</v>
      </c>
      <c r="F196" s="49">
        <v>614.5</v>
      </c>
      <c r="G196" s="49">
        <v>740.86</v>
      </c>
      <c r="H196" s="49">
        <v>302.62</v>
      </c>
      <c r="I196" s="49">
        <v>544.25</v>
      </c>
      <c r="J196" s="49">
        <v>674.41</v>
      </c>
      <c r="K196" s="49">
        <v>395.21</v>
      </c>
      <c r="L196" s="49">
        <v>1009.78</v>
      </c>
      <c r="M196" s="49">
        <v>0</v>
      </c>
      <c r="N196" s="49">
        <v>0</v>
      </c>
      <c r="O196" s="49">
        <v>0</v>
      </c>
      <c r="P196" s="49">
        <v>0</v>
      </c>
      <c r="Q196" s="49">
        <v>0</v>
      </c>
      <c r="R196" s="49">
        <f t="shared" si="14"/>
        <v>4281.63</v>
      </c>
      <c r="S196" s="11"/>
    </row>
    <row r="197" spans="1:20" x14ac:dyDescent="0.25">
      <c r="A197" s="6">
        <v>195</v>
      </c>
      <c r="C197" s="27" t="s">
        <v>278</v>
      </c>
      <c r="D197" s="7" t="s">
        <v>51</v>
      </c>
      <c r="E197" s="7">
        <v>122</v>
      </c>
      <c r="F197" s="49">
        <v>3.01</v>
      </c>
      <c r="G197" s="49">
        <v>1.51</v>
      </c>
      <c r="H197" s="49">
        <v>2.52</v>
      </c>
      <c r="I197" s="49">
        <v>-0.87</v>
      </c>
      <c r="J197" s="49">
        <v>-1.58</v>
      </c>
      <c r="K197" s="49">
        <v>1.17</v>
      </c>
      <c r="L197" s="49">
        <v>-7.36</v>
      </c>
      <c r="M197" s="49">
        <v>0</v>
      </c>
      <c r="N197" s="49">
        <v>0</v>
      </c>
      <c r="O197" s="49">
        <v>0</v>
      </c>
      <c r="P197" s="49">
        <v>0</v>
      </c>
      <c r="Q197" s="49">
        <v>0</v>
      </c>
      <c r="R197" s="49">
        <f t="shared" si="14"/>
        <v>-1.6000000000000014</v>
      </c>
      <c r="S197" s="11"/>
    </row>
    <row r="198" spans="1:20" x14ac:dyDescent="0.25">
      <c r="A198" s="6">
        <v>196</v>
      </c>
      <c r="C198" s="6" t="s">
        <v>80</v>
      </c>
      <c r="D198" s="7" t="s">
        <v>79</v>
      </c>
      <c r="E198" s="7">
        <v>122</v>
      </c>
      <c r="F198" s="49">
        <v>0</v>
      </c>
      <c r="G198" s="49">
        <v>0</v>
      </c>
      <c r="H198" s="49">
        <v>0</v>
      </c>
      <c r="I198" s="49">
        <v>0</v>
      </c>
      <c r="J198" s="49">
        <v>0</v>
      </c>
      <c r="K198" s="49">
        <v>0</v>
      </c>
      <c r="L198" s="49">
        <v>0</v>
      </c>
      <c r="M198" s="49">
        <v>0</v>
      </c>
      <c r="N198" s="49">
        <v>0</v>
      </c>
      <c r="O198" s="49">
        <v>0</v>
      </c>
      <c r="P198" s="49">
        <v>0</v>
      </c>
      <c r="Q198" s="49">
        <v>0</v>
      </c>
      <c r="R198" s="49">
        <f t="shared" si="14"/>
        <v>0</v>
      </c>
      <c r="S198" s="11"/>
    </row>
    <row r="199" spans="1:20" x14ac:dyDescent="0.25">
      <c r="A199" s="6">
        <v>197</v>
      </c>
      <c r="C199" s="6" t="s">
        <v>13</v>
      </c>
      <c r="D199" s="7" t="s">
        <v>52</v>
      </c>
      <c r="E199" s="7">
        <v>122</v>
      </c>
      <c r="F199" s="49">
        <v>0</v>
      </c>
      <c r="G199" s="49">
        <v>0</v>
      </c>
      <c r="H199" s="49">
        <v>0</v>
      </c>
      <c r="I199" s="49">
        <v>0</v>
      </c>
      <c r="J199" s="49">
        <v>0</v>
      </c>
      <c r="K199" s="49">
        <v>0</v>
      </c>
      <c r="L199" s="49">
        <v>0</v>
      </c>
      <c r="M199" s="49">
        <v>0</v>
      </c>
      <c r="N199" s="49">
        <v>0</v>
      </c>
      <c r="O199" s="49">
        <v>0</v>
      </c>
      <c r="P199" s="49">
        <v>0</v>
      </c>
      <c r="Q199" s="49">
        <v>0</v>
      </c>
      <c r="R199" s="49">
        <f t="shared" si="14"/>
        <v>0</v>
      </c>
      <c r="S199" s="11"/>
    </row>
    <row r="200" spans="1:20" x14ac:dyDescent="0.25">
      <c r="A200" s="6">
        <v>198</v>
      </c>
      <c r="C200" s="6" t="s">
        <v>55</v>
      </c>
      <c r="D200" s="7" t="s">
        <v>41</v>
      </c>
      <c r="E200" s="7">
        <v>122</v>
      </c>
      <c r="F200" s="49">
        <v>-11960.67</v>
      </c>
      <c r="G200" s="49">
        <v>-11728.56</v>
      </c>
      <c r="H200" s="49">
        <v>-10666.37</v>
      </c>
      <c r="I200" s="49">
        <v>-10397.39</v>
      </c>
      <c r="J200" s="49">
        <v>-8201.3799999999992</v>
      </c>
      <c r="K200" s="49">
        <v>-5961.88</v>
      </c>
      <c r="L200" s="49">
        <v>-5704.03</v>
      </c>
      <c r="M200" s="49">
        <v>-2384.79</v>
      </c>
      <c r="N200" s="49">
        <v>0</v>
      </c>
      <c r="O200" s="49">
        <v>0</v>
      </c>
      <c r="P200" s="49">
        <v>0</v>
      </c>
      <c r="Q200" s="49">
        <v>0</v>
      </c>
      <c r="R200" s="49">
        <f t="shared" si="14"/>
        <v>-67005.069999999992</v>
      </c>
      <c r="S200" s="11"/>
      <c r="T200" s="50"/>
    </row>
    <row r="201" spans="1:20" x14ac:dyDescent="0.25">
      <c r="A201" s="6">
        <v>199</v>
      </c>
      <c r="C201" s="6" t="s">
        <v>56</v>
      </c>
      <c r="D201" s="7" t="s">
        <v>43</v>
      </c>
      <c r="E201" s="7">
        <v>122</v>
      </c>
      <c r="F201" s="49">
        <v>11728.56</v>
      </c>
      <c r="G201" s="49">
        <v>10666.37</v>
      </c>
      <c r="H201" s="49">
        <v>10397.390000000001</v>
      </c>
      <c r="I201" s="49">
        <v>8201.3799999999992</v>
      </c>
      <c r="J201" s="49">
        <v>5961.88</v>
      </c>
      <c r="K201" s="49">
        <v>5704.03</v>
      </c>
      <c r="L201" s="49">
        <v>2384.79</v>
      </c>
      <c r="M201" s="49">
        <v>0</v>
      </c>
      <c r="N201" s="49">
        <v>0</v>
      </c>
      <c r="O201" s="49">
        <v>0</v>
      </c>
      <c r="P201" s="49">
        <v>0</v>
      </c>
      <c r="Q201" s="49">
        <v>0</v>
      </c>
      <c r="R201" s="49">
        <f t="shared" si="14"/>
        <v>55044.399999999994</v>
      </c>
      <c r="S201" s="11"/>
    </row>
    <row r="202" spans="1:20" x14ac:dyDescent="0.25">
      <c r="A202" s="6">
        <v>200</v>
      </c>
      <c r="C202" s="6" t="s">
        <v>30</v>
      </c>
      <c r="D202" s="7" t="s">
        <v>44</v>
      </c>
      <c r="E202" s="7">
        <v>122</v>
      </c>
      <c r="F202" s="49">
        <v>12363.18</v>
      </c>
      <c r="G202" s="49">
        <v>11425.500000000002</v>
      </c>
      <c r="H202" s="49">
        <v>10717.690000000002</v>
      </c>
      <c r="I202" s="49">
        <v>8759.4799999999977</v>
      </c>
      <c r="J202" s="49">
        <v>6646.13</v>
      </c>
      <c r="K202" s="49">
        <v>6108.5</v>
      </c>
      <c r="L202" s="49">
        <v>3394.91</v>
      </c>
      <c r="M202" s="49">
        <v>3122.09</v>
      </c>
      <c r="N202" s="49">
        <v>0</v>
      </c>
      <c r="O202" s="49">
        <v>0</v>
      </c>
      <c r="P202" s="49">
        <v>0</v>
      </c>
      <c r="Q202" s="49">
        <v>0</v>
      </c>
      <c r="R202" s="49">
        <f t="shared" si="14"/>
        <v>62537.479999999996</v>
      </c>
      <c r="S202" s="11"/>
    </row>
    <row r="203" spans="1:20" x14ac:dyDescent="0.25">
      <c r="A203" s="6">
        <v>201</v>
      </c>
      <c r="C203" s="10" t="s">
        <v>45</v>
      </c>
      <c r="F203" s="49"/>
      <c r="G203" s="49"/>
      <c r="H203" s="49"/>
      <c r="I203" s="49"/>
      <c r="J203" s="49"/>
      <c r="K203" s="49"/>
      <c r="L203" s="49"/>
      <c r="M203" s="49"/>
      <c r="N203" s="49"/>
      <c r="O203" s="49"/>
      <c r="P203" s="49"/>
      <c r="Q203" s="49"/>
      <c r="R203" s="49"/>
      <c r="S203" s="11"/>
    </row>
    <row r="204" spans="1:20" x14ac:dyDescent="0.25">
      <c r="A204" s="6">
        <v>202</v>
      </c>
      <c r="C204" s="10"/>
      <c r="F204" s="49"/>
      <c r="G204" s="49"/>
      <c r="H204" s="49"/>
      <c r="I204" s="49"/>
      <c r="J204" s="49"/>
      <c r="K204" s="49"/>
      <c r="L204" s="49"/>
      <c r="M204" s="49"/>
      <c r="N204" s="49"/>
      <c r="O204" s="49"/>
      <c r="P204" s="49"/>
      <c r="Q204" s="49"/>
      <c r="R204" s="49"/>
      <c r="S204" s="11"/>
    </row>
    <row r="205" spans="1:20" x14ac:dyDescent="0.25">
      <c r="A205" s="6">
        <v>203</v>
      </c>
      <c r="B205" s="26" t="s">
        <v>110</v>
      </c>
      <c r="C205" s="15" t="s">
        <v>109</v>
      </c>
      <c r="D205" s="7" t="s">
        <v>34</v>
      </c>
      <c r="E205" s="7">
        <v>79</v>
      </c>
      <c r="F205" s="54"/>
      <c r="G205" s="54"/>
      <c r="H205" s="54"/>
      <c r="I205" s="54"/>
      <c r="J205" s="54"/>
      <c r="K205" s="54"/>
      <c r="L205" s="54"/>
      <c r="M205" s="54"/>
      <c r="N205" s="54"/>
      <c r="O205" s="54"/>
      <c r="P205" s="54"/>
      <c r="Q205" s="54"/>
      <c r="R205" s="49"/>
      <c r="S205" s="11"/>
    </row>
    <row r="206" spans="1:20" x14ac:dyDescent="0.25">
      <c r="A206" s="6">
        <v>204</v>
      </c>
      <c r="B206" s="26" t="s">
        <v>117</v>
      </c>
      <c r="C206" s="6" t="s">
        <v>31</v>
      </c>
      <c r="D206" s="7" t="s">
        <v>35</v>
      </c>
      <c r="E206" s="7">
        <v>79</v>
      </c>
      <c r="F206" s="49">
        <v>33658063</v>
      </c>
      <c r="G206" s="49">
        <v>35694880</v>
      </c>
      <c r="H206" s="49">
        <v>31087008</v>
      </c>
      <c r="I206" s="49">
        <v>32758516</v>
      </c>
      <c r="J206" s="49">
        <v>27389367</v>
      </c>
      <c r="K206" s="49">
        <v>28476284</v>
      </c>
      <c r="L206" s="49">
        <v>27333331</v>
      </c>
      <c r="M206" s="49">
        <v>25885256</v>
      </c>
      <c r="N206" s="49">
        <v>26924983</v>
      </c>
      <c r="O206" s="49">
        <v>30461110</v>
      </c>
      <c r="P206" s="49">
        <v>32448578</v>
      </c>
      <c r="Q206" s="49">
        <v>25948738</v>
      </c>
      <c r="R206" s="49">
        <f t="shared" ref="R206:R221" si="15">SUM(F206:Q206)</f>
        <v>358066114</v>
      </c>
      <c r="S206" s="11"/>
    </row>
    <row r="207" spans="1:20" x14ac:dyDescent="0.25">
      <c r="A207" s="6">
        <v>205</v>
      </c>
      <c r="B207" s="25">
        <v>4861</v>
      </c>
      <c r="C207" s="6" t="s">
        <v>36</v>
      </c>
      <c r="D207" s="7" t="s">
        <v>37</v>
      </c>
      <c r="E207" s="7">
        <v>79</v>
      </c>
      <c r="F207" s="49">
        <v>0</v>
      </c>
      <c r="G207" s="49">
        <v>0</v>
      </c>
      <c r="H207" s="49">
        <v>0</v>
      </c>
      <c r="I207" s="49">
        <v>0</v>
      </c>
      <c r="J207" s="49">
        <v>0</v>
      </c>
      <c r="K207" s="49">
        <v>0</v>
      </c>
      <c r="L207" s="49">
        <v>0</v>
      </c>
      <c r="M207" s="49">
        <v>0</v>
      </c>
      <c r="N207" s="49">
        <v>0</v>
      </c>
      <c r="O207" s="49">
        <v>0</v>
      </c>
      <c r="P207" s="49">
        <v>0</v>
      </c>
      <c r="Q207" s="49">
        <v>0</v>
      </c>
      <c r="R207" s="49">
        <f t="shared" si="15"/>
        <v>0</v>
      </c>
      <c r="S207" s="11"/>
    </row>
    <row r="208" spans="1:20" x14ac:dyDescent="0.25">
      <c r="A208" s="6">
        <v>206</v>
      </c>
      <c r="C208" s="6" t="s">
        <v>38</v>
      </c>
      <c r="D208" s="7" t="s">
        <v>39</v>
      </c>
      <c r="E208" s="7">
        <v>79</v>
      </c>
      <c r="F208" s="49">
        <v>0</v>
      </c>
      <c r="G208" s="49">
        <v>0</v>
      </c>
      <c r="H208" s="49">
        <v>0</v>
      </c>
      <c r="I208" s="49">
        <v>0</v>
      </c>
      <c r="J208" s="49">
        <v>0</v>
      </c>
      <c r="K208" s="49">
        <v>0</v>
      </c>
      <c r="L208" s="49">
        <v>0</v>
      </c>
      <c r="M208" s="49">
        <v>0</v>
      </c>
      <c r="N208" s="49">
        <v>0</v>
      </c>
      <c r="O208" s="49">
        <v>0</v>
      </c>
      <c r="P208" s="49">
        <v>0</v>
      </c>
      <c r="Q208" s="49">
        <v>0</v>
      </c>
      <c r="R208" s="49">
        <f t="shared" si="15"/>
        <v>0</v>
      </c>
      <c r="S208" s="11"/>
    </row>
    <row r="209" spans="1:19" x14ac:dyDescent="0.25">
      <c r="A209" s="6">
        <v>207</v>
      </c>
      <c r="C209" s="6" t="s">
        <v>40</v>
      </c>
      <c r="D209" s="7" t="s">
        <v>41</v>
      </c>
      <c r="E209" s="7">
        <v>79</v>
      </c>
      <c r="F209" s="49">
        <v>-33528746</v>
      </c>
      <c r="G209" s="49">
        <v>-35673264</v>
      </c>
      <c r="H209" s="49">
        <v>-31087008</v>
      </c>
      <c r="I209" s="49">
        <v>-32758516</v>
      </c>
      <c r="J209" s="49">
        <v>-27389367</v>
      </c>
      <c r="K209" s="49">
        <v>-28476284</v>
      </c>
      <c r="L209" s="49">
        <v>-26979291</v>
      </c>
      <c r="M209" s="49">
        <v>-25885256</v>
      </c>
      <c r="N209" s="49">
        <v>-26924983</v>
      </c>
      <c r="O209" s="49">
        <v>-30461110</v>
      </c>
      <c r="P209" s="49">
        <v>-32448578</v>
      </c>
      <c r="Q209" s="49">
        <v>-25948738</v>
      </c>
      <c r="R209" s="49">
        <f t="shared" si="15"/>
        <v>-357561141</v>
      </c>
      <c r="S209" s="11"/>
    </row>
    <row r="210" spans="1:19" x14ac:dyDescent="0.25">
      <c r="A210" s="6">
        <v>208</v>
      </c>
      <c r="C210" s="6" t="s">
        <v>42</v>
      </c>
      <c r="D210" s="7" t="s">
        <v>43</v>
      </c>
      <c r="E210" s="7">
        <v>79</v>
      </c>
      <c r="F210" s="49">
        <v>35673264</v>
      </c>
      <c r="G210" s="49">
        <v>31087008</v>
      </c>
      <c r="H210" s="49">
        <v>32758516</v>
      </c>
      <c r="I210" s="49">
        <v>27389367</v>
      </c>
      <c r="J210" s="49">
        <v>28476284</v>
      </c>
      <c r="K210" s="49">
        <v>26979291</v>
      </c>
      <c r="L210" s="49">
        <v>25885256</v>
      </c>
      <c r="M210" s="49">
        <v>26924983</v>
      </c>
      <c r="N210" s="49">
        <v>30461110</v>
      </c>
      <c r="O210" s="49">
        <v>32448578</v>
      </c>
      <c r="P210" s="49">
        <v>25948738</v>
      </c>
      <c r="Q210" s="49">
        <v>29346851</v>
      </c>
      <c r="R210" s="49">
        <f t="shared" si="15"/>
        <v>353379246</v>
      </c>
      <c r="S210" s="11"/>
    </row>
    <row r="211" spans="1:19" x14ac:dyDescent="0.25">
      <c r="A211" s="6">
        <v>209</v>
      </c>
      <c r="C211" s="6" t="s">
        <v>33</v>
      </c>
      <c r="D211" s="7" t="s">
        <v>44</v>
      </c>
      <c r="E211" s="7">
        <v>79</v>
      </c>
      <c r="F211" s="49">
        <v>35802581</v>
      </c>
      <c r="G211" s="49">
        <v>31108624</v>
      </c>
      <c r="H211" s="49">
        <v>32758516</v>
      </c>
      <c r="I211" s="49">
        <v>27389367</v>
      </c>
      <c r="J211" s="49">
        <v>28476284</v>
      </c>
      <c r="K211" s="49">
        <v>26979291</v>
      </c>
      <c r="L211" s="49">
        <v>26239296</v>
      </c>
      <c r="M211" s="49">
        <v>26924983</v>
      </c>
      <c r="N211" s="49">
        <v>30461110</v>
      </c>
      <c r="O211" s="49">
        <v>32448578</v>
      </c>
      <c r="P211" s="49">
        <v>25948738</v>
      </c>
      <c r="Q211" s="49">
        <v>29346851</v>
      </c>
      <c r="R211" s="49">
        <f t="shared" si="15"/>
        <v>353884219</v>
      </c>
      <c r="S211" s="11"/>
    </row>
    <row r="212" spans="1:19" x14ac:dyDescent="0.25">
      <c r="A212" s="6">
        <v>210</v>
      </c>
      <c r="C212" s="10" t="s">
        <v>45</v>
      </c>
      <c r="F212" s="49"/>
      <c r="G212" s="49"/>
      <c r="H212" s="49"/>
      <c r="I212" s="49"/>
      <c r="J212" s="49"/>
      <c r="K212" s="49"/>
      <c r="L212" s="49"/>
      <c r="M212" s="49"/>
      <c r="N212" s="49"/>
      <c r="O212" s="49"/>
      <c r="P212" s="49"/>
      <c r="Q212" s="49"/>
      <c r="R212" s="49">
        <f t="shared" si="15"/>
        <v>0</v>
      </c>
      <c r="S212" s="11"/>
    </row>
    <row r="213" spans="1:19" x14ac:dyDescent="0.25">
      <c r="A213" s="6">
        <v>211</v>
      </c>
      <c r="C213" s="6" t="s">
        <v>46</v>
      </c>
      <c r="D213" s="7" t="s">
        <v>35</v>
      </c>
      <c r="E213" s="7">
        <v>123</v>
      </c>
      <c r="F213" s="49">
        <v>1243167.29</v>
      </c>
      <c r="G213" s="49">
        <v>1246685.42</v>
      </c>
      <c r="H213" s="49">
        <v>1192013.04</v>
      </c>
      <c r="I213" s="49">
        <v>1206966.42</v>
      </c>
      <c r="J213" s="49">
        <v>1126031.3700000001</v>
      </c>
      <c r="K213" s="49">
        <v>1123189.71</v>
      </c>
      <c r="L213" s="49">
        <v>1116290.6499999999</v>
      </c>
      <c r="M213" s="49">
        <v>1081392.24</v>
      </c>
      <c r="N213" s="49">
        <v>1047198.73</v>
      </c>
      <c r="O213" s="49">
        <v>1167355.8400000001</v>
      </c>
      <c r="P213" s="49">
        <v>1226305.26</v>
      </c>
      <c r="Q213" s="49">
        <v>1152909.3899999999</v>
      </c>
      <c r="R213" s="49">
        <f t="shared" si="15"/>
        <v>13929505.360000001</v>
      </c>
      <c r="S213" s="11"/>
    </row>
    <row r="214" spans="1:19" x14ac:dyDescent="0.25">
      <c r="A214" s="6">
        <v>212</v>
      </c>
      <c r="C214" s="6" t="s">
        <v>47</v>
      </c>
      <c r="D214" s="7" t="s">
        <v>37</v>
      </c>
      <c r="E214" s="7">
        <v>123</v>
      </c>
      <c r="F214" s="49">
        <v>0</v>
      </c>
      <c r="G214" s="49">
        <v>0</v>
      </c>
      <c r="H214" s="49">
        <v>0</v>
      </c>
      <c r="I214" s="49">
        <v>0</v>
      </c>
      <c r="J214" s="49">
        <v>0</v>
      </c>
      <c r="K214" s="49">
        <v>0</v>
      </c>
      <c r="L214" s="49">
        <v>0</v>
      </c>
      <c r="M214" s="49">
        <v>0</v>
      </c>
      <c r="N214" s="49">
        <v>0</v>
      </c>
      <c r="O214" s="49">
        <v>0</v>
      </c>
      <c r="P214" s="49">
        <v>0</v>
      </c>
      <c r="Q214" s="49">
        <v>0</v>
      </c>
      <c r="R214" s="49">
        <f t="shared" si="15"/>
        <v>0</v>
      </c>
      <c r="S214" s="11"/>
    </row>
    <row r="215" spans="1:19" x14ac:dyDescent="0.25">
      <c r="A215" s="6">
        <v>213</v>
      </c>
      <c r="C215" s="6" t="s">
        <v>48</v>
      </c>
      <c r="D215" s="7" t="s">
        <v>39</v>
      </c>
      <c r="E215" s="7">
        <v>123</v>
      </c>
      <c r="F215" s="49">
        <v>0</v>
      </c>
      <c r="G215" s="49">
        <v>0</v>
      </c>
      <c r="H215" s="49">
        <v>0</v>
      </c>
      <c r="I215" s="49">
        <v>0</v>
      </c>
      <c r="J215" s="49">
        <v>0</v>
      </c>
      <c r="K215" s="49">
        <v>0</v>
      </c>
      <c r="L215" s="49">
        <v>0</v>
      </c>
      <c r="M215" s="49">
        <v>0</v>
      </c>
      <c r="N215" s="49">
        <v>0</v>
      </c>
      <c r="O215" s="49">
        <v>0</v>
      </c>
      <c r="P215" s="49">
        <v>0</v>
      </c>
      <c r="Q215" s="49">
        <v>0</v>
      </c>
      <c r="R215" s="49">
        <f t="shared" si="15"/>
        <v>0</v>
      </c>
      <c r="S215" s="11"/>
    </row>
    <row r="216" spans="1:19" x14ac:dyDescent="0.25">
      <c r="A216" s="6">
        <v>214</v>
      </c>
      <c r="C216" s="6" t="s">
        <v>49</v>
      </c>
      <c r="D216" s="7" t="s">
        <v>50</v>
      </c>
      <c r="E216" s="7">
        <v>123</v>
      </c>
      <c r="F216" s="49">
        <v>0</v>
      </c>
      <c r="G216" s="49">
        <v>0</v>
      </c>
      <c r="H216" s="49">
        <v>0</v>
      </c>
      <c r="I216" s="49">
        <v>0</v>
      </c>
      <c r="J216" s="49">
        <v>0</v>
      </c>
      <c r="K216" s="49">
        <v>0</v>
      </c>
      <c r="L216" s="49">
        <v>0</v>
      </c>
      <c r="M216" s="49">
        <v>0</v>
      </c>
      <c r="N216" s="49">
        <v>0</v>
      </c>
      <c r="O216" s="49">
        <v>0</v>
      </c>
      <c r="P216" s="49">
        <v>0</v>
      </c>
      <c r="Q216" s="49">
        <v>0</v>
      </c>
      <c r="R216" s="49">
        <f t="shared" si="15"/>
        <v>0</v>
      </c>
      <c r="S216" s="11"/>
    </row>
    <row r="217" spans="1:19" x14ac:dyDescent="0.25">
      <c r="A217" s="6">
        <v>215</v>
      </c>
      <c r="C217" s="27" t="s">
        <v>278</v>
      </c>
      <c r="D217" s="7" t="s">
        <v>51</v>
      </c>
      <c r="E217" s="7">
        <v>123</v>
      </c>
      <c r="F217" s="49">
        <v>-8770.9599999999991</v>
      </c>
      <c r="G217" s="49">
        <v>-9301.27</v>
      </c>
      <c r="H217" s="49">
        <v>-8102.4</v>
      </c>
      <c r="I217" s="49">
        <v>-8536.2800000000007</v>
      </c>
      <c r="J217" s="49">
        <v>-7137.84</v>
      </c>
      <c r="K217" s="49">
        <v>-7418.67</v>
      </c>
      <c r="L217" s="49">
        <v>-7106.67</v>
      </c>
      <c r="M217" s="49">
        <v>30426.310000000005</v>
      </c>
      <c r="N217" s="49">
        <v>35035.839999999997</v>
      </c>
      <c r="O217" s="49">
        <v>-87112.709999999992</v>
      </c>
      <c r="P217" s="49">
        <v>-8436.6299999999992</v>
      </c>
      <c r="Q217" s="49">
        <v>-7784.62</v>
      </c>
      <c r="R217" s="49">
        <f t="shared" si="15"/>
        <v>-94245.9</v>
      </c>
      <c r="S217" s="11"/>
    </row>
    <row r="218" spans="1:19" x14ac:dyDescent="0.25">
      <c r="A218" s="6">
        <v>216</v>
      </c>
      <c r="C218" s="6" t="s">
        <v>80</v>
      </c>
      <c r="D218" s="7" t="s">
        <v>79</v>
      </c>
      <c r="E218" s="7">
        <v>123</v>
      </c>
      <c r="F218" s="49">
        <v>0</v>
      </c>
      <c r="G218" s="49">
        <v>0</v>
      </c>
      <c r="H218" s="49">
        <v>0</v>
      </c>
      <c r="I218" s="49">
        <v>0</v>
      </c>
      <c r="J218" s="49">
        <v>0</v>
      </c>
      <c r="K218" s="49">
        <v>0</v>
      </c>
      <c r="L218" s="49">
        <v>0</v>
      </c>
      <c r="M218" s="49">
        <v>0</v>
      </c>
      <c r="N218" s="49">
        <v>0</v>
      </c>
      <c r="O218" s="49">
        <v>0</v>
      </c>
      <c r="P218" s="49">
        <v>0</v>
      </c>
      <c r="Q218" s="49">
        <v>0</v>
      </c>
      <c r="R218" s="49">
        <f t="shared" si="15"/>
        <v>0</v>
      </c>
      <c r="S218" s="11"/>
    </row>
    <row r="219" spans="1:19" x14ac:dyDescent="0.25">
      <c r="A219" s="6">
        <v>217</v>
      </c>
      <c r="C219" s="6" t="s">
        <v>13</v>
      </c>
      <c r="D219" s="7" t="s">
        <v>52</v>
      </c>
      <c r="E219" s="7">
        <v>123</v>
      </c>
      <c r="F219" s="49">
        <v>-14.66</v>
      </c>
      <c r="G219" s="49">
        <v>0</v>
      </c>
      <c r="H219" s="49">
        <v>0</v>
      </c>
      <c r="I219" s="49">
        <v>0</v>
      </c>
      <c r="J219" s="49">
        <v>0</v>
      </c>
      <c r="K219" s="49">
        <v>0</v>
      </c>
      <c r="L219" s="49">
        <v>0</v>
      </c>
      <c r="M219" s="49">
        <v>0</v>
      </c>
      <c r="N219" s="49">
        <v>0</v>
      </c>
      <c r="O219" s="49">
        <v>0</v>
      </c>
      <c r="P219" s="49">
        <v>0</v>
      </c>
      <c r="Q219" s="49">
        <v>0</v>
      </c>
      <c r="R219" s="49">
        <f t="shared" si="15"/>
        <v>-14.66</v>
      </c>
      <c r="S219" s="11"/>
    </row>
    <row r="220" spans="1:19" x14ac:dyDescent="0.25">
      <c r="A220" s="6">
        <v>218</v>
      </c>
      <c r="C220" s="6" t="s">
        <v>55</v>
      </c>
      <c r="D220" s="7" t="s">
        <v>41</v>
      </c>
      <c r="E220" s="7">
        <v>123</v>
      </c>
      <c r="F220" s="49">
        <v>-1226737.04</v>
      </c>
      <c r="G220" s="49">
        <v>-1234210.94</v>
      </c>
      <c r="H220" s="49">
        <v>-1183619.49</v>
      </c>
      <c r="I220" s="49">
        <v>-1198121.6299999999</v>
      </c>
      <c r="J220" s="49">
        <v>-1118636.21</v>
      </c>
      <c r="K220" s="49">
        <v>-1115501.1299999999</v>
      </c>
      <c r="L220" s="49">
        <v>-1094003.0900000001</v>
      </c>
      <c r="M220" s="49">
        <v>-1074410.67</v>
      </c>
      <c r="N220" s="49">
        <v>-1040313.93</v>
      </c>
      <c r="O220" s="49">
        <v>-1159163.24</v>
      </c>
      <c r="P220" s="49">
        <v>-1217544.1000000001</v>
      </c>
      <c r="Q220" s="49">
        <v>-1145903.23</v>
      </c>
      <c r="R220" s="49">
        <f t="shared" si="15"/>
        <v>-13808164.699999999</v>
      </c>
      <c r="S220" s="11"/>
    </row>
    <row r="221" spans="1:19" x14ac:dyDescent="0.25">
      <c r="A221" s="6">
        <v>219</v>
      </c>
      <c r="C221" s="6" t="s">
        <v>56</v>
      </c>
      <c r="D221" s="7" t="s">
        <v>43</v>
      </c>
      <c r="E221" s="7">
        <v>123</v>
      </c>
      <c r="F221" s="49">
        <v>1234210.94</v>
      </c>
      <c r="G221" s="49">
        <v>1183619.49</v>
      </c>
      <c r="H221" s="49">
        <v>1198121.6299999999</v>
      </c>
      <c r="I221" s="49">
        <v>1118636.2100000002</v>
      </c>
      <c r="J221" s="49">
        <v>1115501.1299999999</v>
      </c>
      <c r="K221" s="49">
        <v>1094003.0899999999</v>
      </c>
      <c r="L221" s="49">
        <v>1074410.67</v>
      </c>
      <c r="M221" s="49">
        <v>1040313.93</v>
      </c>
      <c r="N221" s="49">
        <v>1159163.24</v>
      </c>
      <c r="O221" s="49">
        <v>1217544.1000000001</v>
      </c>
      <c r="P221" s="49">
        <v>1145903.23</v>
      </c>
      <c r="Q221" s="49">
        <v>1155160.6200000001</v>
      </c>
      <c r="R221" s="49">
        <f t="shared" si="15"/>
        <v>13736588.280000001</v>
      </c>
      <c r="S221" s="11"/>
    </row>
    <row r="222" spans="1:19" x14ac:dyDescent="0.25">
      <c r="A222" s="6">
        <v>220</v>
      </c>
      <c r="C222" s="6" t="s">
        <v>30</v>
      </c>
      <c r="D222" s="7" t="s">
        <v>44</v>
      </c>
      <c r="E222" s="7">
        <v>123</v>
      </c>
      <c r="F222" s="49">
        <f>SUM(F213:F221)</f>
        <v>1241855.57</v>
      </c>
      <c r="G222" s="49">
        <f t="shared" ref="G222:Q222" si="16">SUM(G213:G221)</f>
        <v>1186792.7</v>
      </c>
      <c r="H222" s="49">
        <f t="shared" si="16"/>
        <v>1198412.78</v>
      </c>
      <c r="I222" s="49">
        <f t="shared" si="16"/>
        <v>1118944.7200000002</v>
      </c>
      <c r="J222" s="49">
        <f t="shared" si="16"/>
        <v>1115758.45</v>
      </c>
      <c r="K222" s="49">
        <f t="shared" si="16"/>
        <v>1094273</v>
      </c>
      <c r="L222" s="49">
        <f t="shared" si="16"/>
        <v>1089591.5599999998</v>
      </c>
      <c r="M222" s="49">
        <f t="shared" si="16"/>
        <v>1077721.81</v>
      </c>
      <c r="N222" s="49">
        <f t="shared" si="16"/>
        <v>1201083.8799999999</v>
      </c>
      <c r="O222" s="49">
        <f t="shared" si="16"/>
        <v>1138623.9900000002</v>
      </c>
      <c r="P222" s="49">
        <f t="shared" si="16"/>
        <v>1146227.76</v>
      </c>
      <c r="Q222" s="49">
        <f t="shared" si="16"/>
        <v>1154382.1599999999</v>
      </c>
      <c r="R222" s="49">
        <f>SUM(F222:Q222)</f>
        <v>13763668.379999999</v>
      </c>
      <c r="S222" s="11"/>
    </row>
    <row r="223" spans="1:19" x14ac:dyDescent="0.25">
      <c r="A223" s="6">
        <v>221</v>
      </c>
      <c r="B223" s="27"/>
      <c r="C223" s="10" t="s">
        <v>45</v>
      </c>
      <c r="F223" s="49"/>
      <c r="G223" s="49"/>
      <c r="H223" s="49"/>
      <c r="I223" s="49"/>
      <c r="J223" s="49"/>
      <c r="K223" s="49"/>
      <c r="L223" s="49"/>
      <c r="M223" s="49"/>
      <c r="N223" s="49"/>
      <c r="O223" s="49"/>
      <c r="P223" s="49"/>
      <c r="Q223" s="49"/>
      <c r="R223" s="49"/>
      <c r="S223" s="11"/>
    </row>
    <row r="224" spans="1:19" x14ac:dyDescent="0.25">
      <c r="A224" s="6">
        <v>222</v>
      </c>
      <c r="C224" s="10"/>
      <c r="F224" s="49"/>
      <c r="G224" s="49"/>
      <c r="H224" s="49"/>
      <c r="I224" s="49"/>
      <c r="J224" s="49"/>
      <c r="K224" s="49"/>
      <c r="L224" s="49"/>
      <c r="M224" s="49"/>
      <c r="N224" s="49"/>
      <c r="O224" s="49"/>
      <c r="P224" s="49"/>
      <c r="Q224" s="49"/>
      <c r="R224" s="49"/>
      <c r="S224" s="11"/>
    </row>
    <row r="225" spans="1:19" x14ac:dyDescent="0.25">
      <c r="A225" s="6">
        <v>223</v>
      </c>
      <c r="C225" s="15" t="s">
        <v>116</v>
      </c>
      <c r="D225" s="7" t="s">
        <v>34</v>
      </c>
      <c r="E225" s="7">
        <v>80</v>
      </c>
      <c r="F225" s="11"/>
      <c r="G225" s="75"/>
      <c r="H225" s="75"/>
      <c r="I225" s="75"/>
      <c r="J225" s="75"/>
      <c r="K225" s="75"/>
      <c r="L225" s="75"/>
      <c r="M225" s="75"/>
      <c r="N225" s="75"/>
      <c r="O225" s="75"/>
      <c r="P225" s="75"/>
      <c r="Q225" s="75"/>
      <c r="R225" s="49"/>
      <c r="S225" s="11"/>
    </row>
    <row r="226" spans="1:19" x14ac:dyDescent="0.25">
      <c r="A226" s="6">
        <v>224</v>
      </c>
      <c r="C226" s="6" t="s">
        <v>31</v>
      </c>
      <c r="D226" s="7" t="s">
        <v>35</v>
      </c>
      <c r="E226" s="7">
        <v>80</v>
      </c>
      <c r="F226" s="50">
        <v>76411</v>
      </c>
      <c r="G226" s="49">
        <v>79239</v>
      </c>
      <c r="H226" s="49">
        <v>76055</v>
      </c>
      <c r="I226" s="49">
        <v>73328</v>
      </c>
      <c r="J226" s="49">
        <v>63863</v>
      </c>
      <c r="K226" s="49">
        <v>57069</v>
      </c>
      <c r="L226" s="49">
        <v>0</v>
      </c>
      <c r="M226" s="49">
        <v>0</v>
      </c>
      <c r="N226" s="49">
        <v>0</v>
      </c>
      <c r="O226" s="49">
        <v>0</v>
      </c>
      <c r="P226" s="49">
        <v>0</v>
      </c>
      <c r="Q226" s="49">
        <v>0</v>
      </c>
      <c r="R226" s="49">
        <f t="shared" ref="R226:R289" si="17">SUM(F226:Q226)</f>
        <v>425965</v>
      </c>
      <c r="S226" s="11"/>
    </row>
    <row r="227" spans="1:19" x14ac:dyDescent="0.25">
      <c r="A227" s="6">
        <v>225</v>
      </c>
      <c r="C227" s="6" t="s">
        <v>36</v>
      </c>
      <c r="D227" s="7" t="s">
        <v>37</v>
      </c>
      <c r="E227" s="7">
        <v>80</v>
      </c>
      <c r="F227" s="50">
        <v>0</v>
      </c>
      <c r="G227" s="49">
        <v>0</v>
      </c>
      <c r="H227" s="49">
        <v>0</v>
      </c>
      <c r="I227" s="49">
        <v>0</v>
      </c>
      <c r="J227" s="49">
        <v>0</v>
      </c>
      <c r="K227" s="49">
        <v>0</v>
      </c>
      <c r="L227" s="49">
        <v>0</v>
      </c>
      <c r="M227" s="49">
        <v>0</v>
      </c>
      <c r="N227" s="49">
        <v>0</v>
      </c>
      <c r="O227" s="49">
        <v>0</v>
      </c>
      <c r="P227" s="49">
        <v>0</v>
      </c>
      <c r="Q227" s="49">
        <v>0</v>
      </c>
      <c r="R227" s="49">
        <f t="shared" si="17"/>
        <v>0</v>
      </c>
      <c r="S227" s="11"/>
    </row>
    <row r="228" spans="1:19" x14ac:dyDescent="0.25">
      <c r="A228" s="6">
        <v>226</v>
      </c>
      <c r="C228" s="6" t="s">
        <v>38</v>
      </c>
      <c r="D228" s="7" t="s">
        <v>39</v>
      </c>
      <c r="E228" s="7">
        <v>80</v>
      </c>
      <c r="F228" s="50">
        <v>0</v>
      </c>
      <c r="G228" s="49">
        <v>0</v>
      </c>
      <c r="H228" s="49">
        <v>0</v>
      </c>
      <c r="I228" s="49">
        <v>0</v>
      </c>
      <c r="J228" s="49">
        <v>0</v>
      </c>
      <c r="K228" s="49">
        <v>0</v>
      </c>
      <c r="L228" s="49">
        <v>0</v>
      </c>
      <c r="M228" s="49">
        <v>0</v>
      </c>
      <c r="N228" s="49">
        <v>0</v>
      </c>
      <c r="O228" s="49">
        <v>0</v>
      </c>
      <c r="P228" s="49">
        <v>0</v>
      </c>
      <c r="Q228" s="49">
        <v>0</v>
      </c>
      <c r="R228" s="49">
        <f t="shared" si="17"/>
        <v>0</v>
      </c>
      <c r="S228" s="11"/>
    </row>
    <row r="229" spans="1:19" x14ac:dyDescent="0.25">
      <c r="A229" s="6">
        <v>227</v>
      </c>
      <c r="C229" s="6" t="s">
        <v>40</v>
      </c>
      <c r="D229" s="7" t="s">
        <v>41</v>
      </c>
      <c r="E229" s="7">
        <v>80</v>
      </c>
      <c r="F229" s="50">
        <v>-76411</v>
      </c>
      <c r="G229" s="49">
        <v>-79239</v>
      </c>
      <c r="H229" s="49">
        <v>-76055</v>
      </c>
      <c r="I229" s="49">
        <v>-73328</v>
      </c>
      <c r="J229" s="49">
        <v>-63863</v>
      </c>
      <c r="K229" s="49">
        <v>-57069</v>
      </c>
      <c r="L229" s="49">
        <v>0</v>
      </c>
      <c r="M229" s="49">
        <v>0</v>
      </c>
      <c r="N229" s="49">
        <v>0</v>
      </c>
      <c r="O229" s="49">
        <v>0</v>
      </c>
      <c r="P229" s="49">
        <v>0</v>
      </c>
      <c r="Q229" s="49">
        <v>0</v>
      </c>
      <c r="R229" s="49">
        <f t="shared" si="17"/>
        <v>-425965</v>
      </c>
      <c r="S229" s="11"/>
    </row>
    <row r="230" spans="1:19" x14ac:dyDescent="0.25">
      <c r="A230" s="6">
        <v>228</v>
      </c>
      <c r="C230" s="6" t="s">
        <v>42</v>
      </c>
      <c r="D230" s="7" t="s">
        <v>43</v>
      </c>
      <c r="E230" s="7">
        <v>80</v>
      </c>
      <c r="F230" s="50">
        <v>79239</v>
      </c>
      <c r="G230" s="49">
        <v>76055</v>
      </c>
      <c r="H230" s="49">
        <v>73328</v>
      </c>
      <c r="I230" s="49">
        <v>63863</v>
      </c>
      <c r="J230" s="49">
        <v>57069</v>
      </c>
      <c r="K230" s="49">
        <v>0</v>
      </c>
      <c r="L230" s="49">
        <v>0</v>
      </c>
      <c r="M230" s="49">
        <v>0</v>
      </c>
      <c r="N230" s="49">
        <v>0</v>
      </c>
      <c r="O230" s="49">
        <v>0</v>
      </c>
      <c r="P230" s="49">
        <v>0</v>
      </c>
      <c r="Q230" s="49">
        <v>0</v>
      </c>
      <c r="R230" s="49">
        <f t="shared" si="17"/>
        <v>349554</v>
      </c>
      <c r="S230" s="11"/>
    </row>
    <row r="231" spans="1:19" x14ac:dyDescent="0.25">
      <c r="A231" s="6">
        <v>229</v>
      </c>
      <c r="C231" s="6" t="s">
        <v>33</v>
      </c>
      <c r="D231" s="7" t="s">
        <v>44</v>
      </c>
      <c r="E231" s="7">
        <v>80</v>
      </c>
      <c r="F231" s="50">
        <v>79239</v>
      </c>
      <c r="G231" s="49">
        <v>76055</v>
      </c>
      <c r="H231" s="49">
        <v>73328</v>
      </c>
      <c r="I231" s="49">
        <v>63863</v>
      </c>
      <c r="J231" s="49">
        <v>57069</v>
      </c>
      <c r="K231" s="49">
        <v>0</v>
      </c>
      <c r="L231" s="49">
        <v>0</v>
      </c>
      <c r="M231" s="49">
        <v>0</v>
      </c>
      <c r="N231" s="49">
        <v>0</v>
      </c>
      <c r="O231" s="49">
        <v>0</v>
      </c>
      <c r="P231" s="49">
        <v>0</v>
      </c>
      <c r="Q231" s="49">
        <v>0</v>
      </c>
      <c r="R231" s="49">
        <f t="shared" si="17"/>
        <v>349554</v>
      </c>
      <c r="S231" s="11"/>
    </row>
    <row r="232" spans="1:19" x14ac:dyDescent="0.25">
      <c r="A232" s="6">
        <v>230</v>
      </c>
      <c r="C232" s="10" t="s">
        <v>45</v>
      </c>
      <c r="F232" s="50"/>
      <c r="G232" s="49"/>
      <c r="H232" s="49"/>
      <c r="I232" s="49"/>
      <c r="J232" s="49"/>
      <c r="K232" s="49"/>
      <c r="L232" s="49"/>
      <c r="M232" s="49"/>
      <c r="N232" s="49"/>
      <c r="O232" s="49"/>
      <c r="P232" s="49"/>
      <c r="Q232" s="49"/>
      <c r="R232" s="49">
        <f t="shared" si="17"/>
        <v>0</v>
      </c>
      <c r="S232" s="11"/>
    </row>
    <row r="233" spans="1:19" x14ac:dyDescent="0.25">
      <c r="A233" s="6">
        <v>231</v>
      </c>
      <c r="C233" s="6" t="s">
        <v>46</v>
      </c>
      <c r="D233" s="7" t="s">
        <v>35</v>
      </c>
      <c r="E233" s="7">
        <v>124</v>
      </c>
      <c r="F233" s="50">
        <v>5441.9</v>
      </c>
      <c r="G233" s="49">
        <v>5623.4</v>
      </c>
      <c r="H233" s="49">
        <v>5419.06</v>
      </c>
      <c r="I233" s="49">
        <v>5244.05</v>
      </c>
      <c r="J233" s="49">
        <v>4636.6099999999997</v>
      </c>
      <c r="K233" s="49">
        <v>4200.58</v>
      </c>
      <c r="L233" s="49">
        <v>0</v>
      </c>
      <c r="M233" s="49">
        <v>0</v>
      </c>
      <c r="N233" s="49">
        <v>0</v>
      </c>
      <c r="O233" s="49">
        <v>0</v>
      </c>
      <c r="P233" s="49">
        <v>0</v>
      </c>
      <c r="Q233" s="49">
        <v>0</v>
      </c>
      <c r="R233" s="49">
        <f t="shared" si="17"/>
        <v>30565.599999999999</v>
      </c>
      <c r="S233" s="11"/>
    </row>
    <row r="234" spans="1:19" x14ac:dyDescent="0.25">
      <c r="A234" s="6">
        <v>232</v>
      </c>
      <c r="C234" s="6" t="s">
        <v>47</v>
      </c>
      <c r="D234" s="7" t="s">
        <v>37</v>
      </c>
      <c r="E234" s="7">
        <v>124</v>
      </c>
      <c r="F234" s="50">
        <v>0</v>
      </c>
      <c r="G234" s="49">
        <v>0</v>
      </c>
      <c r="H234" s="49">
        <v>0</v>
      </c>
      <c r="I234" s="49">
        <v>0</v>
      </c>
      <c r="J234" s="49">
        <v>0</v>
      </c>
      <c r="K234" s="49">
        <v>0</v>
      </c>
      <c r="L234" s="49">
        <v>0</v>
      </c>
      <c r="M234" s="49">
        <v>0</v>
      </c>
      <c r="N234" s="49">
        <v>0</v>
      </c>
      <c r="O234" s="49">
        <v>0</v>
      </c>
      <c r="P234" s="49">
        <v>0</v>
      </c>
      <c r="Q234" s="49">
        <v>0</v>
      </c>
      <c r="R234" s="49">
        <f t="shared" si="17"/>
        <v>0</v>
      </c>
      <c r="S234" s="11"/>
    </row>
    <row r="235" spans="1:19" x14ac:dyDescent="0.25">
      <c r="A235" s="6">
        <v>233</v>
      </c>
      <c r="C235" s="6" t="s">
        <v>48</v>
      </c>
      <c r="D235" s="7" t="s">
        <v>39</v>
      </c>
      <c r="E235" s="7">
        <v>124</v>
      </c>
      <c r="F235" s="50">
        <v>0</v>
      </c>
      <c r="G235" s="49">
        <v>0</v>
      </c>
      <c r="H235" s="49">
        <v>0</v>
      </c>
      <c r="I235" s="49">
        <v>0</v>
      </c>
      <c r="J235" s="49">
        <v>0</v>
      </c>
      <c r="K235" s="49">
        <v>0</v>
      </c>
      <c r="L235" s="49">
        <v>0</v>
      </c>
      <c r="M235" s="49">
        <v>0</v>
      </c>
      <c r="N235" s="49">
        <v>0</v>
      </c>
      <c r="O235" s="49">
        <v>0</v>
      </c>
      <c r="P235" s="49">
        <v>0</v>
      </c>
      <c r="Q235" s="49">
        <v>0</v>
      </c>
      <c r="R235" s="49">
        <f t="shared" si="17"/>
        <v>0</v>
      </c>
      <c r="S235" s="11"/>
    </row>
    <row r="236" spans="1:19" x14ac:dyDescent="0.25">
      <c r="A236" s="6">
        <v>234</v>
      </c>
      <c r="C236" s="6" t="s">
        <v>49</v>
      </c>
      <c r="D236" s="7" t="s">
        <v>50</v>
      </c>
      <c r="E236" s="7">
        <v>124</v>
      </c>
      <c r="F236" s="50">
        <v>0</v>
      </c>
      <c r="G236" s="49">
        <v>0</v>
      </c>
      <c r="H236" s="49">
        <v>0</v>
      </c>
      <c r="I236" s="49">
        <v>0</v>
      </c>
      <c r="J236" s="49">
        <v>0</v>
      </c>
      <c r="K236" s="49">
        <v>0</v>
      </c>
      <c r="L236" s="49">
        <v>0</v>
      </c>
      <c r="M236" s="49">
        <v>0</v>
      </c>
      <c r="N236" s="49">
        <v>0</v>
      </c>
      <c r="O236" s="49">
        <v>0</v>
      </c>
      <c r="P236" s="49">
        <v>0</v>
      </c>
      <c r="Q236" s="49">
        <v>0</v>
      </c>
      <c r="R236" s="49">
        <f t="shared" si="17"/>
        <v>0</v>
      </c>
      <c r="S236" s="11"/>
    </row>
    <row r="237" spans="1:19" x14ac:dyDescent="0.25">
      <c r="A237" s="6">
        <v>235</v>
      </c>
      <c r="C237" s="27" t="s">
        <v>278</v>
      </c>
      <c r="D237" s="7" t="s">
        <v>51</v>
      </c>
      <c r="E237" s="7">
        <v>124</v>
      </c>
      <c r="F237" s="50">
        <v>0</v>
      </c>
      <c r="G237" s="49">
        <v>0</v>
      </c>
      <c r="H237" s="49">
        <v>0</v>
      </c>
      <c r="I237" s="49">
        <v>0</v>
      </c>
      <c r="J237" s="49">
        <v>0</v>
      </c>
      <c r="K237" s="49">
        <v>0</v>
      </c>
      <c r="L237" s="49">
        <v>0</v>
      </c>
      <c r="M237" s="49">
        <v>0</v>
      </c>
      <c r="N237" s="49">
        <v>0</v>
      </c>
      <c r="O237" s="49">
        <v>0</v>
      </c>
      <c r="P237" s="49">
        <v>0</v>
      </c>
      <c r="Q237" s="49">
        <v>0</v>
      </c>
      <c r="R237" s="49">
        <f t="shared" si="17"/>
        <v>0</v>
      </c>
      <c r="S237" s="11"/>
    </row>
    <row r="238" spans="1:19" x14ac:dyDescent="0.25">
      <c r="A238" s="6">
        <v>236</v>
      </c>
      <c r="C238" s="6" t="s">
        <v>80</v>
      </c>
      <c r="D238" s="7" t="s">
        <v>79</v>
      </c>
      <c r="E238" s="7">
        <v>124</v>
      </c>
      <c r="F238" s="50">
        <v>0</v>
      </c>
      <c r="G238" s="49">
        <v>0</v>
      </c>
      <c r="H238" s="49">
        <v>0</v>
      </c>
      <c r="I238" s="49">
        <v>0</v>
      </c>
      <c r="J238" s="49">
        <v>0</v>
      </c>
      <c r="K238" s="49">
        <v>0</v>
      </c>
      <c r="L238" s="49">
        <v>0</v>
      </c>
      <c r="M238" s="49">
        <v>0</v>
      </c>
      <c r="N238" s="49">
        <v>0</v>
      </c>
      <c r="O238" s="49">
        <v>0</v>
      </c>
      <c r="P238" s="49">
        <v>0</v>
      </c>
      <c r="Q238" s="49">
        <v>0</v>
      </c>
      <c r="R238" s="49">
        <f t="shared" si="17"/>
        <v>0</v>
      </c>
      <c r="S238" s="11"/>
    </row>
    <row r="239" spans="1:19" x14ac:dyDescent="0.25">
      <c r="A239" s="6">
        <v>237</v>
      </c>
      <c r="C239" s="6" t="s">
        <v>13</v>
      </c>
      <c r="D239" s="7" t="s">
        <v>52</v>
      </c>
      <c r="E239" s="7">
        <v>124</v>
      </c>
      <c r="F239" s="50">
        <v>0</v>
      </c>
      <c r="G239" s="49">
        <v>0</v>
      </c>
      <c r="H239" s="49">
        <v>0</v>
      </c>
      <c r="I239" s="49">
        <v>0</v>
      </c>
      <c r="J239" s="49">
        <v>0</v>
      </c>
      <c r="K239" s="49">
        <v>0</v>
      </c>
      <c r="L239" s="49">
        <v>0</v>
      </c>
      <c r="M239" s="49">
        <v>0</v>
      </c>
      <c r="N239" s="49">
        <v>0</v>
      </c>
      <c r="O239" s="49">
        <v>0</v>
      </c>
      <c r="P239" s="49">
        <v>0</v>
      </c>
      <c r="Q239" s="49">
        <v>0</v>
      </c>
      <c r="R239" s="49">
        <f t="shared" si="17"/>
        <v>0</v>
      </c>
      <c r="S239" s="11"/>
    </row>
    <row r="240" spans="1:19" x14ac:dyDescent="0.25">
      <c r="A240" s="6">
        <v>238</v>
      </c>
      <c r="C240" s="6" t="s">
        <v>55</v>
      </c>
      <c r="D240" s="7" t="s">
        <v>41</v>
      </c>
      <c r="E240" s="7">
        <v>124</v>
      </c>
      <c r="F240" s="50">
        <v>-5421.27</v>
      </c>
      <c r="G240" s="49">
        <v>-5602.01</v>
      </c>
      <c r="H240" s="49">
        <v>-5398.53</v>
      </c>
      <c r="I240" s="49">
        <v>-5224.25</v>
      </c>
      <c r="J240" s="49">
        <v>-4619.37</v>
      </c>
      <c r="K240" s="49">
        <v>-4185.17</v>
      </c>
      <c r="L240" s="49">
        <v>0</v>
      </c>
      <c r="M240" s="49">
        <v>0</v>
      </c>
      <c r="N240" s="49">
        <v>0</v>
      </c>
      <c r="O240" s="49">
        <v>0</v>
      </c>
      <c r="P240" s="49">
        <v>0</v>
      </c>
      <c r="Q240" s="49">
        <v>0</v>
      </c>
      <c r="R240" s="49">
        <f t="shared" si="17"/>
        <v>-30450.6</v>
      </c>
      <c r="S240" s="11"/>
    </row>
    <row r="241" spans="1:19" x14ac:dyDescent="0.25">
      <c r="A241" s="6">
        <v>239</v>
      </c>
      <c r="C241" s="6" t="s">
        <v>56</v>
      </c>
      <c r="D241" s="7" t="s">
        <v>43</v>
      </c>
      <c r="E241" s="7">
        <v>124</v>
      </c>
      <c r="F241" s="50">
        <v>5602.0099999999993</v>
      </c>
      <c r="G241" s="49">
        <v>5398.5300000000007</v>
      </c>
      <c r="H241" s="49">
        <v>5224.25</v>
      </c>
      <c r="I241" s="49">
        <v>4619.37</v>
      </c>
      <c r="J241" s="49">
        <v>4185.17</v>
      </c>
      <c r="K241" s="49">
        <v>0</v>
      </c>
      <c r="L241" s="49">
        <v>0</v>
      </c>
      <c r="M241" s="49">
        <v>0</v>
      </c>
      <c r="N241" s="49">
        <v>0</v>
      </c>
      <c r="O241" s="49">
        <v>0</v>
      </c>
      <c r="P241" s="49">
        <v>0</v>
      </c>
      <c r="Q241" s="49">
        <v>0</v>
      </c>
      <c r="R241" s="49">
        <f t="shared" si="17"/>
        <v>25029.33</v>
      </c>
      <c r="S241" s="11"/>
    </row>
    <row r="242" spans="1:19" x14ac:dyDescent="0.25">
      <c r="A242" s="6">
        <v>240</v>
      </c>
      <c r="C242" s="6" t="s">
        <v>30</v>
      </c>
      <c r="D242" s="7" t="s">
        <v>44</v>
      </c>
      <c r="E242" s="7">
        <v>124</v>
      </c>
      <c r="F242" s="50">
        <v>5622.6399999999994</v>
      </c>
      <c r="G242" s="49">
        <v>5419.920000000001</v>
      </c>
      <c r="H242" s="49">
        <v>5244.78</v>
      </c>
      <c r="I242" s="49">
        <v>4639.17</v>
      </c>
      <c r="J242" s="49">
        <v>4202.41</v>
      </c>
      <c r="K242" s="49">
        <v>15.409999999999854</v>
      </c>
      <c r="L242" s="49">
        <v>0</v>
      </c>
      <c r="M242" s="49">
        <v>0</v>
      </c>
      <c r="N242" s="49">
        <v>0</v>
      </c>
      <c r="O242" s="49">
        <v>0</v>
      </c>
      <c r="P242" s="49">
        <v>0</v>
      </c>
      <c r="Q242" s="49">
        <v>0</v>
      </c>
      <c r="R242" s="49">
        <f t="shared" si="17"/>
        <v>25144.33</v>
      </c>
      <c r="S242" s="11"/>
    </row>
    <row r="243" spans="1:19" x14ac:dyDescent="0.25">
      <c r="A243" s="6">
        <v>241</v>
      </c>
      <c r="C243" s="10" t="s">
        <v>45</v>
      </c>
      <c r="F243" s="50"/>
      <c r="G243" s="49"/>
      <c r="H243" s="49"/>
      <c r="I243" s="49"/>
      <c r="J243" s="49"/>
      <c r="K243" s="49"/>
      <c r="L243" s="49"/>
      <c r="M243" s="49"/>
      <c r="N243" s="49"/>
      <c r="O243" s="49"/>
      <c r="P243" s="49"/>
      <c r="Q243" s="49"/>
      <c r="R243" s="49">
        <f t="shared" si="17"/>
        <v>0</v>
      </c>
      <c r="S243" s="11"/>
    </row>
    <row r="244" spans="1:19" x14ac:dyDescent="0.25">
      <c r="A244" s="6">
        <v>242</v>
      </c>
      <c r="F244" s="51"/>
      <c r="G244" s="49"/>
      <c r="H244" s="49"/>
      <c r="I244" s="49"/>
      <c r="J244" s="49"/>
      <c r="K244" s="49"/>
      <c r="L244" s="49"/>
      <c r="M244" s="49"/>
      <c r="N244" s="49"/>
      <c r="O244" s="49"/>
      <c r="P244" s="49"/>
      <c r="Q244" s="49"/>
      <c r="R244" s="49">
        <f t="shared" si="17"/>
        <v>0</v>
      </c>
      <c r="S244" s="11"/>
    </row>
    <row r="245" spans="1:19" x14ac:dyDescent="0.25">
      <c r="A245" s="6">
        <v>243</v>
      </c>
      <c r="C245" s="15" t="s">
        <v>115</v>
      </c>
      <c r="D245" s="7" t="s">
        <v>34</v>
      </c>
      <c r="E245" s="7">
        <v>83</v>
      </c>
      <c r="F245" s="74"/>
      <c r="G245" s="75"/>
      <c r="H245" s="75"/>
      <c r="I245" s="75"/>
      <c r="J245" s="75"/>
      <c r="K245" s="75"/>
      <c r="L245" s="75"/>
      <c r="M245" s="75"/>
      <c r="N245" s="75"/>
      <c r="O245" s="75"/>
      <c r="P245" s="75"/>
      <c r="Q245" s="75"/>
      <c r="R245" s="49"/>
      <c r="S245" s="11"/>
    </row>
    <row r="246" spans="1:19" x14ac:dyDescent="0.25">
      <c r="A246" s="6">
        <v>244</v>
      </c>
      <c r="C246" s="6" t="s">
        <v>31</v>
      </c>
      <c r="D246" s="7" t="s">
        <v>35</v>
      </c>
      <c r="E246" s="7">
        <v>83</v>
      </c>
      <c r="F246" s="50">
        <v>3051191</v>
      </c>
      <c r="G246" s="49">
        <v>2911276</v>
      </c>
      <c r="H246" s="49">
        <v>2487591</v>
      </c>
      <c r="I246" s="49">
        <v>2589124</v>
      </c>
      <c r="J246" s="49">
        <v>2576948</v>
      </c>
      <c r="K246" s="49">
        <v>1833960</v>
      </c>
      <c r="L246" s="49">
        <v>1899111</v>
      </c>
      <c r="M246" s="49">
        <v>2361080</v>
      </c>
      <c r="N246" s="49">
        <v>2073946</v>
      </c>
      <c r="O246" s="49">
        <v>2302148</v>
      </c>
      <c r="P246" s="49">
        <v>2519545</v>
      </c>
      <c r="Q246" s="49">
        <v>2036183</v>
      </c>
      <c r="R246" s="49">
        <f t="shared" si="17"/>
        <v>28642103</v>
      </c>
      <c r="S246" s="11"/>
    </row>
    <row r="247" spans="1:19" x14ac:dyDescent="0.25">
      <c r="A247" s="6">
        <v>245</v>
      </c>
      <c r="C247" s="6" t="s">
        <v>36</v>
      </c>
      <c r="D247" s="7" t="s">
        <v>37</v>
      </c>
      <c r="E247" s="7">
        <v>83</v>
      </c>
      <c r="F247" s="50">
        <v>0</v>
      </c>
      <c r="G247" s="49">
        <v>0</v>
      </c>
      <c r="H247" s="49">
        <v>0</v>
      </c>
      <c r="I247" s="49">
        <v>0</v>
      </c>
      <c r="J247" s="49">
        <v>0</v>
      </c>
      <c r="K247" s="49">
        <v>0</v>
      </c>
      <c r="L247" s="49">
        <v>0</v>
      </c>
      <c r="M247" s="49">
        <v>0</v>
      </c>
      <c r="N247" s="49">
        <v>0</v>
      </c>
      <c r="O247" s="49">
        <v>0</v>
      </c>
      <c r="P247" s="49">
        <v>0</v>
      </c>
      <c r="Q247" s="49">
        <v>0</v>
      </c>
      <c r="R247" s="49">
        <f t="shared" si="17"/>
        <v>0</v>
      </c>
      <c r="S247" s="11"/>
    </row>
    <row r="248" spans="1:19" x14ac:dyDescent="0.25">
      <c r="A248" s="6">
        <v>246</v>
      </c>
      <c r="C248" s="6" t="s">
        <v>38</v>
      </c>
      <c r="D248" s="7" t="s">
        <v>39</v>
      </c>
      <c r="E248" s="7">
        <v>83</v>
      </c>
      <c r="F248" s="50">
        <v>0</v>
      </c>
      <c r="G248" s="49">
        <v>0</v>
      </c>
      <c r="H248" s="49">
        <v>0</v>
      </c>
      <c r="I248" s="49">
        <v>0</v>
      </c>
      <c r="J248" s="49">
        <v>0</v>
      </c>
      <c r="K248" s="49">
        <v>0</v>
      </c>
      <c r="L248" s="49">
        <v>0</v>
      </c>
      <c r="M248" s="49">
        <v>0</v>
      </c>
      <c r="N248" s="49">
        <v>0</v>
      </c>
      <c r="O248" s="49">
        <v>0</v>
      </c>
      <c r="P248" s="49">
        <v>0</v>
      </c>
      <c r="Q248" s="49">
        <v>0</v>
      </c>
      <c r="R248" s="49">
        <f t="shared" si="17"/>
        <v>0</v>
      </c>
      <c r="S248" s="11"/>
    </row>
    <row r="249" spans="1:19" x14ac:dyDescent="0.25">
      <c r="A249" s="6">
        <v>247</v>
      </c>
      <c r="C249" s="6" t="s">
        <v>40</v>
      </c>
      <c r="D249" s="7" t="s">
        <v>41</v>
      </c>
      <c r="E249" s="7">
        <v>83</v>
      </c>
      <c r="F249" s="50">
        <v>-3051191</v>
      </c>
      <c r="G249" s="49">
        <v>-2911276</v>
      </c>
      <c r="H249" s="49">
        <v>-2487591</v>
      </c>
      <c r="I249" s="49">
        <v>-2589124</v>
      </c>
      <c r="J249" s="49">
        <v>-2576948</v>
      </c>
      <c r="K249" s="49">
        <v>-1833960</v>
      </c>
      <c r="L249" s="49">
        <v>-1899111</v>
      </c>
      <c r="M249" s="49">
        <v>-2361080</v>
      </c>
      <c r="N249" s="49">
        <v>-2073946</v>
      </c>
      <c r="O249" s="49">
        <v>-2302148</v>
      </c>
      <c r="P249" s="49">
        <v>-2519545</v>
      </c>
      <c r="Q249" s="49">
        <v>-2036183</v>
      </c>
      <c r="R249" s="49">
        <f t="shared" si="17"/>
        <v>-28642103</v>
      </c>
      <c r="S249" s="11"/>
    </row>
    <row r="250" spans="1:19" x14ac:dyDescent="0.25">
      <c r="A250" s="6">
        <v>248</v>
      </c>
      <c r="C250" s="6" t="s">
        <v>42</v>
      </c>
      <c r="D250" s="7" t="s">
        <v>43</v>
      </c>
      <c r="E250" s="7">
        <v>83</v>
      </c>
      <c r="F250" s="50">
        <v>2911276</v>
      </c>
      <c r="G250" s="49">
        <v>2487591</v>
      </c>
      <c r="H250" s="49">
        <v>2589124</v>
      </c>
      <c r="I250" s="49">
        <v>2576948</v>
      </c>
      <c r="J250" s="49">
        <v>1833960</v>
      </c>
      <c r="K250" s="49">
        <v>1899111</v>
      </c>
      <c r="L250" s="49">
        <v>2361080</v>
      </c>
      <c r="M250" s="49">
        <v>2073946</v>
      </c>
      <c r="N250" s="49">
        <v>2302148</v>
      </c>
      <c r="O250" s="49">
        <v>2519545</v>
      </c>
      <c r="P250" s="49">
        <v>2036183</v>
      </c>
      <c r="Q250" s="49">
        <v>2617891</v>
      </c>
      <c r="R250" s="49">
        <f t="shared" si="17"/>
        <v>28208803</v>
      </c>
      <c r="S250" s="11"/>
    </row>
    <row r="251" spans="1:19" x14ac:dyDescent="0.25">
      <c r="A251" s="6">
        <v>249</v>
      </c>
      <c r="C251" s="6" t="s">
        <v>33</v>
      </c>
      <c r="D251" s="7" t="s">
        <v>44</v>
      </c>
      <c r="E251" s="7">
        <v>83</v>
      </c>
      <c r="F251" s="50">
        <v>2911276</v>
      </c>
      <c r="G251" s="49">
        <v>2487591</v>
      </c>
      <c r="H251" s="49">
        <v>2589124</v>
      </c>
      <c r="I251" s="49">
        <v>2576948</v>
      </c>
      <c r="J251" s="49">
        <v>1833960</v>
      </c>
      <c r="K251" s="49">
        <v>1899111</v>
      </c>
      <c r="L251" s="49">
        <v>2361080</v>
      </c>
      <c r="M251" s="49">
        <v>2073946</v>
      </c>
      <c r="N251" s="49">
        <v>2302148</v>
      </c>
      <c r="O251" s="49">
        <v>2519545</v>
      </c>
      <c r="P251" s="49">
        <v>2036183</v>
      </c>
      <c r="Q251" s="49">
        <v>2617891</v>
      </c>
      <c r="R251" s="49">
        <f t="shared" si="17"/>
        <v>28208803</v>
      </c>
      <c r="S251" s="11"/>
    </row>
    <row r="252" spans="1:19" x14ac:dyDescent="0.25">
      <c r="A252" s="6">
        <v>250</v>
      </c>
      <c r="C252" s="10" t="s">
        <v>45</v>
      </c>
      <c r="F252" s="51"/>
      <c r="G252" s="49"/>
      <c r="H252" s="49"/>
      <c r="I252" s="49"/>
      <c r="J252" s="49"/>
      <c r="K252" s="49"/>
      <c r="L252" s="49"/>
      <c r="M252" s="49"/>
      <c r="N252" s="49"/>
      <c r="O252" s="49"/>
      <c r="P252" s="49"/>
      <c r="Q252" s="49"/>
      <c r="R252" s="49">
        <f t="shared" si="17"/>
        <v>0</v>
      </c>
      <c r="S252" s="11"/>
    </row>
    <row r="253" spans="1:19" x14ac:dyDescent="0.25">
      <c r="A253" s="6">
        <v>251</v>
      </c>
      <c r="C253" s="6" t="s">
        <v>46</v>
      </c>
      <c r="D253" s="7" t="s">
        <v>35</v>
      </c>
      <c r="E253" s="7">
        <v>127</v>
      </c>
      <c r="F253" s="50">
        <v>60965.599999999999</v>
      </c>
      <c r="G253" s="49">
        <v>58547.77</v>
      </c>
      <c r="H253" s="49">
        <v>52281.77</v>
      </c>
      <c r="I253" s="49">
        <v>53574.8</v>
      </c>
      <c r="J253" s="49">
        <v>53686.34</v>
      </c>
      <c r="K253" s="49">
        <v>42081.29</v>
      </c>
      <c r="L253" s="49">
        <v>43072.89</v>
      </c>
      <c r="M253" s="49">
        <v>50760.34</v>
      </c>
      <c r="N253" s="49">
        <v>46818.02</v>
      </c>
      <c r="O253" s="49">
        <v>50459.16</v>
      </c>
      <c r="P253" s="49">
        <v>53834.07</v>
      </c>
      <c r="Q253" s="49">
        <v>46228.78</v>
      </c>
      <c r="R253" s="49">
        <f t="shared" si="17"/>
        <v>612310.83000000007</v>
      </c>
      <c r="S253" s="11"/>
    </row>
    <row r="254" spans="1:19" x14ac:dyDescent="0.25">
      <c r="A254" s="6">
        <v>252</v>
      </c>
      <c r="C254" s="6" t="s">
        <v>47</v>
      </c>
      <c r="D254" s="7" t="s">
        <v>37</v>
      </c>
      <c r="E254" s="7">
        <v>127</v>
      </c>
      <c r="F254" s="50">
        <v>0</v>
      </c>
      <c r="G254" s="49">
        <v>0</v>
      </c>
      <c r="H254" s="49">
        <v>0</v>
      </c>
      <c r="I254" s="49">
        <v>0</v>
      </c>
      <c r="J254" s="49">
        <v>0</v>
      </c>
      <c r="K254" s="49">
        <v>0</v>
      </c>
      <c r="L254" s="49">
        <v>0</v>
      </c>
      <c r="M254" s="49">
        <v>0</v>
      </c>
      <c r="N254" s="49">
        <v>0</v>
      </c>
      <c r="O254" s="49">
        <v>0</v>
      </c>
      <c r="P254" s="49">
        <v>0</v>
      </c>
      <c r="Q254" s="49">
        <v>0</v>
      </c>
      <c r="R254" s="49">
        <f t="shared" si="17"/>
        <v>0</v>
      </c>
      <c r="S254" s="11"/>
    </row>
    <row r="255" spans="1:19" x14ac:dyDescent="0.25">
      <c r="A255" s="6">
        <v>253</v>
      </c>
      <c r="C255" s="6" t="s">
        <v>48</v>
      </c>
      <c r="D255" s="7" t="s">
        <v>39</v>
      </c>
      <c r="E255" s="7">
        <v>127</v>
      </c>
      <c r="F255" s="50">
        <v>0</v>
      </c>
      <c r="G255" s="49">
        <v>0</v>
      </c>
      <c r="H255" s="49">
        <v>0</v>
      </c>
      <c r="I255" s="49">
        <v>0</v>
      </c>
      <c r="J255" s="49">
        <v>0</v>
      </c>
      <c r="K255" s="49">
        <v>0</v>
      </c>
      <c r="L255" s="49">
        <v>0</v>
      </c>
      <c r="M255" s="49">
        <v>0</v>
      </c>
      <c r="N255" s="49">
        <v>0</v>
      </c>
      <c r="O255" s="49">
        <v>0</v>
      </c>
      <c r="P255" s="49">
        <v>0</v>
      </c>
      <c r="Q255" s="49">
        <v>0</v>
      </c>
      <c r="R255" s="49">
        <f t="shared" si="17"/>
        <v>0</v>
      </c>
      <c r="S255" s="11"/>
    </row>
    <row r="256" spans="1:19" x14ac:dyDescent="0.25">
      <c r="A256" s="6">
        <v>254</v>
      </c>
      <c r="C256" s="6" t="s">
        <v>49</v>
      </c>
      <c r="D256" s="7" t="s">
        <v>50</v>
      </c>
      <c r="E256" s="7">
        <v>127</v>
      </c>
      <c r="F256" s="50">
        <v>0</v>
      </c>
      <c r="G256" s="49">
        <v>0</v>
      </c>
      <c r="H256" s="49">
        <v>0</v>
      </c>
      <c r="I256" s="49">
        <v>0</v>
      </c>
      <c r="J256" s="49">
        <v>0</v>
      </c>
      <c r="K256" s="49">
        <v>0</v>
      </c>
      <c r="L256" s="49">
        <v>0</v>
      </c>
      <c r="M256" s="49">
        <v>0</v>
      </c>
      <c r="N256" s="49">
        <v>0</v>
      </c>
      <c r="O256" s="49">
        <v>0</v>
      </c>
      <c r="P256" s="49">
        <v>0</v>
      </c>
      <c r="Q256" s="49">
        <v>0</v>
      </c>
      <c r="R256" s="49">
        <f t="shared" si="17"/>
        <v>0</v>
      </c>
      <c r="S256" s="11"/>
    </row>
    <row r="257" spans="1:19" x14ac:dyDescent="0.25">
      <c r="A257" s="6">
        <v>255</v>
      </c>
      <c r="C257" s="27" t="s">
        <v>278</v>
      </c>
      <c r="D257" s="7" t="s">
        <v>51</v>
      </c>
      <c r="E257" s="7">
        <v>127</v>
      </c>
      <c r="F257" s="50">
        <v>0</v>
      </c>
      <c r="G257" s="49">
        <v>0</v>
      </c>
      <c r="H257" s="49">
        <v>0</v>
      </c>
      <c r="I257" s="49">
        <v>0</v>
      </c>
      <c r="J257" s="49">
        <v>0</v>
      </c>
      <c r="K257" s="49">
        <v>0</v>
      </c>
      <c r="L257" s="49">
        <v>0</v>
      </c>
      <c r="M257" s="49">
        <v>0</v>
      </c>
      <c r="N257" s="49">
        <v>0</v>
      </c>
      <c r="O257" s="49">
        <v>0</v>
      </c>
      <c r="P257" s="49">
        <v>0</v>
      </c>
      <c r="Q257" s="49">
        <v>0</v>
      </c>
      <c r="R257" s="49">
        <f t="shared" si="17"/>
        <v>0</v>
      </c>
      <c r="S257" s="11"/>
    </row>
    <row r="258" spans="1:19" x14ac:dyDescent="0.25">
      <c r="A258" s="6">
        <v>256</v>
      </c>
      <c r="C258" s="6" t="s">
        <v>80</v>
      </c>
      <c r="D258" s="7" t="s">
        <v>79</v>
      </c>
      <c r="E258" s="7">
        <v>127</v>
      </c>
      <c r="F258" s="50">
        <v>0</v>
      </c>
      <c r="G258" s="49">
        <v>0</v>
      </c>
      <c r="H258" s="49">
        <v>0</v>
      </c>
      <c r="I258" s="49">
        <v>0</v>
      </c>
      <c r="J258" s="49">
        <v>0</v>
      </c>
      <c r="K258" s="49">
        <v>0</v>
      </c>
      <c r="L258" s="49">
        <v>0</v>
      </c>
      <c r="M258" s="49">
        <v>0</v>
      </c>
      <c r="N258" s="49">
        <v>0</v>
      </c>
      <c r="O258" s="49">
        <v>0</v>
      </c>
      <c r="P258" s="49">
        <v>0</v>
      </c>
      <c r="Q258" s="49">
        <v>0</v>
      </c>
      <c r="R258" s="49">
        <f t="shared" si="17"/>
        <v>0</v>
      </c>
      <c r="S258" s="11"/>
    </row>
    <row r="259" spans="1:19" x14ac:dyDescent="0.25">
      <c r="A259" s="6">
        <v>257</v>
      </c>
      <c r="C259" s="6" t="s">
        <v>13</v>
      </c>
      <c r="D259" s="7" t="s">
        <v>52</v>
      </c>
      <c r="E259" s="7">
        <v>127</v>
      </c>
      <c r="F259" s="50">
        <v>0</v>
      </c>
      <c r="G259" s="49">
        <v>0</v>
      </c>
      <c r="H259" s="49">
        <v>0</v>
      </c>
      <c r="I259" s="49">
        <v>0</v>
      </c>
      <c r="J259" s="49">
        <v>0</v>
      </c>
      <c r="K259" s="49">
        <v>0</v>
      </c>
      <c r="L259" s="49">
        <v>0</v>
      </c>
      <c r="M259" s="49">
        <v>0</v>
      </c>
      <c r="N259" s="49">
        <v>0</v>
      </c>
      <c r="O259" s="49">
        <v>0</v>
      </c>
      <c r="P259" s="49">
        <v>0</v>
      </c>
      <c r="Q259" s="49">
        <v>0</v>
      </c>
      <c r="R259" s="49">
        <f t="shared" si="17"/>
        <v>0</v>
      </c>
      <c r="S259" s="11"/>
    </row>
    <row r="260" spans="1:19" x14ac:dyDescent="0.25">
      <c r="A260" s="6">
        <v>258</v>
      </c>
      <c r="C260" s="6" t="s">
        <v>55</v>
      </c>
      <c r="D260" s="7" t="s">
        <v>41</v>
      </c>
      <c r="E260" s="7">
        <v>127</v>
      </c>
      <c r="F260" s="50">
        <v>-60965.599999999999</v>
      </c>
      <c r="G260" s="50">
        <v>-58547.77</v>
      </c>
      <c r="H260" s="50">
        <v>-52281.77</v>
      </c>
      <c r="I260" s="50">
        <v>-53574.8</v>
      </c>
      <c r="J260" s="50">
        <v>-53686.34</v>
      </c>
      <c r="K260" s="50">
        <v>-42081.29</v>
      </c>
      <c r="L260" s="50">
        <v>-43072.89</v>
      </c>
      <c r="M260" s="50">
        <v>-50760.34</v>
      </c>
      <c r="N260" s="50">
        <v>-46271.14</v>
      </c>
      <c r="O260" s="50">
        <v>-50459.16</v>
      </c>
      <c r="P260" s="50">
        <v>-53834.07</v>
      </c>
      <c r="Q260" s="50">
        <v>-46228.78</v>
      </c>
      <c r="R260" s="49">
        <f t="shared" si="17"/>
        <v>-611763.95000000007</v>
      </c>
      <c r="S260" s="11"/>
    </row>
    <row r="261" spans="1:19" x14ac:dyDescent="0.25">
      <c r="A261" s="6">
        <v>259</v>
      </c>
      <c r="C261" s="6" t="s">
        <v>56</v>
      </c>
      <c r="D261" s="7" t="s">
        <v>43</v>
      </c>
      <c r="E261" s="7">
        <v>127</v>
      </c>
      <c r="F261" s="50">
        <v>58547.77</v>
      </c>
      <c r="G261" s="50">
        <v>52281.77</v>
      </c>
      <c r="H261" s="50">
        <v>53574.8</v>
      </c>
      <c r="I261" s="50">
        <v>53686.34</v>
      </c>
      <c r="J261" s="50">
        <v>42081.29</v>
      </c>
      <c r="K261" s="50">
        <v>43072.89</v>
      </c>
      <c r="L261" s="50">
        <v>50760.34</v>
      </c>
      <c r="M261" s="50">
        <v>46271.14</v>
      </c>
      <c r="N261" s="50">
        <v>50459.16</v>
      </c>
      <c r="O261" s="50">
        <v>53834.07</v>
      </c>
      <c r="P261" s="50">
        <v>46228.78</v>
      </c>
      <c r="Q261" s="50">
        <v>55636.07</v>
      </c>
      <c r="R261" s="49">
        <f t="shared" si="17"/>
        <v>606434.41999999993</v>
      </c>
      <c r="S261" s="11"/>
    </row>
    <row r="262" spans="1:19" x14ac:dyDescent="0.25">
      <c r="A262" s="6">
        <v>260</v>
      </c>
      <c r="C262" s="6" t="s">
        <v>30</v>
      </c>
      <c r="D262" s="7" t="s">
        <v>44</v>
      </c>
      <c r="E262" s="7">
        <v>127</v>
      </c>
      <c r="F262" s="50">
        <v>58547.77</v>
      </c>
      <c r="G262" s="50">
        <v>52281.77</v>
      </c>
      <c r="H262" s="50">
        <v>53574.8</v>
      </c>
      <c r="I262" s="50">
        <v>53686.34</v>
      </c>
      <c r="J262" s="50">
        <v>42081.29</v>
      </c>
      <c r="K262" s="50">
        <v>43072.89</v>
      </c>
      <c r="L262" s="50">
        <v>50760.34</v>
      </c>
      <c r="M262" s="50">
        <v>46271.14</v>
      </c>
      <c r="N262" s="50">
        <v>51006.04</v>
      </c>
      <c r="O262" s="50">
        <v>53834.07</v>
      </c>
      <c r="P262" s="50">
        <v>46228.78</v>
      </c>
      <c r="Q262" s="50">
        <v>55636.07</v>
      </c>
      <c r="R262" s="49">
        <f t="shared" si="17"/>
        <v>606981.29999999993</v>
      </c>
      <c r="S262" s="11"/>
    </row>
    <row r="263" spans="1:19" x14ac:dyDescent="0.25">
      <c r="A263" s="6">
        <v>261</v>
      </c>
      <c r="C263" s="10" t="s">
        <v>45</v>
      </c>
      <c r="F263" s="51"/>
      <c r="G263" s="50"/>
      <c r="H263" s="50"/>
      <c r="I263" s="50"/>
      <c r="J263" s="50"/>
      <c r="K263" s="50"/>
      <c r="L263" s="50"/>
      <c r="M263" s="50"/>
      <c r="N263" s="50"/>
      <c r="O263" s="50"/>
      <c r="P263" s="50"/>
      <c r="Q263" s="50"/>
      <c r="R263" s="49">
        <f t="shared" si="17"/>
        <v>0</v>
      </c>
      <c r="S263" s="11"/>
    </row>
    <row r="264" spans="1:19" x14ac:dyDescent="0.25">
      <c r="A264" s="6">
        <v>262</v>
      </c>
      <c r="F264" s="50"/>
      <c r="G264" s="50"/>
      <c r="H264" s="50"/>
      <c r="I264" s="50"/>
      <c r="J264" s="50"/>
      <c r="K264" s="50"/>
      <c r="L264" s="50"/>
      <c r="M264" s="50"/>
      <c r="N264" s="50"/>
      <c r="O264" s="50"/>
      <c r="P264" s="50"/>
      <c r="Q264" s="50"/>
      <c r="R264" s="49">
        <f t="shared" si="17"/>
        <v>0</v>
      </c>
      <c r="S264" s="11"/>
    </row>
    <row r="265" spans="1:19" x14ac:dyDescent="0.25">
      <c r="A265" s="6">
        <v>263</v>
      </c>
      <c r="B265" s="27"/>
      <c r="C265" s="15" t="s">
        <v>114</v>
      </c>
      <c r="D265" s="7" t="s">
        <v>34</v>
      </c>
      <c r="E265" s="7">
        <v>84</v>
      </c>
      <c r="F265" s="74"/>
      <c r="G265" s="11"/>
      <c r="H265" s="11"/>
      <c r="I265" s="11"/>
      <c r="J265" s="11"/>
      <c r="K265" s="11"/>
      <c r="L265" s="11"/>
      <c r="M265" s="11"/>
      <c r="N265" s="11"/>
      <c r="O265" s="11"/>
      <c r="P265" s="11"/>
      <c r="Q265" s="11"/>
      <c r="R265" s="49"/>
      <c r="S265" s="11"/>
    </row>
    <row r="266" spans="1:19" x14ac:dyDescent="0.25">
      <c r="A266" s="6">
        <v>264</v>
      </c>
      <c r="C266" s="6" t="s">
        <v>31</v>
      </c>
      <c r="D266" s="7" t="s">
        <v>35</v>
      </c>
      <c r="E266" s="7">
        <v>84</v>
      </c>
      <c r="F266" s="50">
        <v>2729250</v>
      </c>
      <c r="G266" s="50">
        <v>2540999</v>
      </c>
      <c r="H266" s="50">
        <v>2254074</v>
      </c>
      <c r="I266" s="50">
        <v>2360194</v>
      </c>
      <c r="J266" s="50">
        <v>2420053</v>
      </c>
      <c r="K266" s="50">
        <v>1473340</v>
      </c>
      <c r="L266" s="50">
        <v>1560149</v>
      </c>
      <c r="M266" s="50">
        <v>1597045</v>
      </c>
      <c r="N266" s="50">
        <v>1569259</v>
      </c>
      <c r="O266" s="50">
        <v>1821816</v>
      </c>
      <c r="P266" s="50">
        <v>1323607</v>
      </c>
      <c r="Q266" s="50">
        <v>702707</v>
      </c>
      <c r="R266" s="49">
        <f t="shared" si="17"/>
        <v>22352493</v>
      </c>
      <c r="S266" s="11"/>
    </row>
    <row r="267" spans="1:19" x14ac:dyDescent="0.25">
      <c r="A267" s="6">
        <v>265</v>
      </c>
      <c r="C267" s="6" t="s">
        <v>36</v>
      </c>
      <c r="D267" s="7" t="s">
        <v>37</v>
      </c>
      <c r="E267" s="7">
        <v>84</v>
      </c>
      <c r="F267" s="50">
        <v>0</v>
      </c>
      <c r="G267" s="50">
        <v>0</v>
      </c>
      <c r="H267" s="50">
        <v>0</v>
      </c>
      <c r="I267" s="50">
        <v>0</v>
      </c>
      <c r="J267" s="50">
        <v>0</v>
      </c>
      <c r="K267" s="50">
        <v>0</v>
      </c>
      <c r="L267" s="50">
        <v>0</v>
      </c>
      <c r="M267" s="50">
        <v>0</v>
      </c>
      <c r="N267" s="50">
        <v>0</v>
      </c>
      <c r="O267" s="50">
        <v>0</v>
      </c>
      <c r="P267" s="50">
        <v>0</v>
      </c>
      <c r="Q267" s="50">
        <v>0</v>
      </c>
      <c r="R267" s="49">
        <f t="shared" si="17"/>
        <v>0</v>
      </c>
      <c r="S267" s="11"/>
    </row>
    <row r="268" spans="1:19" x14ac:dyDescent="0.25">
      <c r="A268" s="6">
        <v>266</v>
      </c>
      <c r="C268" s="6" t="s">
        <v>38</v>
      </c>
      <c r="D268" s="7" t="s">
        <v>39</v>
      </c>
      <c r="E268" s="7">
        <v>84</v>
      </c>
      <c r="F268" s="50">
        <v>0</v>
      </c>
      <c r="G268" s="50">
        <v>0</v>
      </c>
      <c r="H268" s="50">
        <v>0</v>
      </c>
      <c r="I268" s="50">
        <v>0</v>
      </c>
      <c r="J268" s="50">
        <v>0</v>
      </c>
      <c r="K268" s="50">
        <v>0</v>
      </c>
      <c r="L268" s="50">
        <v>0</v>
      </c>
      <c r="M268" s="50">
        <v>0</v>
      </c>
      <c r="N268" s="50">
        <v>0</v>
      </c>
      <c r="O268" s="50">
        <v>0</v>
      </c>
      <c r="P268" s="50">
        <v>0</v>
      </c>
      <c r="Q268" s="50">
        <v>0</v>
      </c>
      <c r="R268" s="49">
        <f t="shared" si="17"/>
        <v>0</v>
      </c>
      <c r="S268" s="11"/>
    </row>
    <row r="269" spans="1:19" x14ac:dyDescent="0.25">
      <c r="A269" s="6">
        <v>267</v>
      </c>
      <c r="C269" s="6" t="s">
        <v>40</v>
      </c>
      <c r="D269" s="7" t="s">
        <v>41</v>
      </c>
      <c r="E269" s="7">
        <v>84</v>
      </c>
      <c r="F269" s="50">
        <v>-2729250</v>
      </c>
      <c r="G269" s="50">
        <v>-2540999</v>
      </c>
      <c r="H269" s="50">
        <v>-2254074</v>
      </c>
      <c r="I269" s="50">
        <v>-2360194</v>
      </c>
      <c r="J269" s="50">
        <v>-2420053</v>
      </c>
      <c r="K269" s="50">
        <v>-1473340</v>
      </c>
      <c r="L269" s="50">
        <v>-1560149</v>
      </c>
      <c r="M269" s="50">
        <v>-1597045</v>
      </c>
      <c r="N269" s="50">
        <v>-1569259</v>
      </c>
      <c r="O269" s="50">
        <v>-1821816</v>
      </c>
      <c r="P269" s="50">
        <v>-1323607</v>
      </c>
      <c r="Q269" s="50">
        <v>-702707</v>
      </c>
      <c r="R269" s="49">
        <f t="shared" si="17"/>
        <v>-22352493</v>
      </c>
      <c r="S269" s="11"/>
    </row>
    <row r="270" spans="1:19" x14ac:dyDescent="0.25">
      <c r="A270" s="6">
        <v>268</v>
      </c>
      <c r="C270" s="6" t="s">
        <v>42</v>
      </c>
      <c r="D270" s="7" t="s">
        <v>43</v>
      </c>
      <c r="E270" s="7">
        <v>84</v>
      </c>
      <c r="F270" s="50">
        <v>2540999</v>
      </c>
      <c r="G270" s="50">
        <v>2254074</v>
      </c>
      <c r="H270" s="50">
        <v>2360194</v>
      </c>
      <c r="I270" s="50">
        <v>2420053</v>
      </c>
      <c r="J270" s="50">
        <v>1473340</v>
      </c>
      <c r="K270" s="50">
        <v>1560149</v>
      </c>
      <c r="L270" s="50">
        <v>1597045</v>
      </c>
      <c r="M270" s="50">
        <v>1569259</v>
      </c>
      <c r="N270" s="50">
        <v>1821816</v>
      </c>
      <c r="O270" s="50">
        <v>1323607</v>
      </c>
      <c r="P270" s="50">
        <v>702707</v>
      </c>
      <c r="Q270" s="50">
        <v>938576</v>
      </c>
      <c r="R270" s="49">
        <f t="shared" si="17"/>
        <v>20561819</v>
      </c>
      <c r="S270" s="11"/>
    </row>
    <row r="271" spans="1:19" x14ac:dyDescent="0.25">
      <c r="A271" s="6">
        <v>269</v>
      </c>
      <c r="C271" s="6" t="s">
        <v>33</v>
      </c>
      <c r="D271" s="7" t="s">
        <v>44</v>
      </c>
      <c r="E271" s="7">
        <v>84</v>
      </c>
      <c r="F271" s="50">
        <v>2540999</v>
      </c>
      <c r="G271" s="50">
        <v>2254074</v>
      </c>
      <c r="H271" s="50">
        <v>2360194</v>
      </c>
      <c r="I271" s="50">
        <v>2420053</v>
      </c>
      <c r="J271" s="50">
        <v>1473340</v>
      </c>
      <c r="K271" s="50">
        <v>1560149</v>
      </c>
      <c r="L271" s="50">
        <v>1597045</v>
      </c>
      <c r="M271" s="50">
        <v>1569259</v>
      </c>
      <c r="N271" s="50">
        <v>1821816</v>
      </c>
      <c r="O271" s="50">
        <v>1323607</v>
      </c>
      <c r="P271" s="50">
        <v>702707</v>
      </c>
      <c r="Q271" s="50">
        <v>938576</v>
      </c>
      <c r="R271" s="49">
        <f t="shared" si="17"/>
        <v>20561819</v>
      </c>
      <c r="S271" s="11"/>
    </row>
    <row r="272" spans="1:19" x14ac:dyDescent="0.25">
      <c r="A272" s="6">
        <v>270</v>
      </c>
      <c r="C272" s="10" t="s">
        <v>45</v>
      </c>
      <c r="F272" s="51"/>
      <c r="G272" s="50"/>
      <c r="H272" s="50"/>
      <c r="I272" s="50"/>
      <c r="J272" s="50"/>
      <c r="K272" s="50"/>
      <c r="L272" s="50"/>
      <c r="M272" s="50"/>
      <c r="N272" s="50"/>
      <c r="O272" s="50"/>
      <c r="P272" s="50"/>
      <c r="Q272" s="50"/>
      <c r="R272" s="49">
        <f t="shared" si="17"/>
        <v>0</v>
      </c>
      <c r="S272" s="11"/>
    </row>
    <row r="273" spans="1:19" x14ac:dyDescent="0.25">
      <c r="A273" s="6">
        <v>271</v>
      </c>
      <c r="C273" s="6" t="s">
        <v>46</v>
      </c>
      <c r="D273" s="7" t="s">
        <v>35</v>
      </c>
      <c r="E273" s="7">
        <v>128</v>
      </c>
      <c r="F273" s="50">
        <v>47449.73</v>
      </c>
      <c r="G273" s="50">
        <v>44357.02</v>
      </c>
      <c r="H273" s="50">
        <v>39643.21</v>
      </c>
      <c r="I273" s="50">
        <v>41386.629999999997</v>
      </c>
      <c r="J273" s="50">
        <v>42370.03</v>
      </c>
      <c r="K273" s="50">
        <v>26816.77</v>
      </c>
      <c r="L273" s="50">
        <v>28242.93</v>
      </c>
      <c r="M273" s="50">
        <v>28849.08</v>
      </c>
      <c r="N273" s="50">
        <v>28840.560000000001</v>
      </c>
      <c r="O273" s="50">
        <v>33040.99</v>
      </c>
      <c r="P273" s="50">
        <v>25931</v>
      </c>
      <c r="Q273" s="50">
        <v>15052.79</v>
      </c>
      <c r="R273" s="49">
        <f t="shared" si="17"/>
        <v>401980.74</v>
      </c>
      <c r="S273" s="11"/>
    </row>
    <row r="274" spans="1:19" x14ac:dyDescent="0.25">
      <c r="A274" s="6">
        <v>272</v>
      </c>
      <c r="C274" s="6" t="s">
        <v>47</v>
      </c>
      <c r="D274" s="7" t="s">
        <v>37</v>
      </c>
      <c r="E274" s="7">
        <v>128</v>
      </c>
      <c r="F274" s="50">
        <v>0</v>
      </c>
      <c r="G274" s="50">
        <v>0</v>
      </c>
      <c r="H274" s="50">
        <v>0</v>
      </c>
      <c r="I274" s="50">
        <v>0</v>
      </c>
      <c r="J274" s="50">
        <v>0</v>
      </c>
      <c r="K274" s="50">
        <v>0</v>
      </c>
      <c r="L274" s="50">
        <v>0</v>
      </c>
      <c r="M274" s="50">
        <v>0</v>
      </c>
      <c r="N274" s="50">
        <v>0</v>
      </c>
      <c r="O274" s="50">
        <v>0</v>
      </c>
      <c r="P274" s="50">
        <v>0</v>
      </c>
      <c r="Q274" s="50">
        <v>0</v>
      </c>
      <c r="R274" s="49">
        <f t="shared" si="17"/>
        <v>0</v>
      </c>
      <c r="S274" s="11"/>
    </row>
    <row r="275" spans="1:19" x14ac:dyDescent="0.25">
      <c r="A275" s="6">
        <v>273</v>
      </c>
      <c r="C275" s="6" t="s">
        <v>48</v>
      </c>
      <c r="D275" s="7" t="s">
        <v>39</v>
      </c>
      <c r="E275" s="7">
        <v>128</v>
      </c>
      <c r="F275" s="50">
        <v>0</v>
      </c>
      <c r="G275" s="50">
        <v>0</v>
      </c>
      <c r="H275" s="50">
        <v>0</v>
      </c>
      <c r="I275" s="50">
        <v>0</v>
      </c>
      <c r="J275" s="50">
        <v>0</v>
      </c>
      <c r="K275" s="50">
        <v>0</v>
      </c>
      <c r="L275" s="50">
        <v>0</v>
      </c>
      <c r="M275" s="50">
        <v>0</v>
      </c>
      <c r="N275" s="50">
        <v>0</v>
      </c>
      <c r="O275" s="50">
        <v>0</v>
      </c>
      <c r="P275" s="50">
        <v>0</v>
      </c>
      <c r="Q275" s="50">
        <v>0</v>
      </c>
      <c r="R275" s="49">
        <f t="shared" si="17"/>
        <v>0</v>
      </c>
      <c r="S275" s="11"/>
    </row>
    <row r="276" spans="1:19" x14ac:dyDescent="0.25">
      <c r="A276" s="6">
        <v>274</v>
      </c>
      <c r="C276" s="6" t="s">
        <v>49</v>
      </c>
      <c r="D276" s="7" t="s">
        <v>50</v>
      </c>
      <c r="E276" s="7">
        <v>128</v>
      </c>
      <c r="F276" s="50">
        <v>0</v>
      </c>
      <c r="G276" s="50">
        <v>0</v>
      </c>
      <c r="H276" s="50">
        <v>0</v>
      </c>
      <c r="I276" s="50">
        <v>0</v>
      </c>
      <c r="J276" s="50">
        <v>0</v>
      </c>
      <c r="K276" s="50">
        <v>0</v>
      </c>
      <c r="L276" s="50">
        <v>0</v>
      </c>
      <c r="M276" s="50">
        <v>0</v>
      </c>
      <c r="N276" s="50">
        <v>0</v>
      </c>
      <c r="O276" s="50">
        <v>0</v>
      </c>
      <c r="P276" s="50">
        <v>0</v>
      </c>
      <c r="Q276" s="50">
        <v>0</v>
      </c>
      <c r="R276" s="49">
        <f t="shared" si="17"/>
        <v>0</v>
      </c>
      <c r="S276" s="11"/>
    </row>
    <row r="277" spans="1:19" x14ac:dyDescent="0.25">
      <c r="A277" s="6">
        <v>275</v>
      </c>
      <c r="C277" s="27" t="s">
        <v>278</v>
      </c>
      <c r="D277" s="7" t="s">
        <v>51</v>
      </c>
      <c r="E277" s="7">
        <v>128</v>
      </c>
      <c r="F277" s="50">
        <v>0</v>
      </c>
      <c r="G277" s="50">
        <v>0</v>
      </c>
      <c r="H277" s="50">
        <v>0</v>
      </c>
      <c r="I277" s="50">
        <v>0</v>
      </c>
      <c r="J277" s="50">
        <v>0</v>
      </c>
      <c r="K277" s="50">
        <v>0</v>
      </c>
      <c r="L277" s="50">
        <v>0</v>
      </c>
      <c r="M277" s="50">
        <v>0</v>
      </c>
      <c r="N277" s="50">
        <v>0</v>
      </c>
      <c r="O277" s="50">
        <v>0</v>
      </c>
      <c r="P277" s="50">
        <v>0</v>
      </c>
      <c r="Q277" s="50">
        <v>0</v>
      </c>
      <c r="R277" s="49">
        <f t="shared" si="17"/>
        <v>0</v>
      </c>
      <c r="S277" s="11"/>
    </row>
    <row r="278" spans="1:19" x14ac:dyDescent="0.25">
      <c r="A278" s="6">
        <v>276</v>
      </c>
      <c r="C278" s="6" t="s">
        <v>80</v>
      </c>
      <c r="D278" s="7" t="s">
        <v>79</v>
      </c>
      <c r="E278" s="7">
        <v>128</v>
      </c>
      <c r="F278" s="50">
        <v>0</v>
      </c>
      <c r="G278" s="50">
        <v>0</v>
      </c>
      <c r="H278" s="50">
        <v>0</v>
      </c>
      <c r="I278" s="50">
        <v>0</v>
      </c>
      <c r="J278" s="50">
        <v>0</v>
      </c>
      <c r="K278" s="50">
        <v>0</v>
      </c>
      <c r="L278" s="50">
        <v>0</v>
      </c>
      <c r="M278" s="50">
        <v>0</v>
      </c>
      <c r="N278" s="50">
        <v>0</v>
      </c>
      <c r="O278" s="50">
        <v>0</v>
      </c>
      <c r="P278" s="50">
        <v>0</v>
      </c>
      <c r="Q278" s="50">
        <v>0</v>
      </c>
      <c r="R278" s="49">
        <f t="shared" si="17"/>
        <v>0</v>
      </c>
      <c r="S278" s="11"/>
    </row>
    <row r="279" spans="1:19" x14ac:dyDescent="0.25">
      <c r="A279" s="6">
        <v>277</v>
      </c>
      <c r="C279" s="6" t="s">
        <v>13</v>
      </c>
      <c r="D279" s="7" t="s">
        <v>52</v>
      </c>
      <c r="E279" s="7">
        <v>128</v>
      </c>
      <c r="F279" s="50">
        <v>0</v>
      </c>
      <c r="G279" s="50">
        <v>0</v>
      </c>
      <c r="H279" s="50">
        <v>0</v>
      </c>
      <c r="I279" s="50">
        <v>0</v>
      </c>
      <c r="J279" s="50">
        <v>0</v>
      </c>
      <c r="K279" s="50">
        <v>0</v>
      </c>
      <c r="L279" s="50">
        <v>0</v>
      </c>
      <c r="M279" s="50">
        <v>0</v>
      </c>
      <c r="N279" s="50">
        <v>0</v>
      </c>
      <c r="O279" s="50">
        <v>0</v>
      </c>
      <c r="P279" s="50">
        <v>0</v>
      </c>
      <c r="Q279" s="50">
        <v>0</v>
      </c>
      <c r="R279" s="49">
        <f t="shared" si="17"/>
        <v>0</v>
      </c>
      <c r="S279" s="11"/>
    </row>
    <row r="280" spans="1:19" x14ac:dyDescent="0.25">
      <c r="A280" s="6">
        <v>278</v>
      </c>
      <c r="C280" s="6" t="s">
        <v>55</v>
      </c>
      <c r="D280" s="7" t="s">
        <v>41</v>
      </c>
      <c r="E280" s="7">
        <v>128</v>
      </c>
      <c r="F280" s="50">
        <v>-47449.73</v>
      </c>
      <c r="G280" s="50">
        <v>-44357.02</v>
      </c>
      <c r="H280" s="50">
        <v>-39643.21</v>
      </c>
      <c r="I280" s="50">
        <v>-41386.629999999997</v>
      </c>
      <c r="J280" s="50">
        <v>-42370.03</v>
      </c>
      <c r="K280" s="50">
        <v>-26816.77</v>
      </c>
      <c r="L280" s="50">
        <v>-28242.93</v>
      </c>
      <c r="M280" s="50">
        <v>-28849.08</v>
      </c>
      <c r="N280" s="50">
        <v>-28392.6</v>
      </c>
      <c r="O280" s="50">
        <v>-33040.99</v>
      </c>
      <c r="P280" s="50">
        <v>-25931</v>
      </c>
      <c r="Q280" s="50">
        <v>-15052.79</v>
      </c>
      <c r="R280" s="49">
        <f t="shared" si="17"/>
        <v>-401532.77999999997</v>
      </c>
      <c r="S280" s="11"/>
    </row>
    <row r="281" spans="1:19" x14ac:dyDescent="0.25">
      <c r="A281" s="6">
        <v>279</v>
      </c>
      <c r="C281" s="6" t="s">
        <v>56</v>
      </c>
      <c r="D281" s="7" t="s">
        <v>43</v>
      </c>
      <c r="E281" s="7">
        <v>128</v>
      </c>
      <c r="F281" s="50">
        <v>44357.02</v>
      </c>
      <c r="G281" s="50">
        <v>39643.21</v>
      </c>
      <c r="H281" s="50">
        <v>41386.629999999997</v>
      </c>
      <c r="I281" s="50">
        <v>42370.03</v>
      </c>
      <c r="J281" s="50">
        <v>26816.77</v>
      </c>
      <c r="K281" s="50">
        <v>28242.93</v>
      </c>
      <c r="L281" s="50">
        <v>28849.08</v>
      </c>
      <c r="M281" s="50">
        <v>28392.6</v>
      </c>
      <c r="N281" s="50">
        <v>33040.99</v>
      </c>
      <c r="O281" s="50">
        <v>25931</v>
      </c>
      <c r="P281" s="50">
        <v>15052.79</v>
      </c>
      <c r="Q281" s="50">
        <v>19185.240000000002</v>
      </c>
      <c r="R281" s="49">
        <f t="shared" si="17"/>
        <v>373268.28999999992</v>
      </c>
      <c r="S281" s="11"/>
    </row>
    <row r="282" spans="1:19" x14ac:dyDescent="0.25">
      <c r="A282" s="6">
        <v>280</v>
      </c>
      <c r="C282" s="6" t="s">
        <v>30</v>
      </c>
      <c r="D282" s="7" t="s">
        <v>44</v>
      </c>
      <c r="E282" s="7">
        <v>128</v>
      </c>
      <c r="F282" s="50">
        <v>44357.02</v>
      </c>
      <c r="G282" s="50">
        <v>39643.21</v>
      </c>
      <c r="H282" s="50">
        <v>41386.629999999997</v>
      </c>
      <c r="I282" s="50">
        <v>42370.03</v>
      </c>
      <c r="J282" s="50">
        <v>26816.77</v>
      </c>
      <c r="K282" s="50">
        <v>28242.93</v>
      </c>
      <c r="L282" s="50">
        <v>28849.08</v>
      </c>
      <c r="M282" s="50">
        <v>28392.6</v>
      </c>
      <c r="N282" s="50">
        <v>33488.949999999997</v>
      </c>
      <c r="O282" s="50">
        <v>25931</v>
      </c>
      <c r="P282" s="50">
        <v>15052.79</v>
      </c>
      <c r="Q282" s="50">
        <v>19185.240000000002</v>
      </c>
      <c r="R282" s="49">
        <f t="shared" si="17"/>
        <v>373716.24999999994</v>
      </c>
      <c r="S282" s="11"/>
    </row>
    <row r="283" spans="1:19" x14ac:dyDescent="0.25">
      <c r="A283" s="6">
        <v>281</v>
      </c>
      <c r="C283" s="10" t="s">
        <v>45</v>
      </c>
      <c r="F283" s="51"/>
      <c r="G283" s="50"/>
      <c r="H283" s="50"/>
      <c r="I283" s="50"/>
      <c r="J283" s="50"/>
      <c r="K283" s="50"/>
      <c r="L283" s="50"/>
      <c r="M283" s="50"/>
      <c r="N283" s="50"/>
      <c r="O283" s="50"/>
      <c r="P283" s="50"/>
      <c r="Q283" s="50"/>
      <c r="R283" s="49">
        <f t="shared" si="17"/>
        <v>0</v>
      </c>
      <c r="S283" s="11"/>
    </row>
    <row r="284" spans="1:19" x14ac:dyDescent="0.25">
      <c r="A284" s="6">
        <v>282</v>
      </c>
      <c r="F284" s="51"/>
      <c r="G284" s="50"/>
      <c r="H284" s="50"/>
      <c r="I284" s="50"/>
      <c r="J284" s="50"/>
      <c r="K284" s="50"/>
      <c r="L284" s="50"/>
      <c r="M284" s="50"/>
      <c r="N284" s="50"/>
      <c r="O284" s="50"/>
      <c r="P284" s="50"/>
      <c r="Q284" s="50"/>
      <c r="R284" s="49">
        <f t="shared" si="17"/>
        <v>0</v>
      </c>
      <c r="S284" s="11"/>
    </row>
    <row r="285" spans="1:19" x14ac:dyDescent="0.25">
      <c r="A285" s="6">
        <v>283</v>
      </c>
      <c r="C285" s="15" t="s">
        <v>113</v>
      </c>
      <c r="D285" s="7" t="s">
        <v>34</v>
      </c>
      <c r="E285" s="7">
        <v>85</v>
      </c>
      <c r="F285" s="50">
        <v>910</v>
      </c>
      <c r="G285" s="52">
        <v>910</v>
      </c>
      <c r="H285" s="52">
        <v>910</v>
      </c>
      <c r="I285" s="52">
        <v>910</v>
      </c>
      <c r="J285" s="52">
        <v>910</v>
      </c>
      <c r="K285" s="52">
        <v>910</v>
      </c>
      <c r="L285" s="52">
        <v>910</v>
      </c>
      <c r="M285" s="52">
        <v>910</v>
      </c>
      <c r="N285" s="52">
        <v>910</v>
      </c>
      <c r="O285" s="52">
        <v>910</v>
      </c>
      <c r="P285" s="52">
        <v>910</v>
      </c>
      <c r="Q285" s="52">
        <v>910</v>
      </c>
      <c r="R285" s="49">
        <f t="shared" si="17"/>
        <v>10920</v>
      </c>
      <c r="S285" s="11"/>
    </row>
    <row r="286" spans="1:19" x14ac:dyDescent="0.25">
      <c r="A286" s="6">
        <v>284</v>
      </c>
      <c r="C286" s="6" t="s">
        <v>31</v>
      </c>
      <c r="D286" s="7" t="s">
        <v>35</v>
      </c>
      <c r="E286" s="7">
        <v>85</v>
      </c>
      <c r="F286" s="50">
        <v>726643</v>
      </c>
      <c r="G286" s="49">
        <v>844542</v>
      </c>
      <c r="H286" s="49">
        <v>744870</v>
      </c>
      <c r="I286" s="49">
        <v>764763</v>
      </c>
      <c r="J286" s="49">
        <v>760782</v>
      </c>
      <c r="K286" s="49">
        <v>275693</v>
      </c>
      <c r="L286" s="49">
        <v>755083</v>
      </c>
      <c r="M286" s="49">
        <v>530833</v>
      </c>
      <c r="N286" s="49">
        <v>710981</v>
      </c>
      <c r="O286" s="49">
        <v>648766</v>
      </c>
      <c r="P286" s="49">
        <v>785768</v>
      </c>
      <c r="Q286" s="49">
        <v>630069</v>
      </c>
      <c r="R286" s="49">
        <f t="shared" si="17"/>
        <v>8178793</v>
      </c>
      <c r="S286" s="11"/>
    </row>
    <row r="287" spans="1:19" x14ac:dyDescent="0.25">
      <c r="A287" s="6">
        <v>285</v>
      </c>
      <c r="C287" s="6" t="s">
        <v>36</v>
      </c>
      <c r="D287" s="7" t="s">
        <v>37</v>
      </c>
      <c r="E287" s="7">
        <v>85</v>
      </c>
      <c r="F287" s="50">
        <v>0</v>
      </c>
      <c r="G287" s="49">
        <v>0</v>
      </c>
      <c r="H287" s="49">
        <v>0</v>
      </c>
      <c r="I287" s="49">
        <v>0</v>
      </c>
      <c r="J287" s="49">
        <v>0</v>
      </c>
      <c r="K287" s="49">
        <v>0</v>
      </c>
      <c r="L287" s="49">
        <v>0</v>
      </c>
      <c r="M287" s="49">
        <v>0</v>
      </c>
      <c r="N287" s="49">
        <v>0</v>
      </c>
      <c r="O287" s="49">
        <v>0</v>
      </c>
      <c r="P287" s="49">
        <v>0</v>
      </c>
      <c r="Q287" s="49">
        <v>0</v>
      </c>
      <c r="R287" s="49">
        <f t="shared" si="17"/>
        <v>0</v>
      </c>
      <c r="S287" s="11"/>
    </row>
    <row r="288" spans="1:19" x14ac:dyDescent="0.25">
      <c r="A288" s="6">
        <v>286</v>
      </c>
      <c r="C288" s="6" t="s">
        <v>38</v>
      </c>
      <c r="D288" s="7" t="s">
        <v>39</v>
      </c>
      <c r="E288" s="7">
        <v>85</v>
      </c>
      <c r="F288" s="50">
        <v>0</v>
      </c>
      <c r="G288" s="49">
        <v>0</v>
      </c>
      <c r="H288" s="49">
        <v>0</v>
      </c>
      <c r="I288" s="49">
        <v>0</v>
      </c>
      <c r="J288" s="49">
        <v>0</v>
      </c>
      <c r="K288" s="49">
        <v>0</v>
      </c>
      <c r="L288" s="49">
        <v>0</v>
      </c>
      <c r="M288" s="49">
        <v>0</v>
      </c>
      <c r="N288" s="49">
        <v>0</v>
      </c>
      <c r="O288" s="49">
        <v>0</v>
      </c>
      <c r="P288" s="49">
        <v>0</v>
      </c>
      <c r="Q288" s="49">
        <v>0</v>
      </c>
      <c r="R288" s="49">
        <f t="shared" si="17"/>
        <v>0</v>
      </c>
      <c r="S288" s="11"/>
    </row>
    <row r="289" spans="1:19" x14ac:dyDescent="0.25">
      <c r="A289" s="6">
        <v>287</v>
      </c>
      <c r="C289" s="6" t="s">
        <v>40</v>
      </c>
      <c r="D289" s="7" t="s">
        <v>41</v>
      </c>
      <c r="E289" s="7">
        <v>85</v>
      </c>
      <c r="F289" s="50">
        <v>-726643</v>
      </c>
      <c r="G289" s="49">
        <v>-844542</v>
      </c>
      <c r="H289" s="49">
        <v>-744870</v>
      </c>
      <c r="I289" s="49">
        <v>-764763</v>
      </c>
      <c r="J289" s="49">
        <v>-760782</v>
      </c>
      <c r="K289" s="49">
        <v>-275693</v>
      </c>
      <c r="L289" s="49">
        <v>-755083</v>
      </c>
      <c r="M289" s="49">
        <v>-530833</v>
      </c>
      <c r="N289" s="49">
        <v>-710981</v>
      </c>
      <c r="O289" s="49">
        <v>-648766</v>
      </c>
      <c r="P289" s="49">
        <v>-785768</v>
      </c>
      <c r="Q289" s="49">
        <v>-630069</v>
      </c>
      <c r="R289" s="49">
        <f t="shared" si="17"/>
        <v>-8178793</v>
      </c>
      <c r="S289" s="11"/>
    </row>
    <row r="290" spans="1:19" x14ac:dyDescent="0.25">
      <c r="A290" s="6">
        <v>288</v>
      </c>
      <c r="C290" s="6" t="s">
        <v>42</v>
      </c>
      <c r="D290" s="7" t="s">
        <v>43</v>
      </c>
      <c r="E290" s="7">
        <v>85</v>
      </c>
      <c r="F290" s="50">
        <v>844542</v>
      </c>
      <c r="G290" s="49">
        <v>744870</v>
      </c>
      <c r="H290" s="49">
        <v>764763</v>
      </c>
      <c r="I290" s="49">
        <v>760782</v>
      </c>
      <c r="J290" s="49">
        <v>275693</v>
      </c>
      <c r="K290" s="49">
        <v>755083</v>
      </c>
      <c r="L290" s="49">
        <v>530833</v>
      </c>
      <c r="M290" s="49">
        <v>710981</v>
      </c>
      <c r="N290" s="49">
        <v>648766</v>
      </c>
      <c r="O290" s="49">
        <v>785768</v>
      </c>
      <c r="P290" s="49">
        <v>630069</v>
      </c>
      <c r="Q290" s="49">
        <v>765472</v>
      </c>
      <c r="R290" s="49">
        <f t="shared" ref="R290:R353" si="18">SUM(F290:Q290)</f>
        <v>8217622</v>
      </c>
      <c r="S290" s="11"/>
    </row>
    <row r="291" spans="1:19" x14ac:dyDescent="0.25">
      <c r="A291" s="6">
        <v>289</v>
      </c>
      <c r="C291" s="6" t="s">
        <v>33</v>
      </c>
      <c r="D291" s="7" t="s">
        <v>44</v>
      </c>
      <c r="E291" s="7">
        <v>85</v>
      </c>
      <c r="F291" s="50">
        <v>844542</v>
      </c>
      <c r="G291" s="49">
        <v>744870</v>
      </c>
      <c r="H291" s="49">
        <v>764763</v>
      </c>
      <c r="I291" s="49">
        <v>760782</v>
      </c>
      <c r="J291" s="49">
        <v>275693</v>
      </c>
      <c r="K291" s="49">
        <v>755083</v>
      </c>
      <c r="L291" s="49">
        <v>530833</v>
      </c>
      <c r="M291" s="49">
        <v>710981</v>
      </c>
      <c r="N291" s="49">
        <v>648766</v>
      </c>
      <c r="O291" s="49">
        <v>785768</v>
      </c>
      <c r="P291" s="49">
        <v>630069</v>
      </c>
      <c r="Q291" s="49">
        <v>765472</v>
      </c>
      <c r="R291" s="49">
        <f t="shared" si="18"/>
        <v>8217622</v>
      </c>
      <c r="S291" s="11"/>
    </row>
    <row r="292" spans="1:19" x14ac:dyDescent="0.25">
      <c r="A292" s="6">
        <v>290</v>
      </c>
      <c r="C292" s="10" t="s">
        <v>45</v>
      </c>
      <c r="F292" s="50"/>
      <c r="G292" s="49"/>
      <c r="H292" s="49"/>
      <c r="I292" s="49"/>
      <c r="J292" s="49"/>
      <c r="K292" s="49"/>
      <c r="L292" s="49"/>
      <c r="M292" s="49"/>
      <c r="N292" s="49"/>
      <c r="O292" s="49"/>
      <c r="P292" s="49"/>
      <c r="Q292" s="49"/>
      <c r="R292" s="49">
        <f t="shared" si="18"/>
        <v>0</v>
      </c>
      <c r="S292" s="11"/>
    </row>
    <row r="293" spans="1:19" x14ac:dyDescent="0.25">
      <c r="A293" s="6">
        <v>291</v>
      </c>
      <c r="C293" s="6" t="s">
        <v>46</v>
      </c>
      <c r="D293" s="7" t="s">
        <v>35</v>
      </c>
      <c r="E293" s="7">
        <v>129</v>
      </c>
      <c r="F293" s="50">
        <v>11576.02</v>
      </c>
      <c r="G293" s="49">
        <v>12988.12</v>
      </c>
      <c r="H293" s="49">
        <v>11794.32</v>
      </c>
      <c r="I293" s="49">
        <v>12032.58</v>
      </c>
      <c r="J293" s="49">
        <v>11984.91</v>
      </c>
      <c r="K293" s="49">
        <v>6174.92</v>
      </c>
      <c r="L293" s="49">
        <v>11916.65</v>
      </c>
      <c r="M293" s="49">
        <v>9230.7800000000007</v>
      </c>
      <c r="N293" s="49">
        <v>11663.33</v>
      </c>
      <c r="O293" s="49">
        <v>10905.45</v>
      </c>
      <c r="P293" s="49">
        <v>12842.44</v>
      </c>
      <c r="Q293" s="49">
        <v>10892.64</v>
      </c>
      <c r="R293" s="49">
        <f t="shared" si="18"/>
        <v>134002.15999999997</v>
      </c>
      <c r="S293" s="11"/>
    </row>
    <row r="294" spans="1:19" x14ac:dyDescent="0.25">
      <c r="A294" s="6">
        <v>292</v>
      </c>
      <c r="C294" s="6" t="s">
        <v>47</v>
      </c>
      <c r="D294" s="7" t="s">
        <v>37</v>
      </c>
      <c r="E294" s="7">
        <v>129</v>
      </c>
      <c r="F294" s="50">
        <v>0</v>
      </c>
      <c r="G294" s="49">
        <v>0</v>
      </c>
      <c r="H294" s="49">
        <v>0</v>
      </c>
      <c r="I294" s="49">
        <v>0</v>
      </c>
      <c r="J294" s="49">
        <v>0</v>
      </c>
      <c r="K294" s="49">
        <v>0</v>
      </c>
      <c r="L294" s="49">
        <v>0</v>
      </c>
      <c r="M294" s="49">
        <v>0</v>
      </c>
      <c r="N294" s="49">
        <v>0</v>
      </c>
      <c r="O294" s="49">
        <v>0</v>
      </c>
      <c r="P294" s="49">
        <v>0</v>
      </c>
      <c r="Q294" s="49">
        <v>0</v>
      </c>
      <c r="R294" s="49">
        <f t="shared" si="18"/>
        <v>0</v>
      </c>
      <c r="S294" s="11"/>
    </row>
    <row r="295" spans="1:19" x14ac:dyDescent="0.25">
      <c r="A295" s="6">
        <v>293</v>
      </c>
      <c r="C295" s="6" t="s">
        <v>48</v>
      </c>
      <c r="D295" s="7" t="s">
        <v>39</v>
      </c>
      <c r="E295" s="7">
        <v>129</v>
      </c>
      <c r="F295" s="50">
        <v>0</v>
      </c>
      <c r="G295" s="49">
        <v>0</v>
      </c>
      <c r="H295" s="49">
        <v>0</v>
      </c>
      <c r="I295" s="49">
        <v>0</v>
      </c>
      <c r="J295" s="49">
        <v>0</v>
      </c>
      <c r="K295" s="49">
        <v>0</v>
      </c>
      <c r="L295" s="49">
        <v>0</v>
      </c>
      <c r="M295" s="49">
        <v>0</v>
      </c>
      <c r="N295" s="49">
        <v>0</v>
      </c>
      <c r="O295" s="49">
        <v>0</v>
      </c>
      <c r="P295" s="49">
        <v>0</v>
      </c>
      <c r="Q295" s="49">
        <v>0</v>
      </c>
      <c r="R295" s="49">
        <f t="shared" si="18"/>
        <v>0</v>
      </c>
      <c r="S295" s="11"/>
    </row>
    <row r="296" spans="1:19" x14ac:dyDescent="0.25">
      <c r="A296" s="6">
        <v>294</v>
      </c>
      <c r="C296" s="6" t="s">
        <v>49</v>
      </c>
      <c r="D296" s="7" t="s">
        <v>50</v>
      </c>
      <c r="E296" s="7">
        <v>129</v>
      </c>
      <c r="F296" s="50">
        <v>0</v>
      </c>
      <c r="G296" s="49">
        <v>0</v>
      </c>
      <c r="H296" s="49">
        <v>0</v>
      </c>
      <c r="I296" s="49">
        <v>0</v>
      </c>
      <c r="J296" s="49">
        <v>0</v>
      </c>
      <c r="K296" s="49">
        <v>0</v>
      </c>
      <c r="L296" s="49">
        <v>0</v>
      </c>
      <c r="M296" s="49">
        <v>0</v>
      </c>
      <c r="N296" s="49">
        <v>0</v>
      </c>
      <c r="O296" s="49">
        <v>0</v>
      </c>
      <c r="P296" s="49">
        <v>0</v>
      </c>
      <c r="Q296" s="49">
        <v>0</v>
      </c>
      <c r="R296" s="49">
        <f t="shared" si="18"/>
        <v>0</v>
      </c>
      <c r="S296" s="11"/>
    </row>
    <row r="297" spans="1:19" x14ac:dyDescent="0.25">
      <c r="A297" s="6">
        <v>295</v>
      </c>
      <c r="C297" s="27" t="s">
        <v>278</v>
      </c>
      <c r="D297" s="7" t="s">
        <v>51</v>
      </c>
      <c r="E297" s="7">
        <v>129</v>
      </c>
      <c r="F297" s="50">
        <v>0</v>
      </c>
      <c r="G297" s="49">
        <v>0</v>
      </c>
      <c r="H297" s="49">
        <v>0</v>
      </c>
      <c r="I297" s="49">
        <v>0</v>
      </c>
      <c r="J297" s="49">
        <v>0</v>
      </c>
      <c r="K297" s="49">
        <v>0</v>
      </c>
      <c r="L297" s="49">
        <v>0</v>
      </c>
      <c r="M297" s="49">
        <v>0</v>
      </c>
      <c r="N297" s="49">
        <v>0</v>
      </c>
      <c r="O297" s="49">
        <v>0</v>
      </c>
      <c r="P297" s="49">
        <v>0</v>
      </c>
      <c r="Q297" s="49">
        <v>0</v>
      </c>
      <c r="R297" s="49">
        <f t="shared" si="18"/>
        <v>0</v>
      </c>
      <c r="S297" s="11"/>
    </row>
    <row r="298" spans="1:19" x14ac:dyDescent="0.25">
      <c r="A298" s="6">
        <v>296</v>
      </c>
      <c r="C298" s="6" t="s">
        <v>80</v>
      </c>
      <c r="D298" s="7" t="s">
        <v>79</v>
      </c>
      <c r="E298" s="7">
        <v>129</v>
      </c>
      <c r="F298" s="50">
        <v>0</v>
      </c>
      <c r="G298" s="49">
        <v>0</v>
      </c>
      <c r="H298" s="49">
        <v>0</v>
      </c>
      <c r="I298" s="49">
        <v>0</v>
      </c>
      <c r="J298" s="49">
        <v>0</v>
      </c>
      <c r="K298" s="49">
        <v>0</v>
      </c>
      <c r="L298" s="49">
        <v>0</v>
      </c>
      <c r="M298" s="49">
        <v>0</v>
      </c>
      <c r="N298" s="49">
        <v>0</v>
      </c>
      <c r="O298" s="49">
        <v>0</v>
      </c>
      <c r="P298" s="49">
        <v>0</v>
      </c>
      <c r="Q298" s="49">
        <v>0</v>
      </c>
      <c r="R298" s="49">
        <f t="shared" si="18"/>
        <v>0</v>
      </c>
      <c r="S298" s="11"/>
    </row>
    <row r="299" spans="1:19" x14ac:dyDescent="0.25">
      <c r="A299" s="6">
        <v>297</v>
      </c>
      <c r="C299" s="6" t="s">
        <v>13</v>
      </c>
      <c r="D299" s="7" t="s">
        <v>52</v>
      </c>
      <c r="E299" s="7">
        <v>129</v>
      </c>
      <c r="F299" s="50">
        <v>0</v>
      </c>
      <c r="G299" s="49">
        <v>0</v>
      </c>
      <c r="H299" s="49">
        <v>0</v>
      </c>
      <c r="I299" s="49">
        <v>0</v>
      </c>
      <c r="J299" s="49">
        <v>0</v>
      </c>
      <c r="K299" s="49">
        <v>0</v>
      </c>
      <c r="L299" s="49">
        <v>0</v>
      </c>
      <c r="M299" s="49">
        <v>0</v>
      </c>
      <c r="N299" s="49">
        <v>0</v>
      </c>
      <c r="O299" s="49">
        <v>0</v>
      </c>
      <c r="P299" s="49">
        <v>0</v>
      </c>
      <c r="Q299" s="49">
        <v>0</v>
      </c>
      <c r="R299" s="49">
        <f t="shared" si="18"/>
        <v>0</v>
      </c>
      <c r="S299" s="11"/>
    </row>
    <row r="300" spans="1:19" x14ac:dyDescent="0.25">
      <c r="A300" s="6">
        <v>298</v>
      </c>
      <c r="C300" s="6" t="s">
        <v>55</v>
      </c>
      <c r="D300" s="7" t="s">
        <v>41</v>
      </c>
      <c r="E300" s="7">
        <v>129</v>
      </c>
      <c r="F300" s="50">
        <v>-11576.02</v>
      </c>
      <c r="G300" s="49">
        <v>-12988.12</v>
      </c>
      <c r="H300" s="49">
        <v>-11794.32</v>
      </c>
      <c r="I300" s="49">
        <v>-12032.58</v>
      </c>
      <c r="J300" s="49">
        <v>-11984.91</v>
      </c>
      <c r="K300" s="49">
        <v>-6174.92</v>
      </c>
      <c r="L300" s="49">
        <v>-11916.65</v>
      </c>
      <c r="M300" s="49">
        <v>-9230.7800000000007</v>
      </c>
      <c r="N300" s="49">
        <v>-11388.44</v>
      </c>
      <c r="O300" s="49">
        <v>-10905.45</v>
      </c>
      <c r="P300" s="49">
        <v>-12842.44</v>
      </c>
      <c r="Q300" s="49">
        <v>-10892.64</v>
      </c>
      <c r="R300" s="49">
        <f t="shared" si="18"/>
        <v>-133727.26999999999</v>
      </c>
      <c r="S300" s="11"/>
    </row>
    <row r="301" spans="1:19" x14ac:dyDescent="0.25">
      <c r="A301" s="6">
        <v>299</v>
      </c>
      <c r="C301" s="6" t="s">
        <v>56</v>
      </c>
      <c r="D301" s="7" t="s">
        <v>43</v>
      </c>
      <c r="E301" s="7">
        <v>129</v>
      </c>
      <c r="F301" s="50">
        <v>12988.12</v>
      </c>
      <c r="G301" s="49">
        <v>11794.32</v>
      </c>
      <c r="H301" s="49">
        <v>12032.58</v>
      </c>
      <c r="I301" s="49">
        <v>11984.91</v>
      </c>
      <c r="J301" s="49">
        <v>6174.92</v>
      </c>
      <c r="K301" s="49">
        <v>11916.65</v>
      </c>
      <c r="L301" s="49">
        <v>9230.7800000000007</v>
      </c>
      <c r="M301" s="49">
        <v>11388.44</v>
      </c>
      <c r="N301" s="49">
        <v>10905.45</v>
      </c>
      <c r="O301" s="49">
        <v>12842.44</v>
      </c>
      <c r="P301" s="49">
        <v>10892.64</v>
      </c>
      <c r="Q301" s="49">
        <v>12588.28</v>
      </c>
      <c r="R301" s="49">
        <f t="shared" si="18"/>
        <v>134739.53</v>
      </c>
      <c r="S301" s="11"/>
    </row>
    <row r="302" spans="1:19" x14ac:dyDescent="0.25">
      <c r="A302" s="6">
        <v>300</v>
      </c>
      <c r="C302" s="6" t="s">
        <v>30</v>
      </c>
      <c r="D302" s="7" t="s">
        <v>44</v>
      </c>
      <c r="E302" s="7">
        <v>129</v>
      </c>
      <c r="F302" s="50">
        <v>12988.12</v>
      </c>
      <c r="G302" s="49">
        <v>11794.32</v>
      </c>
      <c r="H302" s="49">
        <v>12032.58</v>
      </c>
      <c r="I302" s="49">
        <v>11984.91</v>
      </c>
      <c r="J302" s="49">
        <v>6174.92</v>
      </c>
      <c r="K302" s="49">
        <v>11916.65</v>
      </c>
      <c r="L302" s="49">
        <v>9230.7800000000007</v>
      </c>
      <c r="M302" s="49">
        <v>11388.44</v>
      </c>
      <c r="N302" s="49">
        <v>11180.34</v>
      </c>
      <c r="O302" s="49">
        <v>12842.44</v>
      </c>
      <c r="P302" s="49">
        <v>10892.64</v>
      </c>
      <c r="Q302" s="49">
        <v>12588.28</v>
      </c>
      <c r="R302" s="49">
        <f t="shared" si="18"/>
        <v>135014.42000000001</v>
      </c>
      <c r="S302" s="11"/>
    </row>
    <row r="303" spans="1:19" x14ac:dyDescent="0.25">
      <c r="A303" s="6">
        <v>301</v>
      </c>
      <c r="C303" s="10" t="s">
        <v>45</v>
      </c>
      <c r="F303" s="50"/>
      <c r="G303" s="49"/>
      <c r="H303" s="49"/>
      <c r="I303" s="49"/>
      <c r="J303" s="49"/>
      <c r="K303" s="49"/>
      <c r="L303" s="49"/>
      <c r="M303" s="49"/>
      <c r="N303" s="49"/>
      <c r="O303" s="49"/>
      <c r="P303" s="49"/>
      <c r="Q303" s="49"/>
      <c r="R303" s="49">
        <f t="shared" si="18"/>
        <v>0</v>
      </c>
      <c r="S303" s="11"/>
    </row>
    <row r="304" spans="1:19" x14ac:dyDescent="0.25">
      <c r="A304" s="6">
        <v>302</v>
      </c>
      <c r="F304" s="50"/>
      <c r="G304" s="49"/>
      <c r="H304" s="49"/>
      <c r="I304" s="49"/>
      <c r="J304" s="49"/>
      <c r="K304" s="49"/>
      <c r="L304" s="49"/>
      <c r="M304" s="49"/>
      <c r="N304" s="49"/>
      <c r="O304" s="49"/>
      <c r="P304" s="49"/>
      <c r="Q304" s="49"/>
      <c r="R304" s="49">
        <f t="shared" si="18"/>
        <v>0</v>
      </c>
      <c r="S304" s="11"/>
    </row>
    <row r="305" spans="1:19" x14ac:dyDescent="0.25">
      <c r="A305" s="6">
        <v>303</v>
      </c>
      <c r="C305" s="15" t="s">
        <v>112</v>
      </c>
      <c r="D305" s="7" t="s">
        <v>34</v>
      </c>
      <c r="E305" s="7">
        <v>86</v>
      </c>
      <c r="F305" s="50">
        <v>911</v>
      </c>
      <c r="G305" s="49">
        <v>911</v>
      </c>
      <c r="H305" s="49">
        <v>911</v>
      </c>
      <c r="I305" s="49">
        <v>911</v>
      </c>
      <c r="J305" s="49">
        <v>911</v>
      </c>
      <c r="K305" s="49">
        <v>911</v>
      </c>
      <c r="L305" s="49">
        <v>911</v>
      </c>
      <c r="M305" s="49">
        <v>911</v>
      </c>
      <c r="N305" s="49">
        <v>911</v>
      </c>
      <c r="O305" s="49">
        <v>911</v>
      </c>
      <c r="P305" s="49">
        <v>911</v>
      </c>
      <c r="Q305" s="49">
        <v>911</v>
      </c>
      <c r="R305" s="49">
        <f t="shared" si="18"/>
        <v>10932</v>
      </c>
      <c r="S305" s="11"/>
    </row>
    <row r="306" spans="1:19" x14ac:dyDescent="0.25">
      <c r="A306" s="6">
        <v>304</v>
      </c>
      <c r="C306" s="6" t="s">
        <v>31</v>
      </c>
      <c r="D306" s="7" t="s">
        <v>35</v>
      </c>
      <c r="E306" s="7">
        <v>86</v>
      </c>
      <c r="F306" s="50">
        <v>680640</v>
      </c>
      <c r="G306" s="49">
        <v>536468</v>
      </c>
      <c r="H306" s="49">
        <v>510054</v>
      </c>
      <c r="I306" s="49">
        <v>457960</v>
      </c>
      <c r="J306" s="49">
        <v>395328</v>
      </c>
      <c r="K306" s="49">
        <v>341945</v>
      </c>
      <c r="L306" s="49">
        <v>358897</v>
      </c>
      <c r="M306" s="49">
        <v>248565</v>
      </c>
      <c r="N306" s="49">
        <v>336820</v>
      </c>
      <c r="O306" s="49">
        <v>336043</v>
      </c>
      <c r="P306" s="49">
        <v>574709</v>
      </c>
      <c r="Q306" s="49">
        <v>446415</v>
      </c>
      <c r="R306" s="49">
        <f t="shared" si="18"/>
        <v>5223844</v>
      </c>
      <c r="S306" s="11"/>
    </row>
    <row r="307" spans="1:19" x14ac:dyDescent="0.25">
      <c r="A307" s="6">
        <v>305</v>
      </c>
      <c r="C307" s="6" t="s">
        <v>36</v>
      </c>
      <c r="D307" s="7" t="s">
        <v>37</v>
      </c>
      <c r="E307" s="7">
        <v>86</v>
      </c>
      <c r="F307" s="53">
        <v>0</v>
      </c>
      <c r="G307" s="53">
        <v>0</v>
      </c>
      <c r="H307" s="53">
        <v>0</v>
      </c>
      <c r="I307" s="53">
        <v>0</v>
      </c>
      <c r="J307" s="53">
        <v>0</v>
      </c>
      <c r="K307" s="53">
        <v>0</v>
      </c>
      <c r="L307" s="53">
        <v>0</v>
      </c>
      <c r="M307" s="53">
        <v>0</v>
      </c>
      <c r="N307" s="53">
        <v>0</v>
      </c>
      <c r="O307" s="53">
        <v>0</v>
      </c>
      <c r="P307" s="53">
        <v>0</v>
      </c>
      <c r="Q307" s="53">
        <v>0</v>
      </c>
      <c r="R307" s="49">
        <f t="shared" si="18"/>
        <v>0</v>
      </c>
      <c r="S307" s="11"/>
    </row>
    <row r="308" spans="1:19" x14ac:dyDescent="0.25">
      <c r="A308" s="6">
        <v>306</v>
      </c>
      <c r="C308" s="6" t="s">
        <v>38</v>
      </c>
      <c r="D308" s="7" t="s">
        <v>39</v>
      </c>
      <c r="E308" s="7">
        <v>86</v>
      </c>
      <c r="F308" s="53">
        <v>0</v>
      </c>
      <c r="G308" s="53">
        <v>0</v>
      </c>
      <c r="H308" s="53">
        <v>0</v>
      </c>
      <c r="I308" s="53">
        <v>0</v>
      </c>
      <c r="J308" s="53">
        <v>0</v>
      </c>
      <c r="K308" s="53">
        <v>0</v>
      </c>
      <c r="L308" s="53">
        <v>0</v>
      </c>
      <c r="M308" s="53">
        <v>0</v>
      </c>
      <c r="N308" s="53">
        <v>0</v>
      </c>
      <c r="O308" s="53">
        <v>0</v>
      </c>
      <c r="P308" s="53">
        <v>0</v>
      </c>
      <c r="Q308" s="53">
        <v>0</v>
      </c>
      <c r="R308" s="49">
        <f t="shared" si="18"/>
        <v>0</v>
      </c>
      <c r="S308" s="11"/>
    </row>
    <row r="309" spans="1:19" x14ac:dyDescent="0.25">
      <c r="A309" s="6">
        <v>307</v>
      </c>
      <c r="C309" s="6" t="s">
        <v>40</v>
      </c>
      <c r="D309" s="7" t="s">
        <v>41</v>
      </c>
      <c r="E309" s="7">
        <v>86</v>
      </c>
      <c r="F309" s="50">
        <v>-680640</v>
      </c>
      <c r="G309" s="49">
        <v>-536468</v>
      </c>
      <c r="H309" s="49">
        <v>-510054</v>
      </c>
      <c r="I309" s="49">
        <v>-457960</v>
      </c>
      <c r="J309" s="49">
        <v>-395328</v>
      </c>
      <c r="K309" s="49">
        <v>-341945</v>
      </c>
      <c r="L309" s="49">
        <v>-358897</v>
      </c>
      <c r="M309" s="49">
        <v>-248565</v>
      </c>
      <c r="N309" s="49">
        <v>-336820</v>
      </c>
      <c r="O309" s="49">
        <v>-336043</v>
      </c>
      <c r="P309" s="49">
        <v>-574709</v>
      </c>
      <c r="Q309" s="49">
        <v>-446415</v>
      </c>
      <c r="R309" s="49">
        <f t="shared" si="18"/>
        <v>-5223844</v>
      </c>
      <c r="S309" s="11"/>
    </row>
    <row r="310" spans="1:19" x14ac:dyDescent="0.25">
      <c r="A310" s="6">
        <v>308</v>
      </c>
      <c r="C310" s="6" t="s">
        <v>42</v>
      </c>
      <c r="D310" s="7" t="s">
        <v>43</v>
      </c>
      <c r="E310" s="7">
        <v>86</v>
      </c>
      <c r="F310" s="50">
        <v>536468</v>
      </c>
      <c r="G310" s="49">
        <v>510054</v>
      </c>
      <c r="H310" s="49">
        <v>457960</v>
      </c>
      <c r="I310" s="49">
        <v>395328</v>
      </c>
      <c r="J310" s="49">
        <v>341945</v>
      </c>
      <c r="K310" s="49">
        <v>358897</v>
      </c>
      <c r="L310" s="49">
        <v>248565</v>
      </c>
      <c r="M310" s="49">
        <v>336820</v>
      </c>
      <c r="N310" s="49">
        <v>336043</v>
      </c>
      <c r="O310" s="49">
        <v>574709</v>
      </c>
      <c r="P310" s="49">
        <v>446415</v>
      </c>
      <c r="Q310" s="49">
        <v>502419</v>
      </c>
      <c r="R310" s="49">
        <f t="shared" si="18"/>
        <v>5045623</v>
      </c>
      <c r="S310" s="11"/>
    </row>
    <row r="311" spans="1:19" x14ac:dyDescent="0.25">
      <c r="A311" s="6">
        <v>309</v>
      </c>
      <c r="C311" s="6" t="s">
        <v>33</v>
      </c>
      <c r="D311" s="7" t="s">
        <v>44</v>
      </c>
      <c r="E311" s="7">
        <v>86</v>
      </c>
      <c r="F311" s="50">
        <v>536468</v>
      </c>
      <c r="G311" s="49">
        <v>510054</v>
      </c>
      <c r="H311" s="49">
        <v>457960</v>
      </c>
      <c r="I311" s="49">
        <v>395328</v>
      </c>
      <c r="J311" s="49">
        <v>341945</v>
      </c>
      <c r="K311" s="49">
        <v>358897</v>
      </c>
      <c r="L311" s="49">
        <v>248565</v>
      </c>
      <c r="M311" s="49">
        <v>336820</v>
      </c>
      <c r="N311" s="49">
        <v>336043</v>
      </c>
      <c r="O311" s="49">
        <v>574709</v>
      </c>
      <c r="P311" s="49">
        <v>446415</v>
      </c>
      <c r="Q311" s="49">
        <v>502419</v>
      </c>
      <c r="R311" s="49">
        <f t="shared" si="18"/>
        <v>5045623</v>
      </c>
      <c r="S311" s="11"/>
    </row>
    <row r="312" spans="1:19" x14ac:dyDescent="0.25">
      <c r="A312" s="6">
        <v>310</v>
      </c>
      <c r="C312" s="10" t="s">
        <v>45</v>
      </c>
      <c r="F312" s="50"/>
      <c r="G312" s="49"/>
      <c r="H312" s="49"/>
      <c r="I312" s="49"/>
      <c r="J312" s="49"/>
      <c r="K312" s="49"/>
      <c r="L312" s="49"/>
      <c r="M312" s="49"/>
      <c r="N312" s="49"/>
      <c r="O312" s="49"/>
      <c r="P312" s="49"/>
      <c r="Q312" s="49"/>
      <c r="R312" s="49">
        <f t="shared" si="18"/>
        <v>0</v>
      </c>
      <c r="S312" s="11"/>
    </row>
    <row r="313" spans="1:19" x14ac:dyDescent="0.25">
      <c r="A313" s="6">
        <v>311</v>
      </c>
      <c r="C313" s="6" t="s">
        <v>46</v>
      </c>
      <c r="D313" s="7" t="s">
        <v>35</v>
      </c>
      <c r="E313" s="7">
        <v>130</v>
      </c>
      <c r="F313" s="50">
        <v>17038.91</v>
      </c>
      <c r="G313" s="49">
        <v>14414.47</v>
      </c>
      <c r="H313" s="49">
        <v>13933.65</v>
      </c>
      <c r="I313" s="49">
        <v>12985.35</v>
      </c>
      <c r="J313" s="49">
        <v>11845.24</v>
      </c>
      <c r="K313" s="49">
        <v>10873.47</v>
      </c>
      <c r="L313" s="49">
        <v>11182.06</v>
      </c>
      <c r="M313" s="49">
        <v>9173.6200000000008</v>
      </c>
      <c r="N313" s="49">
        <v>10977.15</v>
      </c>
      <c r="O313" s="49">
        <v>10962.84</v>
      </c>
      <c r="P313" s="49">
        <v>15655.45</v>
      </c>
      <c r="Q313" s="49">
        <v>13227.19</v>
      </c>
      <c r="R313" s="49">
        <f t="shared" si="18"/>
        <v>152269.4</v>
      </c>
      <c r="S313" s="11"/>
    </row>
    <row r="314" spans="1:19" x14ac:dyDescent="0.25">
      <c r="A314" s="6">
        <v>312</v>
      </c>
      <c r="C314" s="6" t="s">
        <v>47</v>
      </c>
      <c r="D314" s="7" t="s">
        <v>37</v>
      </c>
      <c r="E314" s="7">
        <v>130</v>
      </c>
      <c r="F314" s="50">
        <v>0</v>
      </c>
      <c r="G314" s="49">
        <v>0</v>
      </c>
      <c r="H314" s="49">
        <v>0</v>
      </c>
      <c r="I314" s="49">
        <v>0</v>
      </c>
      <c r="J314" s="49">
        <v>0</v>
      </c>
      <c r="K314" s="49">
        <v>0</v>
      </c>
      <c r="L314" s="49">
        <v>0</v>
      </c>
      <c r="M314" s="49">
        <v>0</v>
      </c>
      <c r="N314" s="49">
        <v>0</v>
      </c>
      <c r="O314" s="49">
        <v>0</v>
      </c>
      <c r="P314" s="49">
        <v>0</v>
      </c>
      <c r="Q314" s="49">
        <v>0</v>
      </c>
      <c r="R314" s="49">
        <f t="shared" si="18"/>
        <v>0</v>
      </c>
      <c r="S314" s="11"/>
    </row>
    <row r="315" spans="1:19" x14ac:dyDescent="0.25">
      <c r="A315" s="6">
        <v>313</v>
      </c>
      <c r="C315" s="6" t="s">
        <v>48</v>
      </c>
      <c r="D315" s="7" t="s">
        <v>39</v>
      </c>
      <c r="E315" s="7">
        <v>130</v>
      </c>
      <c r="F315" s="50">
        <v>0</v>
      </c>
      <c r="G315" s="49">
        <v>0</v>
      </c>
      <c r="H315" s="49">
        <v>0</v>
      </c>
      <c r="I315" s="49">
        <v>0</v>
      </c>
      <c r="J315" s="49">
        <v>0</v>
      </c>
      <c r="K315" s="49">
        <v>0</v>
      </c>
      <c r="L315" s="49">
        <v>0</v>
      </c>
      <c r="M315" s="49">
        <v>0</v>
      </c>
      <c r="N315" s="49">
        <v>0</v>
      </c>
      <c r="O315" s="49">
        <v>0</v>
      </c>
      <c r="P315" s="49">
        <v>0</v>
      </c>
      <c r="Q315" s="49">
        <v>0</v>
      </c>
      <c r="R315" s="49">
        <f t="shared" si="18"/>
        <v>0</v>
      </c>
      <c r="S315" s="11"/>
    </row>
    <row r="316" spans="1:19" x14ac:dyDescent="0.25">
      <c r="A316" s="6">
        <v>314</v>
      </c>
      <c r="C316" s="6" t="s">
        <v>49</v>
      </c>
      <c r="D316" s="7" t="s">
        <v>50</v>
      </c>
      <c r="E316" s="7">
        <v>130</v>
      </c>
      <c r="F316" s="50">
        <v>0</v>
      </c>
      <c r="G316" s="49">
        <v>0</v>
      </c>
      <c r="H316" s="49">
        <v>0</v>
      </c>
      <c r="I316" s="49">
        <v>0</v>
      </c>
      <c r="J316" s="49">
        <v>0</v>
      </c>
      <c r="K316" s="49">
        <v>0</v>
      </c>
      <c r="L316" s="49">
        <v>0</v>
      </c>
      <c r="M316" s="49">
        <v>0</v>
      </c>
      <c r="N316" s="49">
        <v>0</v>
      </c>
      <c r="O316" s="49">
        <v>0</v>
      </c>
      <c r="P316" s="49">
        <v>0</v>
      </c>
      <c r="Q316" s="49">
        <v>0</v>
      </c>
      <c r="R316" s="49">
        <f t="shared" si="18"/>
        <v>0</v>
      </c>
      <c r="S316" s="11"/>
    </row>
    <row r="317" spans="1:19" x14ac:dyDescent="0.25">
      <c r="A317" s="6">
        <v>315</v>
      </c>
      <c r="C317" s="27" t="s">
        <v>278</v>
      </c>
      <c r="D317" s="7" t="s">
        <v>51</v>
      </c>
      <c r="E317" s="7">
        <v>130</v>
      </c>
      <c r="F317" s="50">
        <v>0</v>
      </c>
      <c r="G317" s="49">
        <v>0</v>
      </c>
      <c r="H317" s="49">
        <v>0</v>
      </c>
      <c r="I317" s="49">
        <v>0</v>
      </c>
      <c r="J317" s="49">
        <v>0</v>
      </c>
      <c r="K317" s="49">
        <v>0</v>
      </c>
      <c r="L317" s="49">
        <v>0</v>
      </c>
      <c r="M317" s="49">
        <v>0</v>
      </c>
      <c r="N317" s="49">
        <v>0</v>
      </c>
      <c r="O317" s="49">
        <v>0</v>
      </c>
      <c r="P317" s="49">
        <v>0</v>
      </c>
      <c r="Q317" s="49">
        <v>0</v>
      </c>
      <c r="R317" s="49">
        <f t="shared" si="18"/>
        <v>0</v>
      </c>
      <c r="S317" s="11"/>
    </row>
    <row r="318" spans="1:19" x14ac:dyDescent="0.25">
      <c r="A318" s="6">
        <v>316</v>
      </c>
      <c r="C318" s="6" t="s">
        <v>80</v>
      </c>
      <c r="D318" s="7" t="s">
        <v>79</v>
      </c>
      <c r="E318" s="7">
        <v>130</v>
      </c>
      <c r="F318" s="50">
        <v>0</v>
      </c>
      <c r="G318" s="49">
        <v>0</v>
      </c>
      <c r="H318" s="49">
        <v>0</v>
      </c>
      <c r="I318" s="49">
        <v>0</v>
      </c>
      <c r="J318" s="49">
        <v>0</v>
      </c>
      <c r="K318" s="49">
        <v>0</v>
      </c>
      <c r="L318" s="49">
        <v>0</v>
      </c>
      <c r="M318" s="49">
        <v>0</v>
      </c>
      <c r="N318" s="49">
        <v>0</v>
      </c>
      <c r="O318" s="49">
        <v>0</v>
      </c>
      <c r="P318" s="49">
        <v>0</v>
      </c>
      <c r="Q318" s="49">
        <v>0</v>
      </c>
      <c r="R318" s="49">
        <f t="shared" si="18"/>
        <v>0</v>
      </c>
      <c r="S318" s="11"/>
    </row>
    <row r="319" spans="1:19" x14ac:dyDescent="0.25">
      <c r="A319" s="6">
        <v>317</v>
      </c>
      <c r="C319" s="6" t="s">
        <v>13</v>
      </c>
      <c r="D319" s="7" t="s">
        <v>52</v>
      </c>
      <c r="E319" s="7">
        <v>130</v>
      </c>
      <c r="F319" s="50">
        <v>0</v>
      </c>
      <c r="G319" s="49">
        <v>0</v>
      </c>
      <c r="H319" s="49">
        <v>0</v>
      </c>
      <c r="I319" s="49">
        <v>0</v>
      </c>
      <c r="J319" s="49">
        <v>0</v>
      </c>
      <c r="K319" s="49">
        <v>0</v>
      </c>
      <c r="L319" s="49">
        <v>0</v>
      </c>
      <c r="M319" s="49">
        <v>0</v>
      </c>
      <c r="N319" s="49">
        <v>0</v>
      </c>
      <c r="O319" s="49">
        <v>0</v>
      </c>
      <c r="P319" s="49">
        <v>0</v>
      </c>
      <c r="Q319" s="49">
        <v>0</v>
      </c>
      <c r="R319" s="49">
        <f t="shared" si="18"/>
        <v>0</v>
      </c>
      <c r="S319" s="11"/>
    </row>
    <row r="320" spans="1:19" x14ac:dyDescent="0.25">
      <c r="A320" s="6">
        <v>318</v>
      </c>
      <c r="C320" s="6" t="s">
        <v>55</v>
      </c>
      <c r="D320" s="7" t="s">
        <v>41</v>
      </c>
      <c r="E320" s="7">
        <v>130</v>
      </c>
      <c r="F320" s="50">
        <v>-17038.91</v>
      </c>
      <c r="G320" s="49">
        <v>-14414.47</v>
      </c>
      <c r="H320" s="49">
        <v>-13933.65</v>
      </c>
      <c r="I320" s="49">
        <v>-12985.35</v>
      </c>
      <c r="J320" s="49">
        <v>-11845.24</v>
      </c>
      <c r="K320" s="49">
        <v>-10873.47</v>
      </c>
      <c r="L320" s="49">
        <v>-11182.06</v>
      </c>
      <c r="M320" s="49">
        <v>-9173.6200000000008</v>
      </c>
      <c r="N320" s="49">
        <v>-10780.18</v>
      </c>
      <c r="O320" s="49">
        <v>-10962.84</v>
      </c>
      <c r="P320" s="49">
        <v>-15655.45</v>
      </c>
      <c r="Q320" s="49">
        <v>-13227.19</v>
      </c>
      <c r="R320" s="49">
        <f t="shared" si="18"/>
        <v>-152072.43</v>
      </c>
      <c r="S320" s="11"/>
    </row>
    <row r="321" spans="1:19" x14ac:dyDescent="0.25">
      <c r="A321" s="6">
        <v>319</v>
      </c>
      <c r="C321" s="6" t="s">
        <v>56</v>
      </c>
      <c r="D321" s="7" t="s">
        <v>43</v>
      </c>
      <c r="E321" s="7">
        <v>130</v>
      </c>
      <c r="F321" s="50">
        <v>14414.47</v>
      </c>
      <c r="G321" s="49">
        <v>13933.65</v>
      </c>
      <c r="H321" s="49">
        <v>12985.35</v>
      </c>
      <c r="I321" s="49">
        <v>11845.24</v>
      </c>
      <c r="J321" s="49">
        <v>10873.47</v>
      </c>
      <c r="K321" s="49">
        <v>11182.06</v>
      </c>
      <c r="L321" s="49">
        <v>9173.6200000000008</v>
      </c>
      <c r="M321" s="49">
        <v>10780.18</v>
      </c>
      <c r="N321" s="49">
        <v>10962.84</v>
      </c>
      <c r="O321" s="49">
        <v>15655.45</v>
      </c>
      <c r="P321" s="49">
        <v>13227.19</v>
      </c>
      <c r="Q321" s="49">
        <v>14287.21</v>
      </c>
      <c r="R321" s="49">
        <f t="shared" si="18"/>
        <v>149320.72999999998</v>
      </c>
      <c r="S321" s="11"/>
    </row>
    <row r="322" spans="1:19" x14ac:dyDescent="0.25">
      <c r="A322" s="6">
        <v>320</v>
      </c>
      <c r="C322" s="6" t="s">
        <v>30</v>
      </c>
      <c r="D322" s="7" t="s">
        <v>44</v>
      </c>
      <c r="E322" s="7">
        <v>130</v>
      </c>
      <c r="F322" s="50">
        <v>14414.47</v>
      </c>
      <c r="G322" s="49">
        <v>13933.65</v>
      </c>
      <c r="H322" s="49">
        <v>12985.35</v>
      </c>
      <c r="I322" s="49">
        <v>11845.24</v>
      </c>
      <c r="J322" s="49">
        <v>10873.47</v>
      </c>
      <c r="K322" s="49">
        <v>11182.06</v>
      </c>
      <c r="L322" s="49">
        <v>9173.6200000000008</v>
      </c>
      <c r="M322" s="49">
        <v>10780.18</v>
      </c>
      <c r="N322" s="49">
        <v>11159.81</v>
      </c>
      <c r="O322" s="49">
        <v>15655.45</v>
      </c>
      <c r="P322" s="49">
        <v>13227.19</v>
      </c>
      <c r="Q322" s="49">
        <v>14287.21</v>
      </c>
      <c r="R322" s="49">
        <f t="shared" si="18"/>
        <v>149517.69999999998</v>
      </c>
      <c r="S322" s="11"/>
    </row>
    <row r="323" spans="1:19" x14ac:dyDescent="0.25">
      <c r="A323" s="6">
        <v>321</v>
      </c>
      <c r="C323" s="10" t="s">
        <v>45</v>
      </c>
      <c r="F323" s="50"/>
      <c r="G323" s="49"/>
      <c r="H323" s="49"/>
      <c r="I323" s="49"/>
      <c r="J323" s="49"/>
      <c r="K323" s="49"/>
      <c r="L323" s="49"/>
      <c r="M323" s="49"/>
      <c r="N323" s="49"/>
      <c r="O323" s="49"/>
      <c r="P323" s="49"/>
      <c r="Q323" s="49"/>
      <c r="R323" s="49">
        <f t="shared" si="18"/>
        <v>0</v>
      </c>
      <c r="S323" s="11"/>
    </row>
    <row r="324" spans="1:19" x14ac:dyDescent="0.25">
      <c r="A324" s="6">
        <v>322</v>
      </c>
      <c r="F324" s="50"/>
      <c r="G324" s="49"/>
      <c r="H324" s="49"/>
      <c r="I324" s="49"/>
      <c r="J324" s="49"/>
      <c r="K324" s="49"/>
      <c r="L324" s="49"/>
      <c r="M324" s="49"/>
      <c r="N324" s="49"/>
      <c r="O324" s="49"/>
      <c r="P324" s="49"/>
      <c r="Q324" s="49"/>
      <c r="R324" s="49">
        <f t="shared" si="18"/>
        <v>0</v>
      </c>
      <c r="S324" s="11"/>
    </row>
    <row r="325" spans="1:19" x14ac:dyDescent="0.25">
      <c r="A325" s="6">
        <v>323</v>
      </c>
      <c r="C325" s="15" t="s">
        <v>111</v>
      </c>
      <c r="D325" s="7" t="s">
        <v>34</v>
      </c>
      <c r="E325" s="7">
        <v>87</v>
      </c>
      <c r="F325" s="50">
        <v>914</v>
      </c>
      <c r="G325" s="49">
        <v>914</v>
      </c>
      <c r="H325" s="49">
        <v>914</v>
      </c>
      <c r="I325" s="49">
        <v>914</v>
      </c>
      <c r="J325" s="49">
        <v>914</v>
      </c>
      <c r="K325" s="49">
        <v>914</v>
      </c>
      <c r="L325" s="49">
        <v>914</v>
      </c>
      <c r="M325" s="49">
        <v>914</v>
      </c>
      <c r="N325" s="49">
        <v>914</v>
      </c>
      <c r="O325" s="49">
        <v>914</v>
      </c>
      <c r="P325" s="49">
        <v>914</v>
      </c>
      <c r="Q325" s="49">
        <v>914</v>
      </c>
      <c r="R325" s="49">
        <f t="shared" si="18"/>
        <v>10968</v>
      </c>
      <c r="S325" s="11"/>
    </row>
    <row r="326" spans="1:19" x14ac:dyDescent="0.25">
      <c r="A326" s="6">
        <v>324</v>
      </c>
      <c r="C326" s="6" t="s">
        <v>31</v>
      </c>
      <c r="D326" s="7" t="s">
        <v>35</v>
      </c>
      <c r="E326" s="7">
        <v>87</v>
      </c>
      <c r="F326" s="50">
        <v>1123009</v>
      </c>
      <c r="G326" s="49">
        <v>1178958</v>
      </c>
      <c r="H326" s="49">
        <v>1083209</v>
      </c>
      <c r="I326" s="49">
        <v>1189749</v>
      </c>
      <c r="J326" s="49">
        <v>1117418</v>
      </c>
      <c r="K326" s="49">
        <v>1103385</v>
      </c>
      <c r="L326" s="49">
        <v>986306</v>
      </c>
      <c r="M326" s="49">
        <v>1004847</v>
      </c>
      <c r="N326" s="49">
        <v>1343044</v>
      </c>
      <c r="O326" s="49">
        <v>1086841</v>
      </c>
      <c r="P326" s="49">
        <v>654091</v>
      </c>
      <c r="Q326" s="49">
        <v>843484</v>
      </c>
      <c r="R326" s="49">
        <f t="shared" si="18"/>
        <v>12714341</v>
      </c>
      <c r="S326" s="11"/>
    </row>
    <row r="327" spans="1:19" x14ac:dyDescent="0.25">
      <c r="A327" s="6">
        <v>325</v>
      </c>
      <c r="C327" s="6" t="s">
        <v>36</v>
      </c>
      <c r="D327" s="7" t="s">
        <v>37</v>
      </c>
      <c r="E327" s="7">
        <v>87</v>
      </c>
      <c r="F327" s="50">
        <v>0</v>
      </c>
      <c r="G327" s="49">
        <v>0</v>
      </c>
      <c r="H327" s="49">
        <v>0</v>
      </c>
      <c r="I327" s="49">
        <v>0</v>
      </c>
      <c r="J327" s="49">
        <v>0</v>
      </c>
      <c r="K327" s="49">
        <v>0</v>
      </c>
      <c r="L327" s="49">
        <v>0</v>
      </c>
      <c r="M327" s="49">
        <v>0</v>
      </c>
      <c r="N327" s="49">
        <v>0</v>
      </c>
      <c r="O327" s="49">
        <v>0</v>
      </c>
      <c r="P327" s="49">
        <v>0</v>
      </c>
      <c r="Q327" s="49">
        <v>0</v>
      </c>
      <c r="R327" s="49">
        <f t="shared" si="18"/>
        <v>0</v>
      </c>
      <c r="S327" s="11"/>
    </row>
    <row r="328" spans="1:19" x14ac:dyDescent="0.25">
      <c r="A328" s="6">
        <v>326</v>
      </c>
      <c r="C328" s="6" t="s">
        <v>38</v>
      </c>
      <c r="D328" s="7" t="s">
        <v>39</v>
      </c>
      <c r="E328" s="7">
        <v>87</v>
      </c>
      <c r="F328" s="50">
        <v>0</v>
      </c>
      <c r="G328" s="49">
        <v>0</v>
      </c>
      <c r="H328" s="49">
        <v>0</v>
      </c>
      <c r="I328" s="49">
        <v>0</v>
      </c>
      <c r="J328" s="49">
        <v>0</v>
      </c>
      <c r="K328" s="49">
        <v>0</v>
      </c>
      <c r="L328" s="49">
        <v>0</v>
      </c>
      <c r="M328" s="49">
        <v>0</v>
      </c>
      <c r="N328" s="49">
        <v>0</v>
      </c>
      <c r="O328" s="49">
        <v>0</v>
      </c>
      <c r="P328" s="49">
        <v>0</v>
      </c>
      <c r="Q328" s="49">
        <v>0</v>
      </c>
      <c r="R328" s="49">
        <f t="shared" si="18"/>
        <v>0</v>
      </c>
      <c r="S328" s="11"/>
    </row>
    <row r="329" spans="1:19" x14ac:dyDescent="0.25">
      <c r="A329" s="6">
        <v>327</v>
      </c>
      <c r="C329" s="6" t="s">
        <v>40</v>
      </c>
      <c r="D329" s="7" t="s">
        <v>41</v>
      </c>
      <c r="E329" s="7">
        <v>87</v>
      </c>
      <c r="F329" s="50">
        <v>-1123009</v>
      </c>
      <c r="G329" s="49">
        <v>-1178958</v>
      </c>
      <c r="H329" s="49">
        <v>-1083209</v>
      </c>
      <c r="I329" s="49">
        <v>-1189749</v>
      </c>
      <c r="J329" s="49">
        <v>-1117418</v>
      </c>
      <c r="K329" s="49">
        <v>-1103385</v>
      </c>
      <c r="L329" s="49">
        <v>-986306</v>
      </c>
      <c r="M329" s="49">
        <v>-1004847</v>
      </c>
      <c r="N329" s="49">
        <v>-970764</v>
      </c>
      <c r="O329" s="49">
        <v>-1086841</v>
      </c>
      <c r="P329" s="49">
        <v>-654091</v>
      </c>
      <c r="Q329" s="49">
        <v>-843484</v>
      </c>
      <c r="R329" s="49">
        <f t="shared" si="18"/>
        <v>-12342061</v>
      </c>
      <c r="S329" s="11"/>
    </row>
    <row r="330" spans="1:19" x14ac:dyDescent="0.25">
      <c r="A330" s="6">
        <v>328</v>
      </c>
      <c r="C330" s="6" t="s">
        <v>42</v>
      </c>
      <c r="D330" s="7" t="s">
        <v>43</v>
      </c>
      <c r="E330" s="7">
        <v>87</v>
      </c>
      <c r="F330" s="50">
        <v>1178958</v>
      </c>
      <c r="G330" s="50">
        <v>1083209</v>
      </c>
      <c r="H330" s="50">
        <v>1189749</v>
      </c>
      <c r="I330" s="50">
        <v>1117418</v>
      </c>
      <c r="J330" s="50">
        <v>1103385</v>
      </c>
      <c r="K330" s="50">
        <v>986306</v>
      </c>
      <c r="L330" s="50">
        <v>1004847</v>
      </c>
      <c r="M330" s="50">
        <v>970764</v>
      </c>
      <c r="N330" s="50">
        <v>1086841</v>
      </c>
      <c r="O330" s="50">
        <v>654091</v>
      </c>
      <c r="P330" s="50">
        <v>843484</v>
      </c>
      <c r="Q330" s="50">
        <v>1192617</v>
      </c>
      <c r="R330" s="49">
        <f t="shared" si="18"/>
        <v>12411669</v>
      </c>
      <c r="S330" s="11"/>
    </row>
    <row r="331" spans="1:19" x14ac:dyDescent="0.25">
      <c r="A331" s="6">
        <v>329</v>
      </c>
      <c r="C331" s="6" t="s">
        <v>33</v>
      </c>
      <c r="D331" s="7" t="s">
        <v>44</v>
      </c>
      <c r="E331" s="7">
        <v>87</v>
      </c>
      <c r="F331" s="50">
        <v>1178958</v>
      </c>
      <c r="G331" s="52">
        <v>1083209</v>
      </c>
      <c r="H331" s="52">
        <v>1189749</v>
      </c>
      <c r="I331" s="52">
        <v>1117418</v>
      </c>
      <c r="J331" s="52">
        <v>1103385</v>
      </c>
      <c r="K331" s="52">
        <v>986306</v>
      </c>
      <c r="L331" s="52">
        <v>1004847</v>
      </c>
      <c r="M331" s="52">
        <v>970764</v>
      </c>
      <c r="N331" s="52">
        <v>1459121</v>
      </c>
      <c r="O331" s="52">
        <v>654091</v>
      </c>
      <c r="P331" s="52">
        <v>843484</v>
      </c>
      <c r="Q331" s="52">
        <v>1192617</v>
      </c>
      <c r="R331" s="49">
        <f t="shared" si="18"/>
        <v>12783949</v>
      </c>
      <c r="S331" s="11"/>
    </row>
    <row r="332" spans="1:19" x14ac:dyDescent="0.25">
      <c r="A332" s="6">
        <v>330</v>
      </c>
      <c r="C332" s="10" t="s">
        <v>45</v>
      </c>
      <c r="F332" s="50"/>
      <c r="G332" s="49"/>
      <c r="H332" s="49"/>
      <c r="I332" s="49"/>
      <c r="J332" s="49"/>
      <c r="K332" s="49"/>
      <c r="L332" s="49"/>
      <c r="M332" s="49"/>
      <c r="N332" s="49"/>
      <c r="O332" s="49"/>
      <c r="P332" s="49"/>
      <c r="Q332" s="49"/>
      <c r="R332" s="49">
        <f t="shared" si="18"/>
        <v>0</v>
      </c>
      <c r="S332" s="11"/>
    </row>
    <row r="333" spans="1:19" x14ac:dyDescent="0.25">
      <c r="A333" s="6">
        <v>331</v>
      </c>
      <c r="C333" s="6" t="s">
        <v>46</v>
      </c>
      <c r="D333" s="7" t="s">
        <v>35</v>
      </c>
      <c r="E333" s="7">
        <v>131</v>
      </c>
      <c r="F333" s="50">
        <v>20142.849999999999</v>
      </c>
      <c r="G333" s="49">
        <v>20770.34</v>
      </c>
      <c r="H333" s="49">
        <v>19696.48</v>
      </c>
      <c r="I333" s="49">
        <v>20891.37</v>
      </c>
      <c r="J333" s="49">
        <v>20080.14</v>
      </c>
      <c r="K333" s="49">
        <v>19922.759999999998</v>
      </c>
      <c r="L333" s="49">
        <v>18609.68</v>
      </c>
      <c r="M333" s="49">
        <v>18817.62</v>
      </c>
      <c r="N333" s="49">
        <v>22936.65</v>
      </c>
      <c r="O333" s="49">
        <v>20087.57</v>
      </c>
      <c r="P333" s="49">
        <v>15354.19</v>
      </c>
      <c r="Q333" s="49">
        <v>17577.490000000002</v>
      </c>
      <c r="R333" s="49">
        <f t="shared" si="18"/>
        <v>234887.13999999998</v>
      </c>
      <c r="S333" s="11"/>
    </row>
    <row r="334" spans="1:19" x14ac:dyDescent="0.25">
      <c r="A334" s="6">
        <v>332</v>
      </c>
      <c r="C334" s="6" t="s">
        <v>47</v>
      </c>
      <c r="D334" s="7" t="s">
        <v>37</v>
      </c>
      <c r="E334" s="7">
        <v>131</v>
      </c>
      <c r="F334" s="50">
        <v>0</v>
      </c>
      <c r="G334" s="49">
        <v>0</v>
      </c>
      <c r="H334" s="49">
        <v>0</v>
      </c>
      <c r="I334" s="49">
        <v>0</v>
      </c>
      <c r="J334" s="49">
        <v>0</v>
      </c>
      <c r="K334" s="49">
        <v>0</v>
      </c>
      <c r="L334" s="49">
        <v>0</v>
      </c>
      <c r="M334" s="49">
        <v>0</v>
      </c>
      <c r="N334" s="49">
        <v>0</v>
      </c>
      <c r="O334" s="49">
        <v>0</v>
      </c>
      <c r="P334" s="49">
        <v>0</v>
      </c>
      <c r="Q334" s="49">
        <v>0</v>
      </c>
      <c r="R334" s="49">
        <f t="shared" si="18"/>
        <v>0</v>
      </c>
      <c r="S334" s="11"/>
    </row>
    <row r="335" spans="1:19" x14ac:dyDescent="0.25">
      <c r="A335" s="6">
        <v>333</v>
      </c>
      <c r="C335" s="6" t="s">
        <v>48</v>
      </c>
      <c r="D335" s="7" t="s">
        <v>39</v>
      </c>
      <c r="E335" s="7">
        <v>131</v>
      </c>
      <c r="F335" s="50">
        <v>0</v>
      </c>
      <c r="G335" s="49">
        <v>0</v>
      </c>
      <c r="H335" s="49">
        <v>0</v>
      </c>
      <c r="I335" s="49">
        <v>0</v>
      </c>
      <c r="J335" s="49">
        <v>0</v>
      </c>
      <c r="K335" s="49">
        <v>0</v>
      </c>
      <c r="L335" s="49">
        <v>0</v>
      </c>
      <c r="M335" s="49">
        <v>0</v>
      </c>
      <c r="N335" s="49">
        <v>0</v>
      </c>
      <c r="O335" s="49">
        <v>0</v>
      </c>
      <c r="P335" s="49">
        <v>0</v>
      </c>
      <c r="Q335" s="49">
        <v>0</v>
      </c>
      <c r="R335" s="49">
        <f t="shared" si="18"/>
        <v>0</v>
      </c>
      <c r="S335" s="11"/>
    </row>
    <row r="336" spans="1:19" x14ac:dyDescent="0.25">
      <c r="A336" s="6">
        <v>334</v>
      </c>
      <c r="C336" s="6" t="s">
        <v>49</v>
      </c>
      <c r="D336" s="7" t="s">
        <v>50</v>
      </c>
      <c r="E336" s="7">
        <v>131</v>
      </c>
      <c r="F336" s="50">
        <v>0</v>
      </c>
      <c r="G336" s="49">
        <v>0</v>
      </c>
      <c r="H336" s="49">
        <v>0</v>
      </c>
      <c r="I336" s="49">
        <v>0</v>
      </c>
      <c r="J336" s="49">
        <v>0</v>
      </c>
      <c r="K336" s="49">
        <v>0</v>
      </c>
      <c r="L336" s="49">
        <v>0</v>
      </c>
      <c r="M336" s="49">
        <v>0</v>
      </c>
      <c r="N336" s="49">
        <v>0</v>
      </c>
      <c r="O336" s="49">
        <v>0</v>
      </c>
      <c r="P336" s="49">
        <v>0</v>
      </c>
      <c r="Q336" s="49">
        <v>0</v>
      </c>
      <c r="R336" s="49">
        <f t="shared" si="18"/>
        <v>0</v>
      </c>
      <c r="S336" s="11"/>
    </row>
    <row r="337" spans="1:19" x14ac:dyDescent="0.25">
      <c r="A337" s="6">
        <v>335</v>
      </c>
      <c r="C337" s="27" t="s">
        <v>278</v>
      </c>
      <c r="D337" s="7" t="s">
        <v>51</v>
      </c>
      <c r="E337" s="7">
        <v>131</v>
      </c>
      <c r="F337" s="50">
        <v>0</v>
      </c>
      <c r="G337" s="49">
        <v>0</v>
      </c>
      <c r="H337" s="49">
        <v>0</v>
      </c>
      <c r="I337" s="49">
        <v>0</v>
      </c>
      <c r="J337" s="49">
        <v>0</v>
      </c>
      <c r="K337" s="49">
        <v>0</v>
      </c>
      <c r="L337" s="49">
        <v>0</v>
      </c>
      <c r="M337" s="49">
        <v>0</v>
      </c>
      <c r="N337" s="49">
        <v>0</v>
      </c>
      <c r="O337" s="49">
        <v>0</v>
      </c>
      <c r="P337" s="49">
        <v>0</v>
      </c>
      <c r="Q337" s="49">
        <v>0</v>
      </c>
      <c r="R337" s="49">
        <f t="shared" si="18"/>
        <v>0</v>
      </c>
      <c r="S337" s="11"/>
    </row>
    <row r="338" spans="1:19" x14ac:dyDescent="0.25">
      <c r="A338" s="6">
        <v>336</v>
      </c>
      <c r="C338" s="6" t="s">
        <v>80</v>
      </c>
      <c r="D338" s="7" t="s">
        <v>79</v>
      </c>
      <c r="E338" s="7">
        <v>131</v>
      </c>
      <c r="F338" s="50">
        <v>0</v>
      </c>
      <c r="G338" s="49">
        <v>0</v>
      </c>
      <c r="H338" s="49">
        <v>0</v>
      </c>
      <c r="I338" s="49">
        <v>0</v>
      </c>
      <c r="J338" s="49">
        <v>0</v>
      </c>
      <c r="K338" s="49">
        <v>0</v>
      </c>
      <c r="L338" s="49">
        <v>0</v>
      </c>
      <c r="M338" s="49">
        <v>0</v>
      </c>
      <c r="N338" s="49">
        <v>0</v>
      </c>
      <c r="O338" s="49">
        <v>0</v>
      </c>
      <c r="P338" s="49">
        <v>0</v>
      </c>
      <c r="Q338" s="49">
        <v>0</v>
      </c>
      <c r="R338" s="49">
        <f t="shared" si="18"/>
        <v>0</v>
      </c>
      <c r="S338" s="11"/>
    </row>
    <row r="339" spans="1:19" x14ac:dyDescent="0.25">
      <c r="A339" s="6">
        <v>337</v>
      </c>
      <c r="C339" s="6" t="s">
        <v>13</v>
      </c>
      <c r="D339" s="7" t="s">
        <v>52</v>
      </c>
      <c r="E339" s="7">
        <v>131</v>
      </c>
      <c r="F339" s="50">
        <v>0</v>
      </c>
      <c r="G339" s="49">
        <v>0</v>
      </c>
      <c r="H339" s="49">
        <v>0</v>
      </c>
      <c r="I339" s="49">
        <v>0</v>
      </c>
      <c r="J339" s="49">
        <v>0</v>
      </c>
      <c r="K339" s="49">
        <v>0</v>
      </c>
      <c r="L339" s="49">
        <v>0</v>
      </c>
      <c r="M339" s="49">
        <v>0</v>
      </c>
      <c r="N339" s="49">
        <v>0</v>
      </c>
      <c r="O339" s="49">
        <v>0</v>
      </c>
      <c r="P339" s="49">
        <v>0</v>
      </c>
      <c r="Q339" s="49">
        <v>0</v>
      </c>
      <c r="R339" s="49">
        <f t="shared" si="18"/>
        <v>0</v>
      </c>
      <c r="S339" s="11"/>
    </row>
    <row r="340" spans="1:19" x14ac:dyDescent="0.25">
      <c r="A340" s="6">
        <v>338</v>
      </c>
      <c r="C340" s="6" t="s">
        <v>55</v>
      </c>
      <c r="D340" s="7" t="s">
        <v>41</v>
      </c>
      <c r="E340" s="7">
        <v>131</v>
      </c>
      <c r="F340" s="50">
        <v>-20142.849999999999</v>
      </c>
      <c r="G340" s="49">
        <v>-20770.34</v>
      </c>
      <c r="H340" s="49">
        <v>-19696.48</v>
      </c>
      <c r="I340" s="49">
        <v>-20891.37</v>
      </c>
      <c r="J340" s="49">
        <v>-20080.14</v>
      </c>
      <c r="K340" s="49">
        <v>-19922.759999999998</v>
      </c>
      <c r="L340" s="49">
        <v>-18609.68</v>
      </c>
      <c r="M340" s="49">
        <v>-18817.62</v>
      </c>
      <c r="N340" s="49">
        <v>-18435.36</v>
      </c>
      <c r="O340" s="49">
        <v>-20087.57</v>
      </c>
      <c r="P340" s="49">
        <v>-15354.19</v>
      </c>
      <c r="Q340" s="49">
        <v>-17577.490000000002</v>
      </c>
      <c r="R340" s="49">
        <f t="shared" si="18"/>
        <v>-230385.84999999998</v>
      </c>
      <c r="S340" s="11"/>
    </row>
    <row r="341" spans="1:19" x14ac:dyDescent="0.25">
      <c r="A341" s="6">
        <v>339</v>
      </c>
      <c r="C341" s="6" t="s">
        <v>56</v>
      </c>
      <c r="D341" s="7" t="s">
        <v>43</v>
      </c>
      <c r="E341" s="7">
        <v>131</v>
      </c>
      <c r="F341" s="50">
        <v>20770.34</v>
      </c>
      <c r="G341" s="49">
        <v>19696.48</v>
      </c>
      <c r="H341" s="49">
        <v>20891.37</v>
      </c>
      <c r="I341" s="49">
        <v>20080.14</v>
      </c>
      <c r="J341" s="49">
        <v>19922.759999999998</v>
      </c>
      <c r="K341" s="49">
        <v>18609.68</v>
      </c>
      <c r="L341" s="49">
        <v>18817.62</v>
      </c>
      <c r="M341" s="49">
        <v>18435.36</v>
      </c>
      <c r="N341" s="49">
        <v>20087.57</v>
      </c>
      <c r="O341" s="49">
        <v>15354.19</v>
      </c>
      <c r="P341" s="49">
        <v>17577.490000000002</v>
      </c>
      <c r="Q341" s="49">
        <v>21676.04</v>
      </c>
      <c r="R341" s="49">
        <f t="shared" si="18"/>
        <v>231919.04</v>
      </c>
      <c r="S341" s="11"/>
    </row>
    <row r="342" spans="1:19" x14ac:dyDescent="0.25">
      <c r="A342" s="6">
        <v>340</v>
      </c>
      <c r="C342" s="6" t="s">
        <v>30</v>
      </c>
      <c r="D342" s="7" t="s">
        <v>44</v>
      </c>
      <c r="E342" s="7">
        <v>131</v>
      </c>
      <c r="F342" s="50">
        <v>20770.34</v>
      </c>
      <c r="G342" s="49">
        <v>19696.48</v>
      </c>
      <c r="H342" s="49">
        <v>20891.37</v>
      </c>
      <c r="I342" s="49">
        <v>20080.14</v>
      </c>
      <c r="J342" s="49">
        <v>19922.759999999998</v>
      </c>
      <c r="K342" s="49">
        <v>18609.68</v>
      </c>
      <c r="L342" s="49">
        <v>18817.62</v>
      </c>
      <c r="M342" s="49">
        <v>18435.36</v>
      </c>
      <c r="N342" s="49">
        <v>24588.86</v>
      </c>
      <c r="O342" s="49">
        <v>15354.19</v>
      </c>
      <c r="P342" s="49">
        <v>17577.490000000002</v>
      </c>
      <c r="Q342" s="49">
        <v>21676.04</v>
      </c>
      <c r="R342" s="49">
        <f t="shared" si="18"/>
        <v>236420.33</v>
      </c>
      <c r="S342" s="11"/>
    </row>
    <row r="343" spans="1:19" x14ac:dyDescent="0.25">
      <c r="A343" s="6">
        <v>341</v>
      </c>
      <c r="C343" s="10" t="s">
        <v>45</v>
      </c>
      <c r="F343" s="50"/>
      <c r="G343" s="49"/>
      <c r="H343" s="49"/>
      <c r="I343" s="49"/>
      <c r="J343" s="49"/>
      <c r="K343" s="49"/>
      <c r="L343" s="49"/>
      <c r="M343" s="49"/>
      <c r="N343" s="49"/>
      <c r="O343" s="49"/>
      <c r="P343" s="49"/>
      <c r="Q343" s="49"/>
      <c r="R343" s="49"/>
      <c r="S343" s="11"/>
    </row>
    <row r="344" spans="1:19" x14ac:dyDescent="0.25">
      <c r="A344" s="6">
        <v>342</v>
      </c>
      <c r="F344" s="50"/>
      <c r="G344" s="49"/>
      <c r="H344" s="49"/>
      <c r="I344" s="49"/>
      <c r="J344" s="49"/>
      <c r="K344" s="49"/>
      <c r="L344" s="49"/>
      <c r="M344" s="49"/>
      <c r="N344" s="49"/>
      <c r="O344" s="49"/>
      <c r="P344" s="49"/>
      <c r="Q344" s="49"/>
      <c r="R344" s="49"/>
      <c r="S344" s="11"/>
    </row>
    <row r="345" spans="1:19" x14ac:dyDescent="0.25">
      <c r="A345" s="6">
        <v>343</v>
      </c>
      <c r="B345" s="26" t="s">
        <v>110</v>
      </c>
      <c r="C345" s="15" t="s">
        <v>109</v>
      </c>
      <c r="D345" s="7" t="s">
        <v>34</v>
      </c>
      <c r="E345" s="7">
        <v>89</v>
      </c>
      <c r="F345" s="50"/>
      <c r="G345" s="49"/>
      <c r="H345" s="49"/>
      <c r="I345" s="49"/>
      <c r="J345" s="49"/>
      <c r="K345" s="49"/>
      <c r="L345" s="49"/>
      <c r="M345" s="49"/>
      <c r="N345" s="49"/>
      <c r="O345" s="49"/>
      <c r="P345" s="49"/>
      <c r="Q345" s="49"/>
      <c r="R345" s="49"/>
      <c r="S345" s="11"/>
    </row>
    <row r="346" spans="1:19" x14ac:dyDescent="0.25">
      <c r="A346" s="6">
        <v>344</v>
      </c>
      <c r="B346" s="26" t="s">
        <v>108</v>
      </c>
      <c r="C346" s="6" t="s">
        <v>31</v>
      </c>
      <c r="D346" s="7" t="s">
        <v>35</v>
      </c>
      <c r="E346" s="7">
        <v>89</v>
      </c>
      <c r="F346" s="50">
        <v>0</v>
      </c>
      <c r="G346" s="49">
        <v>0</v>
      </c>
      <c r="H346" s="49">
        <v>0</v>
      </c>
      <c r="I346" s="49">
        <v>0</v>
      </c>
      <c r="J346" s="49">
        <v>0</v>
      </c>
      <c r="K346" s="49">
        <v>0</v>
      </c>
      <c r="L346" s="49">
        <v>0</v>
      </c>
      <c r="M346" s="49">
        <v>0</v>
      </c>
      <c r="N346" s="49">
        <v>0</v>
      </c>
      <c r="O346" s="49">
        <v>15312916</v>
      </c>
      <c r="P346" s="49">
        <v>7714309</v>
      </c>
      <c r="Q346" s="49">
        <v>76766</v>
      </c>
      <c r="R346" s="49">
        <f t="shared" si="18"/>
        <v>23103991</v>
      </c>
      <c r="S346" s="11"/>
    </row>
    <row r="347" spans="1:19" x14ac:dyDescent="0.25">
      <c r="A347" s="6">
        <v>345</v>
      </c>
      <c r="B347" s="25">
        <v>4863</v>
      </c>
      <c r="C347" s="6" t="s">
        <v>36</v>
      </c>
      <c r="D347" s="7" t="s">
        <v>37</v>
      </c>
      <c r="E347" s="7">
        <v>89</v>
      </c>
      <c r="F347" s="50">
        <v>0</v>
      </c>
      <c r="G347" s="49">
        <v>0</v>
      </c>
      <c r="H347" s="49">
        <v>0</v>
      </c>
      <c r="I347" s="49">
        <v>0</v>
      </c>
      <c r="J347" s="49">
        <v>0</v>
      </c>
      <c r="K347" s="49">
        <v>0</v>
      </c>
      <c r="L347" s="49">
        <v>0</v>
      </c>
      <c r="M347" s="49">
        <v>0</v>
      </c>
      <c r="N347" s="49">
        <v>0</v>
      </c>
      <c r="O347" s="49">
        <v>0</v>
      </c>
      <c r="P347" s="49">
        <v>0</v>
      </c>
      <c r="Q347" s="49">
        <v>0</v>
      </c>
      <c r="R347" s="49">
        <f t="shared" si="18"/>
        <v>0</v>
      </c>
      <c r="S347" s="11"/>
    </row>
    <row r="348" spans="1:19" x14ac:dyDescent="0.25">
      <c r="A348" s="6">
        <v>346</v>
      </c>
      <c r="C348" s="6" t="s">
        <v>38</v>
      </c>
      <c r="D348" s="7" t="s">
        <v>39</v>
      </c>
      <c r="E348" s="7">
        <v>89</v>
      </c>
      <c r="F348" s="50">
        <v>0</v>
      </c>
      <c r="G348" s="49">
        <v>0</v>
      </c>
      <c r="H348" s="49">
        <v>0</v>
      </c>
      <c r="I348" s="49">
        <v>0</v>
      </c>
      <c r="J348" s="49">
        <v>0</v>
      </c>
      <c r="K348" s="49">
        <v>0</v>
      </c>
      <c r="L348" s="49">
        <v>0</v>
      </c>
      <c r="M348" s="49">
        <v>0</v>
      </c>
      <c r="N348" s="49">
        <v>0</v>
      </c>
      <c r="O348" s="49">
        <v>0</v>
      </c>
      <c r="P348" s="49">
        <v>0</v>
      </c>
      <c r="Q348" s="49">
        <v>0</v>
      </c>
      <c r="R348" s="49">
        <f t="shared" si="18"/>
        <v>0</v>
      </c>
      <c r="S348" s="11"/>
    </row>
    <row r="349" spans="1:19" x14ac:dyDescent="0.25">
      <c r="A349" s="6">
        <v>347</v>
      </c>
      <c r="C349" s="6" t="s">
        <v>40</v>
      </c>
      <c r="D349" s="7" t="s">
        <v>41</v>
      </c>
      <c r="E349" s="7">
        <v>89</v>
      </c>
      <c r="F349" s="50">
        <v>0</v>
      </c>
      <c r="G349" s="49">
        <v>0</v>
      </c>
      <c r="H349" s="49">
        <v>0</v>
      </c>
      <c r="I349" s="49">
        <v>0</v>
      </c>
      <c r="J349" s="49">
        <v>0</v>
      </c>
      <c r="K349" s="49">
        <v>0</v>
      </c>
      <c r="L349" s="49">
        <v>0</v>
      </c>
      <c r="M349" s="49">
        <v>0</v>
      </c>
      <c r="N349" s="49">
        <v>0</v>
      </c>
      <c r="O349" s="49">
        <v>-15312916</v>
      </c>
      <c r="P349" s="49">
        <v>-7714309</v>
      </c>
      <c r="Q349" s="49">
        <v>-76766</v>
      </c>
      <c r="R349" s="49">
        <f t="shared" si="18"/>
        <v>-23103991</v>
      </c>
      <c r="S349" s="11"/>
    </row>
    <row r="350" spans="1:19" x14ac:dyDescent="0.25">
      <c r="A350" s="6">
        <v>348</v>
      </c>
      <c r="C350" s="6" t="s">
        <v>42</v>
      </c>
      <c r="D350" s="7" t="s">
        <v>43</v>
      </c>
      <c r="E350" s="7">
        <v>89</v>
      </c>
      <c r="F350" s="50">
        <v>0</v>
      </c>
      <c r="G350" s="49">
        <v>0</v>
      </c>
      <c r="H350" s="49">
        <v>0</v>
      </c>
      <c r="I350" s="49">
        <v>0</v>
      </c>
      <c r="J350" s="49">
        <v>0</v>
      </c>
      <c r="K350" s="49">
        <v>0</v>
      </c>
      <c r="L350" s="49">
        <v>0</v>
      </c>
      <c r="M350" s="49">
        <v>0</v>
      </c>
      <c r="N350" s="49">
        <v>15312916</v>
      </c>
      <c r="O350" s="49">
        <v>7714309</v>
      </c>
      <c r="P350" s="49">
        <v>76766</v>
      </c>
      <c r="Q350" s="49">
        <v>14382579</v>
      </c>
      <c r="R350" s="49">
        <f t="shared" si="18"/>
        <v>37486570</v>
      </c>
      <c r="S350" s="11"/>
    </row>
    <row r="351" spans="1:19" x14ac:dyDescent="0.25">
      <c r="A351" s="6">
        <v>349</v>
      </c>
      <c r="C351" s="6" t="s">
        <v>33</v>
      </c>
      <c r="D351" s="7" t="s">
        <v>44</v>
      </c>
      <c r="E351" s="7">
        <v>89</v>
      </c>
      <c r="F351" s="50">
        <v>0</v>
      </c>
      <c r="G351" s="49">
        <v>0</v>
      </c>
      <c r="H351" s="49">
        <v>0</v>
      </c>
      <c r="I351" s="49">
        <v>0</v>
      </c>
      <c r="J351" s="49">
        <v>0</v>
      </c>
      <c r="K351" s="49">
        <v>0</v>
      </c>
      <c r="L351" s="49">
        <v>0</v>
      </c>
      <c r="M351" s="49">
        <v>0</v>
      </c>
      <c r="N351" s="49">
        <v>15312916</v>
      </c>
      <c r="O351" s="49">
        <v>7714309</v>
      </c>
      <c r="P351" s="49">
        <v>76766</v>
      </c>
      <c r="Q351" s="49">
        <v>14382579</v>
      </c>
      <c r="R351" s="49">
        <f t="shared" si="18"/>
        <v>37486570</v>
      </c>
      <c r="S351" s="11"/>
    </row>
    <row r="352" spans="1:19" x14ac:dyDescent="0.25">
      <c r="A352" s="6">
        <v>350</v>
      </c>
      <c r="C352" s="10" t="s">
        <v>45</v>
      </c>
      <c r="F352" s="50"/>
      <c r="G352" s="49"/>
      <c r="H352" s="49"/>
      <c r="I352" s="49"/>
      <c r="J352" s="49"/>
      <c r="K352" s="49"/>
      <c r="L352" s="49"/>
      <c r="M352" s="49"/>
      <c r="N352" s="49"/>
      <c r="O352" s="49"/>
      <c r="P352" s="49"/>
      <c r="Q352" s="49"/>
      <c r="R352" s="49">
        <f t="shared" si="18"/>
        <v>0</v>
      </c>
      <c r="S352" s="11"/>
    </row>
    <row r="353" spans="1:19" x14ac:dyDescent="0.25">
      <c r="A353" s="6">
        <v>351</v>
      </c>
      <c r="C353" s="6" t="s">
        <v>46</v>
      </c>
      <c r="D353" s="7" t="s">
        <v>35</v>
      </c>
      <c r="E353" s="7">
        <v>133</v>
      </c>
      <c r="F353" s="50">
        <v>522.35</v>
      </c>
      <c r="G353" s="50">
        <v>522.35</v>
      </c>
      <c r="H353" s="50">
        <v>522.35</v>
      </c>
      <c r="I353" s="50">
        <v>522.35</v>
      </c>
      <c r="J353" s="50">
        <v>522.35</v>
      </c>
      <c r="K353" s="50">
        <v>522.35</v>
      </c>
      <c r="L353" s="50">
        <v>522.35</v>
      </c>
      <c r="M353" s="50">
        <v>522.35</v>
      </c>
      <c r="N353" s="50">
        <v>652.69000000000005</v>
      </c>
      <c r="O353" s="50">
        <v>208974.45</v>
      </c>
      <c r="P353" s="50">
        <v>164395.32999999999</v>
      </c>
      <c r="Q353" s="50">
        <v>114319.36</v>
      </c>
      <c r="R353" s="49">
        <f t="shared" si="18"/>
        <v>492520.63</v>
      </c>
      <c r="S353" s="11"/>
    </row>
    <row r="354" spans="1:19" x14ac:dyDescent="0.25">
      <c r="A354" s="6">
        <v>352</v>
      </c>
      <c r="C354" s="6" t="s">
        <v>47</v>
      </c>
      <c r="D354" s="7" t="s">
        <v>37</v>
      </c>
      <c r="E354" s="7">
        <v>133</v>
      </c>
      <c r="F354" s="50">
        <v>0</v>
      </c>
      <c r="G354" s="50">
        <v>0</v>
      </c>
      <c r="H354" s="50">
        <v>0</v>
      </c>
      <c r="I354" s="50">
        <v>0</v>
      </c>
      <c r="J354" s="50">
        <v>0</v>
      </c>
      <c r="K354" s="50">
        <v>0</v>
      </c>
      <c r="L354" s="50">
        <v>0</v>
      </c>
      <c r="M354" s="50">
        <v>0</v>
      </c>
      <c r="N354" s="50">
        <v>0</v>
      </c>
      <c r="O354" s="50">
        <v>0</v>
      </c>
      <c r="P354" s="50">
        <v>0</v>
      </c>
      <c r="Q354" s="50">
        <v>0</v>
      </c>
      <c r="R354" s="49">
        <f t="shared" ref="R354:R417" si="19">SUM(F354:Q354)</f>
        <v>0</v>
      </c>
      <c r="S354" s="11"/>
    </row>
    <row r="355" spans="1:19" x14ac:dyDescent="0.25">
      <c r="A355" s="6">
        <v>353</v>
      </c>
      <c r="C355" s="6" t="s">
        <v>48</v>
      </c>
      <c r="D355" s="7" t="s">
        <v>39</v>
      </c>
      <c r="E355" s="7">
        <v>133</v>
      </c>
      <c r="F355" s="50">
        <v>0</v>
      </c>
      <c r="G355" s="50">
        <v>0</v>
      </c>
      <c r="H355" s="50">
        <v>0</v>
      </c>
      <c r="I355" s="50">
        <v>0</v>
      </c>
      <c r="J355" s="50">
        <v>0</v>
      </c>
      <c r="K355" s="50">
        <v>0</v>
      </c>
      <c r="L355" s="50">
        <v>0</v>
      </c>
      <c r="M355" s="50">
        <v>0</v>
      </c>
      <c r="N355" s="50">
        <v>0</v>
      </c>
      <c r="O355" s="50">
        <v>0</v>
      </c>
      <c r="P355" s="50">
        <v>0</v>
      </c>
      <c r="Q355" s="50">
        <v>0</v>
      </c>
      <c r="R355" s="49">
        <f t="shared" si="19"/>
        <v>0</v>
      </c>
    </row>
    <row r="356" spans="1:19" x14ac:dyDescent="0.25">
      <c r="A356" s="6">
        <v>354</v>
      </c>
      <c r="C356" s="6" t="s">
        <v>49</v>
      </c>
      <c r="D356" s="7" t="s">
        <v>50</v>
      </c>
      <c r="E356" s="7">
        <v>133</v>
      </c>
      <c r="F356" s="50">
        <v>0</v>
      </c>
      <c r="G356" s="50">
        <v>0</v>
      </c>
      <c r="H356" s="50">
        <v>0</v>
      </c>
      <c r="I356" s="50">
        <v>0</v>
      </c>
      <c r="J356" s="50">
        <v>0</v>
      </c>
      <c r="K356" s="50">
        <v>0</v>
      </c>
      <c r="L356" s="50">
        <v>0</v>
      </c>
      <c r="M356" s="50">
        <v>0</v>
      </c>
      <c r="N356" s="50">
        <v>0</v>
      </c>
      <c r="O356" s="50">
        <v>0</v>
      </c>
      <c r="P356" s="50">
        <v>0</v>
      </c>
      <c r="Q356" s="50">
        <v>0</v>
      </c>
      <c r="R356" s="49">
        <f t="shared" si="19"/>
        <v>0</v>
      </c>
    </row>
    <row r="357" spans="1:19" x14ac:dyDescent="0.25">
      <c r="A357" s="6">
        <v>355</v>
      </c>
      <c r="C357" s="27" t="s">
        <v>278</v>
      </c>
      <c r="D357" s="7" t="s">
        <v>51</v>
      </c>
      <c r="E357" s="7">
        <v>133</v>
      </c>
      <c r="F357" s="50">
        <v>-3976.78</v>
      </c>
      <c r="G357" s="50">
        <v>-770.43</v>
      </c>
      <c r="H357" s="50">
        <v>-1939</v>
      </c>
      <c r="I357" s="50">
        <v>-2901.66</v>
      </c>
      <c r="J357" s="50">
        <v>-1279.55</v>
      </c>
      <c r="K357" s="50">
        <v>-2438.79</v>
      </c>
      <c r="L357" s="50">
        <v>-2038.07</v>
      </c>
      <c r="M357" s="50">
        <v>36478.559999999998</v>
      </c>
      <c r="N357" s="50">
        <v>35412.549999999996</v>
      </c>
      <c r="O357" s="50">
        <v>-96890.25999999998</v>
      </c>
      <c r="P357" s="50">
        <v>-3574.98</v>
      </c>
      <c r="Q357" s="50">
        <v>-41.66</v>
      </c>
      <c r="R357" s="49">
        <f t="shared" si="19"/>
        <v>-43960.069999999992</v>
      </c>
    </row>
    <row r="358" spans="1:19" x14ac:dyDescent="0.25">
      <c r="A358" s="6">
        <v>356</v>
      </c>
      <c r="C358" s="6" t="s">
        <v>80</v>
      </c>
      <c r="D358" s="7" t="s">
        <v>79</v>
      </c>
      <c r="E358" s="7">
        <v>133</v>
      </c>
      <c r="F358" s="50">
        <v>0</v>
      </c>
      <c r="G358" s="50">
        <v>0</v>
      </c>
      <c r="H358" s="50">
        <v>0</v>
      </c>
      <c r="I358" s="50">
        <v>0</v>
      </c>
      <c r="J358" s="50">
        <v>0</v>
      </c>
      <c r="K358" s="50">
        <v>0</v>
      </c>
      <c r="L358" s="50">
        <v>0</v>
      </c>
      <c r="M358" s="50">
        <v>0</v>
      </c>
      <c r="N358" s="50">
        <v>0</v>
      </c>
      <c r="O358" s="50">
        <v>0</v>
      </c>
      <c r="P358" s="50">
        <v>0</v>
      </c>
      <c r="Q358" s="50">
        <v>0</v>
      </c>
      <c r="R358" s="49">
        <f t="shared" si="19"/>
        <v>0</v>
      </c>
    </row>
    <row r="359" spans="1:19" x14ac:dyDescent="0.25">
      <c r="A359" s="6">
        <v>357</v>
      </c>
      <c r="C359" s="6" t="s">
        <v>13</v>
      </c>
      <c r="D359" s="7" t="s">
        <v>52</v>
      </c>
      <c r="E359" s="7">
        <v>133</v>
      </c>
      <c r="F359" s="50">
        <v>0</v>
      </c>
      <c r="G359" s="50">
        <v>0</v>
      </c>
      <c r="H359" s="50">
        <v>0</v>
      </c>
      <c r="I359" s="50">
        <v>0</v>
      </c>
      <c r="J359" s="50">
        <v>0</v>
      </c>
      <c r="K359" s="50">
        <v>0</v>
      </c>
      <c r="L359" s="50">
        <v>0</v>
      </c>
      <c r="M359" s="50">
        <v>0</v>
      </c>
      <c r="N359" s="50">
        <v>0</v>
      </c>
      <c r="O359" s="50">
        <v>0</v>
      </c>
      <c r="P359" s="50">
        <v>0</v>
      </c>
      <c r="Q359" s="50">
        <v>0</v>
      </c>
      <c r="R359" s="49">
        <f t="shared" si="19"/>
        <v>0</v>
      </c>
    </row>
    <row r="360" spans="1:19" x14ac:dyDescent="0.25">
      <c r="A360" s="6">
        <v>358</v>
      </c>
      <c r="C360" s="6" t="s">
        <v>55</v>
      </c>
      <c r="D360" s="7" t="s">
        <v>41</v>
      </c>
      <c r="E360" s="7">
        <v>133</v>
      </c>
      <c r="F360" s="50">
        <v>-522.35</v>
      </c>
      <c r="G360" s="50">
        <v>-522.35</v>
      </c>
      <c r="H360" s="50">
        <v>-522.35</v>
      </c>
      <c r="I360" s="50">
        <v>-522.35</v>
      </c>
      <c r="J360" s="50">
        <v>-522.35</v>
      </c>
      <c r="K360" s="50">
        <v>-522.35</v>
      </c>
      <c r="L360" s="50">
        <v>-522.35</v>
      </c>
      <c r="M360" s="50">
        <v>-522.35</v>
      </c>
      <c r="N360" s="50">
        <v>-652.92999999999995</v>
      </c>
      <c r="O360" s="50">
        <v>-204839.96</v>
      </c>
      <c r="P360" s="50">
        <v>-162312.47</v>
      </c>
      <c r="Q360" s="50">
        <v>-114298.63</v>
      </c>
      <c r="R360" s="49">
        <f t="shared" si="19"/>
        <v>-486282.79000000004</v>
      </c>
    </row>
    <row r="361" spans="1:19" x14ac:dyDescent="0.25">
      <c r="A361" s="6">
        <v>359</v>
      </c>
      <c r="C361" s="6" t="s">
        <v>56</v>
      </c>
      <c r="D361" s="7" t="s">
        <v>43</v>
      </c>
      <c r="E361" s="7">
        <v>133</v>
      </c>
      <c r="F361" s="50">
        <v>522.35</v>
      </c>
      <c r="G361" s="50">
        <v>522.35</v>
      </c>
      <c r="H361" s="50">
        <v>522.35</v>
      </c>
      <c r="I361" s="50">
        <v>522.35</v>
      </c>
      <c r="J361" s="50">
        <v>522.35</v>
      </c>
      <c r="K361" s="50">
        <v>522.35</v>
      </c>
      <c r="L361" s="50">
        <v>522.35</v>
      </c>
      <c r="M361" s="50">
        <v>652.92999999999995</v>
      </c>
      <c r="N361" s="50">
        <v>204839.96000000002</v>
      </c>
      <c r="O361" s="50">
        <v>162312.47000000003</v>
      </c>
      <c r="P361" s="50">
        <v>114298.63</v>
      </c>
      <c r="Q361" s="50">
        <v>213152.71</v>
      </c>
      <c r="R361" s="49">
        <f t="shared" si="19"/>
        <v>698913.15</v>
      </c>
    </row>
    <row r="362" spans="1:19" x14ac:dyDescent="0.25">
      <c r="A362" s="6">
        <v>360</v>
      </c>
      <c r="C362" s="6" t="s">
        <v>30</v>
      </c>
      <c r="D362" s="7" t="s">
        <v>44</v>
      </c>
      <c r="E362" s="7">
        <v>133</v>
      </c>
      <c r="F362" s="50">
        <f>SUM(F353:F361)</f>
        <v>-3454.4300000000003</v>
      </c>
      <c r="G362" s="50">
        <f t="shared" ref="G362:Q362" si="20">SUM(G353:G361)</f>
        <v>-248.07999999999993</v>
      </c>
      <c r="H362" s="50">
        <f t="shared" si="20"/>
        <v>-1416.65</v>
      </c>
      <c r="I362" s="50">
        <f t="shared" si="20"/>
        <v>-2379.31</v>
      </c>
      <c r="J362" s="50">
        <f t="shared" si="20"/>
        <v>-757.19999999999993</v>
      </c>
      <c r="K362" s="50">
        <f t="shared" si="20"/>
        <v>-1916.44</v>
      </c>
      <c r="L362" s="50">
        <f t="shared" si="20"/>
        <v>-1515.7199999999998</v>
      </c>
      <c r="M362" s="50">
        <f t="shared" si="20"/>
        <v>37131.49</v>
      </c>
      <c r="N362" s="50">
        <f t="shared" si="20"/>
        <v>240252.27000000002</v>
      </c>
      <c r="O362" s="50">
        <f t="shared" si="20"/>
        <v>69556.70000000007</v>
      </c>
      <c r="P362" s="50">
        <f t="shared" si="20"/>
        <v>112806.50999999998</v>
      </c>
      <c r="Q362" s="50">
        <f t="shared" si="20"/>
        <v>213131.77999999997</v>
      </c>
      <c r="R362" s="50">
        <f>SUM(F362:Q362)</f>
        <v>661190.91999999993</v>
      </c>
    </row>
    <row r="363" spans="1:19" x14ac:dyDescent="0.25">
      <c r="A363" s="6">
        <v>361</v>
      </c>
      <c r="C363" s="10" t="s">
        <v>45</v>
      </c>
      <c r="F363" s="50"/>
      <c r="G363" s="50"/>
      <c r="H363" s="50"/>
      <c r="I363" s="50"/>
      <c r="J363" s="50"/>
      <c r="K363" s="50"/>
      <c r="L363" s="50"/>
      <c r="M363" s="50"/>
      <c r="N363" s="50"/>
      <c r="O363" s="50"/>
      <c r="P363" s="50"/>
      <c r="Q363" s="50"/>
      <c r="R363" s="49"/>
    </row>
    <row r="364" spans="1:19" x14ac:dyDescent="0.25">
      <c r="A364" s="6">
        <v>362</v>
      </c>
      <c r="F364" s="50"/>
      <c r="G364" s="50"/>
      <c r="H364" s="50"/>
      <c r="I364" s="50"/>
      <c r="J364" s="50"/>
      <c r="K364" s="50"/>
      <c r="L364" s="50"/>
      <c r="M364" s="50"/>
      <c r="N364" s="50"/>
      <c r="O364" s="50"/>
      <c r="P364" s="50"/>
      <c r="Q364" s="50"/>
      <c r="R364" s="49"/>
    </row>
    <row r="365" spans="1:19" x14ac:dyDescent="0.25">
      <c r="A365" s="6">
        <v>363</v>
      </c>
      <c r="C365" s="15" t="s">
        <v>107</v>
      </c>
      <c r="D365" s="7" t="s">
        <v>34</v>
      </c>
      <c r="E365" s="7">
        <v>90</v>
      </c>
      <c r="F365" s="50"/>
      <c r="G365" s="50"/>
      <c r="H365" s="50"/>
      <c r="I365" s="50"/>
      <c r="J365" s="50"/>
      <c r="K365" s="50"/>
      <c r="L365" s="50"/>
      <c r="M365" s="50"/>
      <c r="N365" s="50"/>
      <c r="O365" s="50"/>
      <c r="P365" s="50"/>
      <c r="Q365" s="50"/>
      <c r="R365" s="49"/>
    </row>
    <row r="366" spans="1:19" x14ac:dyDescent="0.25">
      <c r="A366" s="6">
        <v>364</v>
      </c>
      <c r="C366" s="6" t="s">
        <v>31</v>
      </c>
      <c r="D366" s="7" t="s">
        <v>35</v>
      </c>
      <c r="E366" s="7">
        <v>90</v>
      </c>
      <c r="F366" s="50">
        <v>5635115</v>
      </c>
      <c r="G366" s="50">
        <v>12759</v>
      </c>
      <c r="H366" s="50">
        <v>1944464</v>
      </c>
      <c r="I366" s="50">
        <v>1260898</v>
      </c>
      <c r="J366" s="50">
        <v>1654493</v>
      </c>
      <c r="K366" s="50">
        <v>1842853</v>
      </c>
      <c r="L366" s="50">
        <v>327896</v>
      </c>
      <c r="M366" s="50">
        <v>13280978</v>
      </c>
      <c r="N366" s="50">
        <v>12762544</v>
      </c>
      <c r="O366" s="50">
        <v>14381027</v>
      </c>
      <c r="P366" s="50">
        <v>4034082</v>
      </c>
      <c r="Q366" s="50">
        <v>28205</v>
      </c>
      <c r="R366" s="49">
        <f t="shared" si="19"/>
        <v>57165314</v>
      </c>
    </row>
    <row r="367" spans="1:19" x14ac:dyDescent="0.25">
      <c r="A367" s="6">
        <v>365</v>
      </c>
      <c r="C367" s="6" t="s">
        <v>36</v>
      </c>
      <c r="D367" s="7" t="s">
        <v>37</v>
      </c>
      <c r="E367" s="7">
        <v>90</v>
      </c>
      <c r="F367" s="50">
        <v>0</v>
      </c>
      <c r="G367" s="50">
        <v>0</v>
      </c>
      <c r="H367" s="50">
        <v>0</v>
      </c>
      <c r="I367" s="50">
        <v>0</v>
      </c>
      <c r="J367" s="50">
        <v>0</v>
      </c>
      <c r="K367" s="50">
        <v>0</v>
      </c>
      <c r="L367" s="50">
        <v>0</v>
      </c>
      <c r="M367" s="50">
        <v>0</v>
      </c>
      <c r="N367" s="50">
        <v>0</v>
      </c>
      <c r="O367" s="50">
        <v>0</v>
      </c>
      <c r="P367" s="50">
        <v>0</v>
      </c>
      <c r="Q367" s="50">
        <v>0</v>
      </c>
      <c r="R367" s="49">
        <f t="shared" si="19"/>
        <v>0</v>
      </c>
    </row>
    <row r="368" spans="1:19" x14ac:dyDescent="0.25">
      <c r="A368" s="6">
        <v>366</v>
      </c>
      <c r="C368" s="6" t="s">
        <v>38</v>
      </c>
      <c r="D368" s="7" t="s">
        <v>39</v>
      </c>
      <c r="E368" s="7">
        <v>90</v>
      </c>
      <c r="F368" s="50">
        <v>0</v>
      </c>
      <c r="G368" s="50">
        <v>0</v>
      </c>
      <c r="H368" s="50">
        <v>0</v>
      </c>
      <c r="I368" s="50">
        <v>0</v>
      </c>
      <c r="J368" s="50">
        <v>0</v>
      </c>
      <c r="K368" s="50">
        <v>0</v>
      </c>
      <c r="L368" s="50">
        <v>0</v>
      </c>
      <c r="M368" s="50">
        <v>0</v>
      </c>
      <c r="N368" s="50">
        <v>0</v>
      </c>
      <c r="O368" s="50">
        <v>0</v>
      </c>
      <c r="P368" s="50">
        <v>0</v>
      </c>
      <c r="Q368" s="50">
        <v>0</v>
      </c>
      <c r="R368" s="49">
        <f t="shared" si="19"/>
        <v>0</v>
      </c>
    </row>
    <row r="369" spans="1:18" x14ac:dyDescent="0.25">
      <c r="A369" s="6">
        <v>367</v>
      </c>
      <c r="C369" s="6" t="s">
        <v>40</v>
      </c>
      <c r="D369" s="7" t="s">
        <v>41</v>
      </c>
      <c r="E369" s="7">
        <v>90</v>
      </c>
      <c r="F369" s="50">
        <v>-5635115</v>
      </c>
      <c r="G369" s="50">
        <v>-12759</v>
      </c>
      <c r="H369" s="50">
        <v>-1944464</v>
      </c>
      <c r="I369" s="50">
        <v>-1260898</v>
      </c>
      <c r="J369" s="50">
        <v>-1654493</v>
      </c>
      <c r="K369" s="50">
        <v>-1842853</v>
      </c>
      <c r="L369" s="50">
        <v>-327896</v>
      </c>
      <c r="M369" s="50">
        <v>-13280978</v>
      </c>
      <c r="N369" s="50">
        <v>-12762544</v>
      </c>
      <c r="O369" s="50">
        <v>-14381027</v>
      </c>
      <c r="P369" s="50">
        <v>-4034082</v>
      </c>
      <c r="Q369" s="50">
        <v>-28205</v>
      </c>
      <c r="R369" s="49">
        <f t="shared" si="19"/>
        <v>-57165314</v>
      </c>
    </row>
    <row r="370" spans="1:18" x14ac:dyDescent="0.25">
      <c r="A370" s="6">
        <v>368</v>
      </c>
      <c r="C370" s="6" t="s">
        <v>42</v>
      </c>
      <c r="D370" s="7" t="s">
        <v>43</v>
      </c>
      <c r="E370" s="7">
        <v>90</v>
      </c>
      <c r="F370" s="50">
        <v>12759</v>
      </c>
      <c r="G370" s="50">
        <v>1944464</v>
      </c>
      <c r="H370" s="50">
        <v>1260898</v>
      </c>
      <c r="I370" s="50">
        <v>1654493</v>
      </c>
      <c r="J370" s="50">
        <v>1842853</v>
      </c>
      <c r="K370" s="50">
        <v>327896</v>
      </c>
      <c r="L370" s="50">
        <v>13280978</v>
      </c>
      <c r="M370" s="50">
        <v>12762544</v>
      </c>
      <c r="N370" s="50">
        <v>14381027</v>
      </c>
      <c r="O370" s="50">
        <v>4034082</v>
      </c>
      <c r="P370" s="50">
        <v>28205</v>
      </c>
      <c r="Q370" s="50">
        <v>4450625</v>
      </c>
      <c r="R370" s="49">
        <f t="shared" si="19"/>
        <v>55980824</v>
      </c>
    </row>
    <row r="371" spans="1:18" x14ac:dyDescent="0.25">
      <c r="A371" s="6">
        <v>369</v>
      </c>
      <c r="C371" s="6" t="s">
        <v>33</v>
      </c>
      <c r="D371" s="7" t="s">
        <v>44</v>
      </c>
      <c r="E371" s="7">
        <v>90</v>
      </c>
      <c r="F371" s="50">
        <v>12759</v>
      </c>
      <c r="G371" s="50">
        <v>1944464</v>
      </c>
      <c r="H371" s="50">
        <v>1260898</v>
      </c>
      <c r="I371" s="50">
        <v>1654493</v>
      </c>
      <c r="J371" s="50">
        <v>1842853</v>
      </c>
      <c r="K371" s="50">
        <v>327896</v>
      </c>
      <c r="L371" s="50">
        <v>13280978</v>
      </c>
      <c r="M371" s="50">
        <v>12762544</v>
      </c>
      <c r="N371" s="50">
        <v>14381027</v>
      </c>
      <c r="O371" s="50">
        <v>4034082</v>
      </c>
      <c r="P371" s="50">
        <v>28205</v>
      </c>
      <c r="Q371" s="50">
        <v>4450625</v>
      </c>
      <c r="R371" s="49">
        <f t="shared" si="19"/>
        <v>55980824</v>
      </c>
    </row>
    <row r="372" spans="1:18" x14ac:dyDescent="0.25">
      <c r="A372" s="6">
        <v>370</v>
      </c>
      <c r="C372" s="10" t="s">
        <v>45</v>
      </c>
      <c r="F372" s="50"/>
      <c r="G372" s="50"/>
      <c r="H372" s="50"/>
      <c r="I372" s="50"/>
      <c r="J372" s="50"/>
      <c r="K372" s="50"/>
      <c r="L372" s="50"/>
      <c r="M372" s="50"/>
      <c r="N372" s="50"/>
      <c r="O372" s="50"/>
      <c r="P372" s="50"/>
      <c r="Q372" s="50"/>
      <c r="R372" s="49">
        <f t="shared" si="19"/>
        <v>0</v>
      </c>
    </row>
    <row r="373" spans="1:18" x14ac:dyDescent="0.25">
      <c r="A373" s="6">
        <v>371</v>
      </c>
      <c r="C373" s="6" t="s">
        <v>46</v>
      </c>
      <c r="D373" s="7" t="s">
        <v>35</v>
      </c>
      <c r="E373" s="7">
        <v>134</v>
      </c>
      <c r="F373" s="50">
        <v>162909.32999999999</v>
      </c>
      <c r="G373" s="50">
        <v>109965.1</v>
      </c>
      <c r="H373" s="50">
        <v>134288.72</v>
      </c>
      <c r="I373" s="50">
        <v>128987.71</v>
      </c>
      <c r="J373" s="50">
        <v>132040</v>
      </c>
      <c r="K373" s="50">
        <v>133500.71</v>
      </c>
      <c r="L373" s="50">
        <v>120531.57</v>
      </c>
      <c r="M373" s="50">
        <v>222202.23999999999</v>
      </c>
      <c r="N373" s="50">
        <v>193299.37</v>
      </c>
      <c r="O373" s="50">
        <v>202794.59</v>
      </c>
      <c r="P373" s="50">
        <v>142091.69</v>
      </c>
      <c r="Q373" s="50">
        <v>110857.62</v>
      </c>
      <c r="R373" s="49">
        <f t="shared" si="19"/>
        <v>1793468.65</v>
      </c>
    </row>
    <row r="374" spans="1:18" x14ac:dyDescent="0.25">
      <c r="A374" s="6">
        <v>372</v>
      </c>
      <c r="C374" s="6" t="s">
        <v>47</v>
      </c>
      <c r="D374" s="7" t="s">
        <v>37</v>
      </c>
      <c r="E374" s="7">
        <v>134</v>
      </c>
      <c r="F374" s="50">
        <v>0</v>
      </c>
      <c r="G374" s="50">
        <v>0</v>
      </c>
      <c r="H374" s="50">
        <v>0</v>
      </c>
      <c r="I374" s="50">
        <v>0</v>
      </c>
      <c r="J374" s="50">
        <v>0</v>
      </c>
      <c r="K374" s="50">
        <v>0</v>
      </c>
      <c r="L374" s="50">
        <v>0</v>
      </c>
      <c r="M374" s="50">
        <v>0</v>
      </c>
      <c r="N374" s="50">
        <v>0</v>
      </c>
      <c r="O374" s="50">
        <v>0</v>
      </c>
      <c r="P374" s="50">
        <v>0</v>
      </c>
      <c r="Q374" s="50">
        <v>0</v>
      </c>
      <c r="R374" s="49">
        <f t="shared" si="19"/>
        <v>0</v>
      </c>
    </row>
    <row r="375" spans="1:18" x14ac:dyDescent="0.25">
      <c r="A375" s="6">
        <v>373</v>
      </c>
      <c r="C375" s="6" t="s">
        <v>48</v>
      </c>
      <c r="D375" s="7" t="s">
        <v>39</v>
      </c>
      <c r="E375" s="7">
        <v>134</v>
      </c>
      <c r="F375" s="50">
        <v>0</v>
      </c>
      <c r="G375" s="50">
        <v>0</v>
      </c>
      <c r="H375" s="50">
        <v>0</v>
      </c>
      <c r="I375" s="50">
        <v>0</v>
      </c>
      <c r="J375" s="50">
        <v>0</v>
      </c>
      <c r="K375" s="50">
        <v>0</v>
      </c>
      <c r="L375" s="50">
        <v>0</v>
      </c>
      <c r="M375" s="50">
        <v>0</v>
      </c>
      <c r="N375" s="50">
        <v>0</v>
      </c>
      <c r="O375" s="50">
        <v>0</v>
      </c>
      <c r="P375" s="50">
        <v>0</v>
      </c>
      <c r="Q375" s="50">
        <v>0</v>
      </c>
      <c r="R375" s="49">
        <f t="shared" si="19"/>
        <v>0</v>
      </c>
    </row>
    <row r="376" spans="1:18" x14ac:dyDescent="0.25">
      <c r="A376" s="6">
        <v>374</v>
      </c>
      <c r="C376" s="6" t="s">
        <v>49</v>
      </c>
      <c r="D376" s="7" t="s">
        <v>50</v>
      </c>
      <c r="E376" s="7">
        <v>134</v>
      </c>
      <c r="F376" s="50">
        <v>0</v>
      </c>
      <c r="G376" s="50">
        <v>0</v>
      </c>
      <c r="H376" s="50">
        <v>0</v>
      </c>
      <c r="I376" s="50">
        <v>0</v>
      </c>
      <c r="J376" s="50">
        <v>0</v>
      </c>
      <c r="K376" s="50">
        <v>0</v>
      </c>
      <c r="L376" s="50">
        <v>0</v>
      </c>
      <c r="M376" s="50">
        <v>0</v>
      </c>
      <c r="N376" s="50">
        <v>0</v>
      </c>
      <c r="O376" s="50">
        <v>0</v>
      </c>
      <c r="P376" s="50">
        <v>0</v>
      </c>
      <c r="Q376" s="50">
        <v>0</v>
      </c>
      <c r="R376" s="49">
        <f t="shared" si="19"/>
        <v>0</v>
      </c>
    </row>
    <row r="377" spans="1:18" x14ac:dyDescent="0.25">
      <c r="A377" s="6">
        <v>375</v>
      </c>
      <c r="C377" s="27" t="s">
        <v>278</v>
      </c>
      <c r="D377" s="7" t="s">
        <v>51</v>
      </c>
      <c r="E377" s="7">
        <v>134</v>
      </c>
      <c r="F377" s="50">
        <v>0</v>
      </c>
      <c r="G377" s="50">
        <v>0</v>
      </c>
      <c r="H377" s="50">
        <v>0</v>
      </c>
      <c r="I377" s="50">
        <v>0</v>
      </c>
      <c r="J377" s="50">
        <v>0</v>
      </c>
      <c r="K377" s="50">
        <v>0</v>
      </c>
      <c r="L377" s="50">
        <v>0</v>
      </c>
      <c r="M377" s="50">
        <v>0</v>
      </c>
      <c r="N377" s="50">
        <v>0</v>
      </c>
      <c r="O377" s="50">
        <v>0</v>
      </c>
      <c r="P377" s="50">
        <v>0</v>
      </c>
      <c r="Q377" s="50">
        <v>0</v>
      </c>
      <c r="R377" s="49">
        <f t="shared" si="19"/>
        <v>0</v>
      </c>
    </row>
    <row r="378" spans="1:18" x14ac:dyDescent="0.25">
      <c r="A378" s="6">
        <v>376</v>
      </c>
      <c r="C378" s="6" t="s">
        <v>80</v>
      </c>
      <c r="D378" s="7" t="s">
        <v>79</v>
      </c>
      <c r="E378" s="7">
        <v>134</v>
      </c>
      <c r="F378" s="50">
        <v>0</v>
      </c>
      <c r="G378" s="50">
        <v>0</v>
      </c>
      <c r="H378" s="50">
        <v>0</v>
      </c>
      <c r="I378" s="50">
        <v>0</v>
      </c>
      <c r="J378" s="50">
        <v>0</v>
      </c>
      <c r="K378" s="50">
        <v>0</v>
      </c>
      <c r="L378" s="50">
        <v>0</v>
      </c>
      <c r="M378" s="50">
        <v>0</v>
      </c>
      <c r="N378" s="50">
        <v>0</v>
      </c>
      <c r="O378" s="50">
        <v>0</v>
      </c>
      <c r="P378" s="50">
        <v>0</v>
      </c>
      <c r="Q378" s="50">
        <v>0</v>
      </c>
      <c r="R378" s="49">
        <f t="shared" si="19"/>
        <v>0</v>
      </c>
    </row>
    <row r="379" spans="1:18" x14ac:dyDescent="0.25">
      <c r="A379" s="6">
        <v>377</v>
      </c>
      <c r="C379" s="6" t="s">
        <v>13</v>
      </c>
      <c r="D379" s="7" t="s">
        <v>52</v>
      </c>
      <c r="E379" s="7">
        <v>134</v>
      </c>
      <c r="F379" s="50">
        <v>0</v>
      </c>
      <c r="G379" s="50">
        <v>0</v>
      </c>
      <c r="H379" s="50">
        <v>0</v>
      </c>
      <c r="I379" s="50">
        <v>0</v>
      </c>
      <c r="J379" s="50">
        <v>0</v>
      </c>
      <c r="K379" s="50">
        <v>0</v>
      </c>
      <c r="L379" s="50">
        <v>0</v>
      </c>
      <c r="M379" s="50">
        <v>0</v>
      </c>
      <c r="N379" s="50">
        <v>0</v>
      </c>
      <c r="O379" s="50">
        <v>0</v>
      </c>
      <c r="P379" s="50">
        <v>0</v>
      </c>
      <c r="Q379" s="50">
        <v>0</v>
      </c>
      <c r="R379" s="49">
        <f t="shared" si="19"/>
        <v>0</v>
      </c>
    </row>
    <row r="380" spans="1:18" x14ac:dyDescent="0.25">
      <c r="A380" s="6">
        <v>378</v>
      </c>
      <c r="C380" s="6" t="s">
        <v>55</v>
      </c>
      <c r="D380" s="7" t="s">
        <v>41</v>
      </c>
      <c r="E380" s="7">
        <v>134</v>
      </c>
      <c r="F380" s="50">
        <v>-161387.85</v>
      </c>
      <c r="G380" s="50">
        <v>-109961.66</v>
      </c>
      <c r="H380" s="50">
        <v>-133763.71</v>
      </c>
      <c r="I380" s="50">
        <v>-128647.27</v>
      </c>
      <c r="J380" s="50">
        <v>-131593.29</v>
      </c>
      <c r="K380" s="50">
        <v>-133003.14000000001</v>
      </c>
      <c r="L380" s="50">
        <v>-120443.04</v>
      </c>
      <c r="M380" s="50">
        <v>-218616.38</v>
      </c>
      <c r="N380" s="50">
        <v>-189925.77</v>
      </c>
      <c r="O380" s="50">
        <v>-198911.71</v>
      </c>
      <c r="P380" s="50">
        <v>-141002.49</v>
      </c>
      <c r="Q380" s="50">
        <v>-110850</v>
      </c>
      <c r="R380" s="49">
        <f t="shared" si="19"/>
        <v>-1778106.31</v>
      </c>
    </row>
    <row r="381" spans="1:18" x14ac:dyDescent="0.25">
      <c r="A381" s="6">
        <v>379</v>
      </c>
      <c r="C381" s="6" t="s">
        <v>56</v>
      </c>
      <c r="D381" s="7" t="s">
        <v>43</v>
      </c>
      <c r="E381" s="7">
        <v>134</v>
      </c>
      <c r="F381" s="50">
        <v>109961.66</v>
      </c>
      <c r="G381" s="50">
        <v>133763.71</v>
      </c>
      <c r="H381" s="50">
        <v>128647.27</v>
      </c>
      <c r="I381" s="50">
        <v>131593.29</v>
      </c>
      <c r="J381" s="50">
        <v>133003.13999999998</v>
      </c>
      <c r="K381" s="50">
        <v>120443.04000000001</v>
      </c>
      <c r="L381" s="50">
        <v>218616.38</v>
      </c>
      <c r="M381" s="50">
        <v>189925.77</v>
      </c>
      <c r="N381" s="50">
        <v>198911.71</v>
      </c>
      <c r="O381" s="50">
        <v>141002.49</v>
      </c>
      <c r="P381" s="50">
        <v>110850</v>
      </c>
      <c r="Q381" s="50">
        <v>147517.35999999999</v>
      </c>
      <c r="R381" s="49">
        <f t="shared" si="19"/>
        <v>1764235.8199999998</v>
      </c>
    </row>
    <row r="382" spans="1:18" x14ac:dyDescent="0.25">
      <c r="A382" s="6">
        <v>380</v>
      </c>
      <c r="C382" s="6" t="s">
        <v>30</v>
      </c>
      <c r="D382" s="7" t="s">
        <v>44</v>
      </c>
      <c r="E382" s="7">
        <v>134</v>
      </c>
      <c r="F382" s="50">
        <v>111483.14000000001</v>
      </c>
      <c r="G382" s="50">
        <v>133767.15</v>
      </c>
      <c r="H382" s="50">
        <v>129172.28000000001</v>
      </c>
      <c r="I382" s="50">
        <v>131933.73000000001</v>
      </c>
      <c r="J382" s="50">
        <v>133449.84999999998</v>
      </c>
      <c r="K382" s="50">
        <v>120940.61000000002</v>
      </c>
      <c r="L382" s="50">
        <v>218704.91</v>
      </c>
      <c r="M382" s="50">
        <v>193511.62999999998</v>
      </c>
      <c r="N382" s="50">
        <v>202285.31</v>
      </c>
      <c r="O382" s="50">
        <v>144885.37</v>
      </c>
      <c r="P382" s="50">
        <v>111939.20000000001</v>
      </c>
      <c r="Q382" s="50">
        <v>147524.97999999998</v>
      </c>
      <c r="R382" s="49">
        <f t="shared" si="19"/>
        <v>1779598.16</v>
      </c>
    </row>
    <row r="383" spans="1:18" x14ac:dyDescent="0.25">
      <c r="A383" s="6">
        <v>381</v>
      </c>
      <c r="C383" s="10" t="s">
        <v>45</v>
      </c>
      <c r="F383" s="50"/>
      <c r="G383" s="50"/>
      <c r="H383" s="50"/>
      <c r="I383" s="50"/>
      <c r="J383" s="50"/>
      <c r="K383" s="50"/>
      <c r="L383" s="50"/>
      <c r="M383" s="50"/>
      <c r="N383" s="50"/>
      <c r="O383" s="50"/>
      <c r="P383" s="50"/>
      <c r="Q383" s="50"/>
      <c r="R383" s="49">
        <f t="shared" si="19"/>
        <v>0</v>
      </c>
    </row>
    <row r="384" spans="1:18" x14ac:dyDescent="0.25">
      <c r="A384" s="6">
        <v>382</v>
      </c>
      <c r="F384" s="50"/>
      <c r="G384" s="50"/>
      <c r="H384" s="50"/>
      <c r="I384" s="50"/>
      <c r="J384" s="50"/>
      <c r="K384" s="50"/>
      <c r="L384" s="50"/>
      <c r="M384" s="50"/>
      <c r="N384" s="50"/>
      <c r="O384" s="50"/>
      <c r="P384" s="50"/>
      <c r="Q384" s="50"/>
      <c r="R384" s="49">
        <f t="shared" si="19"/>
        <v>0</v>
      </c>
    </row>
    <row r="385" spans="1:18" x14ac:dyDescent="0.25">
      <c r="A385" s="6">
        <v>383</v>
      </c>
      <c r="C385" s="15" t="s">
        <v>106</v>
      </c>
      <c r="D385" s="7" t="s">
        <v>34</v>
      </c>
      <c r="E385" s="7">
        <v>91</v>
      </c>
      <c r="F385" s="50">
        <v>6635</v>
      </c>
      <c r="G385" s="50">
        <v>6635</v>
      </c>
      <c r="H385" s="50">
        <v>6635</v>
      </c>
      <c r="I385" s="50">
        <v>6635</v>
      </c>
      <c r="J385" s="50">
        <v>6635</v>
      </c>
      <c r="K385" s="50">
        <v>6635</v>
      </c>
      <c r="L385" s="50">
        <v>6635</v>
      </c>
      <c r="M385" s="50">
        <v>6635</v>
      </c>
      <c r="N385" s="50">
        <v>6635</v>
      </c>
      <c r="O385" s="50">
        <v>6635</v>
      </c>
      <c r="P385" s="50">
        <v>6635</v>
      </c>
      <c r="Q385" s="50">
        <v>6635</v>
      </c>
      <c r="R385" s="49">
        <f t="shared" si="19"/>
        <v>79620</v>
      </c>
    </row>
    <row r="386" spans="1:18" x14ac:dyDescent="0.25">
      <c r="A386" s="6">
        <v>384</v>
      </c>
      <c r="C386" s="6" t="s">
        <v>31</v>
      </c>
      <c r="D386" s="7" t="s">
        <v>35</v>
      </c>
      <c r="E386" s="7">
        <v>91</v>
      </c>
      <c r="F386" s="50">
        <v>666979</v>
      </c>
      <c r="G386" s="50">
        <v>134611</v>
      </c>
      <c r="H386" s="50">
        <v>681953</v>
      </c>
      <c r="I386" s="50">
        <v>187639</v>
      </c>
      <c r="J386" s="50">
        <v>182521</v>
      </c>
      <c r="K386" s="50">
        <v>319311</v>
      </c>
      <c r="L386" s="50">
        <v>986358</v>
      </c>
      <c r="M386" s="50">
        <v>5205434</v>
      </c>
      <c r="N386" s="50">
        <v>5293486</v>
      </c>
      <c r="O386" s="50">
        <v>2080893</v>
      </c>
      <c r="P386" s="50">
        <v>2001543</v>
      </c>
      <c r="Q386" s="50">
        <v>33898</v>
      </c>
      <c r="R386" s="49">
        <f t="shared" si="19"/>
        <v>17774626</v>
      </c>
    </row>
    <row r="387" spans="1:18" x14ac:dyDescent="0.25">
      <c r="A387" s="6">
        <v>385</v>
      </c>
      <c r="C387" s="6" t="s">
        <v>36</v>
      </c>
      <c r="D387" s="7" t="s">
        <v>37</v>
      </c>
      <c r="E387" s="7">
        <v>91</v>
      </c>
      <c r="F387" s="50">
        <v>0</v>
      </c>
      <c r="G387" s="50">
        <v>0</v>
      </c>
      <c r="H387" s="50">
        <v>0</v>
      </c>
      <c r="I387" s="50">
        <v>0</v>
      </c>
      <c r="J387" s="50">
        <v>0</v>
      </c>
      <c r="K387" s="50">
        <v>0</v>
      </c>
      <c r="L387" s="50">
        <v>0</v>
      </c>
      <c r="M387" s="50">
        <v>0</v>
      </c>
      <c r="N387" s="50">
        <v>0</v>
      </c>
      <c r="O387" s="50">
        <v>0</v>
      </c>
      <c r="P387" s="50">
        <v>0</v>
      </c>
      <c r="Q387" s="50">
        <v>0</v>
      </c>
      <c r="R387" s="49">
        <f t="shared" si="19"/>
        <v>0</v>
      </c>
    </row>
    <row r="388" spans="1:18" x14ac:dyDescent="0.25">
      <c r="A388" s="6">
        <v>386</v>
      </c>
      <c r="C388" s="6" t="s">
        <v>38</v>
      </c>
      <c r="D388" s="7" t="s">
        <v>39</v>
      </c>
      <c r="E388" s="7">
        <v>91</v>
      </c>
      <c r="F388" s="50">
        <v>0</v>
      </c>
      <c r="G388" s="50">
        <v>0</v>
      </c>
      <c r="H388" s="50">
        <v>0</v>
      </c>
      <c r="I388" s="50">
        <v>0</v>
      </c>
      <c r="J388" s="50">
        <v>0</v>
      </c>
      <c r="K388" s="50">
        <v>0</v>
      </c>
      <c r="L388" s="50">
        <v>0</v>
      </c>
      <c r="M388" s="50">
        <v>0</v>
      </c>
      <c r="N388" s="50">
        <v>0</v>
      </c>
      <c r="O388" s="50">
        <v>0</v>
      </c>
      <c r="P388" s="50">
        <v>0</v>
      </c>
      <c r="Q388" s="50">
        <v>0</v>
      </c>
      <c r="R388" s="49">
        <f t="shared" si="19"/>
        <v>0</v>
      </c>
    </row>
    <row r="389" spans="1:18" x14ac:dyDescent="0.25">
      <c r="A389" s="6">
        <v>387</v>
      </c>
      <c r="C389" s="6" t="s">
        <v>40</v>
      </c>
      <c r="D389" s="7" t="s">
        <v>41</v>
      </c>
      <c r="E389" s="7">
        <v>91</v>
      </c>
      <c r="F389" s="50">
        <v>-666979</v>
      </c>
      <c r="G389" s="50">
        <v>-134611</v>
      </c>
      <c r="H389" s="50">
        <v>-681953</v>
      </c>
      <c r="I389" s="50">
        <v>-187639</v>
      </c>
      <c r="J389" s="50">
        <v>-182521</v>
      </c>
      <c r="K389" s="50">
        <v>-319311</v>
      </c>
      <c r="L389" s="50">
        <v>-986358</v>
      </c>
      <c r="M389" s="50">
        <v>-5205434</v>
      </c>
      <c r="N389" s="50">
        <v>-5293486</v>
      </c>
      <c r="O389" s="50">
        <v>-2080893</v>
      </c>
      <c r="P389" s="50">
        <v>-2001543</v>
      </c>
      <c r="Q389" s="50">
        <v>-33898</v>
      </c>
      <c r="R389" s="49">
        <f t="shared" si="19"/>
        <v>-17774626</v>
      </c>
    </row>
    <row r="390" spans="1:18" x14ac:dyDescent="0.25">
      <c r="A390" s="6">
        <v>388</v>
      </c>
      <c r="C390" s="6" t="s">
        <v>42</v>
      </c>
      <c r="D390" s="7" t="s">
        <v>43</v>
      </c>
      <c r="E390" s="7">
        <v>91</v>
      </c>
      <c r="F390" s="50">
        <v>134611</v>
      </c>
      <c r="G390" s="50">
        <v>681953</v>
      </c>
      <c r="H390" s="50">
        <v>187639</v>
      </c>
      <c r="I390" s="50">
        <v>182521</v>
      </c>
      <c r="J390" s="50">
        <v>319311</v>
      </c>
      <c r="K390" s="50">
        <v>986358</v>
      </c>
      <c r="L390" s="50">
        <v>5205434</v>
      </c>
      <c r="M390" s="50">
        <v>5293486</v>
      </c>
      <c r="N390" s="50">
        <v>2080893</v>
      </c>
      <c r="O390" s="50">
        <v>2001543</v>
      </c>
      <c r="P390" s="50">
        <v>33898</v>
      </c>
      <c r="Q390" s="50">
        <v>57483</v>
      </c>
      <c r="R390" s="49">
        <f t="shared" si="19"/>
        <v>17165130</v>
      </c>
    </row>
    <row r="391" spans="1:18" x14ac:dyDescent="0.25">
      <c r="A391" s="6">
        <v>389</v>
      </c>
      <c r="C391" s="6" t="s">
        <v>33</v>
      </c>
      <c r="D391" s="7" t="s">
        <v>44</v>
      </c>
      <c r="E391" s="7">
        <v>91</v>
      </c>
      <c r="F391" s="50">
        <v>134611</v>
      </c>
      <c r="G391" s="50">
        <v>681953</v>
      </c>
      <c r="H391" s="50">
        <v>187639</v>
      </c>
      <c r="I391" s="50">
        <v>182521</v>
      </c>
      <c r="J391" s="50">
        <v>319311</v>
      </c>
      <c r="K391" s="50">
        <v>986358</v>
      </c>
      <c r="L391" s="50">
        <v>5205434</v>
      </c>
      <c r="M391" s="50">
        <v>5293486</v>
      </c>
      <c r="N391" s="50">
        <v>2080893</v>
      </c>
      <c r="O391" s="50">
        <v>2001543</v>
      </c>
      <c r="P391" s="50">
        <v>33898</v>
      </c>
      <c r="Q391" s="50">
        <v>57483</v>
      </c>
      <c r="R391" s="49">
        <f t="shared" si="19"/>
        <v>17165130</v>
      </c>
    </row>
    <row r="392" spans="1:18" x14ac:dyDescent="0.25">
      <c r="A392" s="6">
        <v>390</v>
      </c>
      <c r="C392" s="10" t="s">
        <v>45</v>
      </c>
      <c r="F392" s="50"/>
      <c r="G392" s="50"/>
      <c r="H392" s="50"/>
      <c r="I392" s="50"/>
      <c r="J392" s="50"/>
      <c r="K392" s="50"/>
      <c r="L392" s="50"/>
      <c r="M392" s="50"/>
      <c r="N392" s="50"/>
      <c r="O392" s="50"/>
      <c r="P392" s="50"/>
      <c r="Q392" s="50"/>
      <c r="R392" s="49">
        <f t="shared" si="19"/>
        <v>0</v>
      </c>
    </row>
    <row r="393" spans="1:18" x14ac:dyDescent="0.25">
      <c r="A393" s="6">
        <v>391</v>
      </c>
      <c r="C393" s="6" t="s">
        <v>46</v>
      </c>
      <c r="D393" s="7" t="s">
        <v>35</v>
      </c>
      <c r="E393" s="7">
        <v>135</v>
      </c>
      <c r="F393" s="50">
        <v>143329.19</v>
      </c>
      <c r="G393" s="50">
        <v>141253.26</v>
      </c>
      <c r="H393" s="50">
        <v>143344.42000000001</v>
      </c>
      <c r="I393" s="50">
        <v>141535.97</v>
      </c>
      <c r="J393" s="50">
        <v>141508.68</v>
      </c>
      <c r="K393" s="50">
        <v>142252.04</v>
      </c>
      <c r="L393" s="50">
        <v>143829.82</v>
      </c>
      <c r="M393" s="50">
        <v>148605.42000000001</v>
      </c>
      <c r="N393" s="50">
        <v>138236.64000000001</v>
      </c>
      <c r="O393" s="50">
        <v>129454.02</v>
      </c>
      <c r="P393" s="50">
        <v>129237.08</v>
      </c>
      <c r="Q393" s="50">
        <v>126196.29</v>
      </c>
      <c r="R393" s="49">
        <f t="shared" si="19"/>
        <v>1668782.83</v>
      </c>
    </row>
    <row r="394" spans="1:18" x14ac:dyDescent="0.25">
      <c r="A394" s="6">
        <v>392</v>
      </c>
      <c r="C394" s="6" t="s">
        <v>47</v>
      </c>
      <c r="D394" s="7" t="s">
        <v>37</v>
      </c>
      <c r="E394" s="7">
        <v>135</v>
      </c>
      <c r="F394" s="50">
        <v>0</v>
      </c>
      <c r="G394" s="50">
        <v>0</v>
      </c>
      <c r="H394" s="50">
        <v>0</v>
      </c>
      <c r="I394" s="50">
        <v>0</v>
      </c>
      <c r="J394" s="50">
        <v>0</v>
      </c>
      <c r="K394" s="50">
        <v>0</v>
      </c>
      <c r="L394" s="50">
        <v>0</v>
      </c>
      <c r="M394" s="50">
        <v>0</v>
      </c>
      <c r="N394" s="50">
        <v>0</v>
      </c>
      <c r="O394" s="50">
        <v>0</v>
      </c>
      <c r="P394" s="50">
        <v>0</v>
      </c>
      <c r="Q394" s="50">
        <v>0</v>
      </c>
      <c r="R394" s="49">
        <f t="shared" si="19"/>
        <v>0</v>
      </c>
    </row>
    <row r="395" spans="1:18" x14ac:dyDescent="0.25">
      <c r="A395" s="6">
        <v>393</v>
      </c>
      <c r="C395" s="6" t="s">
        <v>48</v>
      </c>
      <c r="D395" s="7" t="s">
        <v>39</v>
      </c>
      <c r="E395" s="7">
        <v>135</v>
      </c>
      <c r="F395" s="50">
        <v>0</v>
      </c>
      <c r="G395" s="50">
        <v>0</v>
      </c>
      <c r="H395" s="50">
        <v>0</v>
      </c>
      <c r="I395" s="50">
        <v>0</v>
      </c>
      <c r="J395" s="50">
        <v>0</v>
      </c>
      <c r="K395" s="50">
        <v>0</v>
      </c>
      <c r="L395" s="50">
        <v>0</v>
      </c>
      <c r="M395" s="50">
        <v>0</v>
      </c>
      <c r="N395" s="50">
        <v>0</v>
      </c>
      <c r="O395" s="50">
        <v>0</v>
      </c>
      <c r="P395" s="50">
        <v>0</v>
      </c>
      <c r="Q395" s="50">
        <v>0</v>
      </c>
      <c r="R395" s="49">
        <f t="shared" si="19"/>
        <v>0</v>
      </c>
    </row>
    <row r="396" spans="1:18" x14ac:dyDescent="0.25">
      <c r="A396" s="6">
        <v>394</v>
      </c>
      <c r="C396" s="6" t="s">
        <v>49</v>
      </c>
      <c r="D396" s="7" t="s">
        <v>50</v>
      </c>
      <c r="E396" s="7">
        <v>135</v>
      </c>
      <c r="F396" s="50">
        <v>0</v>
      </c>
      <c r="G396" s="50">
        <v>0</v>
      </c>
      <c r="H396" s="50">
        <v>0</v>
      </c>
      <c r="I396" s="50">
        <v>0</v>
      </c>
      <c r="J396" s="50">
        <v>0</v>
      </c>
      <c r="K396" s="50">
        <v>0</v>
      </c>
      <c r="L396" s="50">
        <v>0</v>
      </c>
      <c r="M396" s="50">
        <v>0</v>
      </c>
      <c r="N396" s="50">
        <v>0</v>
      </c>
      <c r="O396" s="50">
        <v>0</v>
      </c>
      <c r="P396" s="50">
        <v>0</v>
      </c>
      <c r="Q396" s="50">
        <v>0</v>
      </c>
      <c r="R396" s="49">
        <f t="shared" si="19"/>
        <v>0</v>
      </c>
    </row>
    <row r="397" spans="1:18" x14ac:dyDescent="0.25">
      <c r="A397" s="6">
        <v>395</v>
      </c>
      <c r="C397" s="27" t="s">
        <v>278</v>
      </c>
      <c r="D397" s="7" t="s">
        <v>51</v>
      </c>
      <c r="E397" s="7">
        <v>135</v>
      </c>
      <c r="F397" s="50">
        <v>0</v>
      </c>
      <c r="G397" s="50">
        <v>0</v>
      </c>
      <c r="H397" s="50">
        <v>0</v>
      </c>
      <c r="I397" s="50">
        <v>0</v>
      </c>
      <c r="J397" s="50">
        <v>0</v>
      </c>
      <c r="K397" s="50">
        <v>0</v>
      </c>
      <c r="L397" s="50">
        <v>0</v>
      </c>
      <c r="M397" s="50">
        <v>0</v>
      </c>
      <c r="N397" s="50">
        <v>0</v>
      </c>
      <c r="O397" s="50">
        <v>0</v>
      </c>
      <c r="P397" s="50">
        <v>0</v>
      </c>
      <c r="Q397" s="50">
        <v>0</v>
      </c>
      <c r="R397" s="49">
        <f t="shared" si="19"/>
        <v>0</v>
      </c>
    </row>
    <row r="398" spans="1:18" x14ac:dyDescent="0.25">
      <c r="A398" s="6">
        <v>396</v>
      </c>
      <c r="C398" s="6" t="s">
        <v>80</v>
      </c>
      <c r="D398" s="7" t="s">
        <v>79</v>
      </c>
      <c r="E398" s="7">
        <v>135</v>
      </c>
      <c r="F398" s="50">
        <v>0</v>
      </c>
      <c r="G398" s="50">
        <v>0</v>
      </c>
      <c r="H398" s="50">
        <v>0</v>
      </c>
      <c r="I398" s="50">
        <v>0</v>
      </c>
      <c r="J398" s="50">
        <v>0</v>
      </c>
      <c r="K398" s="50">
        <v>0</v>
      </c>
      <c r="L398" s="50">
        <v>0</v>
      </c>
      <c r="M398" s="50">
        <v>0</v>
      </c>
      <c r="N398" s="50">
        <v>0</v>
      </c>
      <c r="O398" s="50">
        <v>0</v>
      </c>
      <c r="P398" s="50">
        <v>0</v>
      </c>
      <c r="Q398" s="50">
        <v>0</v>
      </c>
      <c r="R398" s="49">
        <f t="shared" si="19"/>
        <v>0</v>
      </c>
    </row>
    <row r="399" spans="1:18" x14ac:dyDescent="0.25">
      <c r="A399" s="6">
        <v>397</v>
      </c>
      <c r="C399" s="6" t="s">
        <v>13</v>
      </c>
      <c r="D399" s="7" t="s">
        <v>52</v>
      </c>
      <c r="E399" s="7">
        <v>135</v>
      </c>
      <c r="F399" s="50">
        <v>0</v>
      </c>
      <c r="G399" s="50">
        <v>0</v>
      </c>
      <c r="H399" s="50">
        <v>0</v>
      </c>
      <c r="I399" s="50">
        <v>0</v>
      </c>
      <c r="J399" s="50">
        <v>0</v>
      </c>
      <c r="K399" s="50">
        <v>0</v>
      </c>
      <c r="L399" s="50">
        <v>0</v>
      </c>
      <c r="M399" s="50">
        <v>0</v>
      </c>
      <c r="N399" s="50">
        <v>0</v>
      </c>
      <c r="O399" s="50">
        <v>0</v>
      </c>
      <c r="P399" s="50">
        <v>0</v>
      </c>
      <c r="Q399" s="50">
        <v>0</v>
      </c>
      <c r="R399" s="49">
        <f t="shared" si="19"/>
        <v>0</v>
      </c>
    </row>
    <row r="400" spans="1:18" x14ac:dyDescent="0.25">
      <c r="A400" s="6">
        <v>398</v>
      </c>
      <c r="C400" s="6" t="s">
        <v>55</v>
      </c>
      <c r="D400" s="7" t="s">
        <v>41</v>
      </c>
      <c r="E400" s="7">
        <v>135</v>
      </c>
      <c r="F400" s="50">
        <v>-143149.10999999999</v>
      </c>
      <c r="G400" s="50">
        <v>-141216.92000000001</v>
      </c>
      <c r="H400" s="50">
        <v>-143160.29</v>
      </c>
      <c r="I400" s="50">
        <v>-141485.31</v>
      </c>
      <c r="J400" s="50">
        <v>-141459.4</v>
      </c>
      <c r="K400" s="50">
        <v>-142165.82999999999</v>
      </c>
      <c r="L400" s="50">
        <v>-143563.5</v>
      </c>
      <c r="M400" s="50">
        <v>-147199.95000000001</v>
      </c>
      <c r="N400" s="50">
        <v>-136858.51</v>
      </c>
      <c r="O400" s="50">
        <v>-128892.18</v>
      </c>
      <c r="P400" s="50">
        <v>-128696.66</v>
      </c>
      <c r="Q400" s="50">
        <v>-126187.14</v>
      </c>
      <c r="R400" s="49">
        <f t="shared" si="19"/>
        <v>-1664034.7999999998</v>
      </c>
    </row>
    <row r="401" spans="1:18" x14ac:dyDescent="0.25">
      <c r="A401" s="6">
        <v>399</v>
      </c>
      <c r="C401" s="6" t="s">
        <v>56</v>
      </c>
      <c r="D401" s="7" t="s">
        <v>43</v>
      </c>
      <c r="E401" s="7">
        <v>135</v>
      </c>
      <c r="F401" s="50">
        <v>141216.92000000001</v>
      </c>
      <c r="G401" s="50">
        <v>143160.29</v>
      </c>
      <c r="H401" s="50">
        <v>141485.31</v>
      </c>
      <c r="I401" s="50">
        <v>141459.4</v>
      </c>
      <c r="J401" s="50">
        <v>142165.83000000002</v>
      </c>
      <c r="K401" s="50">
        <v>143563.5</v>
      </c>
      <c r="L401" s="50">
        <v>147199.95000000001</v>
      </c>
      <c r="M401" s="50">
        <v>136858.51</v>
      </c>
      <c r="N401" s="50">
        <v>128892.18000000001</v>
      </c>
      <c r="O401" s="50">
        <v>128696.66</v>
      </c>
      <c r="P401" s="50">
        <v>126187.14</v>
      </c>
      <c r="Q401" s="50">
        <v>126238.10999999999</v>
      </c>
      <c r="R401" s="49">
        <f t="shared" si="19"/>
        <v>1647123.7999999998</v>
      </c>
    </row>
    <row r="402" spans="1:18" x14ac:dyDescent="0.25">
      <c r="A402" s="6">
        <v>400</v>
      </c>
      <c r="C402" s="6" t="s">
        <v>30</v>
      </c>
      <c r="D402" s="7" t="s">
        <v>44</v>
      </c>
      <c r="E402" s="7">
        <v>135</v>
      </c>
      <c r="F402" s="50">
        <v>141397</v>
      </c>
      <c r="G402" s="50">
        <v>143196.63</v>
      </c>
      <c r="H402" s="50">
        <v>141669.44</v>
      </c>
      <c r="I402" s="50">
        <v>141510.06</v>
      </c>
      <c r="J402" s="50">
        <v>142215.11000000002</v>
      </c>
      <c r="K402" s="50">
        <v>143649.71</v>
      </c>
      <c r="L402" s="50">
        <v>147466.27000000002</v>
      </c>
      <c r="M402" s="50">
        <v>138263.98000000001</v>
      </c>
      <c r="N402" s="50">
        <v>130270.31000000001</v>
      </c>
      <c r="O402" s="50">
        <v>129258.5</v>
      </c>
      <c r="P402" s="50">
        <v>126727.56</v>
      </c>
      <c r="Q402" s="50">
        <v>126247.25999999998</v>
      </c>
      <c r="R402" s="49">
        <f t="shared" si="19"/>
        <v>1651871.83</v>
      </c>
    </row>
    <row r="403" spans="1:18" x14ac:dyDescent="0.25">
      <c r="A403" s="6">
        <v>401</v>
      </c>
      <c r="C403" s="10" t="s">
        <v>45</v>
      </c>
      <c r="F403" s="50"/>
      <c r="G403" s="50"/>
      <c r="H403" s="50"/>
      <c r="I403" s="50"/>
      <c r="J403" s="50"/>
      <c r="K403" s="50"/>
      <c r="L403" s="50"/>
      <c r="M403" s="50"/>
      <c r="N403" s="50"/>
      <c r="O403" s="50"/>
      <c r="P403" s="50"/>
      <c r="Q403" s="50"/>
      <c r="R403" s="49">
        <f t="shared" si="19"/>
        <v>0</v>
      </c>
    </row>
    <row r="404" spans="1:18" x14ac:dyDescent="0.25">
      <c r="A404" s="6">
        <v>402</v>
      </c>
      <c r="F404" s="50"/>
      <c r="G404" s="50"/>
      <c r="H404" s="50"/>
      <c r="I404" s="50"/>
      <c r="J404" s="50"/>
      <c r="K404" s="50"/>
      <c r="L404" s="50"/>
      <c r="M404" s="50"/>
      <c r="N404" s="50"/>
      <c r="O404" s="50"/>
      <c r="P404" s="50"/>
      <c r="Q404" s="50"/>
      <c r="R404" s="49">
        <f t="shared" si="19"/>
        <v>0</v>
      </c>
    </row>
    <row r="405" spans="1:18" x14ac:dyDescent="0.25">
      <c r="A405" s="6">
        <v>403</v>
      </c>
      <c r="C405" s="15" t="s">
        <v>105</v>
      </c>
      <c r="D405" s="7" t="s">
        <v>34</v>
      </c>
      <c r="E405" s="7">
        <v>92</v>
      </c>
      <c r="F405" s="50">
        <v>901</v>
      </c>
      <c r="G405" s="50">
        <v>901</v>
      </c>
      <c r="H405" s="50">
        <v>901</v>
      </c>
      <c r="I405" s="50">
        <v>901</v>
      </c>
      <c r="J405" s="50">
        <v>901</v>
      </c>
      <c r="K405" s="50">
        <v>901</v>
      </c>
      <c r="L405" s="50">
        <v>901</v>
      </c>
      <c r="M405" s="50">
        <v>901</v>
      </c>
      <c r="N405" s="50">
        <v>901</v>
      </c>
      <c r="O405" s="50">
        <v>901</v>
      </c>
      <c r="P405" s="50">
        <v>901</v>
      </c>
      <c r="Q405" s="50">
        <v>901</v>
      </c>
      <c r="R405" s="49">
        <f t="shared" si="19"/>
        <v>10812</v>
      </c>
    </row>
    <row r="406" spans="1:18" x14ac:dyDescent="0.25">
      <c r="A406" s="6">
        <v>404</v>
      </c>
      <c r="C406" s="6" t="s">
        <v>31</v>
      </c>
      <c r="D406" s="7" t="s">
        <v>35</v>
      </c>
      <c r="E406" s="7">
        <v>92</v>
      </c>
      <c r="F406" s="50">
        <v>7340017</v>
      </c>
      <c r="G406" s="50">
        <v>7140034</v>
      </c>
      <c r="H406" s="50">
        <v>6489580</v>
      </c>
      <c r="I406" s="50">
        <v>6698693</v>
      </c>
      <c r="J406" s="50">
        <v>5962269</v>
      </c>
      <c r="K406" s="50">
        <v>5032278</v>
      </c>
      <c r="L406" s="50">
        <v>3502410</v>
      </c>
      <c r="M406" s="50">
        <v>6188410</v>
      </c>
      <c r="N406" s="50">
        <v>4069426</v>
      </c>
      <c r="O406" s="50">
        <v>3186225</v>
      </c>
      <c r="P406" s="50">
        <v>6582081</v>
      </c>
      <c r="Q406" s="50">
        <v>7455224</v>
      </c>
      <c r="R406" s="49">
        <f t="shared" si="19"/>
        <v>69646647</v>
      </c>
    </row>
    <row r="407" spans="1:18" x14ac:dyDescent="0.25">
      <c r="A407" s="6">
        <v>405</v>
      </c>
      <c r="C407" s="6" t="s">
        <v>36</v>
      </c>
      <c r="D407" s="7" t="s">
        <v>37</v>
      </c>
      <c r="E407" s="7">
        <v>92</v>
      </c>
      <c r="F407" s="50">
        <v>0</v>
      </c>
      <c r="G407" s="50">
        <v>0</v>
      </c>
      <c r="H407" s="50">
        <v>0</v>
      </c>
      <c r="I407" s="50">
        <v>0</v>
      </c>
      <c r="J407" s="50">
        <v>0</v>
      </c>
      <c r="K407" s="50">
        <v>0</v>
      </c>
      <c r="L407" s="50">
        <v>0</v>
      </c>
      <c r="M407" s="50">
        <v>0</v>
      </c>
      <c r="N407" s="50">
        <v>0</v>
      </c>
      <c r="O407" s="50">
        <v>0</v>
      </c>
      <c r="P407" s="50">
        <v>0</v>
      </c>
      <c r="Q407" s="50">
        <v>0</v>
      </c>
      <c r="R407" s="49">
        <f t="shared" si="19"/>
        <v>0</v>
      </c>
    </row>
    <row r="408" spans="1:18" x14ac:dyDescent="0.25">
      <c r="A408" s="6">
        <v>406</v>
      </c>
      <c r="C408" s="6" t="s">
        <v>38</v>
      </c>
      <c r="D408" s="7" t="s">
        <v>39</v>
      </c>
      <c r="E408" s="7">
        <v>92</v>
      </c>
      <c r="F408" s="50">
        <v>0</v>
      </c>
      <c r="G408" s="50">
        <v>0</v>
      </c>
      <c r="H408" s="50">
        <v>0</v>
      </c>
      <c r="I408" s="50">
        <v>0</v>
      </c>
      <c r="J408" s="50">
        <v>0</v>
      </c>
      <c r="K408" s="50">
        <v>0</v>
      </c>
      <c r="L408" s="50">
        <v>0</v>
      </c>
      <c r="M408" s="50">
        <v>0</v>
      </c>
      <c r="N408" s="50">
        <v>0</v>
      </c>
      <c r="O408" s="50">
        <v>0</v>
      </c>
      <c r="P408" s="50">
        <v>0</v>
      </c>
      <c r="Q408" s="50">
        <v>0</v>
      </c>
      <c r="R408" s="49">
        <f t="shared" si="19"/>
        <v>0</v>
      </c>
    </row>
    <row r="409" spans="1:18" x14ac:dyDescent="0.25">
      <c r="A409" s="6">
        <v>407</v>
      </c>
      <c r="C409" s="6" t="s">
        <v>40</v>
      </c>
      <c r="D409" s="7" t="s">
        <v>41</v>
      </c>
      <c r="E409" s="7">
        <v>92</v>
      </c>
      <c r="F409" s="50">
        <v>-7340017</v>
      </c>
      <c r="G409" s="50">
        <v>-7140034</v>
      </c>
      <c r="H409" s="50">
        <v>-6489580</v>
      </c>
      <c r="I409" s="50">
        <v>-6698693</v>
      </c>
      <c r="J409" s="50">
        <v>-5962269</v>
      </c>
      <c r="K409" s="50">
        <v>-5032278</v>
      </c>
      <c r="L409" s="50">
        <v>-3268606</v>
      </c>
      <c r="M409" s="50">
        <v>-6188410</v>
      </c>
      <c r="N409" s="50">
        <v>-4069426</v>
      </c>
      <c r="O409" s="50">
        <v>-3186225</v>
      </c>
      <c r="P409" s="50">
        <v>-6582081</v>
      </c>
      <c r="Q409" s="50">
        <v>-7455224</v>
      </c>
      <c r="R409" s="49">
        <f t="shared" si="19"/>
        <v>-69412843</v>
      </c>
    </row>
    <row r="410" spans="1:18" x14ac:dyDescent="0.25">
      <c r="A410" s="6">
        <v>408</v>
      </c>
      <c r="C410" s="6" t="s">
        <v>42</v>
      </c>
      <c r="D410" s="7" t="s">
        <v>43</v>
      </c>
      <c r="E410" s="7">
        <v>92</v>
      </c>
      <c r="F410" s="50">
        <v>7140034</v>
      </c>
      <c r="G410" s="50">
        <v>6489580</v>
      </c>
      <c r="H410" s="50">
        <v>6698693</v>
      </c>
      <c r="I410" s="50">
        <v>5962269</v>
      </c>
      <c r="J410" s="50">
        <v>5032278</v>
      </c>
      <c r="K410" s="50">
        <v>3268606</v>
      </c>
      <c r="L410" s="50">
        <v>6188410</v>
      </c>
      <c r="M410" s="50">
        <v>4069426</v>
      </c>
      <c r="N410" s="50">
        <v>3186225</v>
      </c>
      <c r="O410" s="50">
        <v>6582081</v>
      </c>
      <c r="P410" s="50">
        <v>7455224</v>
      </c>
      <c r="Q410" s="50">
        <v>7824829</v>
      </c>
      <c r="R410" s="49">
        <f t="shared" si="19"/>
        <v>69897655</v>
      </c>
    </row>
    <row r="411" spans="1:18" x14ac:dyDescent="0.25">
      <c r="A411" s="6">
        <v>409</v>
      </c>
      <c r="C411" s="6" t="s">
        <v>33</v>
      </c>
      <c r="D411" s="7" t="s">
        <v>44</v>
      </c>
      <c r="E411" s="7">
        <v>92</v>
      </c>
      <c r="F411" s="50">
        <v>7140034</v>
      </c>
      <c r="G411" s="50">
        <v>6489580</v>
      </c>
      <c r="H411" s="50">
        <v>6698693</v>
      </c>
      <c r="I411" s="50">
        <v>5962269</v>
      </c>
      <c r="J411" s="50">
        <v>5032278</v>
      </c>
      <c r="K411" s="50">
        <v>3268606</v>
      </c>
      <c r="L411" s="50">
        <v>6422214</v>
      </c>
      <c r="M411" s="50">
        <v>4069426</v>
      </c>
      <c r="N411" s="50">
        <v>3186225</v>
      </c>
      <c r="O411" s="50">
        <v>6582081</v>
      </c>
      <c r="P411" s="50">
        <v>7455224</v>
      </c>
      <c r="Q411" s="50">
        <v>7824829</v>
      </c>
      <c r="R411" s="49">
        <f t="shared" si="19"/>
        <v>70131459</v>
      </c>
    </row>
    <row r="412" spans="1:18" x14ac:dyDescent="0.25">
      <c r="A412" s="6">
        <v>410</v>
      </c>
      <c r="C412" s="10" t="s">
        <v>45</v>
      </c>
      <c r="F412" s="50"/>
      <c r="G412" s="50"/>
      <c r="H412" s="50"/>
      <c r="I412" s="50"/>
      <c r="J412" s="50"/>
      <c r="K412" s="50"/>
      <c r="L412" s="50"/>
      <c r="M412" s="50"/>
      <c r="N412" s="50"/>
      <c r="O412" s="50"/>
      <c r="P412" s="50"/>
      <c r="Q412" s="50"/>
      <c r="R412" s="49">
        <f t="shared" si="19"/>
        <v>0</v>
      </c>
    </row>
    <row r="413" spans="1:18" x14ac:dyDescent="0.25">
      <c r="A413" s="6">
        <v>411</v>
      </c>
      <c r="C413" s="6" t="s">
        <v>46</v>
      </c>
      <c r="D413" s="7" t="s">
        <v>35</v>
      </c>
      <c r="E413" s="7">
        <v>136</v>
      </c>
      <c r="F413" s="50">
        <v>136852.22</v>
      </c>
      <c r="G413" s="50">
        <v>133713.25</v>
      </c>
      <c r="H413" s="50">
        <v>123503.55</v>
      </c>
      <c r="I413" s="50">
        <v>126785.83</v>
      </c>
      <c r="J413" s="50">
        <v>115226.74</v>
      </c>
      <c r="K413" s="50">
        <v>100629.36</v>
      </c>
      <c r="L413" s="50">
        <v>76616.149999999994</v>
      </c>
      <c r="M413" s="50">
        <v>118776.3</v>
      </c>
      <c r="N413" s="50">
        <v>87516.97</v>
      </c>
      <c r="O413" s="50">
        <v>73303.679999999993</v>
      </c>
      <c r="P413" s="50">
        <v>127952.91</v>
      </c>
      <c r="Q413" s="50">
        <v>142004.34</v>
      </c>
      <c r="R413" s="49">
        <f t="shared" si="19"/>
        <v>1362881.3</v>
      </c>
    </row>
    <row r="414" spans="1:18" x14ac:dyDescent="0.25">
      <c r="A414" s="6">
        <v>412</v>
      </c>
      <c r="C414" s="6" t="s">
        <v>47</v>
      </c>
      <c r="D414" s="7" t="s">
        <v>37</v>
      </c>
      <c r="E414" s="7">
        <v>136</v>
      </c>
      <c r="F414" s="50">
        <v>0</v>
      </c>
      <c r="G414" s="50">
        <v>0</v>
      </c>
      <c r="H414" s="50">
        <v>0</v>
      </c>
      <c r="I414" s="50">
        <v>0</v>
      </c>
      <c r="J414" s="50">
        <v>0</v>
      </c>
      <c r="K414" s="50">
        <v>0</v>
      </c>
      <c r="L414" s="50">
        <v>0</v>
      </c>
      <c r="M414" s="50">
        <v>0</v>
      </c>
      <c r="N414" s="50">
        <v>0</v>
      </c>
      <c r="O414" s="50">
        <v>0</v>
      </c>
      <c r="P414" s="50">
        <v>0</v>
      </c>
      <c r="Q414" s="50">
        <v>0</v>
      </c>
      <c r="R414" s="49">
        <f t="shared" si="19"/>
        <v>0</v>
      </c>
    </row>
    <row r="415" spans="1:18" x14ac:dyDescent="0.25">
      <c r="A415" s="6">
        <v>413</v>
      </c>
      <c r="C415" s="6" t="s">
        <v>48</v>
      </c>
      <c r="D415" s="7" t="s">
        <v>39</v>
      </c>
      <c r="E415" s="7">
        <v>136</v>
      </c>
      <c r="F415" s="50">
        <v>0</v>
      </c>
      <c r="G415" s="50">
        <v>0</v>
      </c>
      <c r="H415" s="50">
        <v>0</v>
      </c>
      <c r="I415" s="50">
        <v>0</v>
      </c>
      <c r="J415" s="50">
        <v>0</v>
      </c>
      <c r="K415" s="50">
        <v>0</v>
      </c>
      <c r="L415" s="50">
        <v>0</v>
      </c>
      <c r="M415" s="50">
        <v>0</v>
      </c>
      <c r="N415" s="50">
        <v>0</v>
      </c>
      <c r="O415" s="50">
        <v>0</v>
      </c>
      <c r="P415" s="50">
        <v>0</v>
      </c>
      <c r="Q415" s="50">
        <v>0</v>
      </c>
      <c r="R415" s="49">
        <f t="shared" si="19"/>
        <v>0</v>
      </c>
    </row>
    <row r="416" spans="1:18" x14ac:dyDescent="0.25">
      <c r="A416" s="6">
        <v>414</v>
      </c>
      <c r="C416" s="6" t="s">
        <v>49</v>
      </c>
      <c r="D416" s="7" t="s">
        <v>50</v>
      </c>
      <c r="E416" s="7">
        <v>136</v>
      </c>
      <c r="F416" s="50">
        <v>0</v>
      </c>
      <c r="G416" s="50">
        <v>0</v>
      </c>
      <c r="H416" s="50">
        <v>0</v>
      </c>
      <c r="I416" s="50">
        <v>0</v>
      </c>
      <c r="J416" s="50">
        <v>0</v>
      </c>
      <c r="K416" s="50">
        <v>0</v>
      </c>
      <c r="L416" s="50">
        <v>0</v>
      </c>
      <c r="M416" s="50">
        <v>0</v>
      </c>
      <c r="N416" s="50">
        <v>0</v>
      </c>
      <c r="O416" s="50">
        <v>0</v>
      </c>
      <c r="P416" s="50">
        <v>0</v>
      </c>
      <c r="Q416" s="50">
        <v>0</v>
      </c>
      <c r="R416" s="49">
        <f t="shared" si="19"/>
        <v>0</v>
      </c>
    </row>
    <row r="417" spans="1:18" x14ac:dyDescent="0.25">
      <c r="A417" s="6">
        <v>415</v>
      </c>
      <c r="C417" s="27" t="s">
        <v>278</v>
      </c>
      <c r="D417" s="7" t="s">
        <v>51</v>
      </c>
      <c r="E417" s="7">
        <v>136</v>
      </c>
      <c r="F417" s="50">
        <v>0</v>
      </c>
      <c r="G417" s="50">
        <v>0</v>
      </c>
      <c r="H417" s="50">
        <v>0</v>
      </c>
      <c r="I417" s="50">
        <v>0</v>
      </c>
      <c r="J417" s="50">
        <v>0</v>
      </c>
      <c r="K417" s="50">
        <v>0</v>
      </c>
      <c r="L417" s="50">
        <v>0</v>
      </c>
      <c r="M417" s="50">
        <v>0</v>
      </c>
      <c r="N417" s="50">
        <v>0</v>
      </c>
      <c r="O417" s="50">
        <v>0</v>
      </c>
      <c r="P417" s="50">
        <v>0</v>
      </c>
      <c r="Q417" s="50">
        <v>0</v>
      </c>
      <c r="R417" s="49">
        <f t="shared" si="19"/>
        <v>0</v>
      </c>
    </row>
    <row r="418" spans="1:18" x14ac:dyDescent="0.25">
      <c r="A418" s="6">
        <v>416</v>
      </c>
      <c r="C418" s="6" t="s">
        <v>80</v>
      </c>
      <c r="D418" s="7" t="s">
        <v>79</v>
      </c>
      <c r="E418" s="7">
        <v>136</v>
      </c>
      <c r="F418" s="50">
        <v>0</v>
      </c>
      <c r="G418" s="50">
        <v>0</v>
      </c>
      <c r="H418" s="50">
        <v>0</v>
      </c>
      <c r="I418" s="50">
        <v>0</v>
      </c>
      <c r="J418" s="50">
        <v>0</v>
      </c>
      <c r="K418" s="50">
        <v>0</v>
      </c>
      <c r="L418" s="50">
        <v>0</v>
      </c>
      <c r="M418" s="50">
        <v>0</v>
      </c>
      <c r="N418" s="50">
        <v>0</v>
      </c>
      <c r="O418" s="50">
        <v>0</v>
      </c>
      <c r="P418" s="50">
        <v>0</v>
      </c>
      <c r="Q418" s="50">
        <v>0</v>
      </c>
      <c r="R418" s="49">
        <f t="shared" ref="R418:R481" si="21">SUM(F418:Q418)</f>
        <v>0</v>
      </c>
    </row>
    <row r="419" spans="1:18" x14ac:dyDescent="0.25">
      <c r="A419" s="6">
        <v>417</v>
      </c>
      <c r="C419" s="6" t="s">
        <v>13</v>
      </c>
      <c r="D419" s="7" t="s">
        <v>52</v>
      </c>
      <c r="E419" s="7">
        <v>136</v>
      </c>
      <c r="F419" s="50">
        <v>0</v>
      </c>
      <c r="G419" s="50">
        <v>0</v>
      </c>
      <c r="H419" s="50">
        <v>0</v>
      </c>
      <c r="I419" s="50">
        <v>0</v>
      </c>
      <c r="J419" s="50">
        <v>0</v>
      </c>
      <c r="K419" s="50">
        <v>0</v>
      </c>
      <c r="L419" s="50">
        <v>0</v>
      </c>
      <c r="M419" s="50">
        <v>0</v>
      </c>
      <c r="N419" s="50">
        <v>0</v>
      </c>
      <c r="O419" s="50">
        <v>0</v>
      </c>
      <c r="P419" s="50">
        <v>0</v>
      </c>
      <c r="Q419" s="50">
        <v>0</v>
      </c>
      <c r="R419" s="49">
        <f t="shared" si="21"/>
        <v>0</v>
      </c>
    </row>
    <row r="420" spans="1:18" x14ac:dyDescent="0.25">
      <c r="A420" s="6">
        <v>418</v>
      </c>
      <c r="C420" s="6" t="s">
        <v>55</v>
      </c>
      <c r="D420" s="7" t="s">
        <v>41</v>
      </c>
      <c r="E420" s="7">
        <v>136</v>
      </c>
      <c r="F420" s="50">
        <v>-136852.22</v>
      </c>
      <c r="G420" s="50">
        <v>-133713.25</v>
      </c>
      <c r="H420" s="50">
        <v>-123503.55</v>
      </c>
      <c r="I420" s="50">
        <v>-126785.83</v>
      </c>
      <c r="J420" s="50">
        <v>-115226.74</v>
      </c>
      <c r="K420" s="50">
        <v>-100629.36</v>
      </c>
      <c r="L420" s="50">
        <v>-72946.3</v>
      </c>
      <c r="M420" s="50">
        <v>-118776.3</v>
      </c>
      <c r="N420" s="50">
        <v>-86567.97</v>
      </c>
      <c r="O420" s="50">
        <v>-73303.679999999993</v>
      </c>
      <c r="P420" s="50">
        <v>-127952.91</v>
      </c>
      <c r="Q420" s="50">
        <v>-142004.34</v>
      </c>
      <c r="R420" s="49">
        <f t="shared" si="21"/>
        <v>-1358262.45</v>
      </c>
    </row>
    <row r="421" spans="1:18" x14ac:dyDescent="0.25">
      <c r="A421" s="6">
        <v>419</v>
      </c>
      <c r="C421" s="6" t="s">
        <v>56</v>
      </c>
      <c r="D421" s="7" t="s">
        <v>43</v>
      </c>
      <c r="E421" s="7">
        <v>136</v>
      </c>
      <c r="F421" s="50">
        <v>133713.25</v>
      </c>
      <c r="G421" s="50">
        <v>123503.55</v>
      </c>
      <c r="H421" s="50">
        <v>126785.83</v>
      </c>
      <c r="I421" s="50">
        <v>115226.74</v>
      </c>
      <c r="J421" s="50">
        <v>100629.36</v>
      </c>
      <c r="K421" s="50">
        <v>72946.3</v>
      </c>
      <c r="L421" s="50">
        <v>118776.3</v>
      </c>
      <c r="M421" s="50">
        <v>86567.97</v>
      </c>
      <c r="N421" s="50">
        <v>73303.679999999993</v>
      </c>
      <c r="O421" s="50">
        <v>127952.91</v>
      </c>
      <c r="P421" s="50">
        <v>142004.34</v>
      </c>
      <c r="Q421" s="50">
        <v>147952.37</v>
      </c>
      <c r="R421" s="49">
        <f t="shared" si="21"/>
        <v>1369362.6</v>
      </c>
    </row>
    <row r="422" spans="1:18" x14ac:dyDescent="0.25">
      <c r="A422" s="6">
        <v>420</v>
      </c>
      <c r="C422" s="6" t="s">
        <v>30</v>
      </c>
      <c r="D422" s="7" t="s">
        <v>44</v>
      </c>
      <c r="E422" s="7">
        <v>136</v>
      </c>
      <c r="F422" s="50">
        <v>133713.25</v>
      </c>
      <c r="G422" s="50">
        <v>123503.55</v>
      </c>
      <c r="H422" s="50">
        <v>126785.83</v>
      </c>
      <c r="I422" s="50">
        <v>115226.74</v>
      </c>
      <c r="J422" s="50">
        <v>100629.36</v>
      </c>
      <c r="K422" s="50">
        <v>72946.3</v>
      </c>
      <c r="L422" s="50">
        <v>122446.15</v>
      </c>
      <c r="M422" s="50">
        <v>86567.97</v>
      </c>
      <c r="N422" s="50">
        <v>74252.679999999993</v>
      </c>
      <c r="O422" s="50">
        <v>127952.91</v>
      </c>
      <c r="P422" s="50">
        <v>142004.34</v>
      </c>
      <c r="Q422" s="50">
        <v>147952.37</v>
      </c>
      <c r="R422" s="49">
        <f t="shared" si="21"/>
        <v>1373981.4500000002</v>
      </c>
    </row>
    <row r="423" spans="1:18" x14ac:dyDescent="0.25">
      <c r="A423" s="6">
        <v>421</v>
      </c>
      <c r="C423" s="10" t="s">
        <v>45</v>
      </c>
      <c r="F423" s="50"/>
      <c r="G423" s="50"/>
      <c r="H423" s="50"/>
      <c r="I423" s="50"/>
      <c r="J423" s="50"/>
      <c r="K423" s="50"/>
      <c r="L423" s="50"/>
      <c r="M423" s="50"/>
      <c r="N423" s="50"/>
      <c r="O423" s="50"/>
      <c r="P423" s="50"/>
      <c r="Q423" s="50"/>
      <c r="R423" s="49">
        <f t="shared" si="21"/>
        <v>0</v>
      </c>
    </row>
    <row r="424" spans="1:18" x14ac:dyDescent="0.25">
      <c r="A424" s="6">
        <v>422</v>
      </c>
      <c r="F424" s="50"/>
      <c r="G424" s="50"/>
      <c r="H424" s="50"/>
      <c r="I424" s="50"/>
      <c r="J424" s="50"/>
      <c r="K424" s="50"/>
      <c r="L424" s="50"/>
      <c r="M424" s="50"/>
      <c r="N424" s="50"/>
      <c r="O424" s="50"/>
      <c r="P424" s="50"/>
      <c r="Q424" s="50"/>
      <c r="R424" s="49">
        <f t="shared" si="21"/>
        <v>0</v>
      </c>
    </row>
    <row r="425" spans="1:18" x14ac:dyDescent="0.25">
      <c r="A425" s="6">
        <v>423</v>
      </c>
      <c r="C425" s="15" t="s">
        <v>104</v>
      </c>
      <c r="D425" s="7" t="s">
        <v>34</v>
      </c>
      <c r="E425" s="7">
        <v>93</v>
      </c>
      <c r="F425" s="50">
        <v>903</v>
      </c>
      <c r="G425" s="50">
        <v>903</v>
      </c>
      <c r="H425" s="50">
        <v>903</v>
      </c>
      <c r="I425" s="50">
        <v>903</v>
      </c>
      <c r="J425" s="50">
        <v>903</v>
      </c>
      <c r="K425" s="50">
        <v>903</v>
      </c>
      <c r="L425" s="50">
        <v>903</v>
      </c>
      <c r="M425" s="50">
        <v>903</v>
      </c>
      <c r="N425" s="50">
        <v>903</v>
      </c>
      <c r="O425" s="50">
        <v>903</v>
      </c>
      <c r="P425" s="50">
        <v>903</v>
      </c>
      <c r="Q425" s="50">
        <v>903</v>
      </c>
      <c r="R425" s="49">
        <f t="shared" si="21"/>
        <v>10836</v>
      </c>
    </row>
    <row r="426" spans="1:18" x14ac:dyDescent="0.25">
      <c r="A426" s="6">
        <v>424</v>
      </c>
      <c r="C426" s="6" t="s">
        <v>31</v>
      </c>
      <c r="D426" s="7" t="s">
        <v>35</v>
      </c>
      <c r="E426" s="7">
        <v>93</v>
      </c>
      <c r="F426" s="50">
        <v>2258956</v>
      </c>
      <c r="G426" s="50">
        <v>0</v>
      </c>
      <c r="H426" s="50">
        <v>1333642</v>
      </c>
      <c r="I426" s="50">
        <v>407699</v>
      </c>
      <c r="J426" s="50">
        <v>0</v>
      </c>
      <c r="K426" s="50">
        <v>702821</v>
      </c>
      <c r="L426" s="50">
        <v>1610020</v>
      </c>
      <c r="M426" s="50">
        <v>6692043</v>
      </c>
      <c r="N426" s="50">
        <v>6558487</v>
      </c>
      <c r="O426" s="50">
        <v>0</v>
      </c>
      <c r="P426" s="50">
        <v>0</v>
      </c>
      <c r="Q426" s="50">
        <v>392300</v>
      </c>
      <c r="R426" s="49">
        <f t="shared" si="21"/>
        <v>19955968</v>
      </c>
    </row>
    <row r="427" spans="1:18" x14ac:dyDescent="0.25">
      <c r="A427" s="6">
        <v>425</v>
      </c>
      <c r="C427" s="6" t="s">
        <v>36</v>
      </c>
      <c r="D427" s="7" t="s">
        <v>37</v>
      </c>
      <c r="E427" s="7">
        <v>93</v>
      </c>
      <c r="F427" s="50">
        <v>0</v>
      </c>
      <c r="G427" s="50">
        <v>0</v>
      </c>
      <c r="H427" s="50">
        <v>0</v>
      </c>
      <c r="I427" s="50">
        <v>0</v>
      </c>
      <c r="J427" s="50">
        <v>0</v>
      </c>
      <c r="K427" s="50">
        <v>0</v>
      </c>
      <c r="L427" s="50">
        <v>0</v>
      </c>
      <c r="M427" s="50">
        <v>0</v>
      </c>
      <c r="N427" s="50">
        <v>0</v>
      </c>
      <c r="O427" s="50">
        <v>0</v>
      </c>
      <c r="P427" s="50">
        <v>0</v>
      </c>
      <c r="Q427" s="50">
        <v>0</v>
      </c>
      <c r="R427" s="49">
        <f t="shared" si="21"/>
        <v>0</v>
      </c>
    </row>
    <row r="428" spans="1:18" x14ac:dyDescent="0.25">
      <c r="A428" s="6">
        <v>426</v>
      </c>
      <c r="C428" s="6" t="s">
        <v>38</v>
      </c>
      <c r="D428" s="7" t="s">
        <v>39</v>
      </c>
      <c r="E428" s="7">
        <v>93</v>
      </c>
      <c r="F428" s="50">
        <v>0</v>
      </c>
      <c r="G428" s="50">
        <v>0</v>
      </c>
      <c r="H428" s="50">
        <v>0</v>
      </c>
      <c r="I428" s="50">
        <v>0</v>
      </c>
      <c r="J428" s="50">
        <v>0</v>
      </c>
      <c r="K428" s="50">
        <v>0</v>
      </c>
      <c r="L428" s="50">
        <v>0</v>
      </c>
      <c r="M428" s="50">
        <v>0</v>
      </c>
      <c r="N428" s="50">
        <v>0</v>
      </c>
      <c r="O428" s="50">
        <v>0</v>
      </c>
      <c r="P428" s="50">
        <v>0</v>
      </c>
      <c r="Q428" s="50">
        <v>0</v>
      </c>
      <c r="R428" s="49">
        <f t="shared" si="21"/>
        <v>0</v>
      </c>
    </row>
    <row r="429" spans="1:18" x14ac:dyDescent="0.25">
      <c r="A429" s="6">
        <v>427</v>
      </c>
      <c r="C429" s="6" t="s">
        <v>40</v>
      </c>
      <c r="D429" s="7" t="s">
        <v>41</v>
      </c>
      <c r="E429" s="7">
        <v>93</v>
      </c>
      <c r="F429" s="50">
        <v>-2258956</v>
      </c>
      <c r="G429" s="50">
        <v>0</v>
      </c>
      <c r="H429" s="50">
        <v>-1333642</v>
      </c>
      <c r="I429" s="50">
        <v>-407699</v>
      </c>
      <c r="J429" s="50">
        <v>0</v>
      </c>
      <c r="K429" s="50">
        <v>-702821</v>
      </c>
      <c r="L429" s="50">
        <v>-1610020</v>
      </c>
      <c r="M429" s="50">
        <v>-6692043</v>
      </c>
      <c r="N429" s="50">
        <v>-6558487</v>
      </c>
      <c r="O429" s="50">
        <v>0</v>
      </c>
      <c r="P429" s="50">
        <v>0</v>
      </c>
      <c r="Q429" s="50">
        <v>-392300</v>
      </c>
      <c r="R429" s="49">
        <f t="shared" si="21"/>
        <v>-19955968</v>
      </c>
    </row>
    <row r="430" spans="1:18" x14ac:dyDescent="0.25">
      <c r="A430" s="6">
        <v>428</v>
      </c>
      <c r="C430" s="6" t="s">
        <v>42</v>
      </c>
      <c r="D430" s="7" t="s">
        <v>43</v>
      </c>
      <c r="E430" s="7">
        <v>93</v>
      </c>
      <c r="F430" s="50">
        <v>0</v>
      </c>
      <c r="G430" s="50">
        <v>1333642</v>
      </c>
      <c r="H430" s="50">
        <v>407699</v>
      </c>
      <c r="I430" s="50">
        <v>0</v>
      </c>
      <c r="J430" s="50">
        <v>702821</v>
      </c>
      <c r="K430" s="50">
        <v>1610020</v>
      </c>
      <c r="L430" s="50">
        <v>6692043</v>
      </c>
      <c r="M430" s="50">
        <v>6558487</v>
      </c>
      <c r="N430" s="50">
        <v>0</v>
      </c>
      <c r="O430" s="50">
        <v>0</v>
      </c>
      <c r="P430" s="50">
        <v>392300</v>
      </c>
      <c r="Q430" s="50">
        <v>357236</v>
      </c>
      <c r="R430" s="49">
        <f t="shared" si="21"/>
        <v>18054248</v>
      </c>
    </row>
    <row r="431" spans="1:18" x14ac:dyDescent="0.25">
      <c r="A431" s="6">
        <v>429</v>
      </c>
      <c r="C431" s="6" t="s">
        <v>33</v>
      </c>
      <c r="D431" s="7" t="s">
        <v>44</v>
      </c>
      <c r="E431" s="7">
        <v>93</v>
      </c>
      <c r="F431" s="50">
        <v>0</v>
      </c>
      <c r="G431" s="50">
        <v>1333642</v>
      </c>
      <c r="H431" s="50">
        <v>407699</v>
      </c>
      <c r="I431" s="50">
        <v>0</v>
      </c>
      <c r="J431" s="50">
        <v>702821</v>
      </c>
      <c r="K431" s="50">
        <v>1610020</v>
      </c>
      <c r="L431" s="50">
        <v>6692043</v>
      </c>
      <c r="M431" s="50">
        <v>6558487</v>
      </c>
      <c r="N431" s="50">
        <v>0</v>
      </c>
      <c r="O431" s="50">
        <v>0</v>
      </c>
      <c r="P431" s="50">
        <v>392300</v>
      </c>
      <c r="Q431" s="50">
        <v>357236</v>
      </c>
      <c r="R431" s="49">
        <f t="shared" si="21"/>
        <v>18054248</v>
      </c>
    </row>
    <row r="432" spans="1:18" x14ac:dyDescent="0.25">
      <c r="A432" s="6">
        <v>430</v>
      </c>
      <c r="C432" s="10" t="s">
        <v>45</v>
      </c>
      <c r="F432" s="50"/>
      <c r="G432" s="50"/>
      <c r="H432" s="50"/>
      <c r="I432" s="50"/>
      <c r="J432" s="50"/>
      <c r="K432" s="50"/>
      <c r="L432" s="50"/>
      <c r="M432" s="50"/>
      <c r="N432" s="50"/>
      <c r="O432" s="50"/>
      <c r="P432" s="50"/>
      <c r="Q432" s="50"/>
      <c r="R432" s="49">
        <f t="shared" si="21"/>
        <v>0</v>
      </c>
    </row>
    <row r="433" spans="1:18" x14ac:dyDescent="0.25">
      <c r="A433" s="6">
        <v>431</v>
      </c>
      <c r="C433" s="6" t="s">
        <v>46</v>
      </c>
      <c r="D433" s="7" t="s">
        <v>35</v>
      </c>
      <c r="E433" s="7">
        <v>137</v>
      </c>
      <c r="F433" s="50">
        <v>53100.36</v>
      </c>
      <c r="G433" s="50">
        <v>16524.78</v>
      </c>
      <c r="H433" s="50">
        <v>38118.26</v>
      </c>
      <c r="I433" s="50">
        <v>23125.98</v>
      </c>
      <c r="J433" s="50">
        <v>16524.78</v>
      </c>
      <c r="K433" s="50">
        <v>27904.400000000001</v>
      </c>
      <c r="L433" s="50">
        <v>42593.2</v>
      </c>
      <c r="M433" s="50">
        <v>126351.91</v>
      </c>
      <c r="N433" s="50">
        <v>125714.84</v>
      </c>
      <c r="O433" s="50">
        <v>16849.189999999999</v>
      </c>
      <c r="P433" s="50">
        <v>16849.189999999999</v>
      </c>
      <c r="Q433" s="50">
        <v>23361.06</v>
      </c>
      <c r="R433" s="49">
        <f t="shared" si="21"/>
        <v>527017.94999999995</v>
      </c>
    </row>
    <row r="434" spans="1:18" x14ac:dyDescent="0.25">
      <c r="A434" s="6">
        <v>432</v>
      </c>
      <c r="C434" s="6" t="s">
        <v>47</v>
      </c>
      <c r="D434" s="7" t="s">
        <v>37</v>
      </c>
      <c r="E434" s="7">
        <v>137</v>
      </c>
      <c r="F434" s="50">
        <v>0</v>
      </c>
      <c r="G434" s="50">
        <v>0</v>
      </c>
      <c r="H434" s="50">
        <v>0</v>
      </c>
      <c r="I434" s="50">
        <v>0</v>
      </c>
      <c r="J434" s="50">
        <v>0</v>
      </c>
      <c r="K434" s="50">
        <v>0</v>
      </c>
      <c r="L434" s="50">
        <v>0</v>
      </c>
      <c r="M434" s="50">
        <v>0</v>
      </c>
      <c r="N434" s="50">
        <v>0</v>
      </c>
      <c r="O434" s="50">
        <v>0</v>
      </c>
      <c r="P434" s="50">
        <v>0</v>
      </c>
      <c r="Q434" s="50">
        <v>0</v>
      </c>
      <c r="R434" s="49">
        <f t="shared" si="21"/>
        <v>0</v>
      </c>
    </row>
    <row r="435" spans="1:18" x14ac:dyDescent="0.25">
      <c r="A435" s="6">
        <v>433</v>
      </c>
      <c r="C435" s="6" t="s">
        <v>48</v>
      </c>
      <c r="D435" s="7" t="s">
        <v>39</v>
      </c>
      <c r="E435" s="7">
        <v>137</v>
      </c>
      <c r="F435" s="50">
        <v>0</v>
      </c>
      <c r="G435" s="50">
        <v>0</v>
      </c>
      <c r="H435" s="50">
        <v>0</v>
      </c>
      <c r="I435" s="50">
        <v>0</v>
      </c>
      <c r="J435" s="50">
        <v>0</v>
      </c>
      <c r="K435" s="50">
        <v>0</v>
      </c>
      <c r="L435" s="50">
        <v>0</v>
      </c>
      <c r="M435" s="50">
        <v>0</v>
      </c>
      <c r="N435" s="50">
        <v>0</v>
      </c>
      <c r="O435" s="50">
        <v>0</v>
      </c>
      <c r="P435" s="50">
        <v>0</v>
      </c>
      <c r="Q435" s="50">
        <v>0</v>
      </c>
      <c r="R435" s="49">
        <f t="shared" si="21"/>
        <v>0</v>
      </c>
    </row>
    <row r="436" spans="1:18" x14ac:dyDescent="0.25">
      <c r="A436" s="6">
        <v>434</v>
      </c>
      <c r="C436" s="6" t="s">
        <v>49</v>
      </c>
      <c r="D436" s="7" t="s">
        <v>50</v>
      </c>
      <c r="E436" s="7">
        <v>137</v>
      </c>
      <c r="F436" s="50">
        <v>0</v>
      </c>
      <c r="G436" s="50">
        <v>0</v>
      </c>
      <c r="H436" s="50">
        <v>0</v>
      </c>
      <c r="I436" s="50">
        <v>0</v>
      </c>
      <c r="J436" s="50">
        <v>0</v>
      </c>
      <c r="K436" s="50">
        <v>0</v>
      </c>
      <c r="L436" s="50">
        <v>0</v>
      </c>
      <c r="M436" s="50">
        <v>0</v>
      </c>
      <c r="N436" s="50">
        <v>0</v>
      </c>
      <c r="O436" s="50">
        <v>0</v>
      </c>
      <c r="P436" s="50">
        <v>0</v>
      </c>
      <c r="Q436" s="50">
        <v>0</v>
      </c>
      <c r="R436" s="49">
        <f t="shared" si="21"/>
        <v>0</v>
      </c>
    </row>
    <row r="437" spans="1:18" x14ac:dyDescent="0.25">
      <c r="A437" s="6">
        <v>435</v>
      </c>
      <c r="C437" s="27" t="s">
        <v>278</v>
      </c>
      <c r="D437" s="7" t="s">
        <v>51</v>
      </c>
      <c r="E437" s="7">
        <v>137</v>
      </c>
      <c r="F437" s="50">
        <v>0</v>
      </c>
      <c r="G437" s="50">
        <v>0</v>
      </c>
      <c r="H437" s="50">
        <v>0</v>
      </c>
      <c r="I437" s="50">
        <v>0</v>
      </c>
      <c r="J437" s="50">
        <v>0</v>
      </c>
      <c r="K437" s="50">
        <v>0</v>
      </c>
      <c r="L437" s="50">
        <v>0</v>
      </c>
      <c r="M437" s="50">
        <v>0</v>
      </c>
      <c r="N437" s="50">
        <v>0</v>
      </c>
      <c r="O437" s="50">
        <v>0</v>
      </c>
      <c r="P437" s="50">
        <v>0</v>
      </c>
      <c r="Q437" s="50">
        <v>0</v>
      </c>
      <c r="R437" s="49">
        <f t="shared" si="21"/>
        <v>0</v>
      </c>
    </row>
    <row r="438" spans="1:18" x14ac:dyDescent="0.25">
      <c r="A438" s="6">
        <v>436</v>
      </c>
      <c r="C438" s="6" t="s">
        <v>80</v>
      </c>
      <c r="D438" s="7" t="s">
        <v>79</v>
      </c>
      <c r="E438" s="7">
        <v>137</v>
      </c>
      <c r="F438" s="50">
        <v>0</v>
      </c>
      <c r="G438" s="50">
        <v>0</v>
      </c>
      <c r="H438" s="50">
        <v>0</v>
      </c>
      <c r="I438" s="50">
        <v>0</v>
      </c>
      <c r="J438" s="50">
        <v>0</v>
      </c>
      <c r="K438" s="50">
        <v>0</v>
      </c>
      <c r="L438" s="50">
        <v>0</v>
      </c>
      <c r="M438" s="50">
        <v>0</v>
      </c>
      <c r="N438" s="50">
        <v>0</v>
      </c>
      <c r="O438" s="50">
        <v>0</v>
      </c>
      <c r="P438" s="50">
        <v>0</v>
      </c>
      <c r="Q438" s="50">
        <v>0</v>
      </c>
      <c r="R438" s="49">
        <f t="shared" si="21"/>
        <v>0</v>
      </c>
    </row>
    <row r="439" spans="1:18" x14ac:dyDescent="0.25">
      <c r="A439" s="6">
        <v>437</v>
      </c>
      <c r="C439" s="6" t="s">
        <v>13</v>
      </c>
      <c r="D439" s="7" t="s">
        <v>52</v>
      </c>
      <c r="E439" s="7">
        <v>137</v>
      </c>
      <c r="F439" s="50">
        <v>0</v>
      </c>
      <c r="G439" s="50">
        <v>0</v>
      </c>
      <c r="H439" s="50">
        <v>0</v>
      </c>
      <c r="I439" s="50">
        <v>0</v>
      </c>
      <c r="J439" s="50">
        <v>0</v>
      </c>
      <c r="K439" s="50">
        <v>0</v>
      </c>
      <c r="L439" s="50">
        <v>0</v>
      </c>
      <c r="M439" s="50">
        <v>0</v>
      </c>
      <c r="N439" s="50">
        <v>0</v>
      </c>
      <c r="O439" s="50">
        <v>0</v>
      </c>
      <c r="P439" s="50">
        <v>0</v>
      </c>
      <c r="Q439" s="50">
        <v>0</v>
      </c>
      <c r="R439" s="49">
        <f t="shared" si="21"/>
        <v>0</v>
      </c>
    </row>
    <row r="440" spans="1:18" x14ac:dyDescent="0.25">
      <c r="A440" s="6">
        <v>438</v>
      </c>
      <c r="C440" s="6" t="s">
        <v>55</v>
      </c>
      <c r="D440" s="7" t="s">
        <v>41</v>
      </c>
      <c r="E440" s="7">
        <v>137</v>
      </c>
      <c r="F440" s="50">
        <v>-53100.36</v>
      </c>
      <c r="G440" s="50">
        <v>-16524.78</v>
      </c>
      <c r="H440" s="50">
        <v>-38118.26</v>
      </c>
      <c r="I440" s="50">
        <v>-23125.98</v>
      </c>
      <c r="J440" s="50">
        <v>-16524.78</v>
      </c>
      <c r="K440" s="50">
        <v>-27904.400000000001</v>
      </c>
      <c r="L440" s="50">
        <v>-42593.2</v>
      </c>
      <c r="M440" s="50">
        <v>-126351.91</v>
      </c>
      <c r="N440" s="50">
        <v>-124163.87</v>
      </c>
      <c r="O440" s="50">
        <v>-16849.189999999999</v>
      </c>
      <c r="P440" s="50">
        <v>-16849.189999999999</v>
      </c>
      <c r="Q440" s="50">
        <v>-23361.06</v>
      </c>
      <c r="R440" s="49">
        <f t="shared" si="21"/>
        <v>-525466.98</v>
      </c>
    </row>
    <row r="441" spans="1:18" x14ac:dyDescent="0.25">
      <c r="A441" s="6">
        <v>439</v>
      </c>
      <c r="C441" s="6" t="s">
        <v>56</v>
      </c>
      <c r="D441" s="7" t="s">
        <v>43</v>
      </c>
      <c r="E441" s="7">
        <v>137</v>
      </c>
      <c r="F441" s="50">
        <v>16524.78</v>
      </c>
      <c r="G441" s="50">
        <v>38118.26</v>
      </c>
      <c r="H441" s="50">
        <v>23125.98</v>
      </c>
      <c r="I441" s="50">
        <v>16524.78</v>
      </c>
      <c r="J441" s="50">
        <v>27904.400000000001</v>
      </c>
      <c r="K441" s="50">
        <v>42593.2</v>
      </c>
      <c r="L441" s="50">
        <v>126351.91</v>
      </c>
      <c r="M441" s="50">
        <v>124163.87</v>
      </c>
      <c r="N441" s="50">
        <v>16849.189999999999</v>
      </c>
      <c r="O441" s="50">
        <v>16849.189999999999</v>
      </c>
      <c r="P441" s="50">
        <v>23361.06</v>
      </c>
      <c r="Q441" s="50">
        <v>22779.02</v>
      </c>
      <c r="R441" s="49">
        <f t="shared" si="21"/>
        <v>495145.64000000007</v>
      </c>
    </row>
    <row r="442" spans="1:18" x14ac:dyDescent="0.25">
      <c r="A442" s="6">
        <v>440</v>
      </c>
      <c r="C442" s="6" t="s">
        <v>30</v>
      </c>
      <c r="D442" s="7" t="s">
        <v>44</v>
      </c>
      <c r="E442" s="7">
        <v>137</v>
      </c>
      <c r="F442" s="50">
        <v>16524.78</v>
      </c>
      <c r="G442" s="50">
        <v>38118.26</v>
      </c>
      <c r="H442" s="50">
        <v>23125.98</v>
      </c>
      <c r="I442" s="50">
        <v>16524.78</v>
      </c>
      <c r="J442" s="50">
        <v>27904.400000000001</v>
      </c>
      <c r="K442" s="50">
        <v>42593.2</v>
      </c>
      <c r="L442" s="50">
        <v>126351.91</v>
      </c>
      <c r="M442" s="50">
        <v>124163.87</v>
      </c>
      <c r="N442" s="50">
        <v>18400.16</v>
      </c>
      <c r="O442" s="50">
        <v>16849.189999999999</v>
      </c>
      <c r="P442" s="50">
        <v>23361.06</v>
      </c>
      <c r="Q442" s="50">
        <v>22779.02</v>
      </c>
      <c r="R442" s="49">
        <f t="shared" si="21"/>
        <v>496696.61000000004</v>
      </c>
    </row>
    <row r="443" spans="1:18" x14ac:dyDescent="0.25">
      <c r="A443" s="6">
        <v>441</v>
      </c>
      <c r="C443" s="10" t="s">
        <v>45</v>
      </c>
      <c r="F443" s="50"/>
      <c r="G443" s="50"/>
      <c r="H443" s="50"/>
      <c r="I443" s="50"/>
      <c r="J443" s="50"/>
      <c r="K443" s="50"/>
      <c r="L443" s="50"/>
      <c r="M443" s="50"/>
      <c r="N443" s="50"/>
      <c r="O443" s="50"/>
      <c r="P443" s="50"/>
      <c r="Q443" s="50"/>
      <c r="R443" s="49">
        <f t="shared" si="21"/>
        <v>0</v>
      </c>
    </row>
    <row r="444" spans="1:18" x14ac:dyDescent="0.25">
      <c r="A444" s="6">
        <v>442</v>
      </c>
      <c r="F444" s="50"/>
      <c r="G444" s="50"/>
      <c r="H444" s="50"/>
      <c r="I444" s="50"/>
      <c r="J444" s="50"/>
      <c r="K444" s="50"/>
      <c r="L444" s="50"/>
      <c r="M444" s="50"/>
      <c r="N444" s="50"/>
      <c r="O444" s="50"/>
      <c r="P444" s="50"/>
      <c r="Q444" s="50"/>
      <c r="R444" s="49">
        <f t="shared" si="21"/>
        <v>0</v>
      </c>
    </row>
    <row r="445" spans="1:18" x14ac:dyDescent="0.25">
      <c r="A445" s="6">
        <v>443</v>
      </c>
      <c r="C445" s="15" t="s">
        <v>103</v>
      </c>
      <c r="D445" s="7" t="s">
        <v>34</v>
      </c>
      <c r="E445" s="7">
        <v>95</v>
      </c>
      <c r="F445" s="50">
        <v>907</v>
      </c>
      <c r="G445" s="50">
        <v>907</v>
      </c>
      <c r="H445" s="50">
        <v>907</v>
      </c>
      <c r="I445" s="50">
        <v>907</v>
      </c>
      <c r="J445" s="50">
        <v>907</v>
      </c>
      <c r="K445" s="50">
        <v>907</v>
      </c>
      <c r="L445" s="50">
        <v>907</v>
      </c>
      <c r="M445" s="50">
        <v>907</v>
      </c>
      <c r="N445" s="50">
        <v>907</v>
      </c>
      <c r="O445" s="50">
        <v>907</v>
      </c>
      <c r="P445" s="50">
        <v>907</v>
      </c>
      <c r="Q445" s="50">
        <v>907</v>
      </c>
      <c r="R445" s="49">
        <f t="shared" si="21"/>
        <v>10884</v>
      </c>
    </row>
    <row r="446" spans="1:18" x14ac:dyDescent="0.25">
      <c r="A446" s="6">
        <v>444</v>
      </c>
      <c r="C446" s="6" t="s">
        <v>31</v>
      </c>
      <c r="D446" s="7" t="s">
        <v>35</v>
      </c>
      <c r="E446" s="7">
        <v>95</v>
      </c>
      <c r="F446" s="50">
        <v>0</v>
      </c>
      <c r="G446" s="50">
        <v>0</v>
      </c>
      <c r="H446" s="50">
        <v>0</v>
      </c>
      <c r="I446" s="50">
        <v>0</v>
      </c>
      <c r="J446" s="50">
        <v>0</v>
      </c>
      <c r="K446" s="50">
        <v>0</v>
      </c>
      <c r="L446" s="50">
        <v>0</v>
      </c>
      <c r="M446" s="50">
        <v>0</v>
      </c>
      <c r="N446" s="50">
        <v>0</v>
      </c>
      <c r="O446" s="50">
        <v>0</v>
      </c>
      <c r="P446" s="50">
        <v>0</v>
      </c>
      <c r="Q446" s="50">
        <v>0</v>
      </c>
      <c r="R446" s="49">
        <f t="shared" si="21"/>
        <v>0</v>
      </c>
    </row>
    <row r="447" spans="1:18" x14ac:dyDescent="0.25">
      <c r="A447" s="6">
        <v>445</v>
      </c>
      <c r="C447" s="6" t="s">
        <v>36</v>
      </c>
      <c r="D447" s="7" t="s">
        <v>37</v>
      </c>
      <c r="E447" s="7">
        <v>95</v>
      </c>
      <c r="F447" s="50">
        <v>0</v>
      </c>
      <c r="G447" s="50">
        <v>0</v>
      </c>
      <c r="H447" s="50">
        <v>0</v>
      </c>
      <c r="I447" s="50">
        <v>0</v>
      </c>
      <c r="J447" s="50">
        <v>0</v>
      </c>
      <c r="K447" s="50">
        <v>0</v>
      </c>
      <c r="L447" s="50">
        <v>0</v>
      </c>
      <c r="M447" s="50">
        <v>0</v>
      </c>
      <c r="N447" s="50">
        <v>0</v>
      </c>
      <c r="O447" s="50">
        <v>0</v>
      </c>
      <c r="P447" s="50">
        <v>0</v>
      </c>
      <c r="Q447" s="50">
        <v>0</v>
      </c>
      <c r="R447" s="49">
        <f t="shared" si="21"/>
        <v>0</v>
      </c>
    </row>
    <row r="448" spans="1:18" x14ac:dyDescent="0.25">
      <c r="A448" s="6">
        <v>446</v>
      </c>
      <c r="C448" s="6" t="s">
        <v>38</v>
      </c>
      <c r="D448" s="7" t="s">
        <v>39</v>
      </c>
      <c r="E448" s="7">
        <v>95</v>
      </c>
      <c r="F448" s="50">
        <v>0</v>
      </c>
      <c r="G448" s="50">
        <v>0</v>
      </c>
      <c r="H448" s="50">
        <v>0</v>
      </c>
      <c r="I448" s="50">
        <v>0</v>
      </c>
      <c r="J448" s="50">
        <v>0</v>
      </c>
      <c r="K448" s="50">
        <v>0</v>
      </c>
      <c r="L448" s="50">
        <v>0</v>
      </c>
      <c r="M448" s="50">
        <v>0</v>
      </c>
      <c r="N448" s="50">
        <v>0</v>
      </c>
      <c r="O448" s="50">
        <v>0</v>
      </c>
      <c r="P448" s="50">
        <v>0</v>
      </c>
      <c r="Q448" s="50">
        <v>0</v>
      </c>
      <c r="R448" s="49">
        <f t="shared" si="21"/>
        <v>0</v>
      </c>
    </row>
    <row r="449" spans="1:18" x14ac:dyDescent="0.25">
      <c r="A449" s="6">
        <v>447</v>
      </c>
      <c r="C449" s="6" t="s">
        <v>40</v>
      </c>
      <c r="D449" s="7" t="s">
        <v>41</v>
      </c>
      <c r="E449" s="7">
        <v>95</v>
      </c>
      <c r="F449" s="50">
        <v>0</v>
      </c>
      <c r="G449" s="50">
        <v>0</v>
      </c>
      <c r="H449" s="50">
        <v>0</v>
      </c>
      <c r="I449" s="50">
        <v>0</v>
      </c>
      <c r="J449" s="50">
        <v>0</v>
      </c>
      <c r="K449" s="50">
        <v>0</v>
      </c>
      <c r="L449" s="50">
        <v>0</v>
      </c>
      <c r="M449" s="50">
        <v>0</v>
      </c>
      <c r="N449" s="50">
        <v>0</v>
      </c>
      <c r="O449" s="50">
        <v>0</v>
      </c>
      <c r="P449" s="50">
        <v>0</v>
      </c>
      <c r="Q449" s="50">
        <v>0</v>
      </c>
      <c r="R449" s="49">
        <f t="shared" si="21"/>
        <v>0</v>
      </c>
    </row>
    <row r="450" spans="1:18" x14ac:dyDescent="0.25">
      <c r="A450" s="6">
        <v>448</v>
      </c>
      <c r="C450" s="6" t="s">
        <v>42</v>
      </c>
      <c r="D450" s="7" t="s">
        <v>43</v>
      </c>
      <c r="E450" s="7">
        <v>95</v>
      </c>
      <c r="F450" s="50">
        <v>0</v>
      </c>
      <c r="G450" s="50">
        <v>0</v>
      </c>
      <c r="H450" s="50">
        <v>0</v>
      </c>
      <c r="I450" s="50">
        <v>0</v>
      </c>
      <c r="J450" s="50">
        <v>0</v>
      </c>
      <c r="K450" s="50">
        <v>0</v>
      </c>
      <c r="L450" s="50">
        <v>0</v>
      </c>
      <c r="M450" s="50">
        <v>0</v>
      </c>
      <c r="N450" s="50">
        <v>0</v>
      </c>
      <c r="O450" s="50">
        <v>0</v>
      </c>
      <c r="P450" s="50">
        <v>0</v>
      </c>
      <c r="Q450" s="50">
        <v>0</v>
      </c>
      <c r="R450" s="49">
        <f t="shared" si="21"/>
        <v>0</v>
      </c>
    </row>
    <row r="451" spans="1:18" x14ac:dyDescent="0.25">
      <c r="A451" s="6">
        <v>449</v>
      </c>
      <c r="C451" s="6" t="s">
        <v>33</v>
      </c>
      <c r="D451" s="7" t="s">
        <v>44</v>
      </c>
      <c r="E451" s="7">
        <v>95</v>
      </c>
      <c r="F451" s="50">
        <v>0</v>
      </c>
      <c r="G451" s="50">
        <v>0</v>
      </c>
      <c r="H451" s="50">
        <v>0</v>
      </c>
      <c r="I451" s="50">
        <v>0</v>
      </c>
      <c r="J451" s="50">
        <v>0</v>
      </c>
      <c r="K451" s="50">
        <v>0</v>
      </c>
      <c r="L451" s="50">
        <v>0</v>
      </c>
      <c r="M451" s="50">
        <v>0</v>
      </c>
      <c r="N451" s="50">
        <v>0</v>
      </c>
      <c r="O451" s="50">
        <v>0</v>
      </c>
      <c r="P451" s="50">
        <v>0</v>
      </c>
      <c r="Q451" s="50">
        <v>0</v>
      </c>
      <c r="R451" s="49">
        <f t="shared" si="21"/>
        <v>0</v>
      </c>
    </row>
    <row r="452" spans="1:18" x14ac:dyDescent="0.25">
      <c r="A452" s="6">
        <v>450</v>
      </c>
      <c r="C452" s="10" t="s">
        <v>45</v>
      </c>
      <c r="F452" s="50"/>
      <c r="G452" s="50"/>
      <c r="H452" s="50"/>
      <c r="I452" s="50"/>
      <c r="J452" s="50"/>
      <c r="K452" s="50"/>
      <c r="L452" s="50"/>
      <c r="M452" s="50"/>
      <c r="N452" s="50"/>
      <c r="O452" s="50"/>
      <c r="P452" s="50"/>
      <c r="Q452" s="50"/>
      <c r="R452" s="49">
        <f t="shared" si="21"/>
        <v>0</v>
      </c>
    </row>
    <row r="453" spans="1:18" x14ac:dyDescent="0.25">
      <c r="A453" s="6">
        <v>451</v>
      </c>
      <c r="C453" s="6" t="s">
        <v>46</v>
      </c>
      <c r="D453" s="7" t="s">
        <v>35</v>
      </c>
      <c r="E453" s="7">
        <v>139</v>
      </c>
      <c r="F453" s="50">
        <v>43592.3</v>
      </c>
      <c r="G453" s="50">
        <v>43592.3</v>
      </c>
      <c r="H453" s="50">
        <v>43592.3</v>
      </c>
      <c r="I453" s="50">
        <v>43592.3</v>
      </c>
      <c r="J453" s="50">
        <v>43592.3</v>
      </c>
      <c r="K453" s="50">
        <v>43592.3</v>
      </c>
      <c r="L453" s="50">
        <v>43592.3</v>
      </c>
      <c r="M453" s="50">
        <v>43592.3</v>
      </c>
      <c r="N453" s="50">
        <v>43706.98</v>
      </c>
      <c r="O453" s="50">
        <v>0</v>
      </c>
      <c r="P453" s="50">
        <v>0</v>
      </c>
      <c r="Q453" s="50">
        <v>0</v>
      </c>
      <c r="R453" s="49">
        <f t="shared" si="21"/>
        <v>392445.37999999995</v>
      </c>
    </row>
    <row r="454" spans="1:18" x14ac:dyDescent="0.25">
      <c r="A454" s="6">
        <v>452</v>
      </c>
      <c r="C454" s="6" t="s">
        <v>47</v>
      </c>
      <c r="D454" s="7" t="s">
        <v>37</v>
      </c>
      <c r="E454" s="7">
        <v>139</v>
      </c>
      <c r="F454" s="50">
        <v>0</v>
      </c>
      <c r="G454" s="50">
        <v>0</v>
      </c>
      <c r="H454" s="50">
        <v>0</v>
      </c>
      <c r="I454" s="50">
        <v>0</v>
      </c>
      <c r="J454" s="50">
        <v>0</v>
      </c>
      <c r="K454" s="50">
        <v>0</v>
      </c>
      <c r="L454" s="50">
        <v>0</v>
      </c>
      <c r="M454" s="50">
        <v>0</v>
      </c>
      <c r="N454" s="50">
        <v>0</v>
      </c>
      <c r="O454" s="50">
        <v>0</v>
      </c>
      <c r="P454" s="50">
        <v>0</v>
      </c>
      <c r="Q454" s="50">
        <v>0</v>
      </c>
      <c r="R454" s="49">
        <f t="shared" si="21"/>
        <v>0</v>
      </c>
    </row>
    <row r="455" spans="1:18" x14ac:dyDescent="0.25">
      <c r="A455" s="6">
        <v>453</v>
      </c>
      <c r="C455" s="6" t="s">
        <v>48</v>
      </c>
      <c r="D455" s="7" t="s">
        <v>39</v>
      </c>
      <c r="E455" s="7">
        <v>139</v>
      </c>
      <c r="F455" s="50">
        <v>0</v>
      </c>
      <c r="G455" s="50">
        <v>0</v>
      </c>
      <c r="H455" s="50">
        <v>0</v>
      </c>
      <c r="I455" s="50">
        <v>0</v>
      </c>
      <c r="J455" s="50">
        <v>0</v>
      </c>
      <c r="K455" s="50">
        <v>0</v>
      </c>
      <c r="L455" s="50">
        <v>0</v>
      </c>
      <c r="M455" s="50">
        <v>0</v>
      </c>
      <c r="N455" s="50">
        <v>0</v>
      </c>
      <c r="O455" s="50">
        <v>0</v>
      </c>
      <c r="P455" s="50">
        <v>0</v>
      </c>
      <c r="Q455" s="50">
        <v>0</v>
      </c>
      <c r="R455" s="49">
        <f t="shared" si="21"/>
        <v>0</v>
      </c>
    </row>
    <row r="456" spans="1:18" x14ac:dyDescent="0.25">
      <c r="A456" s="6">
        <v>454</v>
      </c>
      <c r="C456" s="6" t="s">
        <v>49</v>
      </c>
      <c r="D456" s="7" t="s">
        <v>50</v>
      </c>
      <c r="E456" s="7">
        <v>139</v>
      </c>
      <c r="F456" s="50">
        <v>0</v>
      </c>
      <c r="G456" s="50">
        <v>0</v>
      </c>
      <c r="H456" s="50">
        <v>0</v>
      </c>
      <c r="I456" s="50">
        <v>0</v>
      </c>
      <c r="J456" s="50">
        <v>0</v>
      </c>
      <c r="K456" s="50">
        <v>0</v>
      </c>
      <c r="L456" s="50">
        <v>0</v>
      </c>
      <c r="M456" s="50">
        <v>0</v>
      </c>
      <c r="N456" s="50">
        <v>0</v>
      </c>
      <c r="O456" s="50">
        <v>0</v>
      </c>
      <c r="P456" s="50">
        <v>0</v>
      </c>
      <c r="Q456" s="50">
        <v>0</v>
      </c>
      <c r="R456" s="49">
        <f t="shared" si="21"/>
        <v>0</v>
      </c>
    </row>
    <row r="457" spans="1:18" x14ac:dyDescent="0.25">
      <c r="A457" s="6">
        <v>455</v>
      </c>
      <c r="C457" s="27" t="s">
        <v>278</v>
      </c>
      <c r="D457" s="7" t="s">
        <v>51</v>
      </c>
      <c r="E457" s="7">
        <v>139</v>
      </c>
      <c r="F457" s="50">
        <v>0</v>
      </c>
      <c r="G457" s="50">
        <v>0</v>
      </c>
      <c r="H457" s="50">
        <v>0</v>
      </c>
      <c r="I457" s="50">
        <v>0</v>
      </c>
      <c r="J457" s="50">
        <v>0</v>
      </c>
      <c r="K457" s="50">
        <v>0</v>
      </c>
      <c r="L457" s="50">
        <v>0</v>
      </c>
      <c r="M457" s="50">
        <v>0</v>
      </c>
      <c r="N457" s="50">
        <v>0</v>
      </c>
      <c r="O457" s="50">
        <v>0</v>
      </c>
      <c r="P457" s="50">
        <v>0</v>
      </c>
      <c r="Q457" s="50">
        <v>0</v>
      </c>
      <c r="R457" s="49">
        <f t="shared" si="21"/>
        <v>0</v>
      </c>
    </row>
    <row r="458" spans="1:18" x14ac:dyDescent="0.25">
      <c r="A458" s="6">
        <v>456</v>
      </c>
      <c r="C458" s="6" t="s">
        <v>80</v>
      </c>
      <c r="D458" s="7" t="s">
        <v>79</v>
      </c>
      <c r="E458" s="7">
        <v>139</v>
      </c>
      <c r="F458" s="50">
        <v>0</v>
      </c>
      <c r="G458" s="50">
        <v>0</v>
      </c>
      <c r="H458" s="50">
        <v>0</v>
      </c>
      <c r="I458" s="50">
        <v>0</v>
      </c>
      <c r="J458" s="50">
        <v>0</v>
      </c>
      <c r="K458" s="50">
        <v>0</v>
      </c>
      <c r="L458" s="50">
        <v>0</v>
      </c>
      <c r="M458" s="50">
        <v>0</v>
      </c>
      <c r="N458" s="50">
        <v>0</v>
      </c>
      <c r="O458" s="50">
        <v>0</v>
      </c>
      <c r="P458" s="50">
        <v>0</v>
      </c>
      <c r="Q458" s="50">
        <v>0</v>
      </c>
      <c r="R458" s="49">
        <f t="shared" si="21"/>
        <v>0</v>
      </c>
    </row>
    <row r="459" spans="1:18" x14ac:dyDescent="0.25">
      <c r="A459" s="6">
        <v>457</v>
      </c>
      <c r="C459" s="6" t="s">
        <v>13</v>
      </c>
      <c r="D459" s="7" t="s">
        <v>52</v>
      </c>
      <c r="E459" s="7">
        <v>139</v>
      </c>
      <c r="F459" s="50">
        <v>0</v>
      </c>
      <c r="G459" s="50">
        <v>0</v>
      </c>
      <c r="H459" s="50">
        <v>0</v>
      </c>
      <c r="I459" s="50">
        <v>0</v>
      </c>
      <c r="J459" s="50">
        <v>0</v>
      </c>
      <c r="K459" s="50">
        <v>0</v>
      </c>
      <c r="L459" s="50">
        <v>0</v>
      </c>
      <c r="M459" s="50">
        <v>0</v>
      </c>
      <c r="N459" s="50">
        <v>0</v>
      </c>
      <c r="O459" s="50">
        <v>0</v>
      </c>
      <c r="P459" s="50">
        <v>0</v>
      </c>
      <c r="Q459" s="50">
        <v>0</v>
      </c>
      <c r="R459" s="49">
        <f t="shared" si="21"/>
        <v>0</v>
      </c>
    </row>
    <row r="460" spans="1:18" x14ac:dyDescent="0.25">
      <c r="A460" s="6">
        <v>458</v>
      </c>
      <c r="C460" s="6" t="s">
        <v>55</v>
      </c>
      <c r="D460" s="7" t="s">
        <v>41</v>
      </c>
      <c r="E460" s="7">
        <v>139</v>
      </c>
      <c r="F460" s="50">
        <v>-43592.3</v>
      </c>
      <c r="G460" s="50">
        <v>-43592.3</v>
      </c>
      <c r="H460" s="50">
        <v>-43592.3</v>
      </c>
      <c r="I460" s="50">
        <v>-43592.3</v>
      </c>
      <c r="J460" s="50">
        <v>-43592.3</v>
      </c>
      <c r="K460" s="50">
        <v>-43592.3</v>
      </c>
      <c r="L460" s="50">
        <v>-43592.3</v>
      </c>
      <c r="M460" s="50">
        <v>-43592.3</v>
      </c>
      <c r="N460" s="50">
        <v>0</v>
      </c>
      <c r="O460" s="50">
        <v>0</v>
      </c>
      <c r="P460" s="50">
        <v>0</v>
      </c>
      <c r="Q460" s="50">
        <v>0</v>
      </c>
      <c r="R460" s="49">
        <f t="shared" si="21"/>
        <v>-348738.39999999997</v>
      </c>
    </row>
    <row r="461" spans="1:18" x14ac:dyDescent="0.25">
      <c r="A461" s="6">
        <v>459</v>
      </c>
      <c r="C461" s="6" t="s">
        <v>56</v>
      </c>
      <c r="D461" s="7" t="s">
        <v>43</v>
      </c>
      <c r="E461" s="7">
        <v>139</v>
      </c>
      <c r="F461" s="50">
        <v>43592.3</v>
      </c>
      <c r="G461" s="50">
        <v>43592.3</v>
      </c>
      <c r="H461" s="50">
        <v>43592.3</v>
      </c>
      <c r="I461" s="50">
        <v>43592.3</v>
      </c>
      <c r="J461" s="50">
        <v>43592.3</v>
      </c>
      <c r="K461" s="50">
        <v>43592.3</v>
      </c>
      <c r="L461" s="50">
        <v>43592.3</v>
      </c>
      <c r="M461" s="50">
        <v>0</v>
      </c>
      <c r="N461" s="50">
        <v>0</v>
      </c>
      <c r="O461" s="50">
        <v>0</v>
      </c>
      <c r="P461" s="50">
        <v>0</v>
      </c>
      <c r="Q461" s="50">
        <v>0</v>
      </c>
      <c r="R461" s="49">
        <f t="shared" si="21"/>
        <v>305146.09999999998</v>
      </c>
    </row>
    <row r="462" spans="1:18" x14ac:dyDescent="0.25">
      <c r="A462" s="6">
        <v>460</v>
      </c>
      <c r="C462" s="6" t="s">
        <v>30</v>
      </c>
      <c r="D462" s="7" t="s">
        <v>44</v>
      </c>
      <c r="E462" s="7">
        <v>139</v>
      </c>
      <c r="F462" s="50">
        <f>SUM(F453:F461)</f>
        <v>43592.3</v>
      </c>
      <c r="G462" s="50">
        <f t="shared" ref="G462:Q462" si="22">SUM(G453:G461)</f>
        <v>43592.3</v>
      </c>
      <c r="H462" s="50">
        <f t="shared" si="22"/>
        <v>43592.3</v>
      </c>
      <c r="I462" s="50">
        <f t="shared" si="22"/>
        <v>43592.3</v>
      </c>
      <c r="J462" s="50">
        <f t="shared" si="22"/>
        <v>43592.3</v>
      </c>
      <c r="K462" s="50">
        <f t="shared" si="22"/>
        <v>43592.3</v>
      </c>
      <c r="L462" s="50">
        <f t="shared" si="22"/>
        <v>43592.3</v>
      </c>
      <c r="M462" s="50">
        <f t="shared" si="22"/>
        <v>0</v>
      </c>
      <c r="N462" s="50">
        <f t="shared" si="22"/>
        <v>43706.98</v>
      </c>
      <c r="O462" s="50">
        <f t="shared" si="22"/>
        <v>0</v>
      </c>
      <c r="P462" s="50">
        <f t="shared" si="22"/>
        <v>0</v>
      </c>
      <c r="Q462" s="50">
        <f t="shared" si="22"/>
        <v>0</v>
      </c>
      <c r="R462" s="49">
        <f>SUM(F462:Q462)</f>
        <v>348853.07999999996</v>
      </c>
    </row>
    <row r="463" spans="1:18" x14ac:dyDescent="0.25">
      <c r="A463" s="6">
        <v>461</v>
      </c>
      <c r="C463" s="10" t="s">
        <v>45</v>
      </c>
      <c r="F463" s="50"/>
      <c r="G463" s="50"/>
      <c r="H463" s="50"/>
      <c r="I463" s="50"/>
      <c r="J463" s="50"/>
      <c r="K463" s="50"/>
      <c r="L463" s="50"/>
      <c r="M463" s="50"/>
      <c r="N463" s="50"/>
      <c r="O463" s="50"/>
      <c r="P463" s="50"/>
      <c r="Q463" s="50"/>
      <c r="R463" s="49">
        <f t="shared" si="21"/>
        <v>0</v>
      </c>
    </row>
    <row r="464" spans="1:18" x14ac:dyDescent="0.25">
      <c r="A464" s="6">
        <v>462</v>
      </c>
      <c r="F464" s="50"/>
      <c r="G464" s="50"/>
      <c r="H464" s="50"/>
      <c r="I464" s="50"/>
      <c r="J464" s="50"/>
      <c r="K464" s="50"/>
      <c r="L464" s="50"/>
      <c r="M464" s="50"/>
      <c r="N464" s="50"/>
      <c r="O464" s="50"/>
      <c r="P464" s="50"/>
      <c r="Q464" s="50"/>
      <c r="R464" s="49">
        <f t="shared" si="21"/>
        <v>0</v>
      </c>
    </row>
    <row r="465" spans="1:18" x14ac:dyDescent="0.25">
      <c r="A465" s="6">
        <v>463</v>
      </c>
      <c r="C465" s="15" t="s">
        <v>102</v>
      </c>
      <c r="D465" s="7" t="s">
        <v>34</v>
      </c>
      <c r="E465" s="7">
        <v>96</v>
      </c>
      <c r="F465" s="50">
        <v>908</v>
      </c>
      <c r="G465" s="50">
        <v>908</v>
      </c>
      <c r="H465" s="50">
        <v>908</v>
      </c>
      <c r="I465" s="50">
        <v>908</v>
      </c>
      <c r="J465" s="50">
        <v>908</v>
      </c>
      <c r="K465" s="50">
        <v>908</v>
      </c>
      <c r="L465" s="50">
        <v>908</v>
      </c>
      <c r="M465" s="50">
        <v>908</v>
      </c>
      <c r="N465" s="50">
        <v>908</v>
      </c>
      <c r="O465" s="50">
        <v>908</v>
      </c>
      <c r="P465" s="50">
        <v>908</v>
      </c>
      <c r="Q465" s="50">
        <v>908</v>
      </c>
      <c r="R465" s="49">
        <f t="shared" si="21"/>
        <v>10896</v>
      </c>
    </row>
    <row r="466" spans="1:18" x14ac:dyDescent="0.25">
      <c r="A466" s="6">
        <v>464</v>
      </c>
      <c r="C466" s="6" t="s">
        <v>31</v>
      </c>
      <c r="D466" s="7" t="s">
        <v>35</v>
      </c>
      <c r="E466" s="7">
        <v>96</v>
      </c>
      <c r="F466" s="50">
        <v>423046</v>
      </c>
      <c r="G466" s="50">
        <v>953897</v>
      </c>
      <c r="H466" s="50">
        <v>697234</v>
      </c>
      <c r="I466" s="50">
        <v>925311</v>
      </c>
      <c r="J466" s="50">
        <v>248626</v>
      </c>
      <c r="K466" s="50">
        <v>1760939</v>
      </c>
      <c r="L466" s="50">
        <v>851143</v>
      </c>
      <c r="M466" s="50">
        <v>1421649</v>
      </c>
      <c r="N466" s="50">
        <v>1275763</v>
      </c>
      <c r="O466" s="50">
        <v>25764</v>
      </c>
      <c r="P466" s="50">
        <v>15208</v>
      </c>
      <c r="Q466" s="50">
        <v>24401</v>
      </c>
      <c r="R466" s="49">
        <f t="shared" si="21"/>
        <v>8622981</v>
      </c>
    </row>
    <row r="467" spans="1:18" x14ac:dyDescent="0.25">
      <c r="A467" s="6">
        <v>465</v>
      </c>
      <c r="C467" s="6" t="s">
        <v>36</v>
      </c>
      <c r="D467" s="7" t="s">
        <v>37</v>
      </c>
      <c r="E467" s="7">
        <v>96</v>
      </c>
      <c r="F467" s="50">
        <v>0</v>
      </c>
      <c r="G467" s="50">
        <v>0</v>
      </c>
      <c r="H467" s="50">
        <v>0</v>
      </c>
      <c r="I467" s="50">
        <v>0</v>
      </c>
      <c r="J467" s="50">
        <v>0</v>
      </c>
      <c r="K467" s="50">
        <v>0</v>
      </c>
      <c r="L467" s="50">
        <v>0</v>
      </c>
      <c r="M467" s="50">
        <v>0</v>
      </c>
      <c r="N467" s="50">
        <v>0</v>
      </c>
      <c r="O467" s="50">
        <v>0</v>
      </c>
      <c r="P467" s="50">
        <v>0</v>
      </c>
      <c r="Q467" s="50">
        <v>0</v>
      </c>
      <c r="R467" s="49">
        <f t="shared" si="21"/>
        <v>0</v>
      </c>
    </row>
    <row r="468" spans="1:18" x14ac:dyDescent="0.25">
      <c r="A468" s="6">
        <v>466</v>
      </c>
      <c r="C468" s="6" t="s">
        <v>38</v>
      </c>
      <c r="D468" s="7" t="s">
        <v>39</v>
      </c>
      <c r="E468" s="7">
        <v>96</v>
      </c>
      <c r="F468" s="50">
        <v>0</v>
      </c>
      <c r="G468" s="50">
        <v>0</v>
      </c>
      <c r="H468" s="50">
        <v>0</v>
      </c>
      <c r="I468" s="50">
        <v>0</v>
      </c>
      <c r="J468" s="50">
        <v>0</v>
      </c>
      <c r="K468" s="50">
        <v>0</v>
      </c>
      <c r="L468" s="50">
        <v>0</v>
      </c>
      <c r="M468" s="50">
        <v>0</v>
      </c>
      <c r="N468" s="50">
        <v>0</v>
      </c>
      <c r="O468" s="50">
        <v>0</v>
      </c>
      <c r="P468" s="50">
        <v>0</v>
      </c>
      <c r="Q468" s="50">
        <v>0</v>
      </c>
      <c r="R468" s="49">
        <f t="shared" si="21"/>
        <v>0</v>
      </c>
    </row>
    <row r="469" spans="1:18" x14ac:dyDescent="0.25">
      <c r="A469" s="6">
        <v>467</v>
      </c>
      <c r="C469" s="6" t="s">
        <v>40</v>
      </c>
      <c r="D469" s="7" t="s">
        <v>41</v>
      </c>
      <c r="E469" s="7">
        <v>96</v>
      </c>
      <c r="F469" s="50">
        <v>-423046</v>
      </c>
      <c r="G469" s="50">
        <v>-953897</v>
      </c>
      <c r="H469" s="50">
        <v>-697234</v>
      </c>
      <c r="I469" s="50">
        <v>-925311</v>
      </c>
      <c r="J469" s="50">
        <v>-248626</v>
      </c>
      <c r="K469" s="50">
        <v>-1760939</v>
      </c>
      <c r="L469" s="50">
        <v>-851143</v>
      </c>
      <c r="M469" s="50">
        <v>-1421649</v>
      </c>
      <c r="N469" s="50">
        <v>-1275763</v>
      </c>
      <c r="O469" s="50">
        <v>-25764</v>
      </c>
      <c r="P469" s="50">
        <v>-15208</v>
      </c>
      <c r="Q469" s="50">
        <v>-24401</v>
      </c>
      <c r="R469" s="49">
        <f t="shared" si="21"/>
        <v>-8622981</v>
      </c>
    </row>
    <row r="470" spans="1:18" x14ac:dyDescent="0.25">
      <c r="A470" s="6">
        <v>468</v>
      </c>
      <c r="C470" s="6" t="s">
        <v>42</v>
      </c>
      <c r="D470" s="7" t="s">
        <v>43</v>
      </c>
      <c r="E470" s="7">
        <v>96</v>
      </c>
      <c r="F470" s="50">
        <v>953897</v>
      </c>
      <c r="G470" s="50">
        <v>697234</v>
      </c>
      <c r="H470" s="50">
        <v>925311</v>
      </c>
      <c r="I470" s="50">
        <v>248626</v>
      </c>
      <c r="J470" s="50">
        <v>1760939</v>
      </c>
      <c r="K470" s="50">
        <v>851143</v>
      </c>
      <c r="L470" s="50">
        <v>1421649</v>
      </c>
      <c r="M470" s="50">
        <v>1275763</v>
      </c>
      <c r="N470" s="50">
        <v>25764</v>
      </c>
      <c r="O470" s="50">
        <v>15208</v>
      </c>
      <c r="P470" s="50">
        <v>24401</v>
      </c>
      <c r="Q470" s="50">
        <v>82468</v>
      </c>
      <c r="R470" s="49">
        <f t="shared" si="21"/>
        <v>8282403</v>
      </c>
    </row>
    <row r="471" spans="1:18" x14ac:dyDescent="0.25">
      <c r="A471" s="6">
        <v>469</v>
      </c>
      <c r="C471" s="6" t="s">
        <v>33</v>
      </c>
      <c r="D471" s="7" t="s">
        <v>44</v>
      </c>
      <c r="E471" s="7">
        <v>96</v>
      </c>
      <c r="F471" s="50">
        <v>953897</v>
      </c>
      <c r="G471" s="50">
        <v>697234</v>
      </c>
      <c r="H471" s="50">
        <v>925311</v>
      </c>
      <c r="I471" s="50">
        <v>248626</v>
      </c>
      <c r="J471" s="50">
        <v>1760939</v>
      </c>
      <c r="K471" s="50">
        <v>851143</v>
      </c>
      <c r="L471" s="50">
        <v>1421649</v>
      </c>
      <c r="M471" s="50">
        <v>1275763</v>
      </c>
      <c r="N471" s="50">
        <v>25764</v>
      </c>
      <c r="O471" s="50">
        <v>15208</v>
      </c>
      <c r="P471" s="50">
        <v>24401</v>
      </c>
      <c r="Q471" s="50">
        <v>82468</v>
      </c>
      <c r="R471" s="49">
        <f t="shared" si="21"/>
        <v>8282403</v>
      </c>
    </row>
    <row r="472" spans="1:18" x14ac:dyDescent="0.25">
      <c r="A472" s="6">
        <v>470</v>
      </c>
      <c r="C472" s="10" t="s">
        <v>45</v>
      </c>
      <c r="F472" s="50"/>
      <c r="G472" s="50"/>
      <c r="H472" s="50"/>
      <c r="I472" s="50"/>
      <c r="J472" s="50"/>
      <c r="K472" s="50"/>
      <c r="L472" s="50"/>
      <c r="M472" s="50"/>
      <c r="N472" s="50"/>
      <c r="O472" s="50"/>
      <c r="P472" s="50"/>
      <c r="Q472" s="50"/>
      <c r="R472" s="49">
        <f t="shared" si="21"/>
        <v>0</v>
      </c>
    </row>
    <row r="473" spans="1:18" x14ac:dyDescent="0.25">
      <c r="A473" s="6">
        <v>471</v>
      </c>
      <c r="C473" s="6" t="s">
        <v>46</v>
      </c>
      <c r="D473" s="7" t="s">
        <v>35</v>
      </c>
      <c r="E473" s="7">
        <v>140</v>
      </c>
      <c r="F473" s="50">
        <v>15131.93</v>
      </c>
      <c r="G473" s="50">
        <v>15242.84</v>
      </c>
      <c r="H473" s="50">
        <v>15189.22</v>
      </c>
      <c r="I473" s="50">
        <v>15236.87</v>
      </c>
      <c r="J473" s="50">
        <v>15095.49</v>
      </c>
      <c r="K473" s="50">
        <v>19286.63</v>
      </c>
      <c r="L473" s="50">
        <v>15221.37</v>
      </c>
      <c r="M473" s="50">
        <v>15671.21</v>
      </c>
      <c r="N473" s="50">
        <v>15701.51</v>
      </c>
      <c r="O473" s="50">
        <v>15179.37</v>
      </c>
      <c r="P473" s="50">
        <v>15174.95</v>
      </c>
      <c r="Q473" s="50">
        <v>15178.8</v>
      </c>
      <c r="R473" s="49">
        <f t="shared" si="21"/>
        <v>187310.19</v>
      </c>
    </row>
    <row r="474" spans="1:18" x14ac:dyDescent="0.25">
      <c r="A474" s="6">
        <v>472</v>
      </c>
      <c r="C474" s="6" t="s">
        <v>47</v>
      </c>
      <c r="D474" s="7" t="s">
        <v>37</v>
      </c>
      <c r="E474" s="7">
        <v>140</v>
      </c>
      <c r="F474" s="50">
        <v>0</v>
      </c>
      <c r="G474" s="50">
        <v>0</v>
      </c>
      <c r="H474" s="50">
        <v>0</v>
      </c>
      <c r="I474" s="50">
        <v>0</v>
      </c>
      <c r="J474" s="50">
        <v>0</v>
      </c>
      <c r="K474" s="50">
        <v>0</v>
      </c>
      <c r="L474" s="50">
        <v>0</v>
      </c>
      <c r="M474" s="50">
        <v>0</v>
      </c>
      <c r="N474" s="50">
        <v>0</v>
      </c>
      <c r="O474" s="50">
        <v>0</v>
      </c>
      <c r="P474" s="50">
        <v>0</v>
      </c>
      <c r="Q474" s="50">
        <v>0</v>
      </c>
      <c r="R474" s="49">
        <f t="shared" si="21"/>
        <v>0</v>
      </c>
    </row>
    <row r="475" spans="1:18" x14ac:dyDescent="0.25">
      <c r="A475" s="6">
        <v>473</v>
      </c>
      <c r="C475" s="6" t="s">
        <v>48</v>
      </c>
      <c r="D475" s="7" t="s">
        <v>39</v>
      </c>
      <c r="E475" s="7">
        <v>140</v>
      </c>
      <c r="F475" s="50">
        <v>0</v>
      </c>
      <c r="G475" s="50">
        <v>0</v>
      </c>
      <c r="H475" s="50">
        <v>0</v>
      </c>
      <c r="I475" s="50">
        <v>0</v>
      </c>
      <c r="J475" s="50">
        <v>0</v>
      </c>
      <c r="K475" s="50">
        <v>0</v>
      </c>
      <c r="L475" s="50">
        <v>0</v>
      </c>
      <c r="M475" s="50">
        <v>0</v>
      </c>
      <c r="N475" s="50">
        <v>0</v>
      </c>
      <c r="O475" s="50">
        <v>0</v>
      </c>
      <c r="P475" s="50">
        <v>0</v>
      </c>
      <c r="Q475" s="50">
        <v>0</v>
      </c>
      <c r="R475" s="49">
        <f t="shared" si="21"/>
        <v>0</v>
      </c>
    </row>
    <row r="476" spans="1:18" x14ac:dyDescent="0.25">
      <c r="A476" s="6">
        <v>474</v>
      </c>
      <c r="C476" s="6" t="s">
        <v>49</v>
      </c>
      <c r="D476" s="7" t="s">
        <v>50</v>
      </c>
      <c r="E476" s="7">
        <v>140</v>
      </c>
      <c r="F476" s="50">
        <v>0</v>
      </c>
      <c r="G476" s="50">
        <v>0</v>
      </c>
      <c r="H476" s="50">
        <v>0</v>
      </c>
      <c r="I476" s="50">
        <v>0</v>
      </c>
      <c r="J476" s="50">
        <v>0</v>
      </c>
      <c r="K476" s="50">
        <v>0</v>
      </c>
      <c r="L476" s="50">
        <v>0</v>
      </c>
      <c r="M476" s="50">
        <v>0</v>
      </c>
      <c r="N476" s="50">
        <v>0</v>
      </c>
      <c r="O476" s="50">
        <v>0</v>
      </c>
      <c r="P476" s="50">
        <v>0</v>
      </c>
      <c r="Q476" s="50">
        <v>0</v>
      </c>
      <c r="R476" s="49">
        <f t="shared" si="21"/>
        <v>0</v>
      </c>
    </row>
    <row r="477" spans="1:18" x14ac:dyDescent="0.25">
      <c r="A477" s="6">
        <v>475</v>
      </c>
      <c r="C477" s="27" t="s">
        <v>278</v>
      </c>
      <c r="D477" s="7" t="s">
        <v>51</v>
      </c>
      <c r="E477" s="7">
        <v>140</v>
      </c>
      <c r="F477" s="50">
        <v>0</v>
      </c>
      <c r="G477" s="50">
        <v>0</v>
      </c>
      <c r="H477" s="50">
        <v>0</v>
      </c>
      <c r="I477" s="50">
        <v>0</v>
      </c>
      <c r="J477" s="50">
        <v>0</v>
      </c>
      <c r="K477" s="50">
        <v>0</v>
      </c>
      <c r="L477" s="50">
        <v>0</v>
      </c>
      <c r="M477" s="50">
        <v>0</v>
      </c>
      <c r="N477" s="50">
        <v>0</v>
      </c>
      <c r="O477" s="50">
        <v>0</v>
      </c>
      <c r="P477" s="50">
        <v>0</v>
      </c>
      <c r="Q477" s="50">
        <v>0</v>
      </c>
      <c r="R477" s="49">
        <f t="shared" si="21"/>
        <v>0</v>
      </c>
    </row>
    <row r="478" spans="1:18" x14ac:dyDescent="0.25">
      <c r="A478" s="6">
        <v>476</v>
      </c>
      <c r="C478" s="6" t="s">
        <v>80</v>
      </c>
      <c r="D478" s="7" t="s">
        <v>79</v>
      </c>
      <c r="E478" s="7">
        <v>140</v>
      </c>
      <c r="F478" s="50">
        <v>0</v>
      </c>
      <c r="G478" s="50">
        <v>0</v>
      </c>
      <c r="H478" s="50">
        <v>0</v>
      </c>
      <c r="I478" s="50">
        <v>0</v>
      </c>
      <c r="J478" s="50">
        <v>0</v>
      </c>
      <c r="K478" s="50">
        <v>0</v>
      </c>
      <c r="L478" s="50">
        <v>0</v>
      </c>
      <c r="M478" s="50">
        <v>0</v>
      </c>
      <c r="N478" s="50">
        <v>0</v>
      </c>
      <c r="O478" s="50">
        <v>0</v>
      </c>
      <c r="P478" s="50">
        <v>0</v>
      </c>
      <c r="Q478" s="50">
        <v>0</v>
      </c>
      <c r="R478" s="49">
        <f t="shared" si="21"/>
        <v>0</v>
      </c>
    </row>
    <row r="479" spans="1:18" x14ac:dyDescent="0.25">
      <c r="A479" s="6">
        <v>477</v>
      </c>
      <c r="C479" s="6" t="s">
        <v>13</v>
      </c>
      <c r="D479" s="7" t="s">
        <v>52</v>
      </c>
      <c r="E479" s="7">
        <v>140</v>
      </c>
      <c r="F479" s="50">
        <v>0</v>
      </c>
      <c r="G479" s="50">
        <v>0</v>
      </c>
      <c r="H479" s="50">
        <v>0</v>
      </c>
      <c r="I479" s="50">
        <v>0</v>
      </c>
      <c r="J479" s="50">
        <v>0</v>
      </c>
      <c r="K479" s="50">
        <v>0</v>
      </c>
      <c r="L479" s="50">
        <v>0</v>
      </c>
      <c r="M479" s="50">
        <v>0</v>
      </c>
      <c r="N479" s="50">
        <v>0</v>
      </c>
      <c r="O479" s="50">
        <v>0</v>
      </c>
      <c r="P479" s="50">
        <v>0</v>
      </c>
      <c r="Q479" s="50">
        <v>0</v>
      </c>
      <c r="R479" s="49">
        <f t="shared" si="21"/>
        <v>0</v>
      </c>
    </row>
    <row r="480" spans="1:18" x14ac:dyDescent="0.25">
      <c r="A480" s="6">
        <v>478</v>
      </c>
      <c r="C480" s="6" t="s">
        <v>55</v>
      </c>
      <c r="D480" s="7" t="s">
        <v>41</v>
      </c>
      <c r="E480" s="7">
        <v>140</v>
      </c>
      <c r="F480" s="50">
        <v>-15131.93</v>
      </c>
      <c r="G480" s="50">
        <v>-15242.84</v>
      </c>
      <c r="H480" s="50">
        <v>-15189.22</v>
      </c>
      <c r="I480" s="50">
        <v>-15236.87</v>
      </c>
      <c r="J480" s="50">
        <v>-15095.49</v>
      </c>
      <c r="K480" s="50">
        <v>-19286.63</v>
      </c>
      <c r="L480" s="50">
        <v>-15221.37</v>
      </c>
      <c r="M480" s="50">
        <v>-15671.21</v>
      </c>
      <c r="N480" s="50">
        <v>-15310.09</v>
      </c>
      <c r="O480" s="50">
        <v>-15179.37</v>
      </c>
      <c r="P480" s="50">
        <v>-15174.95</v>
      </c>
      <c r="Q480" s="50">
        <v>-15178.8</v>
      </c>
      <c r="R480" s="49">
        <f t="shared" si="21"/>
        <v>-186918.77</v>
      </c>
    </row>
    <row r="481" spans="1:18" x14ac:dyDescent="0.25">
      <c r="A481" s="6">
        <v>479</v>
      </c>
      <c r="C481" s="6" t="s">
        <v>56</v>
      </c>
      <c r="D481" s="7" t="s">
        <v>43</v>
      </c>
      <c r="E481" s="7">
        <v>140</v>
      </c>
      <c r="F481" s="50">
        <v>15242.84</v>
      </c>
      <c r="G481" s="50">
        <v>15189.22</v>
      </c>
      <c r="H481" s="50">
        <v>15236.87</v>
      </c>
      <c r="I481" s="50">
        <v>15095.49</v>
      </c>
      <c r="J481" s="50">
        <v>19286.63</v>
      </c>
      <c r="K481" s="50">
        <v>15221.37</v>
      </c>
      <c r="L481" s="50">
        <v>15671.21</v>
      </c>
      <c r="M481" s="50">
        <v>15310.09</v>
      </c>
      <c r="N481" s="50">
        <v>15179.37</v>
      </c>
      <c r="O481" s="50">
        <v>15174.95</v>
      </c>
      <c r="P481" s="50">
        <v>15178.8</v>
      </c>
      <c r="Q481" s="50">
        <v>15203.05</v>
      </c>
      <c r="R481" s="49">
        <f t="shared" si="21"/>
        <v>186989.88999999998</v>
      </c>
    </row>
    <row r="482" spans="1:18" x14ac:dyDescent="0.25">
      <c r="A482" s="6">
        <v>480</v>
      </c>
      <c r="C482" s="6" t="s">
        <v>30</v>
      </c>
      <c r="D482" s="7" t="s">
        <v>44</v>
      </c>
      <c r="E482" s="7">
        <v>140</v>
      </c>
      <c r="F482" s="50">
        <v>15242.84</v>
      </c>
      <c r="G482" s="50">
        <v>15189.22</v>
      </c>
      <c r="H482" s="50">
        <v>15236.87</v>
      </c>
      <c r="I482" s="50">
        <v>15095.49</v>
      </c>
      <c r="J482" s="50">
        <v>19286.63</v>
      </c>
      <c r="K482" s="50">
        <v>15221.37</v>
      </c>
      <c r="L482" s="50">
        <v>15671.21</v>
      </c>
      <c r="M482" s="50">
        <v>15310.09</v>
      </c>
      <c r="N482" s="50">
        <v>15570.79</v>
      </c>
      <c r="O482" s="50">
        <v>15174.95</v>
      </c>
      <c r="P482" s="50">
        <v>15178.8</v>
      </c>
      <c r="Q482" s="50">
        <v>15203.05</v>
      </c>
      <c r="R482" s="49">
        <f t="shared" ref="R482:R502" si="23">SUM(F482:Q482)</f>
        <v>187381.31</v>
      </c>
    </row>
    <row r="483" spans="1:18" x14ac:dyDescent="0.25">
      <c r="A483" s="6">
        <v>481</v>
      </c>
      <c r="C483" s="10" t="s">
        <v>45</v>
      </c>
      <c r="F483" s="50"/>
      <c r="G483" s="50"/>
      <c r="H483" s="50"/>
      <c r="I483" s="50"/>
      <c r="J483" s="50"/>
      <c r="K483" s="50"/>
      <c r="L483" s="50"/>
      <c r="M483" s="50"/>
      <c r="N483" s="50"/>
      <c r="O483" s="50"/>
      <c r="P483" s="50"/>
      <c r="Q483" s="50"/>
      <c r="R483" s="49">
        <f t="shared" si="23"/>
        <v>0</v>
      </c>
    </row>
    <row r="484" spans="1:18" x14ac:dyDescent="0.25">
      <c r="A484" s="6">
        <v>482</v>
      </c>
      <c r="F484" s="50"/>
      <c r="G484" s="50"/>
      <c r="H484" s="50"/>
      <c r="I484" s="50"/>
      <c r="J484" s="50"/>
      <c r="K484" s="50"/>
      <c r="L484" s="50"/>
      <c r="M484" s="50"/>
      <c r="N484" s="50"/>
      <c r="O484" s="50"/>
      <c r="P484" s="50"/>
      <c r="Q484" s="50"/>
      <c r="R484" s="49">
        <f t="shared" si="23"/>
        <v>0</v>
      </c>
    </row>
    <row r="485" spans="1:18" x14ac:dyDescent="0.25">
      <c r="A485" s="6">
        <v>483</v>
      </c>
      <c r="C485" s="15" t="s">
        <v>101</v>
      </c>
      <c r="D485" s="7" t="s">
        <v>34</v>
      </c>
      <c r="E485" s="7">
        <v>97</v>
      </c>
      <c r="F485" s="50">
        <v>916</v>
      </c>
      <c r="G485" s="50">
        <v>916</v>
      </c>
      <c r="H485" s="50">
        <v>916</v>
      </c>
      <c r="I485" s="50">
        <v>916</v>
      </c>
      <c r="J485" s="50">
        <v>916</v>
      </c>
      <c r="K485" s="50">
        <v>916</v>
      </c>
      <c r="L485" s="50">
        <v>916</v>
      </c>
      <c r="M485" s="50">
        <v>916</v>
      </c>
      <c r="N485" s="50">
        <v>916</v>
      </c>
      <c r="O485" s="50">
        <v>916</v>
      </c>
      <c r="P485" s="50">
        <v>916</v>
      </c>
      <c r="Q485" s="50">
        <v>916</v>
      </c>
      <c r="R485" s="49">
        <f t="shared" si="23"/>
        <v>10992</v>
      </c>
    </row>
    <row r="486" spans="1:18" x14ac:dyDescent="0.25">
      <c r="A486" s="6">
        <v>484</v>
      </c>
      <c r="C486" s="6" t="s">
        <v>31</v>
      </c>
      <c r="D486" s="7" t="s">
        <v>35</v>
      </c>
      <c r="E486" s="7">
        <v>97</v>
      </c>
      <c r="F486" s="50">
        <v>8993197</v>
      </c>
      <c r="G486" s="50">
        <v>2815838</v>
      </c>
      <c r="H486" s="50">
        <v>4831267</v>
      </c>
      <c r="I486" s="50">
        <v>9711684</v>
      </c>
      <c r="J486" s="50">
        <v>3084330</v>
      </c>
      <c r="K486" s="50">
        <v>7217812</v>
      </c>
      <c r="L486" s="50">
        <v>6524493</v>
      </c>
      <c r="M486" s="50">
        <v>13440380</v>
      </c>
      <c r="N486" s="50">
        <v>14392902</v>
      </c>
      <c r="O486" s="50">
        <v>0</v>
      </c>
      <c r="P486" s="50">
        <v>0</v>
      </c>
      <c r="Q486" s="50">
        <v>0</v>
      </c>
      <c r="R486" s="49">
        <f t="shared" si="23"/>
        <v>71011903</v>
      </c>
    </row>
    <row r="487" spans="1:18" x14ac:dyDescent="0.25">
      <c r="A487" s="6">
        <v>485</v>
      </c>
      <c r="C487" s="6" t="s">
        <v>36</v>
      </c>
      <c r="D487" s="7" t="s">
        <v>37</v>
      </c>
      <c r="E487" s="7">
        <v>97</v>
      </c>
      <c r="F487" s="50">
        <v>0</v>
      </c>
      <c r="G487" s="50">
        <v>0</v>
      </c>
      <c r="H487" s="50">
        <v>0</v>
      </c>
      <c r="I487" s="50">
        <v>0</v>
      </c>
      <c r="J487" s="50">
        <v>0</v>
      </c>
      <c r="K487" s="50">
        <v>0</v>
      </c>
      <c r="L487" s="50">
        <v>0</v>
      </c>
      <c r="M487" s="50">
        <v>0</v>
      </c>
      <c r="N487" s="50">
        <v>0</v>
      </c>
      <c r="O487" s="50">
        <v>0</v>
      </c>
      <c r="P487" s="50">
        <v>0</v>
      </c>
      <c r="Q487" s="50">
        <v>0</v>
      </c>
      <c r="R487" s="49">
        <f t="shared" si="23"/>
        <v>0</v>
      </c>
    </row>
    <row r="488" spans="1:18" x14ac:dyDescent="0.25">
      <c r="A488" s="6">
        <v>486</v>
      </c>
      <c r="C488" s="6" t="s">
        <v>38</v>
      </c>
      <c r="D488" s="7" t="s">
        <v>39</v>
      </c>
      <c r="E488" s="7">
        <v>97</v>
      </c>
      <c r="F488" s="50">
        <v>0</v>
      </c>
      <c r="G488" s="50">
        <v>0</v>
      </c>
      <c r="H488" s="50">
        <v>0</v>
      </c>
      <c r="I488" s="50">
        <v>0</v>
      </c>
      <c r="J488" s="50">
        <v>0</v>
      </c>
      <c r="K488" s="50">
        <v>0</v>
      </c>
      <c r="L488" s="50">
        <v>0</v>
      </c>
      <c r="M488" s="50">
        <v>0</v>
      </c>
      <c r="N488" s="50">
        <v>0</v>
      </c>
      <c r="O488" s="50">
        <v>0</v>
      </c>
      <c r="P488" s="50">
        <v>0</v>
      </c>
      <c r="Q488" s="50">
        <v>0</v>
      </c>
      <c r="R488" s="49">
        <f t="shared" si="23"/>
        <v>0</v>
      </c>
    </row>
    <row r="489" spans="1:18" x14ac:dyDescent="0.25">
      <c r="A489" s="6">
        <v>487</v>
      </c>
      <c r="C489" s="6" t="s">
        <v>40</v>
      </c>
      <c r="D489" s="7" t="s">
        <v>41</v>
      </c>
      <c r="E489" s="7">
        <v>97</v>
      </c>
      <c r="F489" s="50">
        <v>-8993197</v>
      </c>
      <c r="G489" s="50">
        <v>-2815838</v>
      </c>
      <c r="H489" s="50">
        <v>-4831267</v>
      </c>
      <c r="I489" s="50">
        <v>-9711684</v>
      </c>
      <c r="J489" s="50">
        <v>-3084330</v>
      </c>
      <c r="K489" s="50">
        <v>-7217812</v>
      </c>
      <c r="L489" s="50">
        <v>-6524493</v>
      </c>
      <c r="M489" s="50">
        <v>-13440380</v>
      </c>
      <c r="N489" s="50">
        <v>-14392902</v>
      </c>
      <c r="O489" s="50">
        <v>0</v>
      </c>
      <c r="P489" s="50">
        <v>0</v>
      </c>
      <c r="Q489" s="50">
        <v>0</v>
      </c>
      <c r="R489" s="49">
        <f t="shared" si="23"/>
        <v>-71011903</v>
      </c>
    </row>
    <row r="490" spans="1:18" x14ac:dyDescent="0.25">
      <c r="A490" s="6">
        <v>488</v>
      </c>
      <c r="C490" s="6" t="s">
        <v>42</v>
      </c>
      <c r="D490" s="7" t="s">
        <v>43</v>
      </c>
      <c r="E490" s="7">
        <v>97</v>
      </c>
      <c r="F490" s="50">
        <v>2815838</v>
      </c>
      <c r="G490" s="50">
        <v>4831267</v>
      </c>
      <c r="H490" s="50">
        <v>9711684</v>
      </c>
      <c r="I490" s="50">
        <v>3084330</v>
      </c>
      <c r="J490" s="50">
        <v>7217812</v>
      </c>
      <c r="K490" s="50">
        <v>6524493</v>
      </c>
      <c r="L490" s="50">
        <v>13440380</v>
      </c>
      <c r="M490" s="50">
        <v>14392902</v>
      </c>
      <c r="N490" s="50">
        <v>0</v>
      </c>
      <c r="O490" s="50">
        <v>0</v>
      </c>
      <c r="P490" s="50">
        <v>0</v>
      </c>
      <c r="Q490" s="50">
        <v>0</v>
      </c>
      <c r="R490" s="49">
        <f t="shared" si="23"/>
        <v>62018706</v>
      </c>
    </row>
    <row r="491" spans="1:18" x14ac:dyDescent="0.25">
      <c r="A491" s="6">
        <v>489</v>
      </c>
      <c r="C491" s="6" t="s">
        <v>33</v>
      </c>
      <c r="D491" s="7" t="s">
        <v>44</v>
      </c>
      <c r="E491" s="7">
        <v>97</v>
      </c>
      <c r="F491" s="50">
        <v>2815838</v>
      </c>
      <c r="G491" s="50">
        <v>4831267</v>
      </c>
      <c r="H491" s="50">
        <v>9711684</v>
      </c>
      <c r="I491" s="50">
        <v>3084330</v>
      </c>
      <c r="J491" s="50">
        <v>7217812</v>
      </c>
      <c r="K491" s="50">
        <v>6524493</v>
      </c>
      <c r="L491" s="50">
        <v>13440380</v>
      </c>
      <c r="M491" s="50">
        <v>14392902</v>
      </c>
      <c r="N491" s="50">
        <v>0</v>
      </c>
      <c r="O491" s="50">
        <v>0</v>
      </c>
      <c r="P491" s="50">
        <v>0</v>
      </c>
      <c r="Q491" s="50">
        <v>0</v>
      </c>
      <c r="R491" s="49">
        <f t="shared" si="23"/>
        <v>62018706</v>
      </c>
    </row>
    <row r="492" spans="1:18" x14ac:dyDescent="0.25">
      <c r="A492" s="6">
        <v>490</v>
      </c>
      <c r="C492" s="10" t="s">
        <v>45</v>
      </c>
      <c r="F492" s="50"/>
      <c r="G492" s="50"/>
      <c r="H492" s="50"/>
      <c r="I492" s="50"/>
      <c r="J492" s="50"/>
      <c r="K492" s="50"/>
      <c r="L492" s="50"/>
      <c r="M492" s="50"/>
      <c r="N492" s="50"/>
      <c r="O492" s="50"/>
      <c r="P492" s="50"/>
      <c r="Q492" s="50"/>
      <c r="R492" s="49">
        <f t="shared" si="23"/>
        <v>0</v>
      </c>
    </row>
    <row r="493" spans="1:18" x14ac:dyDescent="0.25">
      <c r="A493" s="6">
        <v>491</v>
      </c>
      <c r="C493" s="6" t="s">
        <v>46</v>
      </c>
      <c r="D493" s="7" t="s">
        <v>35</v>
      </c>
      <c r="E493" s="7">
        <v>141</v>
      </c>
      <c r="F493" s="50">
        <v>164849.85999999999</v>
      </c>
      <c r="G493" s="50">
        <v>116945.06</v>
      </c>
      <c r="H493" s="50">
        <v>132574.51</v>
      </c>
      <c r="I493" s="50">
        <v>170421.64</v>
      </c>
      <c r="J493" s="50">
        <v>119027.18</v>
      </c>
      <c r="K493" s="50">
        <v>151081.92000000001</v>
      </c>
      <c r="L493" s="50">
        <v>145705.29999999999</v>
      </c>
      <c r="M493" s="50">
        <v>199337.32</v>
      </c>
      <c r="N493" s="50">
        <v>178771.98</v>
      </c>
      <c r="O493" s="50">
        <v>0</v>
      </c>
      <c r="P493" s="50">
        <v>0</v>
      </c>
      <c r="Q493" s="50">
        <v>0</v>
      </c>
      <c r="R493" s="49">
        <f t="shared" si="23"/>
        <v>1378714.77</v>
      </c>
    </row>
    <row r="494" spans="1:18" x14ac:dyDescent="0.25">
      <c r="A494" s="6">
        <v>492</v>
      </c>
      <c r="C494" s="6" t="s">
        <v>47</v>
      </c>
      <c r="D494" s="7" t="s">
        <v>37</v>
      </c>
      <c r="E494" s="7">
        <v>141</v>
      </c>
      <c r="F494" s="50">
        <v>0</v>
      </c>
      <c r="G494" s="50">
        <v>0</v>
      </c>
      <c r="H494" s="50">
        <v>0</v>
      </c>
      <c r="I494" s="50">
        <v>0</v>
      </c>
      <c r="J494" s="50">
        <v>0</v>
      </c>
      <c r="K494" s="50">
        <v>0</v>
      </c>
      <c r="L494" s="50">
        <v>0</v>
      </c>
      <c r="M494" s="50">
        <v>0</v>
      </c>
      <c r="N494" s="50">
        <v>0</v>
      </c>
      <c r="O494" s="50">
        <v>0</v>
      </c>
      <c r="P494" s="50">
        <v>0</v>
      </c>
      <c r="Q494" s="50">
        <v>0</v>
      </c>
      <c r="R494" s="49">
        <f t="shared" si="23"/>
        <v>0</v>
      </c>
    </row>
    <row r="495" spans="1:18" x14ac:dyDescent="0.25">
      <c r="A495" s="6">
        <v>493</v>
      </c>
      <c r="C495" s="6" t="s">
        <v>48</v>
      </c>
      <c r="D495" s="7" t="s">
        <v>39</v>
      </c>
      <c r="E495" s="7">
        <v>141</v>
      </c>
      <c r="F495" s="50">
        <v>0</v>
      </c>
      <c r="G495" s="50">
        <v>0</v>
      </c>
      <c r="H495" s="50">
        <v>0</v>
      </c>
      <c r="I495" s="50">
        <v>0</v>
      </c>
      <c r="J495" s="50">
        <v>0</v>
      </c>
      <c r="K495" s="50">
        <v>0</v>
      </c>
      <c r="L495" s="50">
        <v>0</v>
      </c>
      <c r="M495" s="50">
        <v>0</v>
      </c>
      <c r="N495" s="50">
        <v>0</v>
      </c>
      <c r="O495" s="50">
        <v>0</v>
      </c>
      <c r="P495" s="50">
        <v>0</v>
      </c>
      <c r="Q495" s="50">
        <v>0</v>
      </c>
      <c r="R495" s="49">
        <f t="shared" si="23"/>
        <v>0</v>
      </c>
    </row>
    <row r="496" spans="1:18" x14ac:dyDescent="0.25">
      <c r="A496" s="6">
        <v>494</v>
      </c>
      <c r="C496" s="6" t="s">
        <v>49</v>
      </c>
      <c r="D496" s="7" t="s">
        <v>50</v>
      </c>
      <c r="E496" s="7">
        <v>141</v>
      </c>
      <c r="F496" s="50">
        <v>0</v>
      </c>
      <c r="G496" s="50">
        <v>0</v>
      </c>
      <c r="H496" s="50">
        <v>0</v>
      </c>
      <c r="I496" s="50">
        <v>0</v>
      </c>
      <c r="J496" s="50">
        <v>0</v>
      </c>
      <c r="K496" s="50">
        <v>0</v>
      </c>
      <c r="L496" s="50">
        <v>0</v>
      </c>
      <c r="M496" s="50">
        <v>0</v>
      </c>
      <c r="N496" s="50">
        <v>0</v>
      </c>
      <c r="O496" s="50">
        <v>0</v>
      </c>
      <c r="P496" s="50">
        <v>0</v>
      </c>
      <c r="Q496" s="50">
        <v>0</v>
      </c>
      <c r="R496" s="49">
        <f t="shared" si="23"/>
        <v>0</v>
      </c>
    </row>
    <row r="497" spans="1:18" x14ac:dyDescent="0.25">
      <c r="A497" s="6">
        <v>495</v>
      </c>
      <c r="C497" s="27" t="s">
        <v>278</v>
      </c>
      <c r="D497" s="7" t="s">
        <v>51</v>
      </c>
      <c r="E497" s="7">
        <v>141</v>
      </c>
      <c r="F497" s="50">
        <v>0</v>
      </c>
      <c r="G497" s="50">
        <v>0</v>
      </c>
      <c r="H497" s="50">
        <v>0</v>
      </c>
      <c r="I497" s="50">
        <v>0</v>
      </c>
      <c r="J497" s="50">
        <v>0</v>
      </c>
      <c r="K497" s="50">
        <v>0</v>
      </c>
      <c r="L497" s="50">
        <v>0</v>
      </c>
      <c r="M497" s="50">
        <v>0</v>
      </c>
      <c r="N497" s="50">
        <v>0</v>
      </c>
      <c r="O497" s="50">
        <v>0</v>
      </c>
      <c r="P497" s="50">
        <v>0</v>
      </c>
      <c r="Q497" s="50">
        <v>0</v>
      </c>
      <c r="R497" s="49">
        <f t="shared" si="23"/>
        <v>0</v>
      </c>
    </row>
    <row r="498" spans="1:18" x14ac:dyDescent="0.25">
      <c r="A498" s="6">
        <v>496</v>
      </c>
      <c r="C498" s="6" t="s">
        <v>80</v>
      </c>
      <c r="D498" s="7" t="s">
        <v>79</v>
      </c>
      <c r="E498" s="7">
        <v>141</v>
      </c>
      <c r="F498" s="51">
        <v>0</v>
      </c>
      <c r="G498" s="50">
        <v>0</v>
      </c>
      <c r="H498" s="50">
        <v>0</v>
      </c>
      <c r="I498" s="50">
        <v>0</v>
      </c>
      <c r="J498" s="50">
        <v>0</v>
      </c>
      <c r="K498" s="50">
        <v>0</v>
      </c>
      <c r="L498" s="50">
        <v>0</v>
      </c>
      <c r="M498" s="50">
        <v>0</v>
      </c>
      <c r="N498" s="50">
        <v>0</v>
      </c>
      <c r="O498" s="50">
        <v>0</v>
      </c>
      <c r="P498" s="50">
        <v>0</v>
      </c>
      <c r="Q498" s="50">
        <v>0</v>
      </c>
      <c r="R498" s="49">
        <f t="shared" si="23"/>
        <v>0</v>
      </c>
    </row>
    <row r="499" spans="1:18" x14ac:dyDescent="0.25">
      <c r="A499" s="6">
        <v>497</v>
      </c>
      <c r="C499" s="6" t="s">
        <v>13</v>
      </c>
      <c r="D499" s="7" t="s">
        <v>52</v>
      </c>
      <c r="E499" s="7">
        <v>141</v>
      </c>
      <c r="F499" s="50">
        <v>0</v>
      </c>
      <c r="G499" s="50">
        <v>0</v>
      </c>
      <c r="H499" s="50">
        <v>0</v>
      </c>
      <c r="I499" s="50">
        <v>0</v>
      </c>
      <c r="J499" s="50">
        <v>0</v>
      </c>
      <c r="K499" s="50">
        <v>0</v>
      </c>
      <c r="L499" s="50">
        <v>0</v>
      </c>
      <c r="M499" s="50">
        <v>0</v>
      </c>
      <c r="N499" s="50">
        <v>0</v>
      </c>
      <c r="O499" s="50">
        <v>0</v>
      </c>
      <c r="P499" s="50">
        <v>0</v>
      </c>
      <c r="Q499" s="50">
        <v>0</v>
      </c>
      <c r="R499" s="49">
        <f t="shared" si="23"/>
        <v>0</v>
      </c>
    </row>
    <row r="500" spans="1:18" x14ac:dyDescent="0.25">
      <c r="A500" s="6">
        <v>498</v>
      </c>
      <c r="C500" s="6" t="s">
        <v>55</v>
      </c>
      <c r="D500" s="7" t="s">
        <v>41</v>
      </c>
      <c r="E500" s="7">
        <v>141</v>
      </c>
      <c r="F500" s="50">
        <v>-162421.70000000001</v>
      </c>
      <c r="G500" s="50">
        <v>-116184.78</v>
      </c>
      <c r="H500" s="50">
        <v>-131270.07</v>
      </c>
      <c r="I500" s="50">
        <v>-167799.49</v>
      </c>
      <c r="J500" s="50">
        <v>-118194.41</v>
      </c>
      <c r="K500" s="50">
        <v>-149133.10999999999</v>
      </c>
      <c r="L500" s="50">
        <v>-143943.69</v>
      </c>
      <c r="M500" s="50">
        <v>-195708.42</v>
      </c>
      <c r="N500" s="50">
        <v>-174953.13</v>
      </c>
      <c r="O500" s="50">
        <v>0</v>
      </c>
      <c r="P500" s="50">
        <v>0</v>
      </c>
      <c r="Q500" s="50">
        <v>0</v>
      </c>
      <c r="R500" s="49">
        <f t="shared" si="23"/>
        <v>-1359608.7999999998</v>
      </c>
    </row>
    <row r="501" spans="1:18" x14ac:dyDescent="0.25">
      <c r="A501" s="6">
        <v>499</v>
      </c>
      <c r="C501" s="6" t="s">
        <v>56</v>
      </c>
      <c r="D501" s="7" t="s">
        <v>43</v>
      </c>
      <c r="E501" s="7">
        <v>141</v>
      </c>
      <c r="F501" s="50">
        <v>116184.78</v>
      </c>
      <c r="G501" s="50">
        <v>131270.07</v>
      </c>
      <c r="H501" s="50">
        <v>167799.49000000002</v>
      </c>
      <c r="I501" s="50">
        <v>118194.40999999999</v>
      </c>
      <c r="J501" s="50">
        <v>149133.11000000002</v>
      </c>
      <c r="K501" s="50">
        <v>143943.69</v>
      </c>
      <c r="L501" s="50">
        <v>195708.42</v>
      </c>
      <c r="M501" s="50">
        <v>174953.13</v>
      </c>
      <c r="N501" s="50">
        <v>0</v>
      </c>
      <c r="O501" s="50">
        <v>0</v>
      </c>
      <c r="P501" s="50">
        <v>0</v>
      </c>
      <c r="Q501" s="50">
        <v>0</v>
      </c>
      <c r="R501" s="49">
        <f t="shared" si="23"/>
        <v>1197187.1000000001</v>
      </c>
    </row>
    <row r="502" spans="1:18" x14ac:dyDescent="0.25">
      <c r="A502" s="6">
        <v>500</v>
      </c>
      <c r="C502" s="6" t="s">
        <v>30</v>
      </c>
      <c r="D502" s="7" t="s">
        <v>44</v>
      </c>
      <c r="E502" s="7">
        <v>141</v>
      </c>
      <c r="F502" s="50">
        <v>118612.94</v>
      </c>
      <c r="G502" s="50">
        <v>132030.35</v>
      </c>
      <c r="H502" s="50">
        <v>169103.93000000002</v>
      </c>
      <c r="I502" s="50">
        <v>120816.55999999998</v>
      </c>
      <c r="J502" s="50">
        <v>149965.88</v>
      </c>
      <c r="K502" s="50">
        <v>145892.5</v>
      </c>
      <c r="L502" s="50">
        <v>197470.03</v>
      </c>
      <c r="M502" s="50">
        <v>178582.03</v>
      </c>
      <c r="N502" s="50">
        <v>3818.8500000000058</v>
      </c>
      <c r="O502" s="50">
        <v>0</v>
      </c>
      <c r="P502" s="50">
        <v>0</v>
      </c>
      <c r="Q502" s="50">
        <v>0</v>
      </c>
      <c r="R502" s="49">
        <f t="shared" si="23"/>
        <v>1216293.07</v>
      </c>
    </row>
    <row r="503" spans="1:18" x14ac:dyDescent="0.25">
      <c r="A503" s="6">
        <v>501</v>
      </c>
      <c r="C503" s="10" t="s">
        <v>45</v>
      </c>
    </row>
    <row r="504" spans="1:18" x14ac:dyDescent="0.25">
      <c r="A504" s="6">
        <v>502</v>
      </c>
    </row>
    <row r="505" spans="1:18" x14ac:dyDescent="0.25">
      <c r="A505" s="6">
        <v>503</v>
      </c>
    </row>
    <row r="506" spans="1:18" x14ac:dyDescent="0.25">
      <c r="A506" s="6">
        <v>504</v>
      </c>
      <c r="C506" s="27" t="s">
        <v>413</v>
      </c>
      <c r="F506" s="50">
        <f>SUM(F502,F482,F462,F442,F422,F402,F382,F362,F342,F322,F302,F282,F262,F242,F222,F202,F182,F162,F142,F122,F102,F82,F62,F42,F22)</f>
        <v>33086893.739999998</v>
      </c>
      <c r="G506" s="50">
        <f t="shared" ref="G506:O506" si="24">SUM(G502,G482,G462,G442,G422,G402,G382,G362,G342,G322,G302,G282,G262,G242,G222,G202,G182,G162,G142,G122,G102,G82,G62,G42,G22)</f>
        <v>29896577.850000001</v>
      </c>
      <c r="H506" s="50">
        <f t="shared" si="24"/>
        <v>25470770.170000002</v>
      </c>
      <c r="I506" s="50">
        <f t="shared" si="24"/>
        <v>17943958.579999998</v>
      </c>
      <c r="J506" s="50">
        <f t="shared" si="24"/>
        <v>11219370.899999999</v>
      </c>
      <c r="K506" s="50">
        <f t="shared" si="24"/>
        <v>9796241.2000000011</v>
      </c>
      <c r="L506" s="50">
        <f t="shared" si="24"/>
        <v>8996972.6699999999</v>
      </c>
      <c r="M506" s="50">
        <f t="shared" si="24"/>
        <v>7070792.7000000002</v>
      </c>
      <c r="N506" s="50">
        <f t="shared" si="24"/>
        <v>10384658.17</v>
      </c>
      <c r="O506" s="50">
        <f t="shared" si="24"/>
        <v>16489693.130000001</v>
      </c>
      <c r="P506" s="50">
        <f>SUM(P502,P482,P462,P442,P422,P402,P382,P362,P342,P322,P302,P282,P262,P242,P222,P202,P182,P162,P142,P122,P102,P82,P62,P42,P22)</f>
        <v>24500685.259999998</v>
      </c>
      <c r="Q506" s="50">
        <f>SUM(Q502,Q482,Q462,Q442,Q422,Q402,Q382,Q362,Q342,Q322,Q302,Q282,Q262,Q242,Q222,Q202,Q182,Q162,Q142,Q122,Q102,Q82,Q62,Q42,Q22)</f>
        <v>31115511.079999998</v>
      </c>
    </row>
    <row r="507" spans="1:18" x14ac:dyDescent="0.25">
      <c r="A507" s="6">
        <v>505</v>
      </c>
    </row>
    <row r="508" spans="1:18" x14ac:dyDescent="0.25">
      <c r="A508" s="6">
        <v>506</v>
      </c>
      <c r="C508" s="27" t="s">
        <v>414</v>
      </c>
      <c r="F508" s="50">
        <f>SUM('Allocation Report Summary'!D9,'Allocation Report Summary'!D13)</f>
        <v>33086893.740000002</v>
      </c>
      <c r="G508" s="50">
        <f>SUM('Allocation Report Summary'!E9,'Allocation Report Summary'!E13)</f>
        <v>29896577.850000001</v>
      </c>
      <c r="H508" s="50">
        <f>SUM('Allocation Report Summary'!F9,'Allocation Report Summary'!F13)</f>
        <v>25470770.169999998</v>
      </c>
      <c r="I508" s="50">
        <f>SUM('Allocation Report Summary'!G9,'Allocation Report Summary'!G13)</f>
        <v>17943958.579999998</v>
      </c>
      <c r="J508" s="50">
        <f>SUM('Allocation Report Summary'!H9,'Allocation Report Summary'!H13)</f>
        <v>11219370.9</v>
      </c>
      <c r="K508" s="50">
        <f>SUM('Allocation Report Summary'!I9,'Allocation Report Summary'!I13)</f>
        <v>9796241.1999999993</v>
      </c>
      <c r="L508" s="50">
        <f>SUM('Allocation Report Summary'!J9,'Allocation Report Summary'!J13)</f>
        <v>8996972.6699999999</v>
      </c>
      <c r="M508" s="50">
        <f>SUM('Allocation Report Summary'!K9,'Allocation Report Summary'!K13)</f>
        <v>7070792.6999999993</v>
      </c>
      <c r="N508" s="50">
        <f>SUM('Allocation Report Summary'!L9,'Allocation Report Summary'!L13)</f>
        <v>10384658.17</v>
      </c>
      <c r="O508" s="50">
        <f>SUM('Allocation Report Summary'!M9,'Allocation Report Summary'!M13)</f>
        <v>16489693.130000001</v>
      </c>
      <c r="P508" s="50">
        <f>SUM('Allocation Report Summary'!N9,'Allocation Report Summary'!N13)</f>
        <v>24500685.260000002</v>
      </c>
      <c r="Q508" s="50">
        <f>SUM('Allocation Report Summary'!O9,'Allocation Report Summary'!O13)</f>
        <v>31115511.080000002</v>
      </c>
      <c r="R508" s="27"/>
    </row>
    <row r="509" spans="1:18" x14ac:dyDescent="0.25">
      <c r="F509" s="10"/>
    </row>
    <row r="510" spans="1:18" x14ac:dyDescent="0.25">
      <c r="F510" s="50">
        <f>F506-F508</f>
        <v>0</v>
      </c>
      <c r="G510" s="50">
        <f t="shared" ref="G510:Q510" si="25">G506-G508</f>
        <v>0</v>
      </c>
      <c r="H510" s="50">
        <f t="shared" si="25"/>
        <v>0</v>
      </c>
      <c r="I510" s="50">
        <f t="shared" si="25"/>
        <v>0</v>
      </c>
      <c r="J510" s="50">
        <f t="shared" si="25"/>
        <v>0</v>
      </c>
      <c r="K510" s="50">
        <f t="shared" si="25"/>
        <v>0</v>
      </c>
      <c r="L510" s="50">
        <f t="shared" si="25"/>
        <v>0</v>
      </c>
      <c r="M510" s="50">
        <f t="shared" si="25"/>
        <v>0</v>
      </c>
      <c r="N510" s="50">
        <f t="shared" si="25"/>
        <v>0</v>
      </c>
      <c r="O510" s="50">
        <f t="shared" si="25"/>
        <v>0</v>
      </c>
      <c r="P510" s="50">
        <f t="shared" si="25"/>
        <v>0</v>
      </c>
      <c r="Q510" s="50">
        <f t="shared" si="25"/>
        <v>0</v>
      </c>
      <c r="R510" s="50">
        <f>SUM(F510:Q510)</f>
        <v>0</v>
      </c>
    </row>
    <row r="511" spans="1:18" x14ac:dyDescent="0.25">
      <c r="F511" s="15"/>
    </row>
    <row r="518" spans="6:6" x14ac:dyDescent="0.25">
      <c r="F518" s="10"/>
    </row>
    <row r="529" spans="6:6" x14ac:dyDescent="0.25">
      <c r="F529" s="10"/>
    </row>
  </sheetData>
  <mergeCells count="1">
    <mergeCell ref="B1:R1"/>
  </mergeCells>
  <printOptions horizontalCentered="1"/>
  <pageMargins left="0.5" right="0.5" top="1" bottom="0.75" header="0.5" footer="0.3"/>
  <pageSetup scale="45" fitToHeight="0" orientation="landscape" horizontalDpi="1200" verticalDpi="1200" r:id="rId1"/>
  <headerFooter scaleWithDoc="0">
    <oddHeader>&amp;C&amp;10Cascade Natural Gas Corporation
Rev Recon Summary
IDM WP-1.2&amp;R&amp;9Page &amp;P of &amp;N</oddHeader>
    <oddFooter>&amp;L&amp;A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C127"/>
  <sheetViews>
    <sheetView zoomScaleNormal="100" workbookViewId="0"/>
  </sheetViews>
  <sheetFormatPr defaultRowHeight="15" x14ac:dyDescent="0.25"/>
  <cols>
    <col min="3" max="3" width="45.28515625" customWidth="1"/>
    <col min="4" max="4" width="17.85546875" customWidth="1"/>
    <col min="5" max="5" width="2.7109375" customWidth="1"/>
    <col min="6" max="6" width="18.7109375" bestFit="1" customWidth="1"/>
    <col min="7" max="7" width="2.7109375" customWidth="1"/>
    <col min="8" max="8" width="18.7109375" bestFit="1" customWidth="1"/>
    <col min="9" max="9" width="2.7109375" customWidth="1"/>
    <col min="10" max="10" width="18.7109375" bestFit="1" customWidth="1"/>
    <col min="11" max="11" width="2.7109375" customWidth="1"/>
    <col min="12" max="12" width="18.7109375" bestFit="1" customWidth="1"/>
    <col min="13" max="13" width="2.7109375" customWidth="1"/>
    <col min="14" max="14" width="16.140625" bestFit="1" customWidth="1"/>
    <col min="15" max="15" width="2.7109375" customWidth="1"/>
    <col min="16" max="16" width="15.42578125" bestFit="1" customWidth="1"/>
    <col min="17" max="17" width="2.7109375" customWidth="1"/>
    <col min="18" max="18" width="16.5703125" bestFit="1" customWidth="1"/>
    <col min="19" max="19" width="2.7109375" customWidth="1"/>
    <col min="20" max="20" width="17" bestFit="1" customWidth="1"/>
    <col min="21" max="21" width="2.7109375" customWidth="1"/>
    <col min="22" max="22" width="18.28515625" bestFit="1" customWidth="1"/>
    <col min="23" max="23" width="2.7109375" customWidth="1"/>
    <col min="24" max="24" width="16.140625" bestFit="1" customWidth="1"/>
    <col min="25" max="25" width="2.7109375" customWidth="1"/>
    <col min="26" max="26" width="18.28515625" bestFit="1" customWidth="1"/>
    <col min="27" max="27" width="17.7109375" bestFit="1" customWidth="1"/>
    <col min="28" max="28" width="26.85546875" customWidth="1"/>
    <col min="29" max="29" width="33" customWidth="1"/>
  </cols>
  <sheetData>
    <row r="1" spans="2:27" x14ac:dyDescent="0.25">
      <c r="B1" s="424" t="s">
        <v>512</v>
      </c>
    </row>
    <row r="2" spans="2:27" x14ac:dyDescent="0.25">
      <c r="B2" s="424" t="s">
        <v>653</v>
      </c>
    </row>
    <row r="3" spans="2:27" ht="15.75" thickBot="1" x14ac:dyDescent="0.3"/>
    <row r="4" spans="2:27" x14ac:dyDescent="0.25">
      <c r="B4" s="584" t="s">
        <v>395</v>
      </c>
      <c r="C4" s="585"/>
      <c r="D4" s="585"/>
      <c r="E4" s="585"/>
      <c r="F4" s="585"/>
      <c r="G4" s="585"/>
      <c r="H4" s="585"/>
      <c r="I4" s="585"/>
      <c r="J4" s="585"/>
      <c r="K4" s="585"/>
      <c r="L4" s="585"/>
      <c r="M4" s="585"/>
      <c r="N4" s="585"/>
      <c r="O4" s="585"/>
      <c r="P4" s="585"/>
      <c r="Q4" s="585"/>
      <c r="R4" s="585"/>
      <c r="S4" s="585"/>
      <c r="T4" s="585"/>
      <c r="U4" s="585"/>
      <c r="V4" s="585"/>
      <c r="W4" s="585"/>
      <c r="X4" s="585"/>
      <c r="Y4" s="585"/>
      <c r="Z4" s="586"/>
    </row>
    <row r="5" spans="2:27" x14ac:dyDescent="0.25">
      <c r="B5" s="115">
        <v>1</v>
      </c>
      <c r="C5" s="115" t="s">
        <v>374</v>
      </c>
      <c r="D5" s="115" t="s">
        <v>375</v>
      </c>
      <c r="E5" s="115"/>
      <c r="F5" s="115" t="s">
        <v>34</v>
      </c>
      <c r="G5" s="115"/>
      <c r="H5" s="115" t="s">
        <v>35</v>
      </c>
      <c r="I5" s="115"/>
      <c r="J5" s="115" t="s">
        <v>37</v>
      </c>
      <c r="K5" s="115"/>
      <c r="L5" s="115" t="s">
        <v>39</v>
      </c>
      <c r="M5" s="115"/>
      <c r="N5" s="115" t="s">
        <v>50</v>
      </c>
      <c r="O5" s="115"/>
      <c r="P5" s="115" t="s">
        <v>51</v>
      </c>
      <c r="Q5" s="115"/>
      <c r="R5" s="115" t="s">
        <v>79</v>
      </c>
      <c r="S5" s="115"/>
      <c r="T5" s="115" t="s">
        <v>52</v>
      </c>
      <c r="U5" s="115"/>
      <c r="V5" s="115" t="s">
        <v>41</v>
      </c>
      <c r="W5" s="115"/>
      <c r="X5" s="115" t="s">
        <v>43</v>
      </c>
      <c r="Y5" s="115"/>
      <c r="Z5" s="116" t="s">
        <v>44</v>
      </c>
    </row>
    <row r="6" spans="2:27" x14ac:dyDescent="0.25">
      <c r="B6" s="115">
        <v>2</v>
      </c>
      <c r="C6" s="117" t="s">
        <v>376</v>
      </c>
      <c r="D6" s="117" t="s">
        <v>81</v>
      </c>
      <c r="E6" s="117"/>
      <c r="F6" s="117" t="s">
        <v>82</v>
      </c>
      <c r="G6" s="117"/>
      <c r="H6" s="117" t="s">
        <v>83</v>
      </c>
      <c r="I6" s="117"/>
      <c r="J6" s="117" t="s">
        <v>84</v>
      </c>
      <c r="K6" s="117"/>
      <c r="L6" s="117" t="s">
        <v>85</v>
      </c>
      <c r="M6" s="117"/>
      <c r="N6" s="117" t="s">
        <v>86</v>
      </c>
      <c r="O6" s="117"/>
      <c r="P6" s="117" t="s">
        <v>87</v>
      </c>
      <c r="Q6" s="117"/>
      <c r="R6" s="117" t="s">
        <v>88</v>
      </c>
      <c r="S6" s="117"/>
      <c r="T6" s="117" t="s">
        <v>89</v>
      </c>
      <c r="U6" s="117"/>
      <c r="V6" s="117" t="s">
        <v>90</v>
      </c>
      <c r="W6" s="117"/>
      <c r="X6" s="117" t="s">
        <v>91</v>
      </c>
      <c r="Y6" s="117"/>
      <c r="Z6" s="117" t="s">
        <v>92</v>
      </c>
    </row>
    <row r="7" spans="2:27" x14ac:dyDescent="0.25">
      <c r="B7" s="115">
        <v>3</v>
      </c>
      <c r="C7" s="119" t="s">
        <v>451</v>
      </c>
      <c r="D7" s="118">
        <f>'Weather Normalization'!E4</f>
        <v>22141763.993672173</v>
      </c>
      <c r="E7" s="118"/>
      <c r="F7" s="118">
        <f>'Weather Normalization'!E5</f>
        <v>17365332.464680385</v>
      </c>
      <c r="G7" s="118"/>
      <c r="H7" s="118">
        <f>'Weather Normalization'!E6</f>
        <v>14188156.922798488</v>
      </c>
      <c r="I7" s="118"/>
      <c r="J7" s="118">
        <f>'Weather Normalization'!E7</f>
        <v>9762183.230569886</v>
      </c>
      <c r="K7" s="118"/>
      <c r="L7" s="118">
        <f>'Weather Normalization'!E8</f>
        <v>5848174.2583759399</v>
      </c>
      <c r="M7" s="118"/>
      <c r="N7" s="118">
        <f>'Weather Normalization'!E9</f>
        <v>3730789.8799040816</v>
      </c>
      <c r="O7" s="118"/>
      <c r="P7" s="118">
        <f>'Weather Normalization'!E10</f>
        <v>2866203</v>
      </c>
      <c r="Q7" s="118"/>
      <c r="R7" s="118">
        <f>'Weather Normalization'!E11</f>
        <v>1410114.0000000002</v>
      </c>
      <c r="S7" s="118"/>
      <c r="T7" s="118">
        <f>'Weather Normalization'!E12</f>
        <v>4054171.9474857934</v>
      </c>
      <c r="U7" s="118"/>
      <c r="V7" s="118">
        <f>'Weather Normalization'!E13</f>
        <v>8729261.1593155861</v>
      </c>
      <c r="W7" s="118"/>
      <c r="X7" s="118">
        <f>'Weather Normalization'!E14</f>
        <v>17505433.478788365</v>
      </c>
      <c r="Y7" s="118"/>
      <c r="Z7" s="118">
        <f>'Weather Normalization'!E15</f>
        <v>22484196.242159527</v>
      </c>
      <c r="AA7" s="16"/>
    </row>
    <row r="8" spans="2:27" x14ac:dyDescent="0.25">
      <c r="B8" s="115">
        <v>4</v>
      </c>
      <c r="C8" s="165" t="s">
        <v>381</v>
      </c>
      <c r="D8" s="166">
        <f>D7/SUM('1501 Summary'!F23)</f>
        <v>117.73776450958297</v>
      </c>
      <c r="E8" s="166"/>
      <c r="F8" s="166">
        <f>F7/SUM('1501 Summary'!H23)</f>
        <v>92.207426709005972</v>
      </c>
      <c r="G8" s="166"/>
      <c r="H8" s="166">
        <f>H7/SUM('1501 Summary'!J23)</f>
        <v>75.062067426017961</v>
      </c>
      <c r="I8" s="166"/>
      <c r="J8" s="166">
        <f>J7/SUM('1501 Summary'!L23)</f>
        <v>51.599890219197029</v>
      </c>
      <c r="K8" s="166"/>
      <c r="L8" s="166">
        <f>L7/SUM('1501 Summary'!N23)</f>
        <v>30.906254833587564</v>
      </c>
      <c r="M8" s="166"/>
      <c r="N8" s="166">
        <f>N7/SUM('1501 Summary'!P23)</f>
        <v>19.709282955365452</v>
      </c>
      <c r="O8" s="166"/>
      <c r="P8" s="166">
        <f>P7/SUM('1501 Summary'!R23)</f>
        <v>15.147463270267414</v>
      </c>
      <c r="Q8" s="166"/>
      <c r="R8" s="166">
        <f>R7/SUM('1501 Summary'!T23)</f>
        <v>7.4465853670901492</v>
      </c>
      <c r="S8" s="166"/>
      <c r="T8" s="166">
        <f>T7/SUM('1501 Summary'!V23)</f>
        <v>21.393180199798728</v>
      </c>
      <c r="U8" s="166"/>
      <c r="V8" s="166">
        <f>V7/SUM('1501 Summary'!X23)</f>
        <v>45.853847580653323</v>
      </c>
      <c r="W8" s="166"/>
      <c r="X8" s="166">
        <f>X7/SUM('1501 Summary'!Z23)</f>
        <v>91.621359462901026</v>
      </c>
      <c r="Y8" s="166"/>
      <c r="Z8" s="166">
        <f>Z7/SUM('1501 Summary'!AB23)</f>
        <v>117.21760777320252</v>
      </c>
    </row>
    <row r="9" spans="2:27" x14ac:dyDescent="0.25">
      <c r="B9" s="115">
        <v>5</v>
      </c>
      <c r="C9" s="124" t="s">
        <v>452</v>
      </c>
      <c r="D9" s="125">
        <f>'Weather Normalization'!J4</f>
        <v>14927116.478080004</v>
      </c>
      <c r="E9" s="125"/>
      <c r="F9" s="125">
        <f>'Weather Normalization'!J5</f>
        <v>12449380.216517117</v>
      </c>
      <c r="G9" s="125"/>
      <c r="H9" s="125">
        <f>'Weather Normalization'!J6</f>
        <v>9086936.719672041</v>
      </c>
      <c r="I9" s="125"/>
      <c r="J9" s="125">
        <f>'Weather Normalization'!J7</f>
        <v>6831914.2203449355</v>
      </c>
      <c r="K9" s="125"/>
      <c r="L9" s="125">
        <f>'Weather Normalization'!J8</f>
        <v>3888345.9675416686</v>
      </c>
      <c r="M9" s="125"/>
      <c r="N9" s="125">
        <f>'Weather Normalization'!J9</f>
        <v>3414890.3884786782</v>
      </c>
      <c r="O9" s="125"/>
      <c r="P9" s="125">
        <f>'Weather Normalization'!J10</f>
        <v>2825601</v>
      </c>
      <c r="Q9" s="125"/>
      <c r="R9" s="125">
        <f>'Weather Normalization'!J11</f>
        <v>1578948</v>
      </c>
      <c r="S9" s="125"/>
      <c r="T9" s="125">
        <f>'Weather Normalization'!J12</f>
        <v>3858909.8555307081</v>
      </c>
      <c r="U9" s="125"/>
      <c r="V9" s="125">
        <f>'Weather Normalization'!J13</f>
        <v>6805480.4447330376</v>
      </c>
      <c r="W9" s="125"/>
      <c r="X9" s="125">
        <f>'Weather Normalization'!J14</f>
        <v>11200492.753945664</v>
      </c>
      <c r="Y9" s="125"/>
      <c r="Z9" s="125">
        <f>'Weather Normalization'!J15</f>
        <v>14984213.453664336</v>
      </c>
      <c r="AA9" s="16"/>
    </row>
    <row r="10" spans="2:27" x14ac:dyDescent="0.25">
      <c r="B10" s="115">
        <v>6</v>
      </c>
      <c r="C10" s="141" t="s">
        <v>382</v>
      </c>
      <c r="D10" s="142">
        <f>D9/SUM('1501 Summary'!F46)</f>
        <v>566.68753950419512</v>
      </c>
      <c r="E10" s="142"/>
      <c r="F10" s="142">
        <f>F9/SUM('1501 Summary'!H46)</f>
        <v>471.99652018945699</v>
      </c>
      <c r="G10" s="142"/>
      <c r="H10" s="142">
        <f>H9/SUM('1501 Summary'!J46)</f>
        <v>343.68141904962334</v>
      </c>
      <c r="I10" s="142"/>
      <c r="J10" s="142">
        <f>J9/SUM('1501 Summary'!L46)</f>
        <v>258.93174987094699</v>
      </c>
      <c r="K10" s="142"/>
      <c r="L10" s="142">
        <f>L9/SUM('1501 Summary'!N46)</f>
        <v>147.40867266440475</v>
      </c>
      <c r="M10" s="142"/>
      <c r="N10" s="142">
        <f>N9/SUM('1501 Summary'!P46)</f>
        <v>129.8733699124773</v>
      </c>
      <c r="O10" s="142"/>
      <c r="P10" s="142">
        <f>P9/SUM('1501 Summary'!R46)</f>
        <v>107.85148288102599</v>
      </c>
      <c r="Q10" s="142"/>
      <c r="R10" s="142">
        <f>R9/SUM('1501 Summary'!T46)</f>
        <v>60.319294023265144</v>
      </c>
      <c r="S10" s="142"/>
      <c r="T10" s="142">
        <f>T9/SUM('1501 Summary'!V46)</f>
        <v>147.54568538390717</v>
      </c>
      <c r="U10" s="142"/>
      <c r="V10" s="142">
        <f>V9/SUM('1501 Summary'!X46)</f>
        <v>259.69748408294203</v>
      </c>
      <c r="W10" s="142"/>
      <c r="X10" s="142">
        <f>X9/SUM('1501 Summary'!Z46)</f>
        <v>424.31338653130507</v>
      </c>
      <c r="Y10" s="142"/>
      <c r="Z10" s="142">
        <f>Z9/SUM('1501 Summary'!AB46)</f>
        <v>563.77377043846559</v>
      </c>
    </row>
    <row r="11" spans="2:27" x14ac:dyDescent="0.25">
      <c r="B11" s="115">
        <v>7</v>
      </c>
      <c r="C11" s="165" t="s">
        <v>421</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2:27" x14ac:dyDescent="0.25">
      <c r="B12" s="115">
        <v>8</v>
      </c>
      <c r="C12" s="119" t="s">
        <v>422</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spans="2:27" x14ac:dyDescent="0.25">
      <c r="B13" s="115">
        <v>9</v>
      </c>
      <c r="C13" s="163" t="s">
        <v>197</v>
      </c>
      <c r="D13" s="118">
        <f>'1501 Summary'!F155</f>
        <v>417.02488987953086</v>
      </c>
      <c r="E13" s="118"/>
      <c r="F13" s="118">
        <f>'1501 Summary'!H155</f>
        <v>500.02653505280477</v>
      </c>
      <c r="G13" s="118"/>
      <c r="H13" s="118">
        <f>'1501 Summary'!J155</f>
        <v>0</v>
      </c>
      <c r="I13" s="118"/>
      <c r="J13" s="118">
        <f>'1501 Summary'!L155</f>
        <v>51.000371490739269</v>
      </c>
      <c r="K13" s="118"/>
      <c r="L13" s="118">
        <f>'1501 Summary'!N155</f>
        <v>0</v>
      </c>
      <c r="M13" s="118"/>
      <c r="N13" s="118">
        <f>'1501 Summary'!P155</f>
        <v>0</v>
      </c>
      <c r="O13" s="118"/>
      <c r="P13" s="118">
        <f>'1501 Summary'!R155</f>
        <v>167.01162235312853</v>
      </c>
      <c r="Q13" s="118"/>
      <c r="R13" s="118">
        <f>'1501 Summary'!T155</f>
        <v>0</v>
      </c>
      <c r="S13" s="118"/>
      <c r="T13" s="118">
        <f>'1501 Summary'!V155</f>
        <v>359.02750546187889</v>
      </c>
      <c r="U13" s="118"/>
      <c r="V13" s="118">
        <f>'1501 Summary'!X155</f>
        <v>188.00067223124756</v>
      </c>
      <c r="W13" s="118"/>
      <c r="X13" s="118">
        <f>'1501 Summary'!Z155</f>
        <v>21.007226485911154</v>
      </c>
      <c r="Y13" s="118"/>
      <c r="Z13" s="118">
        <f>'1501 Summary'!AB155</f>
        <v>63.021679457733462</v>
      </c>
    </row>
    <row r="14" spans="2:27" x14ac:dyDescent="0.25">
      <c r="B14" s="115">
        <v>10</v>
      </c>
      <c r="C14" s="163" t="s">
        <v>198</v>
      </c>
      <c r="D14" s="118">
        <f>'1501 Summary'!F156</f>
        <v>0</v>
      </c>
      <c r="E14" s="118">
        <f>'1501 Summary'!G156</f>
        <v>0</v>
      </c>
      <c r="F14" s="118">
        <f>'1501 Summary'!H156</f>
        <v>766.98517298187812</v>
      </c>
      <c r="G14" s="118">
        <f>'1501 Summary'!I156</f>
        <v>116.39</v>
      </c>
      <c r="H14" s="118">
        <f>'1501 Summary'!J156</f>
        <v>0</v>
      </c>
      <c r="I14" s="118">
        <f>'1501 Summary'!K156</f>
        <v>0</v>
      </c>
      <c r="J14" s="118">
        <f>'1501 Summary'!L156</f>
        <v>0</v>
      </c>
      <c r="K14" s="118">
        <f>'1501 Summary'!M156</f>
        <v>0</v>
      </c>
      <c r="L14" s="118">
        <f>'1501 Summary'!N156</f>
        <v>0</v>
      </c>
      <c r="M14" s="118">
        <f>'1501 Summary'!O156</f>
        <v>0</v>
      </c>
      <c r="N14" s="118">
        <f>'1501 Summary'!P156</f>
        <v>0</v>
      </c>
      <c r="O14" s="118">
        <f>'1501 Summary'!Q156</f>
        <v>0</v>
      </c>
      <c r="P14" s="118">
        <f>'1501 Summary'!R156</f>
        <v>0</v>
      </c>
      <c r="Q14" s="118">
        <f>'1501 Summary'!S156</f>
        <v>0</v>
      </c>
      <c r="R14" s="118">
        <f>'1501 Summary'!T156</f>
        <v>0</v>
      </c>
      <c r="S14" s="118">
        <f>'1501 Summary'!U156</f>
        <v>0</v>
      </c>
      <c r="T14" s="118">
        <f>'1501 Summary'!V156</f>
        <v>0</v>
      </c>
      <c r="U14" s="118">
        <f>'1501 Summary'!W156</f>
        <v>0</v>
      </c>
      <c r="V14" s="118">
        <f>'1501 Summary'!X156</f>
        <v>0</v>
      </c>
      <c r="W14" s="118">
        <f>'1501 Summary'!Y156</f>
        <v>0</v>
      </c>
      <c r="X14" s="118">
        <f>'1501 Summary'!Z156</f>
        <v>0</v>
      </c>
      <c r="Y14" s="118">
        <f>'1501 Summary'!AA156</f>
        <v>0</v>
      </c>
      <c r="Z14" s="118">
        <f>'1501 Summary'!AB156</f>
        <v>0</v>
      </c>
    </row>
    <row r="15" spans="2:27" x14ac:dyDescent="0.25">
      <c r="B15" s="115">
        <v>11</v>
      </c>
      <c r="C15" s="164">
        <v>505</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row>
    <row r="16" spans="2:27" x14ac:dyDescent="0.25">
      <c r="B16" s="115">
        <v>12</v>
      </c>
      <c r="C16" s="163" t="s">
        <v>197</v>
      </c>
      <c r="D16" s="118">
        <f>'1501 Summary'!F71</f>
        <v>194152.20506288807</v>
      </c>
      <c r="E16" s="118"/>
      <c r="F16" s="118">
        <f>'1501 Summary'!H71</f>
        <v>183009.49954890413</v>
      </c>
      <c r="G16" s="118"/>
      <c r="H16" s="118">
        <f>'1501 Summary'!J71</f>
        <v>190478.85156291461</v>
      </c>
      <c r="I16" s="118"/>
      <c r="J16" s="118">
        <f>'1501 Summary'!L71</f>
        <v>174937.53648569764</v>
      </c>
      <c r="K16" s="118"/>
      <c r="L16" s="118">
        <f>'1501 Summary'!N71</f>
        <v>141574.6431035398</v>
      </c>
      <c r="M16" s="118"/>
      <c r="N16" s="118">
        <f>'1501 Summary'!P71</f>
        <v>100308.01889295761</v>
      </c>
      <c r="O16" s="118"/>
      <c r="P16" s="118">
        <f>'1501 Summary'!R71</f>
        <v>88447.009499548905</v>
      </c>
      <c r="Q16" s="118"/>
      <c r="R16" s="118">
        <f>'1501 Summary'!T71</f>
        <v>84521.651448098142</v>
      </c>
      <c r="S16" s="118"/>
      <c r="T16" s="118">
        <f>'1501 Summary'!V71</f>
        <v>89166.097137415272</v>
      </c>
      <c r="U16" s="118"/>
      <c r="V16" s="118">
        <f>'1501 Summary'!X71</f>
        <v>120158.81463223348</v>
      </c>
      <c r="W16" s="118"/>
      <c r="X16" s="118">
        <f>'1501 Summary'!Z71</f>
        <v>156667.80572516946</v>
      </c>
      <c r="Y16" s="118"/>
      <c r="Z16" s="118">
        <f>'1501 Summary'!AB71</f>
        <v>186797.43431740519</v>
      </c>
    </row>
    <row r="17" spans="2:27" x14ac:dyDescent="0.25">
      <c r="B17" s="115">
        <v>13</v>
      </c>
      <c r="C17" s="163" t="s">
        <v>198</v>
      </c>
      <c r="D17" s="118">
        <f>'1501 Summary'!F72</f>
        <v>727864.31630971993</v>
      </c>
      <c r="E17" s="118"/>
      <c r="F17" s="118">
        <f>'1501 Summary'!H72</f>
        <v>614466.82042833604</v>
      </c>
      <c r="G17" s="118"/>
      <c r="H17" s="118">
        <f>'1501 Summary'!J72</f>
        <v>668987.54530477757</v>
      </c>
      <c r="I17" s="118"/>
      <c r="J17" s="118">
        <f>'1501 Summary'!L72</f>
        <v>549229.12685337733</v>
      </c>
      <c r="K17" s="118"/>
      <c r="L17" s="118">
        <f>'1501 Summary'!N72</f>
        <v>400829.98352553538</v>
      </c>
      <c r="M17" s="118"/>
      <c r="N17" s="118">
        <f>'1501 Summary'!P72</f>
        <v>297621.68039538711</v>
      </c>
      <c r="O17" s="118"/>
      <c r="P17" s="118">
        <f>'1501 Summary'!R72</f>
        <v>258606.85337726527</v>
      </c>
      <c r="Q17" s="118"/>
      <c r="R17" s="118">
        <f>'1501 Summary'!T72</f>
        <v>258409.90523621775</v>
      </c>
      <c r="S17" s="118"/>
      <c r="T17" s="118">
        <f>'1501 Summary'!V72</f>
        <v>273639.13675036316</v>
      </c>
      <c r="U17" s="118"/>
      <c r="V17" s="118">
        <f>'1501 Summary'!X72</f>
        <v>366592.37739503355</v>
      </c>
      <c r="W17" s="118"/>
      <c r="X17" s="118">
        <f>'1501 Summary'!Z72</f>
        <v>482851.90565124154</v>
      </c>
      <c r="Y17" s="118"/>
      <c r="Z17" s="118">
        <f>'1501 Summary'!AB72</f>
        <v>660569.75859445252</v>
      </c>
    </row>
    <row r="18" spans="2:27" x14ac:dyDescent="0.25">
      <c r="B18" s="115">
        <v>14</v>
      </c>
      <c r="C18" s="163" t="s">
        <v>199</v>
      </c>
      <c r="D18" s="118">
        <f>'1501 Summary'!F73</f>
        <v>664293.0916552667</v>
      </c>
      <c r="E18" s="118"/>
      <c r="F18" s="118">
        <f>'1501 Summary'!H73</f>
        <v>459003.6935704514</v>
      </c>
      <c r="G18" s="118"/>
      <c r="H18" s="118">
        <f>'1501 Summary'!J73</f>
        <v>544043.29685362522</v>
      </c>
      <c r="I18" s="118"/>
      <c r="J18" s="118">
        <f>'1501 Summary'!L73</f>
        <v>387261.96990424074</v>
      </c>
      <c r="K18" s="118"/>
      <c r="L18" s="118">
        <f>'1501 Summary'!N73</f>
        <v>260841.10807113544</v>
      </c>
      <c r="M18" s="118"/>
      <c r="N18" s="118">
        <f>'1501 Summary'!P73</f>
        <v>198751.02599179209</v>
      </c>
      <c r="O18" s="118"/>
      <c r="P18" s="118">
        <f>'1501 Summary'!R73</f>
        <v>179596.03283173734</v>
      </c>
      <c r="Q18" s="118"/>
      <c r="R18" s="118">
        <f>'1501 Summary'!T73</f>
        <v>219839.42914515201</v>
      </c>
      <c r="S18" s="118"/>
      <c r="T18" s="118">
        <f>'1501 Summary'!V73</f>
        <v>286115.60527825588</v>
      </c>
      <c r="U18" s="118"/>
      <c r="V18" s="118">
        <f>'1501 Summary'!X73</f>
        <v>544843.08663224324</v>
      </c>
      <c r="W18" s="118"/>
      <c r="X18" s="118">
        <f>'1501 Summary'!Z73</f>
        <v>349850.2581755594</v>
      </c>
      <c r="Y18" s="118"/>
      <c r="Z18" s="118">
        <f>'1501 Summary'!AB73</f>
        <v>627938.9701663797</v>
      </c>
    </row>
    <row r="19" spans="2:27" x14ac:dyDescent="0.25">
      <c r="B19" s="115">
        <v>15</v>
      </c>
      <c r="C19" s="119" t="s">
        <v>377</v>
      </c>
      <c r="D19" s="118">
        <f>SUM(D12:D18)</f>
        <v>1586726.6379177542</v>
      </c>
      <c r="E19" s="118"/>
      <c r="F19" s="118">
        <f>SUM(F12:F18)</f>
        <v>1257747.0252557262</v>
      </c>
      <c r="G19" s="118"/>
      <c r="H19" s="118">
        <f>SUM(H12:H18)</f>
        <v>1403509.6937213175</v>
      </c>
      <c r="I19" s="118"/>
      <c r="J19" s="118">
        <f>SUM(J12:J18)</f>
        <v>1111479.6336148065</v>
      </c>
      <c r="K19" s="118"/>
      <c r="L19" s="118">
        <f>SUM(L12:L18)</f>
        <v>803245.73470021063</v>
      </c>
      <c r="M19" s="118"/>
      <c r="N19" s="118">
        <f>SUM(N12:N18)</f>
        <v>596680.7252801368</v>
      </c>
      <c r="O19" s="118"/>
      <c r="P19" s="118">
        <f>SUM(P12:P18)</f>
        <v>526816.90733090462</v>
      </c>
      <c r="Q19" s="118"/>
      <c r="R19" s="118">
        <f>SUM(R12:R18)</f>
        <v>562770.98582946789</v>
      </c>
      <c r="S19" s="118"/>
      <c r="T19" s="118">
        <f>SUM(T12:T18)</f>
        <v>649279.86667149619</v>
      </c>
      <c r="U19" s="118"/>
      <c r="V19" s="118">
        <f>SUM(V12:V18)</f>
        <v>1031782.2793317415</v>
      </c>
      <c r="W19" s="118"/>
      <c r="X19" s="118">
        <f>SUM(X12:X18)</f>
        <v>989390.97677845624</v>
      </c>
      <c r="Y19" s="118"/>
      <c r="Z19" s="118">
        <f>SUM(Z12:Z18)</f>
        <v>1475369.1847576951</v>
      </c>
      <c r="AA19" s="16"/>
    </row>
    <row r="20" spans="2:27" x14ac:dyDescent="0.25">
      <c r="B20" s="115">
        <v>16</v>
      </c>
      <c r="C20" s="119" t="s">
        <v>399</v>
      </c>
      <c r="D20" s="118">
        <f>SUM(D16,D13)/SUM('1501 Summary'!F70,'1501 Summary'!F154)</f>
        <v>413.09815276596095</v>
      </c>
      <c r="E20" s="118"/>
      <c r="F20" s="169">
        <f>SUM(F16,F13)/SUM('1501 Summary'!H70,'1501 Summary'!H154)</f>
        <v>392.11437197426699</v>
      </c>
      <c r="G20" s="118"/>
      <c r="H20" s="118">
        <f>SUM(H16,H13)/SUM('1501 Summary'!J70,'1501 Summary'!J154)</f>
        <v>404.41369758580595</v>
      </c>
      <c r="I20" s="118"/>
      <c r="J20" s="118">
        <f>SUM(J16,J13)/SUM('1501 Summary'!L70,'1501 Summary'!L154)</f>
        <v>368.39691969934398</v>
      </c>
      <c r="K20" s="118"/>
      <c r="L20" s="118">
        <f>SUM(L16,L13)/SUM('1501 Summary'!N70,'1501 Summary'!N154)</f>
        <v>299.31214186794881</v>
      </c>
      <c r="M20" s="118"/>
      <c r="N20" s="118">
        <f>SUM(N16,N13)/SUM('1501 Summary'!P70,'1501 Summary'!P154)</f>
        <v>212.06769321978354</v>
      </c>
      <c r="O20" s="118"/>
      <c r="P20" s="118">
        <f>SUM(P16,P13)/SUM('1501 Summary'!R70,'1501 Summary'!R154)</f>
        <v>187.74157017352124</v>
      </c>
      <c r="Q20" s="118"/>
      <c r="R20" s="118">
        <f>SUM(R16,R13)/SUM('1501 Summary'!T70,'1501 Summary'!T154)</f>
        <v>177.82426510718929</v>
      </c>
      <c r="S20" s="118"/>
      <c r="T20" s="118">
        <f>SUM(T16,T13)/SUM('1501 Summary'!V70,'1501 Summary'!V154)</f>
        <v>187.04844060606985</v>
      </c>
      <c r="U20" s="118"/>
      <c r="V20" s="118">
        <f>SUM(V16,V13)/SUM('1501 Summary'!X70,'1501 Summary'!X154)</f>
        <v>253.36171643045208</v>
      </c>
      <c r="W20" s="118"/>
      <c r="X20" s="118">
        <f>SUM(X16,X13)/SUM('1501 Summary'!Z70,'1501 Summary'!Z154)</f>
        <v>327.80086391559701</v>
      </c>
      <c r="Y20" s="118"/>
      <c r="Z20" s="118">
        <f>SUM(Z16,Z13)/SUM('1501 Summary'!AB70,'1501 Summary'!AB154)</f>
        <v>389.2926166601311</v>
      </c>
    </row>
    <row r="21" spans="2:27" x14ac:dyDescent="0.25">
      <c r="B21" s="115">
        <v>17</v>
      </c>
      <c r="C21" s="119" t="s">
        <v>400</v>
      </c>
      <c r="D21" s="118">
        <f>SUM(D17,D14)/SUM('1501 Summary'!F70,'1501 Summary'!F154)</f>
        <v>1545.3594826108704</v>
      </c>
      <c r="E21" s="118"/>
      <c r="F21" s="118">
        <f>SUM(F17,F14)/SUM('1501 Summary'!H70,'1501 Summary'!H154)</f>
        <v>1314.6021487207647</v>
      </c>
      <c r="G21" s="118"/>
      <c r="H21" s="118">
        <f>SUM(H17,H14)/SUM('1501 Summary'!J70,'1501 Summary'!J154)</f>
        <v>1420.3557225154514</v>
      </c>
      <c r="I21" s="118"/>
      <c r="J21" s="118">
        <f>SUM(J17,J14)/SUM('1501 Summary'!L70,'1501 Summary'!L154)</f>
        <v>1156.2718460071101</v>
      </c>
      <c r="K21" s="118"/>
      <c r="L21" s="118">
        <f>SUM(L17,L14)/SUM('1501 Summary'!N70,'1501 Summary'!N154)</f>
        <v>847.42068398633273</v>
      </c>
      <c r="M21" s="118"/>
      <c r="N21" s="118">
        <f>SUM(N17,N14)/SUM('1501 Summary'!P70,'1501 Summary'!P154)</f>
        <v>629.22131161815457</v>
      </c>
      <c r="O21" s="118"/>
      <c r="P21" s="118">
        <f>SUM(P17,P14)/SUM('1501 Summary'!R70,'1501 Summary'!R154)</f>
        <v>547.89587579929082</v>
      </c>
      <c r="Q21" s="118"/>
      <c r="R21" s="118">
        <f>SUM(R17,R14)/SUM('1501 Summary'!T70,'1501 Summary'!T154)</f>
        <v>543.66603950309855</v>
      </c>
      <c r="S21" s="118"/>
      <c r="T21" s="118">
        <f>SUM(T17,T14)/SUM('1501 Summary'!V70,'1501 Summary'!V154)</f>
        <v>571.72524497589563</v>
      </c>
      <c r="U21" s="118"/>
      <c r="V21" s="118">
        <f>SUM(V17,V14)/SUM('1501 Summary'!X70,'1501 Summary'!X154)</f>
        <v>771.77342609480752</v>
      </c>
      <c r="W21" s="118"/>
      <c r="X21" s="118">
        <f>SUM(X17,X14)/SUM('1501 Summary'!Z70,'1501 Summary'!Z154)</f>
        <v>1010.1504302327229</v>
      </c>
      <c r="Y21" s="118"/>
      <c r="Z21" s="118">
        <f>SUM(Z17,Z14)/SUM('1501 Summary'!AB70,'1501 Summary'!AB154)</f>
        <v>1376.186997071776</v>
      </c>
    </row>
    <row r="22" spans="2:27" x14ac:dyDescent="0.25">
      <c r="B22" s="115">
        <v>18</v>
      </c>
      <c r="C22" s="119" t="s">
        <v>401</v>
      </c>
      <c r="D22" s="118">
        <f>D18/('1501 Summary'!F70+'1501 Summary'!F154)</f>
        <v>1410.3887296290163</v>
      </c>
      <c r="E22" s="118"/>
      <c r="F22" s="118">
        <f>F18/('1501 Summary'!H70+'1501 Summary'!H154)</f>
        <v>980.77712301378506</v>
      </c>
      <c r="G22" s="118"/>
      <c r="H22" s="118">
        <f>H18/('1501 Summary'!J70+'1501 Summary'!J154)</f>
        <v>1155.081309667994</v>
      </c>
      <c r="I22" s="118"/>
      <c r="J22" s="118">
        <f>J18/('1501 Summary'!L70+'1501 Summary'!L154)</f>
        <v>815.28835769313844</v>
      </c>
      <c r="K22" s="118"/>
      <c r="L22" s="118">
        <f>L18/('1501 Summary'!N70+'1501 Summary'!N154)</f>
        <v>551.46111642946187</v>
      </c>
      <c r="M22" s="118"/>
      <c r="N22" s="118">
        <f>N18/('1501 Summary'!P70+'1501 Summary'!P154)</f>
        <v>420.19244395727713</v>
      </c>
      <c r="O22" s="118"/>
      <c r="P22" s="118">
        <f>P18/('1501 Summary'!R70+'1501 Summary'!R154)</f>
        <v>380.50006955876552</v>
      </c>
      <c r="Q22" s="118"/>
      <c r="R22" s="118">
        <f>R18/('1501 Summary'!T70+'1501 Summary'!T154)</f>
        <v>462.5179969812375</v>
      </c>
      <c r="S22" s="118"/>
      <c r="T22" s="118">
        <f>T18/('1501 Summary'!V70+'1501 Summary'!V154)</f>
        <v>597.79283205519175</v>
      </c>
      <c r="U22" s="118"/>
      <c r="V22" s="118">
        <f>V18/('1501 Summary'!X70+'1501 Summary'!X154)</f>
        <v>1147.0380771205121</v>
      </c>
      <c r="W22" s="118"/>
      <c r="X22" s="118">
        <f>X18/('1501 Summary'!Z70+'1501 Summary'!Z154)</f>
        <v>731.90430580660961</v>
      </c>
      <c r="Y22" s="118"/>
      <c r="Z22" s="118">
        <f>Z18/('1501 Summary'!AB70+'1501 Summary'!AB154)</f>
        <v>1308.2061878466243</v>
      </c>
    </row>
    <row r="23" spans="2:27" s="130" customFormat="1" x14ac:dyDescent="0.25">
      <c r="B23" s="115">
        <v>19</v>
      </c>
      <c r="C23" s="165" t="s">
        <v>383</v>
      </c>
      <c r="D23" s="167">
        <f>D19/SUM('1501 Summary'!F154+'1501 Summary'!F70)</f>
        <v>3368.8463650058475</v>
      </c>
      <c r="E23" s="167"/>
      <c r="F23" s="167">
        <f>F19/SUM('1501 Summary'!H154+'1501 Summary'!H70)</f>
        <v>2687.4936437088168</v>
      </c>
      <c r="G23" s="167"/>
      <c r="H23" s="167">
        <f>H19/SUM('1501 Summary'!J154+'1501 Summary'!J70)</f>
        <v>2979.8507297692513</v>
      </c>
      <c r="I23" s="167"/>
      <c r="J23" s="167">
        <f>J19/SUM('1501 Summary'!L154+'1501 Summary'!L70)</f>
        <v>2339.9571233995925</v>
      </c>
      <c r="K23" s="167"/>
      <c r="L23" s="167">
        <f>L19/SUM('1501 Summary'!N154+'1501 Summary'!N70)</f>
        <v>1698.1939422837434</v>
      </c>
      <c r="M23" s="167"/>
      <c r="N23" s="167">
        <f>N19/SUM('1501 Summary'!P154+'1501 Summary'!P70)</f>
        <v>1261.4814487952153</v>
      </c>
      <c r="O23" s="167"/>
      <c r="P23" s="167">
        <f>P19/SUM('1501 Summary'!R154+'1501 Summary'!R70)</f>
        <v>1116.1375155315775</v>
      </c>
      <c r="Q23" s="167"/>
      <c r="R23" s="167">
        <f>R19/SUM('1501 Summary'!T154+'1501 Summary'!T70)</f>
        <v>1184.0083015915252</v>
      </c>
      <c r="S23" s="167"/>
      <c r="T23" s="167">
        <f>T19/SUM('1501 Summary'!V154+'1501 Summary'!V70)</f>
        <v>1356.5665176371572</v>
      </c>
      <c r="U23" s="167"/>
      <c r="V23" s="167">
        <f>V19/SUM('1501 Summary'!X154+'1501 Summary'!X70)</f>
        <v>2172.1732196457715</v>
      </c>
      <c r="W23" s="167"/>
      <c r="X23" s="167">
        <f>X19/SUM('1501 Summary'!Z154+'1501 Summary'!Z70)</f>
        <v>2069.8555999549294</v>
      </c>
      <c r="Y23" s="167"/>
      <c r="Z23" s="167">
        <f>Z19/SUM('1501 Summary'!AB154+'1501 Summary'!AB70)</f>
        <v>3073.6858015785315</v>
      </c>
    </row>
    <row r="24" spans="2:27" x14ac:dyDescent="0.25">
      <c r="B24" s="115">
        <v>20</v>
      </c>
      <c r="C24" s="141">
        <v>511</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row>
    <row r="25" spans="2:27" x14ac:dyDescent="0.25">
      <c r="B25" s="115">
        <v>21</v>
      </c>
      <c r="C25" s="124" t="s">
        <v>201</v>
      </c>
      <c r="D25" s="125">
        <f>'1501 Summary'!F97</f>
        <v>1233339.9622488876</v>
      </c>
      <c r="E25" s="125"/>
      <c r="F25" s="125">
        <f>'1501 Summary'!H97</f>
        <v>1001898.7461237698</v>
      </c>
      <c r="G25" s="125"/>
      <c r="H25" s="125">
        <f>'1501 Summary'!J97</f>
        <v>1077637.7241472292</v>
      </c>
      <c r="I25" s="125"/>
      <c r="J25" s="125">
        <f>'1501 Summary'!L97</f>
        <v>886737.76459484966</v>
      </c>
      <c r="K25" s="125"/>
      <c r="L25" s="125">
        <f>'1501 Summary'!N97</f>
        <v>654374.27531346912</v>
      </c>
      <c r="M25" s="125"/>
      <c r="N25" s="125">
        <f>'1501 Summary'!P97</f>
        <v>461793.24524740461</v>
      </c>
      <c r="O25" s="125"/>
      <c r="P25" s="125">
        <f>'1501 Summary'!R97</f>
        <v>393569.03060536605</v>
      </c>
      <c r="Q25" s="125"/>
      <c r="R25" s="125">
        <f>'1501 Summary'!T97</f>
        <v>385878.08792742499</v>
      </c>
      <c r="S25" s="125"/>
      <c r="T25" s="125">
        <f>'1501 Summary'!V97</f>
        <v>366436.56664340541</v>
      </c>
      <c r="U25" s="125"/>
      <c r="V25" s="125">
        <f>'1501 Summary'!X97</f>
        <v>570275.01744591759</v>
      </c>
      <c r="W25" s="125"/>
      <c r="X25" s="125">
        <f>'1501 Summary'!Z97</f>
        <v>696754.7103977669</v>
      </c>
      <c r="Y25" s="125"/>
      <c r="Z25" s="125">
        <f>'1501 Summary'!AB97</f>
        <v>1030080.8094905791</v>
      </c>
    </row>
    <row r="26" spans="2:27" x14ac:dyDescent="0.25">
      <c r="B26" s="115">
        <v>22</v>
      </c>
      <c r="C26" s="124" t="s">
        <v>202</v>
      </c>
      <c r="D26" s="125">
        <f>'1501 Summary'!F98</f>
        <v>561288.00354138995</v>
      </c>
      <c r="E26" s="125"/>
      <c r="F26" s="125">
        <f>'1501 Summary'!H98</f>
        <v>358801.1509517486</v>
      </c>
      <c r="G26" s="125"/>
      <c r="H26" s="125">
        <f>'1501 Summary'!J98</f>
        <v>476001.06241699867</v>
      </c>
      <c r="I26" s="125"/>
      <c r="J26" s="125">
        <f>'1501 Summary'!L98</f>
        <v>445041.96547144756</v>
      </c>
      <c r="K26" s="125"/>
      <c r="L26" s="125">
        <f>'1501 Summary'!N98</f>
        <v>356830.01328021247</v>
      </c>
      <c r="M26" s="125"/>
      <c r="N26" s="125">
        <f>'1501 Summary'!P98</f>
        <v>301081.00929614872</v>
      </c>
      <c r="O26" s="125"/>
      <c r="P26" s="125">
        <f>'1501 Summary'!R98</f>
        <v>264189.02169101377</v>
      </c>
      <c r="Q26" s="125"/>
      <c r="R26" s="125">
        <f>'1501 Summary'!T98</f>
        <v>278905.58994901681</v>
      </c>
      <c r="S26" s="125"/>
      <c r="T26" s="125">
        <f>'1501 Summary'!V98</f>
        <v>258984.52294246177</v>
      </c>
      <c r="U26" s="125"/>
      <c r="V26" s="125">
        <f>'1501 Summary'!X98</f>
        <v>507322.1048798252</v>
      </c>
      <c r="W26" s="125"/>
      <c r="X26" s="125">
        <f>'1501 Summary'!Z98</f>
        <v>233403.76911871813</v>
      </c>
      <c r="Y26" s="125"/>
      <c r="Z26" s="125">
        <f>'1501 Summary'!AB98</f>
        <v>484403.86016023316</v>
      </c>
    </row>
    <row r="27" spans="2:27" x14ac:dyDescent="0.25">
      <c r="B27" s="115">
        <v>23</v>
      </c>
      <c r="C27" s="124" t="s">
        <v>203</v>
      </c>
      <c r="D27" s="125">
        <f>'1501 Summary'!F99</f>
        <v>175982.2904368359</v>
      </c>
      <c r="E27" s="125"/>
      <c r="F27" s="125">
        <f>'1501 Summary'!H99</f>
        <v>66963.793781975604</v>
      </c>
      <c r="G27" s="125"/>
      <c r="H27" s="125">
        <f>'1501 Summary'!J99</f>
        <v>105670.99567099568</v>
      </c>
      <c r="I27" s="125"/>
      <c r="J27" s="125">
        <f>'1501 Summary'!L99</f>
        <v>81346.713892168438</v>
      </c>
      <c r="K27" s="125"/>
      <c r="L27" s="125">
        <f>'1501 Summary'!N99</f>
        <v>67335.69460842188</v>
      </c>
      <c r="M27" s="125"/>
      <c r="N27" s="125">
        <f>'1501 Summary'!P99</f>
        <v>6733.9630066902801</v>
      </c>
      <c r="O27" s="125"/>
      <c r="P27" s="125">
        <f>'1501 Summary'!R99</f>
        <v>1358.9138134592681</v>
      </c>
      <c r="Q27" s="125"/>
      <c r="R27" s="125">
        <f>'1501 Summary'!T99</f>
        <v>0</v>
      </c>
      <c r="S27" s="125"/>
      <c r="T27" s="125">
        <f>'1501 Summary'!V99</f>
        <v>0</v>
      </c>
      <c r="U27" s="125"/>
      <c r="V27" s="125">
        <f>'1501 Summary'!X99</f>
        <v>44160.9449981543</v>
      </c>
      <c r="W27" s="125"/>
      <c r="X27" s="125">
        <f>'1501 Summary'!Z99</f>
        <v>46613.141380583242</v>
      </c>
      <c r="Y27" s="125"/>
      <c r="Z27" s="125">
        <f>'1501 Summary'!AB99</f>
        <v>174452.93466223701</v>
      </c>
    </row>
    <row r="28" spans="2:27" x14ac:dyDescent="0.25">
      <c r="B28" s="115">
        <v>24</v>
      </c>
      <c r="C28" s="124" t="s">
        <v>423</v>
      </c>
      <c r="D28" s="168">
        <f>D25/'1501 Summary'!$F$96</f>
        <v>14859.517617456477</v>
      </c>
      <c r="E28" s="168">
        <f>E25/'1501 Summary'!G96</f>
        <v>0</v>
      </c>
      <c r="F28" s="168">
        <f>F25/'1501 Summary'!$H$96</f>
        <v>11516.077541652527</v>
      </c>
      <c r="G28" s="168">
        <f>G25/'1501 Summary'!I96</f>
        <v>0</v>
      </c>
      <c r="H28" s="168">
        <f>H25/'1501 Summary'!$J$96</f>
        <v>12530.671211014293</v>
      </c>
      <c r="I28" s="168">
        <f>I25/'1501 Summary'!K96</f>
        <v>0</v>
      </c>
      <c r="J28" s="168">
        <f>J25/'1501 Summary'!$L$96</f>
        <v>10192.388098791376</v>
      </c>
      <c r="K28" s="168">
        <f>K25/'1501 Summary'!M96</f>
        <v>0</v>
      </c>
      <c r="L28" s="168">
        <f>L25/'1501 Summary'!$N$96</f>
        <v>7521.5433944076913</v>
      </c>
      <c r="M28" s="168">
        <f>M25/'1501 Summary'!O96</f>
        <v>0</v>
      </c>
      <c r="N28" s="168">
        <f>N25/'1501 Summary'!$P$96</f>
        <v>5307.9683361770649</v>
      </c>
      <c r="O28" s="168">
        <f>O25/'1501 Summary'!Q96</f>
        <v>0</v>
      </c>
      <c r="P28" s="168">
        <f>P25/'1501 Summary'!$R$96</f>
        <v>4576.384076806582</v>
      </c>
      <c r="Q28" s="168">
        <f>Q25/'1501 Summary'!S96</f>
        <v>0</v>
      </c>
      <c r="R28" s="168">
        <f>R25/'1501 Summary'!$T$96</f>
        <v>4495.317892910356</v>
      </c>
      <c r="S28" s="168">
        <f>S25/'1501 Summary'!U96</f>
        <v>0</v>
      </c>
      <c r="T28" s="168">
        <f>T25/'1501 Summary'!$V$96</f>
        <v>4276.8039991060386</v>
      </c>
      <c r="U28" s="168">
        <f>U25/'1501 Summary'!W96</f>
        <v>0</v>
      </c>
      <c r="V28" s="168">
        <f>V25/'1501 Summary'!$X$96</f>
        <v>6266.7584334716221</v>
      </c>
      <c r="W28" s="168">
        <f>W25/'1501 Summary'!Y96</f>
        <v>0</v>
      </c>
      <c r="X28" s="168">
        <f>X25/'1501 Summary'!$Z$96</f>
        <v>8101.7989581135689</v>
      </c>
      <c r="Y28" s="168">
        <f>Y25/'1501 Summary'!AA96</f>
        <v>0</v>
      </c>
      <c r="Z28" s="168">
        <f>Z25/'1501 Summary'!$AB$96</f>
        <v>11977.683831285804</v>
      </c>
    </row>
    <row r="29" spans="2:27" x14ac:dyDescent="0.25">
      <c r="B29" s="115">
        <v>25</v>
      </c>
      <c r="C29" s="124" t="s">
        <v>424</v>
      </c>
      <c r="D29" s="168">
        <f>D26/'1501 Summary'!$F$96</f>
        <v>6762.5060667637345</v>
      </c>
      <c r="E29" s="125"/>
      <c r="F29" s="168">
        <f>F26/'1501 Summary'!$H$96</f>
        <v>4124.151160364926</v>
      </c>
      <c r="G29" s="125"/>
      <c r="H29" s="168">
        <f>H26/'1501 Summary'!$J$96</f>
        <v>5534.8960746162638</v>
      </c>
      <c r="I29" s="125"/>
      <c r="J29" s="168">
        <f>J26/'1501 Summary'!$L$96</f>
        <v>5115.424890476409</v>
      </c>
      <c r="K29" s="125"/>
      <c r="L29" s="168">
        <f>L26/'1501 Summary'!$N$96</f>
        <v>4101.4944055196838</v>
      </c>
      <c r="M29" s="125"/>
      <c r="N29" s="168">
        <f>N26/'1501 Summary'!$P$96</f>
        <v>3460.7012562775717</v>
      </c>
      <c r="O29" s="125"/>
      <c r="P29" s="168">
        <f>P26/'1501 Summary'!$R$96</f>
        <v>3071.9653685001599</v>
      </c>
      <c r="Q29" s="125"/>
      <c r="R29" s="168">
        <f>R26/'1501 Summary'!$T$96</f>
        <v>3249.1331541124978</v>
      </c>
      <c r="S29" s="125"/>
      <c r="T29" s="168">
        <f>T26/'1501 Summary'!$V$96</f>
        <v>3022.6951790670141</v>
      </c>
      <c r="U29" s="125"/>
      <c r="V29" s="168">
        <f>V26/'1501 Summary'!$X$96</f>
        <v>5574.9681854925848</v>
      </c>
      <c r="W29" s="125"/>
      <c r="X29" s="168">
        <f>X26/'1501 Summary'!$Z$96</f>
        <v>2713.997315333932</v>
      </c>
      <c r="Y29" s="125"/>
      <c r="Z29" s="168">
        <f>Z26/'1501 Summary'!$AB$96</f>
        <v>5632.6030251189904</v>
      </c>
    </row>
    <row r="30" spans="2:27" x14ac:dyDescent="0.25">
      <c r="B30" s="115">
        <v>26</v>
      </c>
      <c r="C30" s="124" t="s">
        <v>425</v>
      </c>
      <c r="D30" s="168">
        <f>D27/'1501 Summary'!$F$96</f>
        <v>2120.2685594799505</v>
      </c>
      <c r="E30" s="125"/>
      <c r="F30" s="168">
        <f>F27/'1501 Summary'!$H$96</f>
        <v>769.69877910316791</v>
      </c>
      <c r="G30" s="125"/>
      <c r="H30" s="168">
        <f>H27/'1501 Summary'!$J$96</f>
        <v>1228.7325078022752</v>
      </c>
      <c r="I30" s="125"/>
      <c r="J30" s="168">
        <f>J27/'1501 Summary'!$L$96</f>
        <v>935.01969990998202</v>
      </c>
      <c r="K30" s="125"/>
      <c r="L30" s="168">
        <f>L27/'1501 Summary'!$N$96</f>
        <v>773.97350124622847</v>
      </c>
      <c r="M30" s="125"/>
      <c r="N30" s="168">
        <f>N27/'1501 Summary'!$P$96</f>
        <v>77.401873640118168</v>
      </c>
      <c r="O30" s="125"/>
      <c r="P30" s="168">
        <f>P27/'1501 Summary'!$R$96</f>
        <v>15.801323412317071</v>
      </c>
      <c r="Q30" s="125"/>
      <c r="R30" s="168">
        <f>R27/'1501 Summary'!$T$96</f>
        <v>0</v>
      </c>
      <c r="S30" s="125"/>
      <c r="T30" s="168">
        <f>T27/'1501 Summary'!$V$96</f>
        <v>0</v>
      </c>
      <c r="U30" s="125"/>
      <c r="V30" s="168">
        <f>V27/'1501 Summary'!$X$96</f>
        <v>485.28510986982747</v>
      </c>
      <c r="W30" s="125"/>
      <c r="X30" s="168">
        <f>X27/'1501 Summary'!$Z$96</f>
        <v>542.013271867247</v>
      </c>
      <c r="Y30" s="125"/>
      <c r="Z30" s="168">
        <f>Z27/'1501 Summary'!$AB$96</f>
        <v>2028.5224960725234</v>
      </c>
    </row>
    <row r="31" spans="2:27" s="130" customFormat="1" x14ac:dyDescent="0.25">
      <c r="B31" s="115">
        <v>27</v>
      </c>
      <c r="C31" s="141" t="s">
        <v>384</v>
      </c>
      <c r="D31" s="142">
        <f>SUM(D25:D30)</f>
        <v>1994352.5484708135</v>
      </c>
      <c r="E31" s="142">
        <f t="shared" ref="E31:Z31" si="0">SUM(E25:E30)</f>
        <v>0</v>
      </c>
      <c r="F31" s="142">
        <f t="shared" si="0"/>
        <v>1444073.6183386147</v>
      </c>
      <c r="G31" s="142">
        <f t="shared" si="0"/>
        <v>0</v>
      </c>
      <c r="H31" s="142">
        <f t="shared" si="0"/>
        <v>1678604.0820286565</v>
      </c>
      <c r="I31" s="142">
        <f t="shared" si="0"/>
        <v>0</v>
      </c>
      <c r="J31" s="142">
        <f t="shared" si="0"/>
        <v>1429369.2766476434</v>
      </c>
      <c r="K31" s="142">
        <f t="shared" si="0"/>
        <v>0</v>
      </c>
      <c r="L31" s="142">
        <f t="shared" si="0"/>
        <v>1090936.9945032771</v>
      </c>
      <c r="M31" s="142">
        <f t="shared" si="0"/>
        <v>0</v>
      </c>
      <c r="N31" s="142">
        <f t="shared" si="0"/>
        <v>778454.28901633841</v>
      </c>
      <c r="O31" s="142">
        <f t="shared" si="0"/>
        <v>0</v>
      </c>
      <c r="P31" s="142">
        <f t="shared" si="0"/>
        <v>666781.11687855818</v>
      </c>
      <c r="Q31" s="142">
        <f t="shared" si="0"/>
        <v>0</v>
      </c>
      <c r="R31" s="142">
        <f t="shared" si="0"/>
        <v>672528.12892346457</v>
      </c>
      <c r="S31" s="142">
        <f t="shared" si="0"/>
        <v>0</v>
      </c>
      <c r="T31" s="142">
        <f t="shared" si="0"/>
        <v>632720.58876404027</v>
      </c>
      <c r="U31" s="142">
        <f t="shared" si="0"/>
        <v>0</v>
      </c>
      <c r="V31" s="142">
        <f t="shared" si="0"/>
        <v>1134085.0790527312</v>
      </c>
      <c r="W31" s="142">
        <f t="shared" si="0"/>
        <v>0</v>
      </c>
      <c r="X31" s="142">
        <f>SUM(X25:X30)</f>
        <v>988129.43044238305</v>
      </c>
      <c r="Y31" s="142">
        <f t="shared" si="0"/>
        <v>0</v>
      </c>
      <c r="Z31" s="142">
        <f t="shared" si="0"/>
        <v>1708576.4136655268</v>
      </c>
    </row>
    <row r="32" spans="2:27" x14ac:dyDescent="0.25">
      <c r="B32" s="115">
        <v>28</v>
      </c>
      <c r="C32" s="165">
        <v>570</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row>
    <row r="33" spans="2:26" x14ac:dyDescent="0.25">
      <c r="B33" s="115">
        <v>29</v>
      </c>
      <c r="C33" s="163" t="s">
        <v>208</v>
      </c>
      <c r="D33" s="118">
        <f>'1501 Summary'!F173</f>
        <v>111755.98202356372</v>
      </c>
      <c r="E33" s="118">
        <f>'1501 Summary'!G173</f>
        <v>9200.8700000000008</v>
      </c>
      <c r="F33" s="118">
        <f>'1501 Summary'!H173</f>
        <v>105613.87100692336</v>
      </c>
      <c r="G33" s="118">
        <f>'1501 Summary'!I173</f>
        <v>8695.19</v>
      </c>
      <c r="H33" s="118">
        <f>'1501 Summary'!J173</f>
        <v>101184.01554718814</v>
      </c>
      <c r="I33" s="118">
        <f>'1501 Summary'!K173</f>
        <v>8330.48</v>
      </c>
      <c r="J33" s="118">
        <f>'1501 Summary'!L173</f>
        <v>101320.90368031095</v>
      </c>
      <c r="K33" s="118">
        <f>'1501 Summary'!M173</f>
        <v>8341.75</v>
      </c>
      <c r="L33" s="118">
        <f>'1501 Summary'!N173</f>
        <v>96481.112595651648</v>
      </c>
      <c r="M33" s="118">
        <f>'1501 Summary'!O173</f>
        <v>7943.29</v>
      </c>
      <c r="N33" s="118">
        <f>'1501 Summary'!P173</f>
        <v>83648.001943398514</v>
      </c>
      <c r="O33" s="118">
        <f>'1501 Summary'!Q173</f>
        <v>6886.74</v>
      </c>
      <c r="P33" s="118">
        <f>'1501 Summary'!R173</f>
        <v>74636.948864326492</v>
      </c>
      <c r="Q33" s="118">
        <f>'1501 Summary'!S173</f>
        <v>6144.86</v>
      </c>
      <c r="R33" s="118">
        <f>'1501 Summary'!T173</f>
        <v>93295.250158328054</v>
      </c>
      <c r="S33" s="118">
        <f>'1501 Summary'!U173</f>
        <v>7365.66</v>
      </c>
      <c r="T33" s="118">
        <f>'1501 Summary'!V173</f>
        <v>70427.992400253323</v>
      </c>
      <c r="U33" s="118">
        <f>'1501 Summary'!W173</f>
        <v>5560.29</v>
      </c>
      <c r="V33" s="118">
        <f>'1501 Summary'!X173</f>
        <v>78762.127929069029</v>
      </c>
      <c r="W33" s="118">
        <f>'1501 Summary'!Y173</f>
        <v>6218.27</v>
      </c>
      <c r="X33" s="118">
        <f>'1501 Summary'!Z173</f>
        <v>118621.02596580115</v>
      </c>
      <c r="Y33" s="118">
        <f>'1501 Summary'!AA173</f>
        <v>9365.130000000001</v>
      </c>
      <c r="Z33" s="118">
        <f>'1501 Summary'!AB173</f>
        <v>112385.94046865105</v>
      </c>
    </row>
    <row r="34" spans="2:26" x14ac:dyDescent="0.25">
      <c r="B34" s="115">
        <v>30</v>
      </c>
      <c r="C34" s="163" t="s">
        <v>209</v>
      </c>
      <c r="D34" s="118">
        <f>'1501 Summary'!F174</f>
        <v>127293.20302087961</v>
      </c>
      <c r="E34" s="118">
        <f>'1501 Summary'!G174</f>
        <v>2865.37</v>
      </c>
      <c r="F34" s="118">
        <f>'1501 Summary'!H174</f>
        <v>124629.94224788983</v>
      </c>
      <c r="G34" s="118">
        <f>'1501 Summary'!I174</f>
        <v>2805.42</v>
      </c>
      <c r="H34" s="118">
        <f>'1501 Summary'!J174</f>
        <v>124126.1661483785</v>
      </c>
      <c r="I34" s="118">
        <f>'1501 Summary'!K174</f>
        <v>2794.08</v>
      </c>
      <c r="J34" s="118">
        <f>'1501 Summary'!L174</f>
        <v>122604.17592181254</v>
      </c>
      <c r="K34" s="118">
        <f>'1501 Summary'!M174</f>
        <v>2759.82</v>
      </c>
      <c r="L34" s="118">
        <f>'1501 Summary'!N174</f>
        <v>91011.994669035979</v>
      </c>
      <c r="M34" s="118">
        <f>'1501 Summary'!O174</f>
        <v>2048.6799999999998</v>
      </c>
      <c r="N34" s="118">
        <f>'1501 Summary'!P174</f>
        <v>51892.936472678819</v>
      </c>
      <c r="O34" s="118">
        <f>'1501 Summary'!Q174</f>
        <v>1168.1100000000001</v>
      </c>
      <c r="P34" s="118">
        <f>'1501 Summary'!R174</f>
        <v>32718.791648156377</v>
      </c>
      <c r="Q34" s="118">
        <f>'1501 Summary'!S174</f>
        <v>736.5</v>
      </c>
      <c r="R34" s="118">
        <f>'1501 Summary'!T174</f>
        <v>22468.861209964412</v>
      </c>
      <c r="S34" s="118">
        <f>'1501 Summary'!U174</f>
        <v>505.1</v>
      </c>
      <c r="T34" s="118">
        <f>'1501 Summary'!V174</f>
        <v>22963.078291814949</v>
      </c>
      <c r="U34" s="118">
        <f>'1501 Summary'!W174</f>
        <v>516.21</v>
      </c>
      <c r="V34" s="118">
        <f>'1501 Summary'!X174</f>
        <v>39883.007117437723</v>
      </c>
      <c r="W34" s="118">
        <f>'1501 Summary'!Y174</f>
        <v>896.57</v>
      </c>
      <c r="X34" s="118">
        <f>'1501 Summary'!Z174</f>
        <v>79120.996441281139</v>
      </c>
      <c r="Y34" s="118">
        <f>'1501 Summary'!AA174</f>
        <v>1778.64</v>
      </c>
      <c r="Z34" s="118">
        <f>'1501 Summary'!AB174</f>
        <v>105302.0462633452</v>
      </c>
    </row>
    <row r="35" spans="2:26" x14ac:dyDescent="0.25">
      <c r="B35" s="115">
        <v>31</v>
      </c>
      <c r="C35" s="119">
        <v>577</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2:26" x14ac:dyDescent="0.25">
      <c r="B36" s="115">
        <v>32</v>
      </c>
      <c r="C36" s="163" t="s">
        <v>210</v>
      </c>
      <c r="D36" s="118">
        <f>'1501 Summary'!F193</f>
        <v>8000</v>
      </c>
      <c r="E36" s="118"/>
      <c r="F36" s="118">
        <f>'1501 Summary'!H193</f>
        <v>8000</v>
      </c>
      <c r="G36" s="118"/>
      <c r="H36" s="118">
        <f>'1501 Summary'!J193</f>
        <v>8000</v>
      </c>
      <c r="I36" s="118"/>
      <c r="J36" s="118">
        <f>'1501 Summary'!L193</f>
        <v>8000</v>
      </c>
      <c r="K36" s="118"/>
      <c r="L36" s="118">
        <f>'1501 Summary'!N193</f>
        <v>8000</v>
      </c>
      <c r="M36" s="118"/>
      <c r="N36" s="118">
        <f>'1501 Summary'!P193</f>
        <v>8000</v>
      </c>
      <c r="O36" s="118"/>
      <c r="P36" s="118">
        <f>'1501 Summary'!R193</f>
        <v>7837.9963465051433</v>
      </c>
      <c r="Q36" s="118"/>
      <c r="R36" s="118">
        <f>'1501 Summary'!T193</f>
        <v>7496.0099990385534</v>
      </c>
      <c r="S36" s="118"/>
      <c r="T36" s="118">
        <f>'1501 Summary'!V193</f>
        <v>0</v>
      </c>
      <c r="U36" s="118"/>
      <c r="V36" s="118">
        <f>'1501 Summary'!X193</f>
        <v>0</v>
      </c>
      <c r="W36" s="118"/>
      <c r="X36" s="118">
        <f>'1501 Summary'!Z193</f>
        <v>0</v>
      </c>
      <c r="Y36" s="118"/>
      <c r="Z36" s="118">
        <f>'1501 Summary'!AB193</f>
        <v>0</v>
      </c>
    </row>
    <row r="37" spans="2:26" x14ac:dyDescent="0.25">
      <c r="B37" s="115">
        <v>33</v>
      </c>
      <c r="C37" s="163" t="s">
        <v>199</v>
      </c>
      <c r="D37" s="118">
        <f>'1501 Summary'!F194</f>
        <v>11015.036703765098</v>
      </c>
      <c r="E37" s="118"/>
      <c r="F37" s="118">
        <f>'1501 Summary'!H194</f>
        <v>10618.991238456074</v>
      </c>
      <c r="G37" s="118"/>
      <c r="H37" s="118">
        <f>'1501 Summary'!J194</f>
        <v>8848.9225668955733</v>
      </c>
      <c r="I37" s="118"/>
      <c r="J37" s="118">
        <f>'1501 Summary'!L194</f>
        <v>8354.9609282500587</v>
      </c>
      <c r="K37" s="118"/>
      <c r="L37" s="118">
        <f>'1501 Summary'!N194</f>
        <v>4692.043570921147</v>
      </c>
      <c r="M37" s="118"/>
      <c r="N37" s="118">
        <f>'1501 Summary'!P194</f>
        <v>984.96329623490419</v>
      </c>
      <c r="O37" s="118"/>
      <c r="P37" s="118">
        <f>'1501 Summary'!R194</f>
        <v>722.94577314705191</v>
      </c>
      <c r="Q37" s="118"/>
      <c r="R37" s="118">
        <f>'1501 Summary'!T194</f>
        <v>748.99360644091882</v>
      </c>
      <c r="S37" s="118"/>
      <c r="T37" s="118">
        <f>'1501 Summary'!V194</f>
        <v>0</v>
      </c>
      <c r="U37" s="118"/>
      <c r="V37" s="118">
        <f>'1501 Summary'!X194</f>
        <v>0</v>
      </c>
      <c r="W37" s="118"/>
      <c r="X37" s="118">
        <f>'1501 Summary'!Z194</f>
        <v>0</v>
      </c>
      <c r="Y37" s="118"/>
      <c r="Z37" s="118">
        <f>'1501 Summary'!AB194</f>
        <v>0</v>
      </c>
    </row>
    <row r="38" spans="2:26" x14ac:dyDescent="0.25">
      <c r="B38" s="115">
        <v>34</v>
      </c>
      <c r="C38" s="119" t="s">
        <v>378</v>
      </c>
      <c r="D38" s="118">
        <f>SUM(D33:D34)+SUM(D36:D37)</f>
        <v>258064.22174820842</v>
      </c>
      <c r="E38" s="118"/>
      <c r="F38" s="118">
        <f t="shared" ref="F38:Z38" si="1">SUM(F33:F34)+SUM(F36:F37)</f>
        <v>248862.80449326927</v>
      </c>
      <c r="G38" s="118"/>
      <c r="H38" s="118">
        <f t="shared" si="1"/>
        <v>242159.10426246221</v>
      </c>
      <c r="I38" s="118"/>
      <c r="J38" s="118">
        <f t="shared" si="1"/>
        <v>240280.04053037352</v>
      </c>
      <c r="K38" s="118"/>
      <c r="L38" s="118">
        <f t="shared" si="1"/>
        <v>200185.15083560877</v>
      </c>
      <c r="M38" s="118"/>
      <c r="N38" s="118">
        <f t="shared" si="1"/>
        <v>144525.90171231225</v>
      </c>
      <c r="O38" s="118"/>
      <c r="P38" s="118">
        <f t="shared" si="1"/>
        <v>115916.68263213505</v>
      </c>
      <c r="Q38" s="118"/>
      <c r="R38" s="118">
        <f t="shared" si="1"/>
        <v>124009.11497377194</v>
      </c>
      <c r="S38" s="118"/>
      <c r="T38" s="118">
        <f t="shared" si="1"/>
        <v>93391.070692068271</v>
      </c>
      <c r="U38" s="118"/>
      <c r="V38" s="118">
        <f t="shared" si="1"/>
        <v>118645.13504650675</v>
      </c>
      <c r="W38" s="118"/>
      <c r="X38" s="118">
        <f t="shared" si="1"/>
        <v>197742.02240708229</v>
      </c>
      <c r="Y38" s="118"/>
      <c r="Z38" s="118">
        <f t="shared" si="1"/>
        <v>217687.98673199624</v>
      </c>
    </row>
    <row r="39" spans="2:26" x14ac:dyDescent="0.25">
      <c r="B39" s="115">
        <v>35</v>
      </c>
      <c r="C39" s="163" t="s">
        <v>429</v>
      </c>
      <c r="D39" s="172">
        <f>SUM(D33,D36,D37)/SUM('1501 Summary'!F172, '1501 Summary'!F192)</f>
        <v>14530.113191925424</v>
      </c>
      <c r="E39" s="172"/>
      <c r="F39" s="172">
        <f>SUM(F33,F36,F37)/SUM('1501 Summary'!H172, '1501 Summary'!H192)</f>
        <v>13803.651360597716</v>
      </c>
      <c r="G39" s="172"/>
      <c r="H39" s="172">
        <f>SUM(H33,H36,H37)/SUM('1501 Summary'!J172, '1501 Summary'!J192)</f>
        <v>13114.770901564858</v>
      </c>
      <c r="I39" s="172"/>
      <c r="J39" s="172">
        <f>SUM(J33,J36,J37)/SUM('1501 Summary'!L172, '1501 Summary'!L192)</f>
        <v>13075.096067617889</v>
      </c>
      <c r="K39" s="172"/>
      <c r="L39" s="172">
        <f>SUM(L33,L36,L37)/SUM('1501 Summary'!N172, '1501 Summary'!N192)</f>
        <v>12130.350685174755</v>
      </c>
      <c r="M39" s="172"/>
      <c r="N39" s="172">
        <f>SUM(N33,N36,N37)/SUM('1501 Summary'!P172, '1501 Summary'!P192)</f>
        <v>10292.551693292602</v>
      </c>
      <c r="O39" s="172"/>
      <c r="P39" s="172">
        <f>SUM(P33,P36,P37)/SUM('1501 Summary'!R172, '1501 Summary'!R192)</f>
        <v>9244.2101093309648</v>
      </c>
      <c r="Q39" s="172"/>
      <c r="R39" s="172">
        <f>SUM(R33,R36,R37)/SUM('1501 Summary'!T172, '1501 Summary'!T192)</f>
        <v>11282.250418200834</v>
      </c>
      <c r="S39" s="172"/>
      <c r="T39" s="172">
        <f>SUM(T33,T36,T37)/SUM('1501 Summary'!V172, '1501 Summary'!V192)</f>
        <v>8803.4990500316653</v>
      </c>
      <c r="U39" s="172"/>
      <c r="V39" s="172">
        <f>SUM(V33,V36,V37)/SUM('1501 Summary'!X172, '1501 Summary'!X192)</f>
        <v>9845.2659911336286</v>
      </c>
      <c r="W39" s="172"/>
      <c r="X39" s="172">
        <f>SUM(X33,X36,X37)/SUM('1501 Summary'!Z172, '1501 Summary'!Z192)</f>
        <v>14827.628245725144</v>
      </c>
      <c r="Y39" s="172"/>
      <c r="Z39" s="172">
        <f>SUM(Z33,Z36,Z37)/SUM('1501 Summary'!AB172, '1501 Summary'!AB192)</f>
        <v>14048.242558581382</v>
      </c>
    </row>
    <row r="40" spans="2:26" x14ac:dyDescent="0.25">
      <c r="B40" s="115">
        <v>36</v>
      </c>
      <c r="C40" s="163" t="s">
        <v>430</v>
      </c>
      <c r="D40" s="172">
        <f>D34/SUM('1501 Summary'!F172,'1501 Summary'!F192)</f>
        <v>14143.689224542179</v>
      </c>
      <c r="E40" s="172"/>
      <c r="F40" s="172">
        <f>F34/SUM('1501 Summary'!H172,'1501 Summary'!H192)</f>
        <v>13847.771360876648</v>
      </c>
      <c r="G40" s="172"/>
      <c r="H40" s="172">
        <f>H34/SUM('1501 Summary'!J172,'1501 Summary'!J192)</f>
        <v>13791.796238708723</v>
      </c>
      <c r="I40" s="172"/>
      <c r="J40" s="172">
        <f>J34/SUM('1501 Summary'!L172,'1501 Summary'!L192)</f>
        <v>13622.686213534726</v>
      </c>
      <c r="K40" s="172"/>
      <c r="L40" s="172">
        <f>L34/SUM('1501 Summary'!N172,'1501 Summary'!N192)</f>
        <v>10112.44385211511</v>
      </c>
      <c r="M40" s="172"/>
      <c r="N40" s="172">
        <f>N34/SUM('1501 Summary'!P172,'1501 Summary'!P192)</f>
        <v>5765.881830297647</v>
      </c>
      <c r="O40" s="172"/>
      <c r="P40" s="172">
        <f>P34/SUM('1501 Summary'!R172,'1501 Summary'!R192)</f>
        <v>3635.4212942395975</v>
      </c>
      <c r="Q40" s="172"/>
      <c r="R40" s="172">
        <f>R34/SUM('1501 Summary'!T172,'1501 Summary'!T192)</f>
        <v>2496.5401344404904</v>
      </c>
      <c r="S40" s="172"/>
      <c r="T40" s="172">
        <f>T34/SUM('1501 Summary'!V172,'1501 Summary'!V192)</f>
        <v>2870.3847864768686</v>
      </c>
      <c r="U40" s="172"/>
      <c r="V40" s="172">
        <f>V34/SUM('1501 Summary'!X172,'1501 Summary'!X192)</f>
        <v>4985.3758896797153</v>
      </c>
      <c r="W40" s="172"/>
      <c r="X40" s="172">
        <f>X34/SUM('1501 Summary'!Z172,'1501 Summary'!Z192)</f>
        <v>9890.1245551601423</v>
      </c>
      <c r="Y40" s="172"/>
      <c r="Z40" s="172">
        <f>Z34/SUM('1501 Summary'!AB172,'1501 Summary'!AB192)</f>
        <v>13162.75578291815</v>
      </c>
    </row>
    <row r="41" spans="2:26" s="130" customFormat="1" x14ac:dyDescent="0.25">
      <c r="B41" s="115">
        <v>37</v>
      </c>
      <c r="C41" s="165" t="s">
        <v>385</v>
      </c>
      <c r="D41" s="180">
        <f>D38/SUM('1501 Summary'!F172+'1501 Summary'!F192)</f>
        <v>28673.802416467603</v>
      </c>
      <c r="E41" s="180"/>
      <c r="F41" s="180">
        <f>F38/SUM('1501 Summary'!H172+'1501 Summary'!H192)</f>
        <v>27651.422721474362</v>
      </c>
      <c r="G41" s="180"/>
      <c r="H41" s="180">
        <f>H38/SUM('1501 Summary'!J172+'1501 Summary'!J192)</f>
        <v>26906.567140273579</v>
      </c>
      <c r="I41" s="180"/>
      <c r="J41" s="180">
        <f>J38/SUM('1501 Summary'!L172+'1501 Summary'!L192)</f>
        <v>26697.782281152613</v>
      </c>
      <c r="K41" s="180"/>
      <c r="L41" s="180">
        <f>L38/SUM('1501 Summary'!N172+'1501 Summary'!N192)</f>
        <v>22242.794537289865</v>
      </c>
      <c r="M41" s="180"/>
      <c r="N41" s="180">
        <f>N38/SUM('1501 Summary'!P172+'1501 Summary'!P192)</f>
        <v>16058.433523590249</v>
      </c>
      <c r="O41" s="180"/>
      <c r="P41" s="180">
        <f>P38/SUM('1501 Summary'!R172+'1501 Summary'!R192)</f>
        <v>12879.631403570562</v>
      </c>
      <c r="Q41" s="180"/>
      <c r="R41" s="180">
        <f>R38/SUM('1501 Summary'!T172+'1501 Summary'!T192)</f>
        <v>13778.790552641327</v>
      </c>
      <c r="S41" s="180"/>
      <c r="T41" s="180">
        <f>T38/SUM('1501 Summary'!V172+'1501 Summary'!V192)</f>
        <v>11673.883836508534</v>
      </c>
      <c r="U41" s="180"/>
      <c r="V41" s="180">
        <f>V38/SUM('1501 Summary'!X172+'1501 Summary'!X192)</f>
        <v>14830.641880813344</v>
      </c>
      <c r="W41" s="180"/>
      <c r="X41" s="180">
        <f>X38/SUM('1501 Summary'!Z172+'1501 Summary'!Z192)</f>
        <v>24717.752800885286</v>
      </c>
      <c r="Y41" s="180"/>
      <c r="Z41" s="180">
        <f>Z38/SUM('1501 Summary'!AB172+'1501 Summary'!AB192)</f>
        <v>27210.998341499529</v>
      </c>
    </row>
    <row r="42" spans="2:26" s="130" customFormat="1" x14ac:dyDescent="0.25">
      <c r="B42" s="115">
        <v>38</v>
      </c>
      <c r="C42" s="141" t="s">
        <v>435</v>
      </c>
      <c r="D42" s="187"/>
      <c r="E42" s="187"/>
      <c r="F42" s="187"/>
      <c r="G42" s="187"/>
      <c r="H42" s="187"/>
      <c r="I42" s="187"/>
      <c r="J42" s="187"/>
      <c r="K42" s="187"/>
      <c r="L42" s="187"/>
      <c r="M42" s="187"/>
      <c r="N42" s="187"/>
      <c r="O42" s="187"/>
      <c r="P42" s="187"/>
      <c r="Q42" s="187"/>
      <c r="R42" s="187"/>
      <c r="S42" s="187"/>
      <c r="T42" s="187"/>
      <c r="U42" s="187"/>
      <c r="V42" s="187"/>
      <c r="W42" s="187"/>
      <c r="X42" s="187"/>
      <c r="Y42" s="188"/>
      <c r="Z42" s="188"/>
    </row>
    <row r="43" spans="2:26" s="130" customFormat="1" x14ac:dyDescent="0.25">
      <c r="B43" s="115">
        <v>39</v>
      </c>
      <c r="C43" s="124" t="s">
        <v>193</v>
      </c>
      <c r="D43" s="189">
        <f>'1501 Summary'!F211</f>
        <v>8448278.0104712043</v>
      </c>
      <c r="E43" s="189">
        <f>'1501 Summary'!G211</f>
        <v>484086.33</v>
      </c>
      <c r="F43" s="189">
        <f>'1501 Summary'!H211</f>
        <v>8243853.0541012222</v>
      </c>
      <c r="G43" s="189">
        <f>'1501 Summary'!I211</f>
        <v>472372.78</v>
      </c>
      <c r="H43" s="189">
        <f>'1501 Summary'!J211</f>
        <v>8036899.1273996513</v>
      </c>
      <c r="I43" s="189">
        <f>'1501 Summary'!K211</f>
        <v>460514.32</v>
      </c>
      <c r="J43" s="189">
        <f>'1501 Summary'!L211</f>
        <v>8021019.5462478185</v>
      </c>
      <c r="K43" s="189">
        <f>'1501 Summary'!M211</f>
        <v>459604.42</v>
      </c>
      <c r="L43" s="189">
        <f>'1501 Summary'!N211</f>
        <v>7423543.2809773134</v>
      </c>
      <c r="M43" s="189">
        <f>'1501 Summary'!O211</f>
        <v>425369.03</v>
      </c>
      <c r="N43" s="189">
        <f>'1501 Summary'!P211</f>
        <v>7274644.5026178015</v>
      </c>
      <c r="O43" s="189">
        <f>'1501 Summary'!Q211</f>
        <v>416837.13</v>
      </c>
      <c r="P43" s="189">
        <f>'1501 Summary'!R211</f>
        <v>7331652.0069808029</v>
      </c>
      <c r="Q43" s="189">
        <f>'1501 Summary'!S211</f>
        <v>420103.66</v>
      </c>
      <c r="R43" s="189">
        <f>'1501 Summary'!T211</f>
        <v>7085472.7748691104</v>
      </c>
      <c r="S43" s="189">
        <f>'1501 Summary'!U211</f>
        <v>405997.59</v>
      </c>
      <c r="T43" s="189">
        <f>'1501 Summary'!V211</f>
        <v>7459443.4440067522</v>
      </c>
      <c r="U43" s="189">
        <f>'1501 Summary'!W211</f>
        <v>397662.93</v>
      </c>
      <c r="V43" s="189">
        <f>'1501 Summary'!X211</f>
        <v>8410175.3892327882</v>
      </c>
      <c r="W43" s="189">
        <f>'1501 Summary'!Y211</f>
        <v>448346.45</v>
      </c>
      <c r="X43" s="189">
        <f>'1501 Summary'!Z211</f>
        <v>8964444.1943350211</v>
      </c>
      <c r="Y43" s="189">
        <f>'1501 Summary'!AA211</f>
        <v>477894.52</v>
      </c>
      <c r="Z43" s="189">
        <f>'1501 Summary'!AB211</f>
        <v>8142146.876758581</v>
      </c>
    </row>
    <row r="44" spans="2:26" s="130" customFormat="1" x14ac:dyDescent="0.25">
      <c r="B44" s="115">
        <v>40</v>
      </c>
      <c r="C44" s="124" t="s">
        <v>155</v>
      </c>
      <c r="D44" s="189">
        <f>'1501 Summary'!F212</f>
        <v>5693960.4547701431</v>
      </c>
      <c r="E44" s="189">
        <f>'1501 Summary'!G212</f>
        <v>115188.82</v>
      </c>
      <c r="F44" s="189">
        <f>'1501 Summary'!H212</f>
        <v>5743828.9668808701</v>
      </c>
      <c r="G44" s="189">
        <f>'1501 Summary'!I212</f>
        <v>116197.66</v>
      </c>
      <c r="H44" s="189">
        <f>'1501 Summary'!J212</f>
        <v>5379214.5328719718</v>
      </c>
      <c r="I44" s="189">
        <f>'1501 Summary'!K212</f>
        <v>108821.51</v>
      </c>
      <c r="J44" s="189">
        <f>'1501 Summary'!L212</f>
        <v>5639525.4572417205</v>
      </c>
      <c r="K44" s="189">
        <f>'1501 Summary'!M212</f>
        <v>114087.6</v>
      </c>
      <c r="L44" s="189">
        <f>'1501 Summary'!N212</f>
        <v>5453297.0835392978</v>
      </c>
      <c r="M44" s="189">
        <f>'1501 Summary'!O212</f>
        <v>110320.2</v>
      </c>
      <c r="N44" s="189">
        <f>'1501 Summary'!P212</f>
        <v>5213872.9609490847</v>
      </c>
      <c r="O44" s="189">
        <f>'1501 Summary'!Q212</f>
        <v>105476.65</v>
      </c>
      <c r="P44" s="189">
        <f>'1501 Summary'!R212</f>
        <v>5082450.3213049918</v>
      </c>
      <c r="Q44" s="189">
        <f>'1501 Summary'!S212</f>
        <v>102817.97</v>
      </c>
      <c r="R44" s="189">
        <f>'1501 Summary'!T212</f>
        <v>4610069.2041522488</v>
      </c>
      <c r="S44" s="189">
        <f>'1501 Summary'!U212</f>
        <v>93261.7</v>
      </c>
      <c r="T44" s="189">
        <f>'1501 Summary'!V212</f>
        <v>4972736.2467866326</v>
      </c>
      <c r="U44" s="189">
        <f>'1501 Summary'!W212</f>
        <v>96719.72</v>
      </c>
      <c r="V44" s="189">
        <f>'1501 Summary'!X212</f>
        <v>5488849.3573264787</v>
      </c>
      <c r="W44" s="189">
        <f>'1501 Summary'!Y212</f>
        <v>106758.12</v>
      </c>
      <c r="X44" s="189">
        <f>'1501 Summary'!Z212</f>
        <v>6473544.4730077125</v>
      </c>
      <c r="Y44" s="189">
        <f>'1501 Summary'!AA212</f>
        <v>125910.44</v>
      </c>
      <c r="Z44" s="189">
        <f>'1501 Summary'!AB212</f>
        <v>5561819.5372750647</v>
      </c>
    </row>
    <row r="45" spans="2:26" x14ac:dyDescent="0.25">
      <c r="B45" s="115">
        <v>41</v>
      </c>
      <c r="C45" s="124" t="s">
        <v>155</v>
      </c>
      <c r="D45" s="189">
        <f>'1501 Summary'!F213</f>
        <v>3046636.8997472622</v>
      </c>
      <c r="E45" s="189">
        <f>'1501 Summary'!G213</f>
        <v>36163.58</v>
      </c>
      <c r="F45" s="189">
        <f>'1501 Summary'!H213</f>
        <v>2863199.6630160068</v>
      </c>
      <c r="G45" s="189">
        <f>'1501 Summary'!I213</f>
        <v>33986.18</v>
      </c>
      <c r="H45" s="189">
        <f>'1501 Summary'!J213</f>
        <v>2845153.3277169336</v>
      </c>
      <c r="I45" s="189">
        <f>'1501 Summary'!K213</f>
        <v>33771.97</v>
      </c>
      <c r="J45" s="189">
        <f>'1501 Summary'!L213</f>
        <v>2901748.104465038</v>
      </c>
      <c r="K45" s="189">
        <f>'1501 Summary'!M213</f>
        <v>34443.75</v>
      </c>
      <c r="L45" s="189">
        <f>'1501 Summary'!N213</f>
        <v>2594694.1870261161</v>
      </c>
      <c r="M45" s="189">
        <f>'1501 Summary'!O213</f>
        <v>30799.02</v>
      </c>
      <c r="N45" s="189">
        <f>'1501 Summary'!P213</f>
        <v>2721786.0151642794</v>
      </c>
      <c r="O45" s="189">
        <f>'1501 Summary'!Q213</f>
        <v>32307.599999999999</v>
      </c>
      <c r="P45" s="189">
        <f>'1501 Summary'!R213</f>
        <v>2647459.9831508002</v>
      </c>
      <c r="Q45" s="189">
        <f>'1501 Summary'!S213</f>
        <v>31425.35</v>
      </c>
      <c r="R45" s="189">
        <f>'1501 Summary'!T213</f>
        <v>2339633.5299073295</v>
      </c>
      <c r="S45" s="189">
        <f>'1501 Summary'!U213</f>
        <v>27771.45</v>
      </c>
      <c r="T45" s="189">
        <f>'1501 Summary'!V213</f>
        <v>2624146.3620981388</v>
      </c>
      <c r="U45" s="189">
        <f>'1501 Summary'!W213</f>
        <v>31017.41</v>
      </c>
      <c r="V45" s="189">
        <f>'1501 Summary'!X213</f>
        <v>2564507.614213198</v>
      </c>
      <c r="W45" s="189">
        <f>'1501 Summary'!Y213</f>
        <v>30312.48</v>
      </c>
      <c r="X45" s="189">
        <f>'1501 Summary'!Z213</f>
        <v>3175013.5363790188</v>
      </c>
      <c r="Y45" s="189">
        <f>'1501 Summary'!AA213</f>
        <v>37528.660000000003</v>
      </c>
      <c r="Z45" s="189">
        <f>'1501 Summary'!AB213</f>
        <v>2607796.9543147208</v>
      </c>
    </row>
    <row r="46" spans="2:26" x14ac:dyDescent="0.25">
      <c r="B46" s="115">
        <v>42</v>
      </c>
      <c r="C46" s="124" t="s">
        <v>156</v>
      </c>
      <c r="D46" s="189">
        <f>'1501 Summary'!F214</f>
        <v>16414903.543307086</v>
      </c>
      <c r="E46" s="189">
        <f>'1501 Summary'!G214</f>
        <v>83387.710000000006</v>
      </c>
      <c r="F46" s="189">
        <f>'1501 Summary'!H214</f>
        <v>18826590.5511811</v>
      </c>
      <c r="G46" s="189">
        <f>'1501 Summary'!I214</f>
        <v>95639.08</v>
      </c>
      <c r="H46" s="189">
        <f>'1501 Summary'!J214</f>
        <v>14825738.188976377</v>
      </c>
      <c r="I46" s="189">
        <f>'1501 Summary'!K214</f>
        <v>75314.75</v>
      </c>
      <c r="J46" s="189">
        <f>'1501 Summary'!L214</f>
        <v>16196224.409448819</v>
      </c>
      <c r="K46" s="189">
        <f>'1501 Summary'!M214</f>
        <v>82276.820000000007</v>
      </c>
      <c r="L46" s="189">
        <f>'1501 Summary'!N214</f>
        <v>11917830.708661417</v>
      </c>
      <c r="M46" s="189">
        <f>'1501 Summary'!O214</f>
        <v>60542.58</v>
      </c>
      <c r="N46" s="189">
        <f>'1501 Summary'!P214</f>
        <v>13265982.283464566</v>
      </c>
      <c r="O46" s="189">
        <f>'1501 Summary'!Q214</f>
        <v>67391.19</v>
      </c>
      <c r="P46" s="189">
        <f>'1501 Summary'!R214</f>
        <v>12271769.685039369</v>
      </c>
      <c r="Q46" s="189">
        <f>'1501 Summary'!S214</f>
        <v>62340.59</v>
      </c>
      <c r="R46" s="189">
        <f>'1501 Summary'!T214</f>
        <v>11822645.669291338</v>
      </c>
      <c r="S46" s="189">
        <f>'1501 Summary'!U214</f>
        <v>60059.040000000001</v>
      </c>
      <c r="T46" s="189">
        <f>'1501 Summary'!V214</f>
        <v>11868660.142348753</v>
      </c>
      <c r="U46" s="189">
        <f>'1501 Summary'!W214</f>
        <v>66701.87</v>
      </c>
      <c r="V46" s="189">
        <f>'1501 Summary'!X214</f>
        <v>13997578.291814946</v>
      </c>
      <c r="W46" s="189">
        <f>'1501 Summary'!Y214</f>
        <v>78666.39</v>
      </c>
      <c r="X46" s="189">
        <f>'1501 Summary'!Z214</f>
        <v>13835578.291814946</v>
      </c>
      <c r="Y46" s="189">
        <f>'1501 Summary'!AA214</f>
        <v>77755.95</v>
      </c>
      <c r="Z46" s="189">
        <f>'1501 Summary'!AB214</f>
        <v>9636976.8683274016</v>
      </c>
    </row>
    <row r="47" spans="2:26" x14ac:dyDescent="0.25">
      <c r="B47" s="115">
        <v>43</v>
      </c>
      <c r="C47" s="124" t="s">
        <v>431</v>
      </c>
      <c r="D47" s="190">
        <f>D43/'1501 Summary'!$F$208</f>
        <v>45914.554404734808</v>
      </c>
      <c r="E47" s="190"/>
      <c r="F47" s="190">
        <f>F43/'1501 Summary'!$H$208</f>
        <v>44803.549207071861</v>
      </c>
      <c r="G47" s="190"/>
      <c r="H47" s="190">
        <f>H43/'1501 Summary'!$J$208</f>
        <v>43678.799605432891</v>
      </c>
      <c r="I47" s="190"/>
      <c r="J47" s="190">
        <f>J43/'1501 Summary'!$L$208</f>
        <v>43592.497533955539</v>
      </c>
      <c r="K47" s="190"/>
      <c r="L47" s="190">
        <f>L43/'1501 Summary'!$N$208</f>
        <v>40127.260978255748</v>
      </c>
      <c r="M47" s="190"/>
      <c r="N47" s="190">
        <f>N43/'1501 Summary'!$P$208</f>
        <v>39322.402716852979</v>
      </c>
      <c r="O47" s="190"/>
      <c r="P47" s="190">
        <f>P43/'1501 Summary'!$R$208</f>
        <v>39417.483908498943</v>
      </c>
      <c r="Q47" s="190"/>
      <c r="R47" s="190">
        <f>R43/'1501 Summary'!$T$208</f>
        <v>38093.939649833927</v>
      </c>
      <c r="S47" s="190"/>
      <c r="T47" s="190">
        <f>T43/'1501 Summary'!$V$208</f>
        <v>40104.534645197593</v>
      </c>
      <c r="U47" s="190"/>
      <c r="V47" s="190">
        <f>V43/'1501 Summary'!$X$208</f>
        <v>44974.199942421328</v>
      </c>
      <c r="W47" s="190"/>
      <c r="X47" s="190">
        <f>X43/'1501 Summary'!$Z$208</f>
        <v>48719.80540399468</v>
      </c>
      <c r="Y47" s="190"/>
      <c r="Z47" s="190">
        <f>Z43/'1501 Summary'!$AB$208</f>
        <v>44011.604739235576</v>
      </c>
    </row>
    <row r="48" spans="2:26" x14ac:dyDescent="0.25">
      <c r="B48" s="115">
        <v>44</v>
      </c>
      <c r="C48" s="124" t="s">
        <v>432</v>
      </c>
      <c r="D48" s="190">
        <f>D44/'1501 Summary'!$F$208</f>
        <v>30945.437254185559</v>
      </c>
      <c r="E48" s="190"/>
      <c r="F48" s="190">
        <f>F44/'1501 Summary'!$H$208</f>
        <v>31216.461776526467</v>
      </c>
      <c r="G48" s="191"/>
      <c r="H48" s="190">
        <f>H44/'1501 Summary'!$J$208</f>
        <v>29234.861591695499</v>
      </c>
      <c r="I48" s="147"/>
      <c r="J48" s="190">
        <f>J44/'1501 Summary'!$L$208</f>
        <v>30649.594876313698</v>
      </c>
      <c r="K48" s="192"/>
      <c r="L48" s="190">
        <f>L44/'1501 Summary'!$N$208</f>
        <v>29477.281532644854</v>
      </c>
      <c r="M48" s="147"/>
      <c r="N48" s="190">
        <f>N44/'1501 Summary'!$P$208</f>
        <v>28183.09708621127</v>
      </c>
      <c r="O48" s="147"/>
      <c r="P48" s="190">
        <f>P44/'1501 Summary'!$R$208</f>
        <v>27325.001727446193</v>
      </c>
      <c r="Q48" s="192"/>
      <c r="R48" s="190">
        <f>R44/'1501 Summary'!$T$208</f>
        <v>24785.318301893811</v>
      </c>
      <c r="S48" s="147"/>
      <c r="T48" s="190">
        <f>T44/'1501 Summary'!$V$208</f>
        <v>26735.141111756089</v>
      </c>
      <c r="U48" s="147"/>
      <c r="V48" s="190">
        <f>V44/'1501 Summary'!$X$208</f>
        <v>29352.135600676356</v>
      </c>
      <c r="W48" s="147"/>
      <c r="X48" s="190">
        <f>X44/'1501 Summary'!$Z$208</f>
        <v>35182.306918520175</v>
      </c>
      <c r="Y48" s="193"/>
      <c r="Z48" s="190">
        <f>Z44/'1501 Summary'!$AB$208</f>
        <v>30063.889390676024</v>
      </c>
    </row>
    <row r="49" spans="2:26" x14ac:dyDescent="0.25">
      <c r="B49" s="115">
        <v>45</v>
      </c>
      <c r="C49" s="124" t="s">
        <v>432</v>
      </c>
      <c r="D49" s="190">
        <f>D45/'1501 Summary'!$F$208</f>
        <v>16557.809237756861</v>
      </c>
      <c r="E49" s="190"/>
      <c r="F49" s="190">
        <f>F45/'1501 Summary'!$H$208</f>
        <v>15560.867733782647</v>
      </c>
      <c r="G49" s="191"/>
      <c r="H49" s="190">
        <f>H45/'1501 Summary'!$J$208</f>
        <v>15462.789824548552</v>
      </c>
      <c r="I49" s="147"/>
      <c r="J49" s="190">
        <f>J45/'1501 Summary'!$L$208</f>
        <v>15770.370132962164</v>
      </c>
      <c r="K49" s="192"/>
      <c r="L49" s="190">
        <f>L45/'1501 Summary'!$N$208</f>
        <v>14025.373983924952</v>
      </c>
      <c r="M49" s="147"/>
      <c r="N49" s="190">
        <f>N45/'1501 Summary'!$P$208</f>
        <v>14712.356838725835</v>
      </c>
      <c r="O49" s="147"/>
      <c r="P49" s="190">
        <f>P45/'1501 Summary'!$R$208</f>
        <v>14233.655823391398</v>
      </c>
      <c r="Q49" s="192"/>
      <c r="R49" s="190">
        <f>R45/'1501 Summary'!$T$208</f>
        <v>12578.67489197489</v>
      </c>
      <c r="S49" s="147"/>
      <c r="T49" s="190">
        <f>T45/'1501 Summary'!$V$208</f>
        <v>14108.313774721177</v>
      </c>
      <c r="U49" s="147"/>
      <c r="V49" s="190">
        <f>V45/'1501 Summary'!$X$208</f>
        <v>13713.944461033145</v>
      </c>
      <c r="W49" s="147"/>
      <c r="X49" s="190">
        <f>X45/'1501 Summary'!$Z$208</f>
        <v>17255.508349885971</v>
      </c>
      <c r="Y49" s="193"/>
      <c r="Z49" s="190">
        <f>Z45/'1501 Summary'!$AB$208</f>
        <v>14096.199753052544</v>
      </c>
    </row>
    <row r="50" spans="2:26" x14ac:dyDescent="0.25">
      <c r="B50" s="115">
        <v>46</v>
      </c>
      <c r="C50" s="124" t="s">
        <v>433</v>
      </c>
      <c r="D50" s="190">
        <f>D46/'1501 Summary'!$F$208</f>
        <v>89211.43230058199</v>
      </c>
      <c r="E50" s="190"/>
      <c r="F50" s="190">
        <f>F46/'1501 Summary'!$H$208</f>
        <v>102318.42690859294</v>
      </c>
      <c r="G50" s="191"/>
      <c r="H50" s="190">
        <f>H46/'1501 Summary'!$J$208</f>
        <v>80574.664070523795</v>
      </c>
      <c r="I50" s="147"/>
      <c r="J50" s="190">
        <f>J46/'1501 Summary'!$L$208</f>
        <v>88022.95874700445</v>
      </c>
      <c r="K50" s="192"/>
      <c r="L50" s="190">
        <f>L46/'1501 Summary'!$N$208</f>
        <v>64420.706533304954</v>
      </c>
      <c r="M50" s="147"/>
      <c r="N50" s="190">
        <f>N46/'1501 Summary'!$P$208</f>
        <v>71708.012343051712</v>
      </c>
      <c r="O50" s="147"/>
      <c r="P50" s="190">
        <f>P46/'1501 Summary'!$R$208</f>
        <v>65977.256371179406</v>
      </c>
      <c r="Q50" s="192"/>
      <c r="R50" s="190">
        <f>R46/'1501 Summary'!$T$208</f>
        <v>63562.611125222247</v>
      </c>
      <c r="S50" s="147"/>
      <c r="T50" s="190">
        <f>T46/'1501 Summary'!$V$208</f>
        <v>63810.000765315875</v>
      </c>
      <c r="U50" s="147"/>
      <c r="V50" s="190">
        <f>V46/'1501 Summary'!$X$208</f>
        <v>74853.359849277782</v>
      </c>
      <c r="W50" s="147"/>
      <c r="X50" s="190">
        <f>X46/'1501 Summary'!$Z$208</f>
        <v>75193.36028160296</v>
      </c>
      <c r="Y50" s="193"/>
      <c r="Z50" s="190">
        <f>Z46/'1501 Summary'!$AB$208</f>
        <v>52091.766855823793</v>
      </c>
    </row>
    <row r="51" spans="2:26" x14ac:dyDescent="0.25">
      <c r="B51" s="115">
        <v>47</v>
      </c>
      <c r="C51" s="141" t="s">
        <v>436</v>
      </c>
      <c r="D51" s="194">
        <f>SUM(D43:D46)/'1501 Summary'!F208</f>
        <v>182629.23319725922</v>
      </c>
      <c r="E51" s="194"/>
      <c r="F51" s="194">
        <f>SUM(F43:F46)/'1501 Summary'!H208</f>
        <v>193899.30562597391</v>
      </c>
      <c r="G51" s="194"/>
      <c r="H51" s="194">
        <f>SUM(H43:H46)/'1501 Summary'!J208</f>
        <v>168951.11509220072</v>
      </c>
      <c r="I51" s="194"/>
      <c r="J51" s="194">
        <f>SUM(J43:J46)/'1501 Summary'!L208</f>
        <v>178035.42129023583</v>
      </c>
      <c r="K51" s="194"/>
      <c r="L51" s="194">
        <f>SUM(L43:L46)/'1501 Summary'!N208</f>
        <v>148050.6230281305</v>
      </c>
      <c r="M51" s="194"/>
      <c r="N51" s="194">
        <f>SUM(N43:N46)/'1501 Summary'!P208</f>
        <v>153925.8689848418</v>
      </c>
      <c r="O51" s="194"/>
      <c r="P51" s="194">
        <f>SUM(P43:P46)/'1501 Summary'!R208</f>
        <v>146953.39783051593</v>
      </c>
      <c r="Q51" s="194"/>
      <c r="R51" s="194">
        <f>SUM(R43:R46)/'1501 Summary'!T208</f>
        <v>139020.54396892487</v>
      </c>
      <c r="S51" s="194"/>
      <c r="T51" s="194">
        <f>SUM(T43:T46)/'1501 Summary'!V208</f>
        <v>144757.99029699073</v>
      </c>
      <c r="U51" s="194"/>
      <c r="V51" s="194">
        <f>SUM(V43:V46)/'1501 Summary'!X208</f>
        <v>162893.63985340862</v>
      </c>
      <c r="W51" s="194"/>
      <c r="X51" s="194">
        <f>SUM(X43:X46)/'1501 Summary'!Z208</f>
        <v>176350.98095400381</v>
      </c>
      <c r="Y51" s="194"/>
      <c r="Z51" s="194">
        <f>SUM(Z43:Z46)/'1501 Summary'!AB208</f>
        <v>140263.46073878795</v>
      </c>
    </row>
    <row r="52" spans="2:26" x14ac:dyDescent="0.25">
      <c r="B52" s="115">
        <v>48</v>
      </c>
      <c r="C52" s="181" t="s">
        <v>464</v>
      </c>
      <c r="D52" s="121"/>
      <c r="E52" s="121"/>
      <c r="F52" s="120"/>
      <c r="G52" s="175"/>
      <c r="H52" s="176"/>
      <c r="I52" s="176"/>
      <c r="J52" s="177"/>
      <c r="K52" s="177"/>
      <c r="L52" s="176"/>
      <c r="M52" s="176"/>
      <c r="N52" s="176"/>
      <c r="O52" s="176"/>
      <c r="P52" s="177"/>
      <c r="Q52" s="177"/>
      <c r="R52" s="176"/>
      <c r="S52" s="176"/>
      <c r="T52" s="176"/>
      <c r="U52" s="176"/>
      <c r="V52" s="176"/>
      <c r="W52" s="176"/>
      <c r="X52" s="176"/>
      <c r="Y52" s="178"/>
      <c r="Z52" s="179"/>
    </row>
    <row r="53" spans="2:26" x14ac:dyDescent="0.25">
      <c r="B53" s="115">
        <v>49</v>
      </c>
      <c r="C53" s="119" t="s">
        <v>193</v>
      </c>
      <c r="D53" s="186">
        <f>'1501 Summary'!F323</f>
        <v>0</v>
      </c>
      <c r="E53" s="186"/>
      <c r="F53" s="186">
        <f>'1501 Summary'!H323</f>
        <v>0</v>
      </c>
      <c r="G53" s="186"/>
      <c r="H53" s="186">
        <f>'1501 Summary'!J323</f>
        <v>0</v>
      </c>
      <c r="I53" s="186"/>
      <c r="J53" s="186">
        <f>'1501 Summary'!L323</f>
        <v>0</v>
      </c>
      <c r="K53" s="186"/>
      <c r="L53" s="186">
        <f>'1501 Summary'!N323</f>
        <v>0</v>
      </c>
      <c r="M53" s="186"/>
      <c r="N53" s="186">
        <f>'1501 Summary'!P323</f>
        <v>0</v>
      </c>
      <c r="O53" s="186"/>
      <c r="P53" s="186">
        <f>'1501 Summary'!R323</f>
        <v>0</v>
      </c>
      <c r="Q53" s="186"/>
      <c r="R53" s="186">
        <f>'1501 Summary'!T323</f>
        <v>0</v>
      </c>
      <c r="S53" s="186"/>
      <c r="T53" s="186">
        <f>'1501 Summary'!V323</f>
        <v>0</v>
      </c>
      <c r="U53" s="186"/>
      <c r="V53" s="118">
        <f>'1501 Summary'!X323</f>
        <v>100000</v>
      </c>
      <c r="W53" s="118"/>
      <c r="X53" s="118">
        <f>'1501 Summary'!Z323</f>
        <v>100000</v>
      </c>
      <c r="Y53" s="118"/>
      <c r="Z53" s="118">
        <f>'1501 Summary'!AB323</f>
        <v>76766.085162258489</v>
      </c>
    </row>
    <row r="54" spans="2:26" x14ac:dyDescent="0.25">
      <c r="B54" s="115">
        <v>50</v>
      </c>
      <c r="C54" s="119" t="s">
        <v>155</v>
      </c>
      <c r="D54" s="186">
        <f>'1501 Summary'!F324</f>
        <v>0</v>
      </c>
      <c r="E54" s="186"/>
      <c r="F54" s="186">
        <f>'1501 Summary'!H324</f>
        <v>0</v>
      </c>
      <c r="G54" s="186"/>
      <c r="H54" s="186">
        <f>'1501 Summary'!J324</f>
        <v>0</v>
      </c>
      <c r="I54" s="186"/>
      <c r="J54" s="186">
        <f>'1501 Summary'!L324</f>
        <v>0</v>
      </c>
      <c r="K54" s="186"/>
      <c r="L54" s="186">
        <f>'1501 Summary'!N324</f>
        <v>0</v>
      </c>
      <c r="M54" s="186"/>
      <c r="N54" s="186">
        <f>'1501 Summary'!P324</f>
        <v>0</v>
      </c>
      <c r="O54" s="186"/>
      <c r="P54" s="186">
        <f>'1501 Summary'!R324</f>
        <v>0</v>
      </c>
      <c r="Q54" s="186"/>
      <c r="R54" s="186">
        <f>'1501 Summary'!T324</f>
        <v>0</v>
      </c>
      <c r="S54" s="186"/>
      <c r="T54" s="186">
        <f>'1501 Summary'!V324</f>
        <v>0</v>
      </c>
      <c r="U54" s="186"/>
      <c r="V54" s="118">
        <f>'1501 Summary'!X324</f>
        <v>200000.00000000003</v>
      </c>
      <c r="W54" s="118"/>
      <c r="X54" s="118">
        <f>'1501 Summary'!Z324</f>
        <v>200000.00000000003</v>
      </c>
      <c r="Y54" s="118"/>
      <c r="Z54" s="118">
        <f>'1501 Summary'!AB324</f>
        <v>0</v>
      </c>
    </row>
    <row r="55" spans="2:26" x14ac:dyDescent="0.25">
      <c r="B55" s="115">
        <v>51</v>
      </c>
      <c r="C55" s="119" t="s">
        <v>155</v>
      </c>
      <c r="D55" s="186">
        <f>'1501 Summary'!F325</f>
        <v>0</v>
      </c>
      <c r="E55" s="186"/>
      <c r="F55" s="186">
        <f>'1501 Summary'!H325</f>
        <v>0</v>
      </c>
      <c r="G55" s="186"/>
      <c r="H55" s="186">
        <f>'1501 Summary'!J325</f>
        <v>0</v>
      </c>
      <c r="I55" s="186"/>
      <c r="J55" s="186">
        <f>'1501 Summary'!L325</f>
        <v>0</v>
      </c>
      <c r="K55" s="186"/>
      <c r="L55" s="186">
        <f>'1501 Summary'!N325</f>
        <v>0</v>
      </c>
      <c r="M55" s="186"/>
      <c r="N55" s="186">
        <f>'1501 Summary'!P325</f>
        <v>0</v>
      </c>
      <c r="O55" s="186"/>
      <c r="P55" s="186">
        <f>'1501 Summary'!R325</f>
        <v>0</v>
      </c>
      <c r="Q55" s="186"/>
      <c r="R55" s="186">
        <f>'1501 Summary'!T325</f>
        <v>0</v>
      </c>
      <c r="S55" s="186"/>
      <c r="T55" s="186">
        <f>'1501 Summary'!V325</f>
        <v>0</v>
      </c>
      <c r="U55" s="186"/>
      <c r="V55" s="118">
        <f>'1501 Summary'!X325</f>
        <v>200000</v>
      </c>
      <c r="W55" s="118"/>
      <c r="X55" s="118">
        <f>'1501 Summary'!Z325</f>
        <v>200000</v>
      </c>
      <c r="Y55" s="118"/>
      <c r="Z55" s="118">
        <f>'1501 Summary'!AB325</f>
        <v>0</v>
      </c>
    </row>
    <row r="56" spans="2:26" x14ac:dyDescent="0.25">
      <c r="B56" s="115">
        <v>52</v>
      </c>
      <c r="C56" s="119" t="s">
        <v>156</v>
      </c>
      <c r="D56" s="186">
        <f>'1501 Summary'!F326</f>
        <v>0</v>
      </c>
      <c r="E56" s="186"/>
      <c r="F56" s="186">
        <f>'1501 Summary'!H326</f>
        <v>0</v>
      </c>
      <c r="G56" s="186"/>
      <c r="H56" s="186">
        <f>'1501 Summary'!J326</f>
        <v>0</v>
      </c>
      <c r="I56" s="186"/>
      <c r="J56" s="186">
        <f>'1501 Summary'!L326</f>
        <v>0</v>
      </c>
      <c r="K56" s="186"/>
      <c r="L56" s="186">
        <f>'1501 Summary'!N326</f>
        <v>0</v>
      </c>
      <c r="M56" s="186"/>
      <c r="N56" s="186">
        <f>'1501 Summary'!P326</f>
        <v>0</v>
      </c>
      <c r="O56" s="186"/>
      <c r="P56" s="186">
        <f>'1501 Summary'!R326</f>
        <v>0</v>
      </c>
      <c r="Q56" s="186"/>
      <c r="R56" s="186">
        <f>'1501 Summary'!T326</f>
        <v>0</v>
      </c>
      <c r="S56" s="186"/>
      <c r="T56" s="186">
        <f>'1501 Summary'!V326</f>
        <v>0</v>
      </c>
      <c r="U56" s="186"/>
      <c r="V56" s="118">
        <f>'1501 Summary'!X326</f>
        <v>14812916.37010676</v>
      </c>
      <c r="W56" s="118"/>
      <c r="X56" s="118">
        <f>'1501 Summary'!Z326</f>
        <v>7214309.6085409252</v>
      </c>
      <c r="Y56" s="118"/>
      <c r="Z56" s="118">
        <f>'1501 Summary'!AB326</f>
        <v>0</v>
      </c>
    </row>
    <row r="57" spans="2:26" x14ac:dyDescent="0.25">
      <c r="B57" s="115">
        <v>53</v>
      </c>
      <c r="C57" s="119" t="s">
        <v>431</v>
      </c>
      <c r="D57" s="186">
        <f>D53/'1501 Summary'!$F$320</f>
        <v>0</v>
      </c>
      <c r="E57" s="186"/>
      <c r="F57" s="186">
        <f>F53/'1501 Summary'!$H$320</f>
        <v>0</v>
      </c>
      <c r="G57" s="186"/>
      <c r="H57" s="186">
        <f>H53/'1501 Summary'!$J$320</f>
        <v>0</v>
      </c>
      <c r="I57" s="186"/>
      <c r="J57" s="186">
        <f>J53/'1501 Summary'!$L$320</f>
        <v>0</v>
      </c>
      <c r="K57" s="186"/>
      <c r="L57" s="186">
        <f>L53/'1501 Summary'!$N$320</f>
        <v>0</v>
      </c>
      <c r="M57" s="186"/>
      <c r="N57" s="186">
        <f>N53/'1501 Summary'!$P$320</f>
        <v>0</v>
      </c>
      <c r="O57" s="186"/>
      <c r="P57" s="186">
        <f>P53/'1501 Summary'!$R$320</f>
        <v>0</v>
      </c>
      <c r="Q57" s="186"/>
      <c r="R57" s="186">
        <f>R53/'1501 Summary'!$T$320</f>
        <v>0</v>
      </c>
      <c r="S57" s="186"/>
      <c r="T57" s="186">
        <f>T53/'1501 Summary'!$V$320</f>
        <v>0</v>
      </c>
      <c r="U57" s="186"/>
      <c r="V57" s="118">
        <f>V53/'1501 Summary'!$X$320</f>
        <v>50000</v>
      </c>
      <c r="W57" s="118"/>
      <c r="X57" s="118">
        <f>X53/'1501 Summary'!$Z$320</f>
        <v>50000</v>
      </c>
      <c r="Y57" s="118"/>
      <c r="Z57" s="118">
        <f>Z53/'1501 Summary'!$AB$320</f>
        <v>38383.042581129244</v>
      </c>
    </row>
    <row r="58" spans="2:26" x14ac:dyDescent="0.25">
      <c r="B58" s="115">
        <v>54</v>
      </c>
      <c r="C58" s="119" t="s">
        <v>432</v>
      </c>
      <c r="D58" s="186">
        <f>D54/'1501 Summary'!$F$320</f>
        <v>0</v>
      </c>
      <c r="E58" s="186"/>
      <c r="F58" s="186">
        <f>F54/'1501 Summary'!$H$320</f>
        <v>0</v>
      </c>
      <c r="G58" s="186"/>
      <c r="H58" s="186">
        <f>H54/'1501 Summary'!$J$320</f>
        <v>0</v>
      </c>
      <c r="I58" s="186"/>
      <c r="J58" s="186">
        <f>J54/'1501 Summary'!$L$320</f>
        <v>0</v>
      </c>
      <c r="K58" s="186"/>
      <c r="L58" s="186">
        <f>L54/'1501 Summary'!$N$320</f>
        <v>0</v>
      </c>
      <c r="M58" s="186"/>
      <c r="N58" s="186">
        <f>N54/'1501 Summary'!$P$320</f>
        <v>0</v>
      </c>
      <c r="O58" s="186"/>
      <c r="P58" s="186">
        <f>P54/'1501 Summary'!$R$320</f>
        <v>0</v>
      </c>
      <c r="Q58" s="186"/>
      <c r="R58" s="186">
        <f>R54/'1501 Summary'!$T$320</f>
        <v>0</v>
      </c>
      <c r="S58" s="186"/>
      <c r="T58" s="186">
        <f>T54/'1501 Summary'!$V$320</f>
        <v>0</v>
      </c>
      <c r="U58" s="186"/>
      <c r="V58" s="118">
        <f>V54/'1501 Summary'!$X$320</f>
        <v>100000.00000000001</v>
      </c>
      <c r="W58" s="118"/>
      <c r="X58" s="118">
        <f>X54/'1501 Summary'!$Z$320</f>
        <v>100000.00000000001</v>
      </c>
      <c r="Y58" s="118"/>
      <c r="Z58" s="118">
        <f>Z54/'1501 Summary'!$AB$320</f>
        <v>0</v>
      </c>
    </row>
    <row r="59" spans="2:26" x14ac:dyDescent="0.25">
      <c r="B59" s="115">
        <v>55</v>
      </c>
      <c r="C59" s="119" t="s">
        <v>432</v>
      </c>
      <c r="D59" s="186">
        <f>D55/'1501 Summary'!$F$320</f>
        <v>0</v>
      </c>
      <c r="E59" s="186"/>
      <c r="F59" s="186">
        <f>F55/'1501 Summary'!$H$320</f>
        <v>0</v>
      </c>
      <c r="G59" s="186"/>
      <c r="H59" s="186">
        <f>H55/'1501 Summary'!$J$320</f>
        <v>0</v>
      </c>
      <c r="I59" s="186"/>
      <c r="J59" s="186">
        <f>J55/'1501 Summary'!$L$320</f>
        <v>0</v>
      </c>
      <c r="K59" s="186"/>
      <c r="L59" s="186">
        <f>L55/'1501 Summary'!$N$320</f>
        <v>0</v>
      </c>
      <c r="M59" s="186"/>
      <c r="N59" s="186">
        <f>N55/'1501 Summary'!$P$320</f>
        <v>0</v>
      </c>
      <c r="O59" s="186"/>
      <c r="P59" s="186">
        <f>P55/'1501 Summary'!$R$320</f>
        <v>0</v>
      </c>
      <c r="Q59" s="186"/>
      <c r="R59" s="186">
        <f>R55/'1501 Summary'!$T$320</f>
        <v>0</v>
      </c>
      <c r="S59" s="186"/>
      <c r="T59" s="186">
        <f>T55/'1501 Summary'!$V$320</f>
        <v>0</v>
      </c>
      <c r="U59" s="186"/>
      <c r="V59" s="118">
        <f>V55/'1501 Summary'!$X$320</f>
        <v>100000</v>
      </c>
      <c r="W59" s="118"/>
      <c r="X59" s="118">
        <f>X55/'1501 Summary'!$Z$320</f>
        <v>100000</v>
      </c>
      <c r="Y59" s="118"/>
      <c r="Z59" s="118">
        <f>Z55/'1501 Summary'!$AB$320</f>
        <v>0</v>
      </c>
    </row>
    <row r="60" spans="2:26" x14ac:dyDescent="0.25">
      <c r="B60" s="115">
        <v>56</v>
      </c>
      <c r="C60" s="119" t="s">
        <v>433</v>
      </c>
      <c r="D60" s="186">
        <f>D56/'1501 Summary'!$F$320</f>
        <v>0</v>
      </c>
      <c r="E60" s="186"/>
      <c r="F60" s="186">
        <f>F56/'1501 Summary'!$H$320</f>
        <v>0</v>
      </c>
      <c r="G60" s="186"/>
      <c r="H60" s="186">
        <f>H56/'1501 Summary'!$J$320</f>
        <v>0</v>
      </c>
      <c r="I60" s="186"/>
      <c r="J60" s="186">
        <f>J56/'1501 Summary'!$L$320</f>
        <v>0</v>
      </c>
      <c r="K60" s="186"/>
      <c r="L60" s="186">
        <f>L56/'1501 Summary'!$N$320</f>
        <v>0</v>
      </c>
      <c r="M60" s="186"/>
      <c r="N60" s="186">
        <f>N56/'1501 Summary'!$P$320</f>
        <v>0</v>
      </c>
      <c r="O60" s="186"/>
      <c r="P60" s="186">
        <f>P56/'1501 Summary'!$R$320</f>
        <v>0</v>
      </c>
      <c r="Q60" s="186"/>
      <c r="R60" s="186">
        <f>R56/'1501 Summary'!$T$320</f>
        <v>0</v>
      </c>
      <c r="S60" s="186"/>
      <c r="T60" s="186">
        <f>T56/'1501 Summary'!$V$320</f>
        <v>0</v>
      </c>
      <c r="U60" s="186"/>
      <c r="V60" s="118">
        <f>V56/'1501 Summary'!$X$320</f>
        <v>7406458.1850533802</v>
      </c>
      <c r="W60" s="118"/>
      <c r="X60" s="118">
        <f>X56/'1501 Summary'!$Z$320</f>
        <v>3607154.8042704626</v>
      </c>
      <c r="Y60" s="118"/>
      <c r="Z60" s="118">
        <f>Z56/'1501 Summary'!$AB$320</f>
        <v>0</v>
      </c>
    </row>
    <row r="61" spans="2:26" x14ac:dyDescent="0.25">
      <c r="B61" s="115">
        <v>57</v>
      </c>
      <c r="C61" s="165" t="s">
        <v>437</v>
      </c>
      <c r="D61" s="185">
        <f>SUM(D53:D56)/'1501 Summary'!F320</f>
        <v>0</v>
      </c>
      <c r="E61" s="185"/>
      <c r="F61" s="185">
        <f>SUM(F53:F56)/'1501 Summary'!H320</f>
        <v>0</v>
      </c>
      <c r="G61" s="185"/>
      <c r="H61" s="185">
        <f>SUM(H53:H56)/'1501 Summary'!J320</f>
        <v>0</v>
      </c>
      <c r="I61" s="185"/>
      <c r="J61" s="185">
        <f>SUM(J53:J56)/'1501 Summary'!L320</f>
        <v>0</v>
      </c>
      <c r="K61" s="185"/>
      <c r="L61" s="185">
        <f>SUM(L53:L56)/'1501 Summary'!N320</f>
        <v>0</v>
      </c>
      <c r="M61" s="185"/>
      <c r="N61" s="185">
        <f>SUM(N53:N56)/'1501 Summary'!P320</f>
        <v>0</v>
      </c>
      <c r="O61" s="185"/>
      <c r="P61" s="185">
        <f>SUM(P53:P56)/'1501 Summary'!R320</f>
        <v>0</v>
      </c>
      <c r="Q61" s="185"/>
      <c r="R61" s="185">
        <f>SUM(R53:R56)/'1501 Summary'!T320</f>
        <v>0</v>
      </c>
      <c r="S61" s="185"/>
      <c r="T61" s="185">
        <f>SUM(T53:T56)/'1501 Summary'!V320</f>
        <v>0</v>
      </c>
      <c r="U61" s="185"/>
      <c r="V61" s="185">
        <f>SUM(V53:V56)/'1501 Summary'!X320</f>
        <v>7656458.1850533802</v>
      </c>
      <c r="W61" s="185"/>
      <c r="X61" s="185">
        <f>SUM(X53:X56)/'1501 Summary'!Z320</f>
        <v>3857154.8042704626</v>
      </c>
      <c r="Y61" s="185"/>
      <c r="Z61" s="185">
        <f>SUM(Z53:Z56)/'1501 Summary'!AB320</f>
        <v>38383.042581129244</v>
      </c>
    </row>
    <row r="62" spans="2:26" x14ac:dyDescent="0.25">
      <c r="B62" s="115">
        <v>59</v>
      </c>
      <c r="C62" s="165">
        <v>6632</v>
      </c>
      <c r="D62" s="121"/>
      <c r="E62" s="121"/>
      <c r="F62" s="120"/>
      <c r="G62" s="175"/>
      <c r="H62" s="176"/>
      <c r="I62" s="176"/>
      <c r="J62" s="177"/>
      <c r="K62" s="177"/>
      <c r="L62" s="176"/>
      <c r="M62" s="176"/>
      <c r="N62" s="176"/>
      <c r="O62" s="176"/>
      <c r="P62" s="177"/>
      <c r="Q62" s="177"/>
      <c r="R62" s="176"/>
      <c r="S62" s="176"/>
      <c r="T62" s="176"/>
      <c r="U62" s="176"/>
      <c r="V62" s="176"/>
      <c r="W62" s="176"/>
      <c r="X62" s="176"/>
      <c r="Y62" s="178"/>
      <c r="Z62" s="179"/>
    </row>
    <row r="63" spans="2:26" x14ac:dyDescent="0.25">
      <c r="B63" s="115">
        <v>60</v>
      </c>
      <c r="C63" s="119" t="s">
        <v>193</v>
      </c>
      <c r="D63" s="118">
        <f>'1501 Summary'!F239</f>
        <v>76410.99476439791</v>
      </c>
      <c r="E63" s="118"/>
      <c r="F63" s="118">
        <f>'1501 Summary'!H239</f>
        <v>79238.917975567194</v>
      </c>
      <c r="G63" s="118"/>
      <c r="H63" s="118">
        <f>'1501 Summary'!J239</f>
        <v>76054.973821989537</v>
      </c>
      <c r="I63" s="118"/>
      <c r="J63" s="118">
        <f>'1501 Summary'!L239</f>
        <v>73327.923211169298</v>
      </c>
      <c r="K63" s="118"/>
      <c r="L63" s="118">
        <f>'1501 Summary'!N239</f>
        <v>63863.001745200701</v>
      </c>
      <c r="M63" s="118"/>
      <c r="N63" s="118">
        <f>'1501 Summary'!P239</f>
        <v>57068.935427574179</v>
      </c>
      <c r="O63" s="118"/>
      <c r="P63" s="118">
        <f>'1501 Summary'!R239</f>
        <v>0</v>
      </c>
      <c r="Q63" s="118"/>
      <c r="R63" s="118">
        <f>'1501 Summary'!T239</f>
        <v>0</v>
      </c>
      <c r="S63" s="118"/>
      <c r="T63" s="118">
        <f>'1501 Summary'!V239</f>
        <v>0</v>
      </c>
      <c r="U63" s="118"/>
      <c r="V63" s="118">
        <f>'1501 Summary'!X239</f>
        <v>0</v>
      </c>
      <c r="W63" s="118"/>
      <c r="X63" s="118">
        <f>'1501 Summary'!Z239</f>
        <v>0</v>
      </c>
      <c r="Y63" s="118"/>
      <c r="Z63" s="118">
        <f>'1501 Summary'!AB239</f>
        <v>0</v>
      </c>
    </row>
    <row r="64" spans="2:26" x14ac:dyDescent="0.25">
      <c r="B64" s="115">
        <v>61</v>
      </c>
      <c r="C64" s="119" t="s">
        <v>431</v>
      </c>
      <c r="D64" s="118">
        <f>D63/'1501 Summary'!F237</f>
        <v>76410.99476439791</v>
      </c>
      <c r="E64" s="118"/>
      <c r="F64" s="118">
        <f>F63/'1501 Summary'!H237</f>
        <v>79238.917975567194</v>
      </c>
      <c r="G64" s="118"/>
      <c r="H64" s="118">
        <f>H63/'1501 Summary'!J237</f>
        <v>76054.973821989537</v>
      </c>
      <c r="I64" s="118"/>
      <c r="J64" s="118">
        <f>J63/'1501 Summary'!L237</f>
        <v>73327.923211169298</v>
      </c>
      <c r="K64" s="118"/>
      <c r="L64" s="118">
        <f>L63/'1501 Summary'!N237</f>
        <v>63863.001745200701</v>
      </c>
      <c r="M64" s="118"/>
      <c r="N64" s="118">
        <f>N63/'1501 Summary'!P237</f>
        <v>57068.935427574179</v>
      </c>
      <c r="O64" s="118"/>
      <c r="P64" s="118">
        <v>0</v>
      </c>
      <c r="Q64" s="118"/>
      <c r="R64" s="118">
        <v>0</v>
      </c>
      <c r="S64" s="118"/>
      <c r="T64" s="118">
        <v>0</v>
      </c>
      <c r="U64" s="118"/>
      <c r="V64" s="118">
        <v>0</v>
      </c>
      <c r="W64" s="118"/>
      <c r="X64" s="118">
        <v>0</v>
      </c>
      <c r="Y64" s="118"/>
      <c r="Z64" s="118">
        <v>0</v>
      </c>
    </row>
    <row r="65" spans="2:26" x14ac:dyDescent="0.25">
      <c r="B65" s="115">
        <v>62</v>
      </c>
      <c r="C65" s="165" t="s">
        <v>434</v>
      </c>
      <c r="D65" s="167">
        <f>D64</f>
        <v>76410.99476439791</v>
      </c>
      <c r="E65" s="167"/>
      <c r="F65" s="167">
        <f t="shared" ref="F65:Z65" si="2">F64</f>
        <v>79238.917975567194</v>
      </c>
      <c r="G65" s="167"/>
      <c r="H65" s="167">
        <f t="shared" si="2"/>
        <v>76054.973821989537</v>
      </c>
      <c r="I65" s="167"/>
      <c r="J65" s="167">
        <f t="shared" si="2"/>
        <v>73327.923211169298</v>
      </c>
      <c r="K65" s="167"/>
      <c r="L65" s="167">
        <f t="shared" si="2"/>
        <v>63863.001745200701</v>
      </c>
      <c r="M65" s="167"/>
      <c r="N65" s="167">
        <f t="shared" si="2"/>
        <v>57068.935427574179</v>
      </c>
      <c r="O65" s="167"/>
      <c r="P65" s="167">
        <f t="shared" si="2"/>
        <v>0</v>
      </c>
      <c r="Q65" s="167"/>
      <c r="R65" s="167">
        <f t="shared" si="2"/>
        <v>0</v>
      </c>
      <c r="S65" s="167"/>
      <c r="T65" s="167">
        <f t="shared" si="2"/>
        <v>0</v>
      </c>
      <c r="U65" s="167"/>
      <c r="V65" s="167">
        <f t="shared" si="2"/>
        <v>0</v>
      </c>
      <c r="W65" s="167"/>
      <c r="X65" s="167">
        <f t="shared" si="2"/>
        <v>0</v>
      </c>
      <c r="Y65" s="167"/>
      <c r="Z65" s="167">
        <f t="shared" si="2"/>
        <v>0</v>
      </c>
    </row>
    <row r="66" spans="2:26" x14ac:dyDescent="0.25">
      <c r="B66" s="115">
        <v>63</v>
      </c>
      <c r="C66" s="165">
        <v>6633</v>
      </c>
      <c r="D66" s="118"/>
      <c r="E66" s="118"/>
      <c r="F66" s="118"/>
      <c r="G66" s="198"/>
      <c r="H66" s="199"/>
      <c r="I66" s="199"/>
      <c r="J66" s="199"/>
      <c r="K66" s="199"/>
      <c r="L66" s="199"/>
      <c r="M66" s="199"/>
      <c r="N66" s="199"/>
      <c r="O66" s="199"/>
      <c r="P66" s="199"/>
      <c r="Q66" s="199"/>
      <c r="R66" s="199"/>
      <c r="S66" s="199"/>
      <c r="T66" s="199"/>
      <c r="U66" s="199"/>
      <c r="V66" s="199"/>
      <c r="W66" s="199"/>
      <c r="X66" s="199"/>
      <c r="Y66" s="200"/>
      <c r="Z66" s="201"/>
    </row>
    <row r="67" spans="2:26" x14ac:dyDescent="0.25">
      <c r="B67" s="115">
        <v>64</v>
      </c>
      <c r="C67" s="119" t="s">
        <v>193</v>
      </c>
      <c r="D67" s="118">
        <f>'1501 Summary'!F343</f>
        <v>100000</v>
      </c>
      <c r="E67" s="118"/>
      <c r="F67" s="118">
        <f>'1501 Summary'!H343</f>
        <v>12758.987783595116</v>
      </c>
      <c r="G67" s="118"/>
      <c r="H67" s="118">
        <f>'1501 Summary'!J343</f>
        <v>100000</v>
      </c>
      <c r="I67" s="118"/>
      <c r="J67" s="118">
        <f>'1501 Summary'!L343</f>
        <v>100000</v>
      </c>
      <c r="K67" s="118"/>
      <c r="L67" s="118">
        <f>'1501 Summary'!N343</f>
        <v>100000</v>
      </c>
      <c r="M67" s="118"/>
      <c r="N67" s="118">
        <f>'1501 Summary'!P343</f>
        <v>100000</v>
      </c>
      <c r="O67" s="118"/>
      <c r="P67" s="118">
        <f>'1501 Summary'!R343</f>
        <v>100000</v>
      </c>
      <c r="Q67" s="118"/>
      <c r="R67" s="118">
        <f>'1501 Summary'!T343</f>
        <v>100000</v>
      </c>
      <c r="S67" s="118"/>
      <c r="T67" s="118">
        <f>'1501 Summary'!V343</f>
        <v>100000</v>
      </c>
      <c r="U67" s="118"/>
      <c r="V67" s="118">
        <f>'1501 Summary'!X343</f>
        <v>100000</v>
      </c>
      <c r="W67" s="118"/>
      <c r="X67" s="118">
        <f>'1501 Summary'!Z343</f>
        <v>100000</v>
      </c>
      <c r="Y67" s="118"/>
      <c r="Z67" s="118">
        <f>'1501 Summary'!AB343</f>
        <v>28205.027199399734</v>
      </c>
    </row>
    <row r="68" spans="2:26" x14ac:dyDescent="0.25">
      <c r="B68" s="115">
        <v>65</v>
      </c>
      <c r="C68" s="119" t="s">
        <v>155</v>
      </c>
      <c r="D68" s="118">
        <f>'1501 Summary'!F344</f>
        <v>200000</v>
      </c>
      <c r="E68" s="118"/>
      <c r="F68" s="118">
        <f>'1501 Summary'!H344</f>
        <v>0</v>
      </c>
      <c r="G68" s="118"/>
      <c r="H68" s="118">
        <f>'1501 Summary'!J344</f>
        <v>200000</v>
      </c>
      <c r="I68" s="118"/>
      <c r="J68" s="118">
        <f>'1501 Summary'!L344</f>
        <v>200000</v>
      </c>
      <c r="K68" s="118"/>
      <c r="L68" s="118">
        <f>'1501 Summary'!N344</f>
        <v>200000</v>
      </c>
      <c r="M68" s="118"/>
      <c r="N68" s="118">
        <f>'1501 Summary'!P344</f>
        <v>200000</v>
      </c>
      <c r="O68" s="118"/>
      <c r="P68" s="118">
        <f>'1501 Summary'!R344</f>
        <v>200000</v>
      </c>
      <c r="Q68" s="118"/>
      <c r="R68" s="118">
        <f>'1501 Summary'!T344</f>
        <v>200000</v>
      </c>
      <c r="S68" s="118"/>
      <c r="T68" s="118">
        <f>'1501 Summary'!V344</f>
        <v>200000.00000000003</v>
      </c>
      <c r="U68" s="118"/>
      <c r="V68" s="118">
        <f>'1501 Summary'!X344</f>
        <v>200000.00000000003</v>
      </c>
      <c r="W68" s="118"/>
      <c r="X68" s="118">
        <f>'1501 Summary'!Z344</f>
        <v>200000.00000000003</v>
      </c>
      <c r="Y68" s="118"/>
      <c r="Z68" s="118">
        <f>'1501 Summary'!AB344</f>
        <v>0</v>
      </c>
    </row>
    <row r="69" spans="2:26" x14ac:dyDescent="0.25">
      <c r="B69" s="115">
        <v>66</v>
      </c>
      <c r="C69" s="119" t="s">
        <v>155</v>
      </c>
      <c r="D69" s="118">
        <f>'1501 Summary'!F345</f>
        <v>200000</v>
      </c>
      <c r="E69" s="118"/>
      <c r="F69" s="118">
        <f>'1501 Summary'!H345</f>
        <v>0</v>
      </c>
      <c r="G69" s="118"/>
      <c r="H69" s="118">
        <f>'1501 Summary'!J345</f>
        <v>200000</v>
      </c>
      <c r="I69" s="118"/>
      <c r="J69" s="118">
        <f>'1501 Summary'!L345</f>
        <v>200000</v>
      </c>
      <c r="K69" s="118"/>
      <c r="L69" s="118">
        <f>'1501 Summary'!N345</f>
        <v>200000</v>
      </c>
      <c r="M69" s="118"/>
      <c r="N69" s="118">
        <f>'1501 Summary'!P345</f>
        <v>200000</v>
      </c>
      <c r="O69" s="118"/>
      <c r="P69" s="118">
        <f>'1501 Summary'!R345</f>
        <v>27896.377422072452</v>
      </c>
      <c r="Q69" s="118"/>
      <c r="R69" s="118">
        <f>'1501 Summary'!T345</f>
        <v>200000</v>
      </c>
      <c r="S69" s="118"/>
      <c r="T69" s="118">
        <f>'1501 Summary'!V345</f>
        <v>200000</v>
      </c>
      <c r="U69" s="118"/>
      <c r="V69" s="118">
        <f>'1501 Summary'!X345</f>
        <v>200000</v>
      </c>
      <c r="W69" s="118"/>
      <c r="X69" s="118">
        <f>'1501 Summary'!Z345</f>
        <v>200000</v>
      </c>
      <c r="Y69" s="118"/>
      <c r="Z69" s="118">
        <f>'1501 Summary'!AB345</f>
        <v>0</v>
      </c>
    </row>
    <row r="70" spans="2:26" x14ac:dyDescent="0.25">
      <c r="B70" s="115">
        <v>67</v>
      </c>
      <c r="C70" s="119" t="s">
        <v>156</v>
      </c>
      <c r="D70" s="118">
        <f>'1501 Summary'!F346</f>
        <v>5135114.1732283467</v>
      </c>
      <c r="E70" s="118"/>
      <c r="F70" s="118">
        <f>'1501 Summary'!H346</f>
        <v>0</v>
      </c>
      <c r="G70" s="118"/>
      <c r="H70" s="118">
        <f>'1501 Summary'!J346</f>
        <v>1444464.5669291338</v>
      </c>
      <c r="I70" s="118"/>
      <c r="J70" s="118">
        <f>'1501 Summary'!L346</f>
        <v>760897.63779527554</v>
      </c>
      <c r="K70" s="118"/>
      <c r="L70" s="118">
        <f>'1501 Summary'!N346</f>
        <v>1154492.1259842517</v>
      </c>
      <c r="M70" s="118"/>
      <c r="N70" s="118">
        <f>'1501 Summary'!P346</f>
        <v>1342852.3622047242</v>
      </c>
      <c r="O70" s="118"/>
      <c r="P70" s="118">
        <f>'1501 Summary'!R346</f>
        <v>0</v>
      </c>
      <c r="Q70" s="118"/>
      <c r="R70" s="118">
        <f>'1501 Summary'!T346</f>
        <v>12780978.346456693</v>
      </c>
      <c r="S70" s="118"/>
      <c r="T70" s="118">
        <f>'1501 Summary'!V346</f>
        <v>12262544.483985765</v>
      </c>
      <c r="U70" s="118"/>
      <c r="V70" s="118">
        <f>'1501 Summary'!X346</f>
        <v>13881026.690391459</v>
      </c>
      <c r="W70" s="118"/>
      <c r="X70" s="118">
        <f>'1501 Summary'!Z346</f>
        <v>3534081.8505338081</v>
      </c>
      <c r="Y70" s="118"/>
      <c r="Z70" s="118">
        <f>'1501 Summary'!AB346</f>
        <v>0</v>
      </c>
    </row>
    <row r="71" spans="2:26" x14ac:dyDescent="0.25">
      <c r="B71" s="115">
        <v>68</v>
      </c>
      <c r="C71" s="119" t="s">
        <v>431</v>
      </c>
      <c r="D71" s="118">
        <f>D67/'1501 Summary'!$F$340</f>
        <v>100000</v>
      </c>
      <c r="E71" s="118"/>
      <c r="F71" s="118">
        <f>F67/'1501 Summary'!$F$340</f>
        <v>12758.987783595116</v>
      </c>
      <c r="G71" s="118"/>
      <c r="H71" s="118">
        <f>H67/'1501 Summary'!$F$340</f>
        <v>100000</v>
      </c>
      <c r="I71" s="118"/>
      <c r="J71" s="118">
        <f>J67/'1501 Summary'!$F$340</f>
        <v>100000</v>
      </c>
      <c r="K71" s="118"/>
      <c r="L71" s="118">
        <f>L67/'1501 Summary'!$F$340</f>
        <v>100000</v>
      </c>
      <c r="M71" s="118"/>
      <c r="N71" s="118">
        <f>N67/'1501 Summary'!$F$340</f>
        <v>100000</v>
      </c>
      <c r="O71" s="118"/>
      <c r="P71" s="118">
        <f>P67/'1501 Summary'!$F$340</f>
        <v>100000</v>
      </c>
      <c r="Q71" s="118"/>
      <c r="R71" s="118">
        <f>R67/'1501 Summary'!$F$340</f>
        <v>100000</v>
      </c>
      <c r="S71" s="118"/>
      <c r="T71" s="118">
        <f>T67/'1501 Summary'!$F$340</f>
        <v>100000</v>
      </c>
      <c r="U71" s="118"/>
      <c r="V71" s="118">
        <f>V67/'1501 Summary'!$F$340</f>
        <v>100000</v>
      </c>
      <c r="W71" s="118"/>
      <c r="X71" s="118">
        <f>X67/'1501 Summary'!$F$340</f>
        <v>100000</v>
      </c>
      <c r="Y71" s="118"/>
      <c r="Z71" s="118">
        <f>Z67/'1501 Summary'!$F$340</f>
        <v>28205.027199399734</v>
      </c>
    </row>
    <row r="72" spans="2:26" x14ac:dyDescent="0.25">
      <c r="B72" s="115">
        <v>69</v>
      </c>
      <c r="C72" s="119" t="s">
        <v>432</v>
      </c>
      <c r="D72" s="118">
        <f>D68/'1501 Summary'!$F$340</f>
        <v>200000</v>
      </c>
      <c r="E72" s="118"/>
      <c r="F72" s="118">
        <f>F68/'1501 Summary'!$F$340</f>
        <v>0</v>
      </c>
      <c r="G72" s="118"/>
      <c r="H72" s="118">
        <f>H68/'1501 Summary'!$F$340</f>
        <v>200000</v>
      </c>
      <c r="I72" s="118"/>
      <c r="J72" s="118">
        <f>J68/'1501 Summary'!$F$340</f>
        <v>200000</v>
      </c>
      <c r="K72" s="118"/>
      <c r="L72" s="118">
        <f>L68/'1501 Summary'!$F$340</f>
        <v>200000</v>
      </c>
      <c r="M72" s="118"/>
      <c r="N72" s="118">
        <f>N68/'1501 Summary'!$F$340</f>
        <v>200000</v>
      </c>
      <c r="O72" s="118"/>
      <c r="P72" s="118">
        <f>P68/'1501 Summary'!$F$340</f>
        <v>200000</v>
      </c>
      <c r="Q72" s="118"/>
      <c r="R72" s="118">
        <f>R68/'1501 Summary'!$F$340</f>
        <v>200000</v>
      </c>
      <c r="S72" s="118"/>
      <c r="T72" s="118">
        <f>T68/'1501 Summary'!$F$340</f>
        <v>200000.00000000003</v>
      </c>
      <c r="U72" s="118"/>
      <c r="V72" s="118">
        <f>V68/'1501 Summary'!$F$340</f>
        <v>200000.00000000003</v>
      </c>
      <c r="W72" s="118"/>
      <c r="X72" s="118">
        <f>X68/'1501 Summary'!$F$340</f>
        <v>200000.00000000003</v>
      </c>
      <c r="Y72" s="118"/>
      <c r="Z72" s="118">
        <f>Z68/'1501 Summary'!$F$340</f>
        <v>0</v>
      </c>
    </row>
    <row r="73" spans="2:26" x14ac:dyDescent="0.25">
      <c r="B73" s="115">
        <v>70</v>
      </c>
      <c r="C73" s="119" t="s">
        <v>432</v>
      </c>
      <c r="D73" s="118">
        <f>D69/'1501 Summary'!$F$340</f>
        <v>200000</v>
      </c>
      <c r="E73" s="118"/>
      <c r="F73" s="118">
        <f>F69/'1501 Summary'!$F$340</f>
        <v>0</v>
      </c>
      <c r="G73" s="118"/>
      <c r="H73" s="118">
        <f>H69/'1501 Summary'!$F$340</f>
        <v>200000</v>
      </c>
      <c r="I73" s="118"/>
      <c r="J73" s="118">
        <f>J69/'1501 Summary'!$F$340</f>
        <v>200000</v>
      </c>
      <c r="K73" s="118"/>
      <c r="L73" s="118">
        <f>L69/'1501 Summary'!$F$340</f>
        <v>200000</v>
      </c>
      <c r="M73" s="118"/>
      <c r="N73" s="118">
        <f>N69/'1501 Summary'!$F$340</f>
        <v>200000</v>
      </c>
      <c r="O73" s="118"/>
      <c r="P73" s="118">
        <f>P69/'1501 Summary'!$F$340</f>
        <v>27896.377422072452</v>
      </c>
      <c r="Q73" s="118"/>
      <c r="R73" s="118">
        <f>R69/'1501 Summary'!$F$340</f>
        <v>200000</v>
      </c>
      <c r="S73" s="118"/>
      <c r="T73" s="118">
        <f>T69/'1501 Summary'!$F$340</f>
        <v>200000</v>
      </c>
      <c r="U73" s="118"/>
      <c r="V73" s="118">
        <f>V69/'1501 Summary'!$F$340</f>
        <v>200000</v>
      </c>
      <c r="W73" s="118"/>
      <c r="X73" s="118">
        <f>X69/'1501 Summary'!$F$340</f>
        <v>200000</v>
      </c>
      <c r="Y73" s="118"/>
      <c r="Z73" s="118">
        <f>Z69/'1501 Summary'!$F$340</f>
        <v>0</v>
      </c>
    </row>
    <row r="74" spans="2:26" x14ac:dyDescent="0.25">
      <c r="B74" s="115">
        <v>71</v>
      </c>
      <c r="C74" s="119" t="s">
        <v>433</v>
      </c>
      <c r="D74" s="118">
        <f>D70/'1501 Summary'!$F$340</f>
        <v>5135114.1732283467</v>
      </c>
      <c r="E74" s="118"/>
      <c r="F74" s="118">
        <f>F70/'1501 Summary'!$F$340</f>
        <v>0</v>
      </c>
      <c r="G74" s="118"/>
      <c r="H74" s="118">
        <f>H70/'1501 Summary'!$F$340</f>
        <v>1444464.5669291338</v>
      </c>
      <c r="I74" s="118"/>
      <c r="J74" s="118">
        <f>J70/'1501 Summary'!$F$340</f>
        <v>760897.63779527554</v>
      </c>
      <c r="K74" s="118"/>
      <c r="L74" s="118">
        <f>L70/'1501 Summary'!$F$340</f>
        <v>1154492.1259842517</v>
      </c>
      <c r="M74" s="118"/>
      <c r="N74" s="118">
        <f>N70/'1501 Summary'!$F$340</f>
        <v>1342852.3622047242</v>
      </c>
      <c r="O74" s="118"/>
      <c r="P74" s="118">
        <f>P70/'1501 Summary'!$F$340</f>
        <v>0</v>
      </c>
      <c r="Q74" s="118"/>
      <c r="R74" s="118">
        <f>R70/'1501 Summary'!$F$340</f>
        <v>12780978.346456693</v>
      </c>
      <c r="S74" s="118"/>
      <c r="T74" s="118">
        <f>T70/'1501 Summary'!$F$340</f>
        <v>12262544.483985765</v>
      </c>
      <c r="U74" s="118"/>
      <c r="V74" s="118">
        <f>V70/'1501 Summary'!$F$340</f>
        <v>13881026.690391459</v>
      </c>
      <c r="W74" s="118"/>
      <c r="X74" s="118">
        <f>X70/'1501 Summary'!$F$340</f>
        <v>3534081.8505338081</v>
      </c>
      <c r="Y74" s="118"/>
      <c r="Z74" s="118">
        <f>Z70/'1501 Summary'!$F$340</f>
        <v>0</v>
      </c>
    </row>
    <row r="75" spans="2:26" x14ac:dyDescent="0.25">
      <c r="B75" s="115">
        <v>72</v>
      </c>
      <c r="C75" s="165" t="s">
        <v>438</v>
      </c>
      <c r="D75" s="167">
        <f>SUM(D71:D74)</f>
        <v>5635114.1732283467</v>
      </c>
      <c r="E75" s="167"/>
      <c r="F75" s="167">
        <f t="shared" ref="F75:Z75" si="3">SUM(F71:F74)</f>
        <v>12758.987783595116</v>
      </c>
      <c r="G75" s="167"/>
      <c r="H75" s="167">
        <f t="shared" si="3"/>
        <v>1944464.5669291338</v>
      </c>
      <c r="I75" s="167"/>
      <c r="J75" s="167">
        <f t="shared" si="3"/>
        <v>1260897.6377952755</v>
      </c>
      <c r="K75" s="167"/>
      <c r="L75" s="167">
        <f t="shared" si="3"/>
        <v>1654492.1259842517</v>
      </c>
      <c r="M75" s="167"/>
      <c r="N75" s="167">
        <f t="shared" si="3"/>
        <v>1842852.3622047242</v>
      </c>
      <c r="O75" s="167"/>
      <c r="P75" s="167">
        <f t="shared" si="3"/>
        <v>327896.37742207246</v>
      </c>
      <c r="Q75" s="167"/>
      <c r="R75" s="167">
        <f t="shared" si="3"/>
        <v>13280978.346456693</v>
      </c>
      <c r="S75" s="167"/>
      <c r="T75" s="167">
        <f t="shared" si="3"/>
        <v>12762544.483985765</v>
      </c>
      <c r="U75" s="167"/>
      <c r="V75" s="167">
        <f t="shared" si="3"/>
        <v>14381026.690391459</v>
      </c>
      <c r="W75" s="167"/>
      <c r="X75" s="167">
        <f t="shared" si="3"/>
        <v>4034081.8505338081</v>
      </c>
      <c r="Y75" s="167"/>
      <c r="Z75" s="167">
        <f t="shared" si="3"/>
        <v>28205.027199399734</v>
      </c>
    </row>
    <row r="76" spans="2:26" x14ac:dyDescent="0.25">
      <c r="B76" s="115">
        <v>73</v>
      </c>
      <c r="C76" s="165">
        <v>6635</v>
      </c>
      <c r="D76" s="121"/>
      <c r="E76" s="121"/>
      <c r="F76" s="120"/>
      <c r="G76" s="175"/>
      <c r="H76" s="176"/>
      <c r="I76" s="176"/>
      <c r="J76" s="177"/>
      <c r="K76" s="177"/>
      <c r="L76" s="176"/>
      <c r="M76" s="176"/>
      <c r="N76" s="176"/>
      <c r="O76" s="176"/>
      <c r="P76" s="177"/>
      <c r="Q76" s="177"/>
      <c r="R76" s="176"/>
      <c r="S76" s="176"/>
      <c r="T76" s="176"/>
      <c r="U76" s="176"/>
      <c r="V76" s="176"/>
      <c r="W76" s="176"/>
      <c r="X76" s="176"/>
      <c r="Y76" s="178"/>
      <c r="Z76" s="179"/>
    </row>
    <row r="77" spans="2:26" x14ac:dyDescent="0.25">
      <c r="B77" s="115">
        <v>74</v>
      </c>
      <c r="C77" s="119" t="s">
        <v>193</v>
      </c>
      <c r="D77" s="118">
        <f>'1501 Summary'!F361</f>
        <v>100000</v>
      </c>
      <c r="E77" s="118"/>
      <c r="F77" s="118">
        <f>'1501 Summary'!H361</f>
        <v>100000</v>
      </c>
      <c r="G77" s="118"/>
      <c r="H77" s="118">
        <f>'1501 Summary'!J361</f>
        <v>100000</v>
      </c>
      <c r="I77" s="118"/>
      <c r="J77" s="118">
        <f>'1501 Summary'!L361</f>
        <v>100000</v>
      </c>
      <c r="K77" s="118"/>
      <c r="L77" s="118">
        <f>'1501 Summary'!N361</f>
        <v>100000</v>
      </c>
      <c r="M77" s="118"/>
      <c r="N77" s="118">
        <f>'1501 Summary'!P361</f>
        <v>100000</v>
      </c>
      <c r="O77" s="118"/>
      <c r="P77" s="118">
        <f>'1501 Summary'!R361</f>
        <v>100000</v>
      </c>
      <c r="Q77" s="118"/>
      <c r="R77" s="118">
        <f>'1501 Summary'!T361</f>
        <v>100000</v>
      </c>
      <c r="S77" s="118"/>
      <c r="T77" s="118">
        <f>'1501 Summary'!V361</f>
        <v>100000</v>
      </c>
      <c r="U77" s="118"/>
      <c r="V77" s="118">
        <f>'1501 Summary'!X361</f>
        <v>100000</v>
      </c>
      <c r="W77" s="118"/>
      <c r="X77" s="118">
        <f>'1501 Summary'!Z361</f>
        <v>100000</v>
      </c>
      <c r="Y77" s="118"/>
      <c r="Z77" s="118">
        <f>'1501 Summary'!AB361</f>
        <v>33897.955355468017</v>
      </c>
    </row>
    <row r="78" spans="2:26" x14ac:dyDescent="0.25">
      <c r="B78" s="115">
        <v>75</v>
      </c>
      <c r="C78" s="119" t="s">
        <v>155</v>
      </c>
      <c r="D78" s="118">
        <f>'1501 Summary'!F362</f>
        <v>200000</v>
      </c>
      <c r="E78" s="118"/>
      <c r="F78" s="118">
        <f>'1501 Summary'!H362</f>
        <v>34610.973801285218</v>
      </c>
      <c r="G78" s="118"/>
      <c r="H78" s="118">
        <f>'1501 Summary'!J362</f>
        <v>200000</v>
      </c>
      <c r="I78" s="118"/>
      <c r="J78" s="118">
        <f>'1501 Summary'!L362</f>
        <v>87639.149777558079</v>
      </c>
      <c r="K78" s="118"/>
      <c r="L78" s="118">
        <f>'1501 Summary'!N362</f>
        <v>82521.008403361338</v>
      </c>
      <c r="M78" s="118"/>
      <c r="N78" s="118">
        <f>'1501 Summary'!P362</f>
        <v>200000</v>
      </c>
      <c r="O78" s="118"/>
      <c r="P78" s="118">
        <f>'1501 Summary'!R362</f>
        <v>200000</v>
      </c>
      <c r="Q78" s="118"/>
      <c r="R78" s="118">
        <f>'1501 Summary'!T362</f>
        <v>200000</v>
      </c>
      <c r="S78" s="118"/>
      <c r="T78" s="118">
        <f>'1501 Summary'!V362</f>
        <v>200000.00000000003</v>
      </c>
      <c r="U78" s="118"/>
      <c r="V78" s="118">
        <f>'1501 Summary'!X362</f>
        <v>200000.00000000003</v>
      </c>
      <c r="W78" s="118"/>
      <c r="X78" s="118">
        <f>'1501 Summary'!Z362</f>
        <v>200000.00000000003</v>
      </c>
      <c r="Y78" s="118"/>
      <c r="Z78" s="118">
        <f>'1501 Summary'!AB362</f>
        <v>0</v>
      </c>
    </row>
    <row r="79" spans="2:26" x14ac:dyDescent="0.25">
      <c r="B79" s="115">
        <v>76</v>
      </c>
      <c r="C79" s="119" t="s">
        <v>155</v>
      </c>
      <c r="D79" s="118">
        <f>'1501 Summary'!F363</f>
        <v>200000</v>
      </c>
      <c r="E79" s="118"/>
      <c r="F79" s="118">
        <f>'1501 Summary'!H363</f>
        <v>0</v>
      </c>
      <c r="G79" s="118"/>
      <c r="H79" s="118">
        <f>'1501 Summary'!J363</f>
        <v>200000</v>
      </c>
      <c r="I79" s="118"/>
      <c r="J79" s="118">
        <f>'1501 Summary'!L363</f>
        <v>0</v>
      </c>
      <c r="K79" s="118"/>
      <c r="L79" s="118">
        <f>'1501 Summary'!N363</f>
        <v>0</v>
      </c>
      <c r="M79" s="118"/>
      <c r="N79" s="118">
        <f>'1501 Summary'!P363</f>
        <v>19310.867733782645</v>
      </c>
      <c r="O79" s="118"/>
      <c r="P79" s="118">
        <f>'1501 Summary'!R363</f>
        <v>200000</v>
      </c>
      <c r="Q79" s="118"/>
      <c r="R79" s="118">
        <f>'1501 Summary'!T363</f>
        <v>200000</v>
      </c>
      <c r="S79" s="118"/>
      <c r="T79" s="118">
        <f>'1501 Summary'!V363</f>
        <v>200000</v>
      </c>
      <c r="U79" s="118"/>
      <c r="V79" s="118">
        <f>'1501 Summary'!X363</f>
        <v>200000</v>
      </c>
      <c r="W79" s="118"/>
      <c r="X79" s="118">
        <f>'1501 Summary'!Z363</f>
        <v>200000</v>
      </c>
      <c r="Y79" s="118"/>
      <c r="Z79" s="118">
        <f>'1501 Summary'!AB363</f>
        <v>0</v>
      </c>
    </row>
    <row r="80" spans="2:26" x14ac:dyDescent="0.25">
      <c r="B80" s="115">
        <v>77</v>
      </c>
      <c r="C80" s="119" t="s">
        <v>156</v>
      </c>
      <c r="D80" s="118">
        <f>'1501 Summary'!F364</f>
        <v>166978.3464566929</v>
      </c>
      <c r="E80" s="118"/>
      <c r="F80" s="118">
        <f>'1501 Summary'!H364</f>
        <v>0</v>
      </c>
      <c r="G80" s="118"/>
      <c r="H80" s="118">
        <f>'1501 Summary'!J364</f>
        <v>181952.75590551182</v>
      </c>
      <c r="I80" s="118"/>
      <c r="J80" s="118">
        <f>'1501 Summary'!L364</f>
        <v>0</v>
      </c>
      <c r="K80" s="118"/>
      <c r="L80" s="118">
        <f>'1501 Summary'!N364</f>
        <v>0</v>
      </c>
      <c r="M80" s="118"/>
      <c r="N80" s="118">
        <f>'1501 Summary'!P364</f>
        <v>0</v>
      </c>
      <c r="O80" s="118"/>
      <c r="P80" s="118">
        <f>'1501 Summary'!R364</f>
        <v>486358.26771653548</v>
      </c>
      <c r="Q80" s="118"/>
      <c r="R80" s="118">
        <f>'1501 Summary'!T364</f>
        <v>4705433.0708661415</v>
      </c>
      <c r="S80" s="118"/>
      <c r="T80" s="118">
        <f>'1501 Summary'!V364</f>
        <v>4793485.7651245547</v>
      </c>
      <c r="U80" s="118"/>
      <c r="V80" s="118">
        <f>'1501 Summary'!X364</f>
        <v>1580893.2384341639</v>
      </c>
      <c r="W80" s="118"/>
      <c r="X80" s="118">
        <f>'1501 Summary'!Z364</f>
        <v>1501542.7046263346</v>
      </c>
      <c r="Y80" s="118"/>
      <c r="Z80" s="118">
        <f>'1501 Summary'!AB364</f>
        <v>0</v>
      </c>
    </row>
    <row r="81" spans="2:26" x14ac:dyDescent="0.25">
      <c r="B81" s="115">
        <v>78</v>
      </c>
      <c r="C81" s="119" t="s">
        <v>431</v>
      </c>
      <c r="D81" s="118">
        <f>D77/'1501 Summary'!$F$359</f>
        <v>100000</v>
      </c>
      <c r="E81" s="118">
        <f>E77/'1501 Summary'!G359</f>
        <v>0</v>
      </c>
      <c r="F81" s="118">
        <v>0</v>
      </c>
      <c r="G81" s="118">
        <f>G77/'1501 Summary'!I359</f>
        <v>0</v>
      </c>
      <c r="H81" s="118">
        <f>H77/'1501 Summary'!$J$359</f>
        <v>100000</v>
      </c>
      <c r="I81" s="118">
        <f>I77/'1501 Summary'!K359</f>
        <v>0</v>
      </c>
      <c r="J81" s="118">
        <f>J77/'1501 Summary'!$L$359</f>
        <v>100000</v>
      </c>
      <c r="K81" s="118">
        <f>K77/'1501 Summary'!M359</f>
        <v>0</v>
      </c>
      <c r="L81" s="118">
        <f>L77/'1501 Summary'!$N$359</f>
        <v>100000</v>
      </c>
      <c r="M81" s="118">
        <f>M77/'1501 Summary'!O359</f>
        <v>0</v>
      </c>
      <c r="N81" s="118">
        <f>N77/'1501 Summary'!$P$359</f>
        <v>100000</v>
      </c>
      <c r="O81" s="118">
        <f>O77/'1501 Summary'!Q359</f>
        <v>0</v>
      </c>
      <c r="P81" s="118">
        <f>P77/'1501 Summary'!$R$359</f>
        <v>100000</v>
      </c>
      <c r="Q81" s="118">
        <f>Q77/'1501 Summary'!S359</f>
        <v>0</v>
      </c>
      <c r="R81" s="202">
        <f>R77/'1501 Summary'!$T$359</f>
        <v>100000</v>
      </c>
      <c r="S81" s="118">
        <f>S77/'1501 Summary'!U359</f>
        <v>0</v>
      </c>
      <c r="T81" s="118">
        <f>T77/'1501 Summary'!$V$359</f>
        <v>100000</v>
      </c>
      <c r="U81" s="118">
        <f>U77/'1501 Summary'!W359</f>
        <v>0</v>
      </c>
      <c r="V81" s="118">
        <f>V77/'1501 Summary'!$X$359</f>
        <v>100000</v>
      </c>
      <c r="W81" s="118">
        <f>W77/'1501 Summary'!Y359</f>
        <v>0</v>
      </c>
      <c r="X81" s="118">
        <f>X77/'1501 Summary'!$Z$359</f>
        <v>100000</v>
      </c>
      <c r="Y81" s="118">
        <f>Y77/'1501 Summary'!AA359</f>
        <v>0</v>
      </c>
      <c r="Z81" s="118">
        <f>Z77/'1501 Summary'!AB359</f>
        <v>33897.955355468017</v>
      </c>
    </row>
    <row r="82" spans="2:26" x14ac:dyDescent="0.25">
      <c r="B82" s="115">
        <v>79</v>
      </c>
      <c r="C82" s="119" t="s">
        <v>432</v>
      </c>
      <c r="D82" s="118">
        <f>D78/'1501 Summary'!$F$359</f>
        <v>200000</v>
      </c>
      <c r="E82" s="121"/>
      <c r="F82" s="118">
        <v>0</v>
      </c>
      <c r="G82" s="175"/>
      <c r="H82" s="118">
        <f>H78/'1501 Summary'!$J$359</f>
        <v>200000</v>
      </c>
      <c r="I82" s="176"/>
      <c r="J82" s="118">
        <f>J78/'1501 Summary'!$L$359</f>
        <v>87639.149777558079</v>
      </c>
      <c r="K82" s="177"/>
      <c r="L82" s="118">
        <f>L78/'1501 Summary'!$N$359</f>
        <v>82521.008403361338</v>
      </c>
      <c r="M82" s="176"/>
      <c r="N82" s="118">
        <f>N78/'1501 Summary'!$P$359</f>
        <v>200000</v>
      </c>
      <c r="O82" s="176"/>
      <c r="P82" s="118">
        <f>P78/'1501 Summary'!$R$359</f>
        <v>200000</v>
      </c>
      <c r="Q82" s="177"/>
      <c r="R82" s="202">
        <f>R78/'1501 Summary'!$T$359</f>
        <v>200000</v>
      </c>
      <c r="S82" s="176"/>
      <c r="T82" s="118">
        <f>T78/'1501 Summary'!$V$359</f>
        <v>200000.00000000003</v>
      </c>
      <c r="U82" s="176"/>
      <c r="V82" s="118">
        <f>V78/'1501 Summary'!$X$359</f>
        <v>200000.00000000003</v>
      </c>
      <c r="W82" s="176"/>
      <c r="X82" s="118">
        <f>X78/'1501 Summary'!$Z$359</f>
        <v>200000.00000000003</v>
      </c>
      <c r="Y82" s="178"/>
      <c r="Z82" s="179"/>
    </row>
    <row r="83" spans="2:26" x14ac:dyDescent="0.25">
      <c r="B83" s="115">
        <v>80</v>
      </c>
      <c r="C83" s="119" t="s">
        <v>432</v>
      </c>
      <c r="D83" s="118">
        <f>D79/'1501 Summary'!$F$359</f>
        <v>200000</v>
      </c>
      <c r="E83" s="121"/>
      <c r="F83" s="118">
        <v>0</v>
      </c>
      <c r="G83" s="175"/>
      <c r="H83" s="118">
        <f>H79/'1501 Summary'!$J$359</f>
        <v>200000</v>
      </c>
      <c r="I83" s="176"/>
      <c r="J83" s="118">
        <f>J79/'1501 Summary'!$L$359</f>
        <v>0</v>
      </c>
      <c r="K83" s="177"/>
      <c r="L83" s="118">
        <f>L79/'1501 Summary'!$N$359</f>
        <v>0</v>
      </c>
      <c r="M83" s="176"/>
      <c r="N83" s="118">
        <f>N79/'1501 Summary'!$P$359</f>
        <v>19310.867733782645</v>
      </c>
      <c r="O83" s="176"/>
      <c r="P83" s="118">
        <f>P79/'1501 Summary'!$R$359</f>
        <v>200000</v>
      </c>
      <c r="Q83" s="177"/>
      <c r="R83" s="202">
        <f>R79/'1501 Summary'!$T$359</f>
        <v>200000</v>
      </c>
      <c r="S83" s="176"/>
      <c r="T83" s="118">
        <f>T79/'1501 Summary'!$V$359</f>
        <v>200000</v>
      </c>
      <c r="U83" s="176"/>
      <c r="V83" s="118">
        <f>V79/'1501 Summary'!$X$359</f>
        <v>200000</v>
      </c>
      <c r="W83" s="176"/>
      <c r="X83" s="118">
        <f>X79/'1501 Summary'!$Z$359</f>
        <v>200000</v>
      </c>
      <c r="Y83" s="178"/>
      <c r="Z83" s="179"/>
    </row>
    <row r="84" spans="2:26" x14ac:dyDescent="0.25">
      <c r="B84" s="115">
        <v>81</v>
      </c>
      <c r="C84" s="119" t="s">
        <v>433</v>
      </c>
      <c r="D84" s="118">
        <f>D80/'1501 Summary'!$F$359</f>
        <v>166978.3464566929</v>
      </c>
      <c r="E84" s="121"/>
      <c r="F84" s="118">
        <v>0</v>
      </c>
      <c r="G84" s="175"/>
      <c r="H84" s="118">
        <f>H80/'1501 Summary'!$J$359</f>
        <v>181952.75590551182</v>
      </c>
      <c r="I84" s="176"/>
      <c r="J84" s="118">
        <f>J80/'1501 Summary'!$L$359</f>
        <v>0</v>
      </c>
      <c r="K84" s="177"/>
      <c r="L84" s="118">
        <f>L80/'1501 Summary'!$N$359</f>
        <v>0</v>
      </c>
      <c r="M84" s="176"/>
      <c r="N84" s="118">
        <f>N80/'1501 Summary'!$P$359</f>
        <v>0</v>
      </c>
      <c r="O84" s="176"/>
      <c r="P84" s="118">
        <f>P80/'1501 Summary'!$R$359</f>
        <v>486358.26771653548</v>
      </c>
      <c r="Q84" s="177"/>
      <c r="R84" s="202">
        <f>R80/'1501 Summary'!$T$359</f>
        <v>4705433.0708661415</v>
      </c>
      <c r="S84" s="176"/>
      <c r="T84" s="118">
        <f>T80/'1501 Summary'!$V$359</f>
        <v>4793485.7651245547</v>
      </c>
      <c r="U84" s="176"/>
      <c r="V84" s="118">
        <f>V80/'1501 Summary'!$X$359</f>
        <v>1580893.2384341639</v>
      </c>
      <c r="W84" s="176"/>
      <c r="X84" s="118">
        <f>X80/'1501 Summary'!$Z$359</f>
        <v>1501542.7046263346</v>
      </c>
      <c r="Y84" s="178"/>
      <c r="Z84" s="179"/>
    </row>
    <row r="85" spans="2:26" x14ac:dyDescent="0.25">
      <c r="B85" s="115">
        <v>82</v>
      </c>
      <c r="C85" s="165" t="s">
        <v>439</v>
      </c>
      <c r="D85" s="167">
        <f t="shared" ref="D85:Z85" si="4">SUM(D81:D84)</f>
        <v>666978.3464566929</v>
      </c>
      <c r="E85" s="167">
        <f t="shared" si="4"/>
        <v>0</v>
      </c>
      <c r="F85" s="167">
        <f t="shared" si="4"/>
        <v>0</v>
      </c>
      <c r="G85" s="167">
        <f t="shared" si="4"/>
        <v>0</v>
      </c>
      <c r="H85" s="167">
        <f t="shared" si="4"/>
        <v>681952.75590551179</v>
      </c>
      <c r="I85" s="167">
        <f t="shared" si="4"/>
        <v>0</v>
      </c>
      <c r="J85" s="167">
        <f t="shared" si="4"/>
        <v>187639.14977755808</v>
      </c>
      <c r="K85" s="167">
        <f t="shared" si="4"/>
        <v>0</v>
      </c>
      <c r="L85" s="167">
        <f t="shared" si="4"/>
        <v>182521.00840336134</v>
      </c>
      <c r="M85" s="167">
        <f t="shared" si="4"/>
        <v>0</v>
      </c>
      <c r="N85" s="167">
        <f t="shared" si="4"/>
        <v>319310.86773378262</v>
      </c>
      <c r="O85" s="167">
        <f t="shared" si="4"/>
        <v>0</v>
      </c>
      <c r="P85" s="167">
        <f t="shared" si="4"/>
        <v>986358.26771653548</v>
      </c>
      <c r="Q85" s="167">
        <f t="shared" si="4"/>
        <v>0</v>
      </c>
      <c r="R85" s="167">
        <f t="shared" si="4"/>
        <v>5205433.0708661415</v>
      </c>
      <c r="S85" s="167">
        <f t="shared" si="4"/>
        <v>0</v>
      </c>
      <c r="T85" s="167">
        <f t="shared" si="4"/>
        <v>5293485.7651245547</v>
      </c>
      <c r="U85" s="167">
        <f t="shared" si="4"/>
        <v>0</v>
      </c>
      <c r="V85" s="167">
        <f t="shared" si="4"/>
        <v>2080893.2384341639</v>
      </c>
      <c r="W85" s="167">
        <f t="shared" si="4"/>
        <v>0</v>
      </c>
      <c r="X85" s="167">
        <f t="shared" si="4"/>
        <v>2001542.7046263346</v>
      </c>
      <c r="Y85" s="167">
        <f t="shared" si="4"/>
        <v>0</v>
      </c>
      <c r="Z85" s="167">
        <f t="shared" si="4"/>
        <v>33897.955355468017</v>
      </c>
    </row>
    <row r="86" spans="2:26" x14ac:dyDescent="0.25">
      <c r="B86" s="115">
        <v>83</v>
      </c>
      <c r="C86" s="165">
        <v>916</v>
      </c>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2:26" x14ac:dyDescent="0.25">
      <c r="B87" s="115">
        <v>84</v>
      </c>
      <c r="C87" s="119" t="s">
        <v>193</v>
      </c>
      <c r="D87" s="323">
        <f>'1501 Summary'!F443</f>
        <v>100000</v>
      </c>
      <c r="E87" s="323">
        <f>'1501 Summary'!G443</f>
        <v>5730</v>
      </c>
      <c r="F87" s="323">
        <f>'1501 Summary'!H443</f>
        <v>100000</v>
      </c>
      <c r="G87" s="323">
        <f>'1501 Summary'!I443</f>
        <v>5730</v>
      </c>
      <c r="H87" s="323">
        <f>'1501 Summary'!J443</f>
        <v>100000</v>
      </c>
      <c r="I87" s="323">
        <f>'1501 Summary'!K443</f>
        <v>5730</v>
      </c>
      <c r="J87" s="323">
        <f>'1501 Summary'!L443</f>
        <v>100000</v>
      </c>
      <c r="K87" s="323">
        <f>'1501 Summary'!M443</f>
        <v>5730</v>
      </c>
      <c r="L87" s="323">
        <f>'1501 Summary'!N443</f>
        <v>100000</v>
      </c>
      <c r="M87" s="323">
        <f>'1501 Summary'!O443</f>
        <v>5730</v>
      </c>
      <c r="N87" s="323">
        <f>'1501 Summary'!P443</f>
        <v>100000</v>
      </c>
      <c r="O87" s="323">
        <f>'1501 Summary'!Q443</f>
        <v>5730</v>
      </c>
      <c r="P87" s="323">
        <f>'1501 Summary'!R443</f>
        <v>100000</v>
      </c>
      <c r="Q87" s="323">
        <f>'1501 Summary'!S443</f>
        <v>5730</v>
      </c>
      <c r="R87" s="323">
        <f>'1501 Summary'!T443</f>
        <v>100000</v>
      </c>
      <c r="S87" s="323">
        <f>'1501 Summary'!U443</f>
        <v>5730</v>
      </c>
      <c r="T87" s="323">
        <f>'1501 Summary'!V443</f>
        <v>93036.649214659687</v>
      </c>
      <c r="U87" s="323">
        <f>'1501 Summary'!W443</f>
        <v>5331</v>
      </c>
      <c r="V87" s="323">
        <f>'1501 Summary'!X443</f>
        <v>0</v>
      </c>
      <c r="W87" s="323">
        <f>'1501 Summary'!Y443</f>
        <v>0</v>
      </c>
      <c r="X87" s="323">
        <f>'1501 Summary'!Z443</f>
        <v>0</v>
      </c>
      <c r="Y87" s="323">
        <f>'1501 Summary'!AA443</f>
        <v>0</v>
      </c>
      <c r="Z87" s="323">
        <f>'1501 Summary'!AB443</f>
        <v>0</v>
      </c>
    </row>
    <row r="88" spans="2:26" x14ac:dyDescent="0.25">
      <c r="B88" s="115">
        <v>85</v>
      </c>
      <c r="C88" s="119" t="s">
        <v>155</v>
      </c>
      <c r="D88" s="323">
        <f>'1501 Summary'!F444</f>
        <v>200000</v>
      </c>
      <c r="E88" s="323">
        <f>'1501 Summary'!G444</f>
        <v>4046</v>
      </c>
      <c r="F88" s="323">
        <f>'1501 Summary'!H444</f>
        <v>200000</v>
      </c>
      <c r="G88" s="323">
        <f>'1501 Summary'!I444</f>
        <v>4046</v>
      </c>
      <c r="H88" s="323">
        <f>'1501 Summary'!J444</f>
        <v>200000</v>
      </c>
      <c r="I88" s="323">
        <f>'1501 Summary'!K444</f>
        <v>4046</v>
      </c>
      <c r="J88" s="323">
        <f>'1501 Summary'!L444</f>
        <v>200000</v>
      </c>
      <c r="K88" s="323">
        <f>'1501 Summary'!M444</f>
        <v>4046</v>
      </c>
      <c r="L88" s="323">
        <f>'1501 Summary'!N444</f>
        <v>200000</v>
      </c>
      <c r="M88" s="323">
        <f>'1501 Summary'!O444</f>
        <v>4046</v>
      </c>
      <c r="N88" s="323">
        <f>'1501 Summary'!P444</f>
        <v>200000</v>
      </c>
      <c r="O88" s="323">
        <f>'1501 Summary'!Q444</f>
        <v>4046</v>
      </c>
      <c r="P88" s="323">
        <f>'1501 Summary'!R444</f>
        <v>200000</v>
      </c>
      <c r="Q88" s="323">
        <f>'1501 Summary'!S444</f>
        <v>4046</v>
      </c>
      <c r="R88" s="323">
        <f>'1501 Summary'!T444</f>
        <v>200000</v>
      </c>
      <c r="S88" s="323">
        <f>'1501 Summary'!U444</f>
        <v>4046</v>
      </c>
      <c r="T88" s="323">
        <f>'1501 Summary'!V444</f>
        <v>192288.68017795353</v>
      </c>
      <c r="U88" s="323">
        <f>'1501 Summary'!W444</f>
        <v>3890</v>
      </c>
      <c r="V88" s="323">
        <f>'1501 Summary'!X444</f>
        <v>0</v>
      </c>
      <c r="W88" s="323">
        <f>'1501 Summary'!Y444</f>
        <v>0</v>
      </c>
      <c r="X88" s="323">
        <f>'1501 Summary'!Z444</f>
        <v>0</v>
      </c>
      <c r="Y88" s="323">
        <f>'1501 Summary'!AA444</f>
        <v>0</v>
      </c>
      <c r="Z88" s="323">
        <f>'1501 Summary'!AB444</f>
        <v>0</v>
      </c>
    </row>
    <row r="89" spans="2:26" x14ac:dyDescent="0.25">
      <c r="B89" s="115">
        <v>86</v>
      </c>
      <c r="C89" s="119" t="s">
        <v>155</v>
      </c>
      <c r="D89" s="323">
        <f>'1501 Summary'!F445</f>
        <v>200000</v>
      </c>
      <c r="E89" s="323">
        <f>'1501 Summary'!G445</f>
        <v>2374</v>
      </c>
      <c r="F89" s="323">
        <f>'1501 Summary'!H445</f>
        <v>200000</v>
      </c>
      <c r="G89" s="323">
        <f>'1501 Summary'!I445</f>
        <v>2374</v>
      </c>
      <c r="H89" s="323">
        <f>'1501 Summary'!J445</f>
        <v>200000</v>
      </c>
      <c r="I89" s="323">
        <f>'1501 Summary'!K445</f>
        <v>2374</v>
      </c>
      <c r="J89" s="323">
        <f>'1501 Summary'!L445</f>
        <v>200000</v>
      </c>
      <c r="K89" s="323">
        <f>'1501 Summary'!M445</f>
        <v>2374</v>
      </c>
      <c r="L89" s="323">
        <f>'1501 Summary'!N445</f>
        <v>200000</v>
      </c>
      <c r="M89" s="323">
        <f>'1501 Summary'!O445</f>
        <v>2374</v>
      </c>
      <c r="N89" s="323">
        <f>'1501 Summary'!P445</f>
        <v>200000</v>
      </c>
      <c r="O89" s="323">
        <f>'1501 Summary'!Q445</f>
        <v>2374</v>
      </c>
      <c r="P89" s="323">
        <f>'1501 Summary'!R445</f>
        <v>200000</v>
      </c>
      <c r="Q89" s="323">
        <f>'1501 Summary'!S445</f>
        <v>2374</v>
      </c>
      <c r="R89" s="323">
        <f>'1501 Summary'!T445</f>
        <v>200000</v>
      </c>
      <c r="S89" s="323">
        <f>'1501 Summary'!U445</f>
        <v>2374</v>
      </c>
      <c r="T89" s="323">
        <f>'1501 Summary'!V445</f>
        <v>199157.54001684921</v>
      </c>
      <c r="U89" s="323">
        <f>'1501 Summary'!W445</f>
        <v>2364</v>
      </c>
      <c r="V89" s="323">
        <f>'1501 Summary'!X445</f>
        <v>0</v>
      </c>
      <c r="W89" s="323">
        <f>'1501 Summary'!Y445</f>
        <v>0</v>
      </c>
      <c r="X89" s="323">
        <f>'1501 Summary'!Z445</f>
        <v>0</v>
      </c>
      <c r="Y89" s="323">
        <f>'1501 Summary'!AA445</f>
        <v>0</v>
      </c>
      <c r="Z89" s="323">
        <f>'1501 Summary'!AB445</f>
        <v>0</v>
      </c>
    </row>
    <row r="90" spans="2:26" x14ac:dyDescent="0.25">
      <c r="B90" s="115">
        <v>87</v>
      </c>
      <c r="C90" s="119" t="s">
        <v>156</v>
      </c>
      <c r="D90" s="323">
        <f>'1501 Summary'!F446</f>
        <v>8493196.8503937013</v>
      </c>
      <c r="E90" s="323">
        <f>'1501 Summary'!G446</f>
        <v>43145.440000000002</v>
      </c>
      <c r="F90" s="323">
        <f>'1501 Summary'!H446</f>
        <v>2315838.582677165</v>
      </c>
      <c r="G90" s="323">
        <f>'1501 Summary'!I446</f>
        <v>11764.46</v>
      </c>
      <c r="H90" s="323">
        <f>'1501 Summary'!J446</f>
        <v>4331267.7165354332</v>
      </c>
      <c r="I90" s="323">
        <f>'1501 Summary'!K446</f>
        <v>22002.84</v>
      </c>
      <c r="J90" s="323">
        <f>'1501 Summary'!L446</f>
        <v>9211683.0708661415</v>
      </c>
      <c r="K90" s="323">
        <f>'1501 Summary'!M446</f>
        <v>46795.35</v>
      </c>
      <c r="L90" s="323">
        <f>'1501 Summary'!N446</f>
        <v>2584330.708661417</v>
      </c>
      <c r="M90" s="323">
        <f>'1501 Summary'!O446</f>
        <v>13128.4</v>
      </c>
      <c r="N90" s="323">
        <f>'1501 Summary'!P446</f>
        <v>6717811.0236220472</v>
      </c>
      <c r="O90" s="323">
        <f>'1501 Summary'!Q446</f>
        <v>34126.480000000003</v>
      </c>
      <c r="P90" s="323">
        <f>'1501 Summary'!R446</f>
        <v>6024492.1259842515</v>
      </c>
      <c r="Q90" s="323">
        <f>'1501 Summary'!S446</f>
        <v>30604.42</v>
      </c>
      <c r="R90" s="323">
        <f>'1501 Summary'!T446</f>
        <v>12940379.921259843</v>
      </c>
      <c r="S90" s="323">
        <f>'1501 Summary'!U446</f>
        <v>65737.13</v>
      </c>
      <c r="T90" s="323">
        <f>'1501 Summary'!V446</f>
        <v>15369706.692913385</v>
      </c>
      <c r="U90" s="323">
        <f>'1501 Summary'!W446</f>
        <v>78078.11</v>
      </c>
      <c r="V90" s="323">
        <f>'1501 Summary'!X446</f>
        <v>0</v>
      </c>
      <c r="W90" s="323">
        <f>'1501 Summary'!Y446</f>
        <v>0</v>
      </c>
      <c r="X90" s="323">
        <f>'1501 Summary'!Z446</f>
        <v>0</v>
      </c>
      <c r="Y90" s="323">
        <f>'1501 Summary'!AA446</f>
        <v>0</v>
      </c>
      <c r="Z90" s="323">
        <f>'1501 Summary'!AB446</f>
        <v>0</v>
      </c>
    </row>
    <row r="91" spans="2:26" x14ac:dyDescent="0.25">
      <c r="B91" s="115">
        <v>88</v>
      </c>
      <c r="C91" s="119" t="s">
        <v>431</v>
      </c>
      <c r="D91" s="323">
        <f>D87/'1501 Summary'!$F$439</f>
        <v>100000</v>
      </c>
      <c r="E91" s="323">
        <f>E87/'1501 Summary'!G439</f>
        <v>11.46</v>
      </c>
      <c r="F91" s="323">
        <f>F87/'1501 Summary'!$H$439</f>
        <v>100000</v>
      </c>
      <c r="G91" s="323">
        <f>G87/'1501 Summary'!I439</f>
        <v>11.46</v>
      </c>
      <c r="H91" s="323">
        <f>H87/'1501 Summary'!$J$439</f>
        <v>100000</v>
      </c>
      <c r="I91" s="323">
        <f>I87/'1501 Summary'!K439</f>
        <v>11.46</v>
      </c>
      <c r="J91" s="323">
        <f>J87/'1501 Summary'!$L$439</f>
        <v>100000</v>
      </c>
      <c r="K91" s="323">
        <f>K87/'1501 Summary'!M439</f>
        <v>11.46</v>
      </c>
      <c r="L91" s="323">
        <f>L87/'1501 Summary'!$N$439</f>
        <v>100000</v>
      </c>
      <c r="M91" s="323">
        <f>M87/'1501 Summary'!O439</f>
        <v>11.46</v>
      </c>
      <c r="N91" s="323">
        <f>N87/'1501 Summary'!$P$439</f>
        <v>100000</v>
      </c>
      <c r="O91" s="323">
        <f>O87/'1501 Summary'!Q439</f>
        <v>11.46</v>
      </c>
      <c r="P91" s="323">
        <f>P87/'1501 Summary'!$R$439</f>
        <v>100000</v>
      </c>
      <c r="Q91" s="323">
        <f>Q87/'1501 Summary'!S439</f>
        <v>11.46</v>
      </c>
      <c r="R91" s="323">
        <f>R87/'1501 Summary'!$T$439</f>
        <v>100000</v>
      </c>
      <c r="S91" s="323">
        <f>S87/'1501 Summary'!U439</f>
        <v>11.46</v>
      </c>
      <c r="T91" s="324">
        <f>T87/'1501 Summary'!$V$439</f>
        <v>93036.649214659687</v>
      </c>
      <c r="U91" s="323">
        <f>U87/'1501 Summary'!W439</f>
        <v>8.5296000000000003</v>
      </c>
      <c r="V91" s="323"/>
      <c r="W91" s="323"/>
      <c r="X91" s="323"/>
      <c r="Y91" s="323"/>
      <c r="Z91" s="323"/>
    </row>
    <row r="92" spans="2:26" x14ac:dyDescent="0.25">
      <c r="B92" s="115">
        <v>89</v>
      </c>
      <c r="C92" s="119" t="s">
        <v>432</v>
      </c>
      <c r="D92" s="323">
        <f>D88/'1501 Summary'!$F$439</f>
        <v>200000</v>
      </c>
      <c r="E92" s="323">
        <f>E88/'1501 Summary'!G440</f>
        <v>6.7433333333333331E-2</v>
      </c>
      <c r="F92" s="323">
        <f>F88/'1501 Summary'!$H$439</f>
        <v>200000</v>
      </c>
      <c r="G92" s="323">
        <f>G88/'1501 Summary'!I440</f>
        <v>6.7433333333333331E-2</v>
      </c>
      <c r="H92" s="323">
        <f>H88/'1501 Summary'!$J$439</f>
        <v>200000</v>
      </c>
      <c r="I92" s="323">
        <f>I88/'1501 Summary'!K440</f>
        <v>6.7433333333333331E-2</v>
      </c>
      <c r="J92" s="323">
        <f>J88/'1501 Summary'!$L$439</f>
        <v>200000</v>
      </c>
      <c r="K92" s="323">
        <f>K88/'1501 Summary'!M440</f>
        <v>6.7433333333333331E-2</v>
      </c>
      <c r="L92" s="323">
        <f>L88/'1501 Summary'!$N$439</f>
        <v>200000</v>
      </c>
      <c r="M92" s="323">
        <f>M88/'1501 Summary'!O440</f>
        <v>6.7433333333333331E-2</v>
      </c>
      <c r="N92" s="323">
        <f>N88/'1501 Summary'!$P$439</f>
        <v>200000</v>
      </c>
      <c r="O92" s="323">
        <f>O88/'1501 Summary'!Q440</f>
        <v>6.7433333333333331E-2</v>
      </c>
      <c r="P92" s="323">
        <f>P88/'1501 Summary'!$R$439</f>
        <v>200000</v>
      </c>
      <c r="Q92" s="323">
        <f>Q88/'1501 Summary'!S440</f>
        <v>6.7433333333333331E-2</v>
      </c>
      <c r="R92" s="323">
        <f>R88/'1501 Summary'!$T$439</f>
        <v>200000</v>
      </c>
      <c r="S92" s="323">
        <f>S88/'1501 Summary'!U440</f>
        <v>6.7433333333333331E-2</v>
      </c>
      <c r="T92" s="324">
        <f>T88/'1501 Summary'!$V$439</f>
        <v>192288.68017795353</v>
      </c>
      <c r="U92" s="167"/>
      <c r="V92" s="167"/>
      <c r="W92" s="167"/>
      <c r="X92" s="167"/>
      <c r="Y92" s="167"/>
      <c r="Z92" s="167"/>
    </row>
    <row r="93" spans="2:26" x14ac:dyDescent="0.25">
      <c r="B93" s="115">
        <v>90</v>
      </c>
      <c r="C93" s="119" t="s">
        <v>432</v>
      </c>
      <c r="D93" s="323">
        <f>D89/'1501 Summary'!$F$439</f>
        <v>200000</v>
      </c>
      <c r="E93" s="323">
        <f>E89/'1501 Summary'!G441</f>
        <v>0.11373817223619595</v>
      </c>
      <c r="F93" s="323">
        <f>F89/'1501 Summary'!$H$439</f>
        <v>200000</v>
      </c>
      <c r="G93" s="323">
        <f>G89/'1501 Summary'!I441</f>
        <v>0.11373817223619595</v>
      </c>
      <c r="H93" s="323">
        <f>H89/'1501 Summary'!$J$439</f>
        <v>200000</v>
      </c>
      <c r="I93" s="323">
        <f>I89/'1501 Summary'!K441</f>
        <v>0.11373817223619595</v>
      </c>
      <c r="J93" s="323">
        <f>J89/'1501 Summary'!$L$439</f>
        <v>200000</v>
      </c>
      <c r="K93" s="323">
        <f>K89/'1501 Summary'!M441</f>
        <v>0.11373817223619595</v>
      </c>
      <c r="L93" s="323">
        <f>L89/'1501 Summary'!$N$439</f>
        <v>200000</v>
      </c>
      <c r="M93" s="323">
        <f>M89/'1501 Summary'!O441</f>
        <v>0.11373817223619595</v>
      </c>
      <c r="N93" s="323">
        <f>N89/'1501 Summary'!$P$439</f>
        <v>200000</v>
      </c>
      <c r="O93" s="323">
        <f>O89/'1501 Summary'!Q441</f>
        <v>0.11373817223619595</v>
      </c>
      <c r="P93" s="323">
        <f>P89/'1501 Summary'!$R$439</f>
        <v>200000</v>
      </c>
      <c r="Q93" s="323">
        <f>Q89/'1501 Summary'!S441</f>
        <v>0.11373817223619595</v>
      </c>
      <c r="R93" s="323">
        <f>R89/'1501 Summary'!$T$439</f>
        <v>200000</v>
      </c>
      <c r="S93" s="323">
        <f>S89/'1501 Summary'!U441</f>
        <v>0.11373817223619595</v>
      </c>
      <c r="T93" s="324">
        <f>T89/'1501 Summary'!$V$439</f>
        <v>199157.54001684921</v>
      </c>
      <c r="U93" s="167"/>
      <c r="V93" s="167"/>
      <c r="W93" s="167"/>
      <c r="X93" s="167"/>
      <c r="Y93" s="167"/>
      <c r="Z93" s="167"/>
    </row>
    <row r="94" spans="2:26" x14ac:dyDescent="0.25">
      <c r="B94" s="115">
        <v>91</v>
      </c>
      <c r="C94" s="119" t="s">
        <v>433</v>
      </c>
      <c r="D94" s="323">
        <f>D90/'1501 Summary'!$F$439</f>
        <v>8493196.8503937013</v>
      </c>
      <c r="E94" s="323">
        <f>E90/'1501 Summary'!G442</f>
        <v>11.993906507138727</v>
      </c>
      <c r="F94" s="323">
        <f>F90/'1501 Summary'!$H$439</f>
        <v>2315838.582677165</v>
      </c>
      <c r="G94" s="323">
        <f>G90/'1501 Summary'!I442</f>
        <v>10.444856792797912</v>
      </c>
      <c r="H94" s="323">
        <f>H90/'1501 Summary'!$J$439</f>
        <v>4331267.7165354332</v>
      </c>
      <c r="I94" s="323">
        <f>I90/'1501 Summary'!K442</f>
        <v>11.385628017448811</v>
      </c>
      <c r="J94" s="323">
        <f>J90/'1501 Summary'!$L$439</f>
        <v>9211683.0708661415</v>
      </c>
      <c r="K94" s="323">
        <f>K90/'1501 Summary'!M442</f>
        <v>12.046158360941856</v>
      </c>
      <c r="L94" s="323">
        <f>L90/'1501 Summary'!$N$439</f>
        <v>2584330.708661417</v>
      </c>
      <c r="M94" s="323">
        <f>M90/'1501 Summary'!O442</f>
        <v>10.641226200222091</v>
      </c>
      <c r="N94" s="323">
        <f>N90/'1501 Summary'!$P$439</f>
        <v>6717811.0236220472</v>
      </c>
      <c r="O94" s="323">
        <f>O90/'1501 Summary'!Q442</f>
        <v>11.820249937654134</v>
      </c>
      <c r="P94" s="323">
        <f>P90/'1501 Summary'!$R$439</f>
        <v>6024492.1259842515</v>
      </c>
      <c r="Q94" s="323">
        <f>Q90/'1501 Summary'!S442</f>
        <v>11.72673001762587</v>
      </c>
      <c r="R94" s="323">
        <f>R90/'1501 Summary'!$T$439</f>
        <v>12940379.921259843</v>
      </c>
      <c r="S94" s="323">
        <f>S90/'1501 Summary'!U442</f>
        <v>12.227547594468161</v>
      </c>
      <c r="T94" s="324">
        <f>T90/'1501 Summary'!$V$439</f>
        <v>15369706.692913385</v>
      </c>
      <c r="U94" s="167"/>
      <c r="V94" s="167"/>
      <c r="W94" s="167"/>
      <c r="X94" s="167"/>
      <c r="Y94" s="167"/>
      <c r="Z94" s="167"/>
    </row>
    <row r="95" spans="2:26" x14ac:dyDescent="0.25">
      <c r="B95" s="115">
        <v>92</v>
      </c>
      <c r="C95" s="165" t="s">
        <v>465</v>
      </c>
      <c r="D95" s="167">
        <f>SUM(D91:D94)</f>
        <v>8993196.8503937013</v>
      </c>
      <c r="E95" s="167">
        <f t="shared" ref="E95:Z95" si="5">SUM(E91:E94)</f>
        <v>23.635078012708256</v>
      </c>
      <c r="F95" s="167">
        <f t="shared" si="5"/>
        <v>2815838.582677165</v>
      </c>
      <c r="G95" s="167">
        <f t="shared" si="5"/>
        <v>22.086028298367445</v>
      </c>
      <c r="H95" s="167">
        <f t="shared" si="5"/>
        <v>4831267.7165354332</v>
      </c>
      <c r="I95" s="167">
        <f t="shared" si="5"/>
        <v>23.02679952301834</v>
      </c>
      <c r="J95" s="167">
        <f t="shared" si="5"/>
        <v>9711683.0708661415</v>
      </c>
      <c r="K95" s="167">
        <f t="shared" si="5"/>
        <v>23.687329866511387</v>
      </c>
      <c r="L95" s="167">
        <f t="shared" si="5"/>
        <v>3084330.708661417</v>
      </c>
      <c r="M95" s="167">
        <f t="shared" si="5"/>
        <v>22.282397705791624</v>
      </c>
      <c r="N95" s="167">
        <f t="shared" si="5"/>
        <v>7217811.0236220472</v>
      </c>
      <c r="O95" s="167">
        <f t="shared" si="5"/>
        <v>23.461421443223664</v>
      </c>
      <c r="P95" s="167">
        <f t="shared" si="5"/>
        <v>6524492.1259842515</v>
      </c>
      <c r="Q95" s="167">
        <f t="shared" si="5"/>
        <v>23.3679015231954</v>
      </c>
      <c r="R95" s="167">
        <f t="shared" si="5"/>
        <v>13440379.921259843</v>
      </c>
      <c r="S95" s="167">
        <f t="shared" si="5"/>
        <v>23.868719100037694</v>
      </c>
      <c r="T95" s="167">
        <f t="shared" si="5"/>
        <v>15854189.562322848</v>
      </c>
      <c r="U95" s="167">
        <f t="shared" si="5"/>
        <v>8.5296000000000003</v>
      </c>
      <c r="V95" s="167">
        <f t="shared" si="5"/>
        <v>0</v>
      </c>
      <c r="W95" s="167">
        <f t="shared" si="5"/>
        <v>0</v>
      </c>
      <c r="X95" s="167">
        <f t="shared" si="5"/>
        <v>0</v>
      </c>
      <c r="Y95" s="167">
        <f t="shared" si="5"/>
        <v>0</v>
      </c>
      <c r="Z95" s="167">
        <f t="shared" si="5"/>
        <v>0</v>
      </c>
    </row>
    <row r="96" spans="2:26" x14ac:dyDescent="0.25">
      <c r="B96" s="115">
        <v>93</v>
      </c>
      <c r="C96" s="165" t="s">
        <v>441</v>
      </c>
      <c r="D96" s="167">
        <f>SUM(D43,D53,D63,D67,D77,D87)/SUM('1501 Summary'!$F$208,'1501 Summary'!$F$237,'1501 Summary'!$F$320,'1501 Summary'!$F$340,'1501 Summary'!$F$359,'1501 Summary'!$F$439)</f>
        <v>46691.476218177791</v>
      </c>
      <c r="E96" s="167">
        <f>SUM(E43,E53,E63,E67,E77,E87)/SUM('1501 Summary'!G208,'1501 Summary'!G237,'1501 Summary'!G320,'1501 Summary'!G340,'1501 Summary'!G359,'1501 Summary'!G439)</f>
        <v>5.1832415873015876</v>
      </c>
      <c r="F96" s="167">
        <f>SUM(F43,F53,F63,F67,F77,F87)/SUM('1501 Summary'!$H$208,'1501 Summary'!$H$237,'1501 Summary'!$H$320,'1501 Summary'!$H$340,'1501 Summary'!$H$359,'1501 Summary'!$H$439)</f>
        <v>45163.232591853885</v>
      </c>
      <c r="G96" s="167">
        <f>SUM(G43,G53,G63,G67,G77,G87)/SUM('1501 Summary'!I208,'1501 Summary'!I237,'1501 Summary'!I320,'1501 Summary'!I340,'1501 Summary'!I359,'1501 Summary'!I439)</f>
        <v>5.0592886772486771</v>
      </c>
      <c r="H96" s="167">
        <f>SUM(H43,H53,H63,H67,H77,H87)/SUM('1501 Summary'!$J$208,'1501 Summary'!$J$237,'1501 Summary'!$J$320,'1501 Summary'!$J$340,'1501 Summary'!$J$359,'1501 Summary'!$J$439)</f>
        <v>44512.984662548355</v>
      </c>
      <c r="I96" s="167">
        <f>SUM(I43,I53,I63,I67,I77,I87)/SUM('1501 Summary'!K208,'1501 Summary'!K237,'1501 Summary'!K320,'1501 Summary'!K340,'1501 Summary'!K359,'1501 Summary'!K439)</f>
        <v>4.9338023280423284</v>
      </c>
      <c r="J96" s="167">
        <f>SUM(J43,J53,J63,J67,J77,J87)/SUM('1501 Summary'!$L$208,'1501 Summary'!$L$237,'1501 Summary'!$L$320,'1501 Summary'!$L$340,'1501 Summary'!$L$359,'1501 Summary'!$L$439)</f>
        <v>44414.536875444377</v>
      </c>
      <c r="K96" s="167">
        <f>SUM(K43,K53,K63,K67,K77,K87)/SUM('1501 Summary'!M208,'1501 Summary'!M237,'1501 Summary'!M320,'1501 Summary'!M340,'1501 Summary'!M359,'1501 Summary'!M439)</f>
        <v>4.9241737566137562</v>
      </c>
      <c r="L96" s="167">
        <f>SUM(L43,L53,L63,L67,L77,L87)/SUM('1501 Summary'!$N$208,'1501 Summary'!$N$237,'1501 Summary'!$N$320,'1501 Summary'!$N$340,'1501 Summary'!$N$359,'1501 Summary'!$N$439)</f>
        <v>40986.348856434284</v>
      </c>
      <c r="M96" s="167">
        <f>SUM(M43,M53,M63,M67,M77,M87)/SUM('1501 Summary'!O208,'1501 Summary'!O237,'1501 Summary'!O320,'1501 Summary'!O340,'1501 Summary'!O359,'1501 Summary'!O439)</f>
        <v>4.5378845263157901</v>
      </c>
      <c r="N96" s="167">
        <f>SUM(N43,N53,N63,N67,N77,N87)/SUM('1501 Summary'!$P$208,'1501 Summary'!$P$237,'1501 Summary'!$P$320,'1501 Summary'!$P$340,'1501 Summary'!$P$359,'1501 Summary'!$P$439)</f>
        <v>40166.912831817768</v>
      </c>
      <c r="O96" s="167">
        <f>SUM(O43,O53,O63,O67,O77,O87)/SUM('1501 Summary'!Q208,'1501 Summary'!Q237,'1501 Summary'!Q320,'1501 Summary'!Q340,'1501 Summary'!Q359,'1501 Summary'!Q439)</f>
        <v>4.4480750526315793</v>
      </c>
      <c r="P96" s="167">
        <f>SUM(P43,P53,P63,P67,P77,P87)/SUM('1501 Summary'!$R$208,'1501 Summary'!$R$237,'1501 Summary'!$R$320,'1501 Summary'!$R$340,'1501 Summary'!$R$359,'1501 Summary'!$R$439)</f>
        <v>40166.589510425278</v>
      </c>
      <c r="Q96" s="167">
        <f>SUM(Q43,Q53,Q63,Q67,Q77,Q87)/SUM('1501 Summary'!S208,'1501 Summary'!S237,'1501 Summary'!S320,'1501 Summary'!S340,'1501 Summary'!S359,'1501 Summary'!S439)</f>
        <v>4.4824595789473678</v>
      </c>
      <c r="R96" s="167">
        <f>SUM(R43,R53,R63,R67,R77,R87)/SUM('1501 Summary'!$T$208,'1501 Summary'!$T$237,'1501 Summary'!$T$320,'1501 Summary'!$T$340,'1501 Summary'!$T$359,'1501 Summary'!$T$439)</f>
        <v>38870.909341416373</v>
      </c>
      <c r="S96" s="167">
        <f>SUM(S43,S53,S63,S67,S77,S87)/SUM('1501 Summary'!U208,'1501 Summary'!U237,'1501 Summary'!U320,'1501 Summary'!U340,'1501 Summary'!U359,'1501 Summary'!U439)</f>
        <v>4.3339746315789478</v>
      </c>
      <c r="T96" s="167">
        <f>SUM(T43,T53,T63,T67,T77,T87)/SUM('1501 Summary'!$V$208,'1501 Summary'!$V$237,'1501 Summary'!$V$320,'1501 Summary'!$V$340,'1501 Summary'!$V$359,'1501 Summary'!$V$439)</f>
        <v>40802.526806428483</v>
      </c>
      <c r="U96" s="167">
        <f>SUM(U43,U53,U63,U67,U77,U87)/SUM('1501 Summary'!W208,'1501 Summary'!W237,'1501 Summary'!W320,'1501 Summary'!W340,'1501 Summary'!W359,'1501 Summary'!W439)</f>
        <v>3.3936330947368418</v>
      </c>
      <c r="V96" s="167">
        <f>SUM(V43,V53,V63,V67,V77,V87)/SUM('1501 Summary'!$X$208,'1501 Summary'!$X$237,'1501 Summary'!$X$320,'1501 Summary'!$X$340,'1501 Summary'!$X$359,'1501 Summary'!$X$439)</f>
        <v>45603.012509072192</v>
      </c>
      <c r="W96" s="167">
        <f>SUM(W43,W53,W63,W67,W77,W87)/SUM('1501 Summary'!Y208,'1501 Summary'!Y237,'1501 Summary'!Y320,'1501 Summary'!Y340,'1501 Summary'!Y359,'1501 Summary'!Y439)</f>
        <v>3.7557817801047122</v>
      </c>
      <c r="X96" s="167">
        <f>SUM(X43,X53,X63,X67,X77,X87)/SUM('1501 Summary'!$Z$208,'1501 Summary'!$Z$237,'1501 Summary'!$Z$320,'1501 Summary'!$Z$340,'1501 Summary'!$Z$359,'1501 Summary'!$Z$439)</f>
        <v>49278.958480505433</v>
      </c>
      <c r="Y96" s="167">
        <f>SUM(Y43,Y53,Y63,Y67,Y77,Y87)/SUM('1501 Summary'!AA208,'1501 Summary'!AA237,'1501 Summary'!AA320,'1501 Summary'!AA340,'1501 Summary'!AA359,'1501 Summary'!AA439)</f>
        <v>4.0671874042553195</v>
      </c>
      <c r="Z96" s="167">
        <f>SUM(Z43,Z53,Z63,Z67,Z77,Z87)/SUM('1501 Summary'!$AB$208,'1501 Summary'!$AB$237,'1501 Summary'!$AB$320,'1501 Summary'!$AB$340,'1501 Summary'!$AB$359,'1501 Summary'!$AB$439)</f>
        <v>43814.899177120147</v>
      </c>
    </row>
    <row r="97" spans="2:29" x14ac:dyDescent="0.25">
      <c r="B97" s="115">
        <v>94</v>
      </c>
      <c r="C97" s="165" t="s">
        <v>442</v>
      </c>
      <c r="D97" s="167">
        <f>SUM(D44,D54,D64,D68,D78,D88)/SUM('1501 Summary'!$F$208,'1501 Summary'!$F$237,'1501 Summary'!$F$320,'1501 Summary'!$F$340,'1501 Summary'!$F$359,'1501 Summary'!$F$439)</f>
        <v>33705.669045156304</v>
      </c>
      <c r="E97" s="167">
        <f>SUM(E44,E54,E64,E68,E78,E88)/SUM('1501 Summary'!G209,'1501 Summary'!G238,'1501 Summary'!G321,'1501 Summary'!G341,'1501 Summary'!G360,'1501 Summary'!G440)</f>
        <v>0.28160715300017114</v>
      </c>
      <c r="F97" s="167">
        <f>SUM(F44,F54,F64,F68,F78,F88)/SUM('1501 Summary'!$H$208,'1501 Summary'!$H$237,'1501 Summary'!$H$320,'1501 Summary'!$H$340,'1501 Summary'!$H$359,'1501 Summary'!$H$439)</f>
        <v>32051.210892368901</v>
      </c>
      <c r="G97" s="167">
        <f>SUM(G44,G54,G64,G68,G78,G88)/SUM('1501 Summary'!I209,'1501 Summary'!I238,'1501 Summary'!I321,'1501 Summary'!I341,'1501 Summary'!I360,'1501 Summary'!I440)</f>
        <v>0.28415008320305851</v>
      </c>
      <c r="H97" s="167">
        <f>SUM(H44,H54,H64,H68,H78,H88)/SUM('1501 Summary'!$J$208,'1501 Summary'!$J$237,'1501 Summary'!$J$320,'1501 Summary'!$J$340,'1501 Summary'!$J$359,'1501 Summary'!$J$439)</f>
        <v>32038.462998380746</v>
      </c>
      <c r="I97" s="167">
        <f>SUM(I44,I54,I64,I68,I78,I88)/SUM('1501 Summary'!K209,'1501 Summary'!K238,'1501 Summary'!K321,'1501 Summary'!K341,'1501 Summary'!K360,'1501 Summary'!K440)</f>
        <v>0.26623199468231901</v>
      </c>
      <c r="J97" s="167">
        <f>SUM(J44,J54,J64,J68,J78,J88)/SUM('1501 Summary'!$L$208,'1501 Summary'!$L$237,'1501 Summary'!$L$320,'1501 Summary'!$L$340,'1501 Summary'!$L$359,'1501 Summary'!$L$439)</f>
        <v>32806.838784288084</v>
      </c>
      <c r="K97" s="167">
        <f>SUM(K44,K54,K64,K68,K78,K88)/SUM('1501 Summary'!M209,'1501 Summary'!M238,'1501 Summary'!M321,'1501 Summary'!M341,'1501 Summary'!M360,'1501 Summary'!M440)</f>
        <v>0.27878438984315562</v>
      </c>
      <c r="L97" s="167">
        <f>SUM(L44,L54,L64,L68,L78,L88)/SUM('1501 Summary'!$N$208,'1501 Summary'!$N$237,'1501 Summary'!$N$320,'1501 Summary'!$N$340,'1501 Summary'!$N$359,'1501 Summary'!$N$439)</f>
        <v>31577.268914146633</v>
      </c>
      <c r="M97" s="167">
        <f>SUM(M44,M54,M64,M68,M78,M88)/SUM('1501 Summary'!O209,'1501 Summary'!O238,'1501 Summary'!O321,'1501 Summary'!O341,'1501 Summary'!O360,'1501 Summary'!O440)</f>
        <v>0.26971916106889032</v>
      </c>
      <c r="N97" s="167">
        <f>SUM(N44,N54,N64,N68,N78,N88)/SUM('1501 Summary'!$P$208,'1501 Summary'!$P$237,'1501 Summary'!$P$320,'1501 Summary'!$P$340,'1501 Summary'!$P$359,'1501 Summary'!$P$439)</f>
        <v>30899.694191456099</v>
      </c>
      <c r="O97" s="167">
        <f>SUM(O44,O54,O64,O68,O78,O88)/SUM('1501 Summary'!Q209,'1501 Summary'!Q238,'1501 Summary'!Q321,'1501 Summary'!Q341,'1501 Summary'!Q360,'1501 Summary'!Q440)</f>
        <v>0.25826455464885584</v>
      </c>
      <c r="P97" s="167">
        <f>SUM(P44,P54,P64,P68,P78,P88)/SUM('1501 Summary'!$R$208,'1501 Summary'!$R$237,'1501 Summary'!$R$320,'1501 Summary'!$R$340,'1501 Summary'!$R$359,'1501 Summary'!$R$439)</f>
        <v>29907.633270026272</v>
      </c>
      <c r="Q97" s="167">
        <f>SUM(Q44,Q54,Q64,Q68,Q78,Q88)/SUM('1501 Summary'!S209,'1501 Summary'!S238,'1501 Summary'!S321,'1501 Summary'!S341,'1501 Summary'!S360,'1501 Summary'!S440)</f>
        <v>0.25141473764508099</v>
      </c>
      <c r="R97" s="167">
        <f>SUM(R44,R54,R64,R68,R78,R88)/SUM('1501 Summary'!$T$208,'1501 Summary'!$T$237,'1501 Summary'!$T$320,'1501 Summary'!$T$340,'1501 Summary'!$T$359,'1501 Summary'!$T$439)</f>
        <v>27421.416863959203</v>
      </c>
      <c r="S97" s="167">
        <f>SUM(S44,S54,S64,S68,S78,S88)/SUM('1501 Summary'!U209,'1501 Summary'!U238,'1501 Summary'!U321,'1501 Summary'!U341,'1501 Summary'!U360,'1501 Summary'!U440)</f>
        <v>0.22802670780539738</v>
      </c>
      <c r="T97" s="167">
        <f>SUM(T44,T54,T64,T68,T78,T88)/SUM('1501 Summary'!$V$208,'1501 Summary'!$V$237,'1501 Summary'!$V$320,'1501 Summary'!$V$340,'1501 Summary'!$V$359,'1501 Summary'!$V$439)</f>
        <v>29289.604878760976</v>
      </c>
      <c r="U97" s="167">
        <f>SUM(U44,U54,U64,U68,U78,U88)/SUM('1501 Summary'!W209,'1501 Summary'!W238,'1501 Summary'!W321,'1501 Summary'!W341,'1501 Summary'!W360,'1501 Summary'!W440)</f>
        <v>0.23563463755902914</v>
      </c>
      <c r="V97" s="167">
        <f>SUM(V44,V54,V64,V68,V78,V88)/SUM('1501 Summary'!$X$208,'1501 Summary'!$X$237,'1501 Summary'!$X$320,'1501 Summary'!$X$340,'1501 Summary'!$X$359,'1501 Summary'!$X$439)</f>
        <v>31878.79244673549</v>
      </c>
      <c r="W97" s="167">
        <f>SUM(W44,W54,W64,W68,W78,W88)/SUM('1501 Summary'!Y209,'1501 Summary'!Y238,'1501 Summary'!Y321,'1501 Summary'!Y341,'1501 Summary'!Y360,'1501 Summary'!Y440)</f>
        <v>0.20929338595375907</v>
      </c>
      <c r="X97" s="167">
        <f>SUM(X44,X54,X64,X68,X78,X88)/SUM('1501 Summary'!$Z$208,'1501 Summary'!$Z$237,'1501 Summary'!$Z$320,'1501 Summary'!$Z$340,'1501 Summary'!$Z$359,'1501 Summary'!$Z$439)</f>
        <v>37625.23655855166</v>
      </c>
      <c r="Y97" s="167">
        <f>SUM(Y44,Y54,Y64,Y68,Y78,Y88)/SUM('1501 Summary'!AA209,'1501 Summary'!AA238,'1501 Summary'!AA321,'1501 Summary'!AA341,'1501 Summary'!AA360,'1501 Summary'!AA440)</f>
        <v>0.24662468531517021</v>
      </c>
      <c r="Z97" s="167">
        <f>SUM(Z44,Z54,Z64,Z68,Z78,Z88)/SUM('1501 Summary'!$AB$208,'1501 Summary'!$AB$237,'1501 Summary'!$AB$320,'1501 Summary'!$AB$340,'1501 Summary'!$AB$359,'1501 Summary'!$AB$439)</f>
        <v>29427.616599338966</v>
      </c>
    </row>
    <row r="98" spans="2:29" x14ac:dyDescent="0.25">
      <c r="B98" s="115">
        <v>95</v>
      </c>
      <c r="C98" s="165" t="s">
        <v>442</v>
      </c>
      <c r="D98" s="167">
        <f>SUM(D45,D55,D65,D69,D79,D89)/SUM('1501 Summary'!$F$208,'1501 Summary'!$F$237,'1501 Summary'!$F$320,'1501 Summary'!$F$340,'1501 Summary'!$F$359,'1501 Summary'!$F$439)</f>
        <v>19698.666108527301</v>
      </c>
      <c r="E98" s="167">
        <f>SUM(E45,E55,E65,E69,E79,E89)/SUM('1501 Summary'!G210,'1501 Summary'!G239,'1501 Summary'!G322,'1501 Summary'!G342,'1501 Summary'!G361,'1501 Summary'!G441)</f>
        <v>0.82563449732112559</v>
      </c>
      <c r="F98" s="167">
        <f>SUM(F45,F55,F65,F69,F79,F89)/SUM('1501 Summary'!$H$208,'1501 Summary'!$H$237,'1501 Summary'!$H$320,'1501 Summary'!$H$340,'1501 Summary'!$H$359,'1501 Summary'!$H$439)</f>
        <v>16626.659158685576</v>
      </c>
      <c r="G98" s="167">
        <f>SUM(G45,G55,G65,G69,G79,G89)/SUM('1501 Summary'!I210,'1501 Summary'!I239,'1501 Summary'!I322,'1501 Summary'!I342,'1501 Summary'!I361,'1501 Summary'!I441)</f>
        <v>0.80055087138738357</v>
      </c>
      <c r="H98" s="167">
        <f>SUM(H45,H55,H65,H69,H79,H89)/SUM('1501 Summary'!$J$208,'1501 Summary'!$J$237,'1501 Summary'!$J$320,'1501 Summary'!$J$340,'1501 Summary'!$J$359,'1501 Summary'!$J$439)</f>
        <v>18630.731754174198</v>
      </c>
      <c r="I98" s="167">
        <f>SUM(I45,I55,I65,I69,I79,I89)/SUM('1501 Summary'!K210,'1501 Summary'!K239,'1501 Summary'!K322,'1501 Summary'!K342,'1501 Summary'!K361,'1501 Summary'!K441)</f>
        <v>0.81828142647221624</v>
      </c>
      <c r="J98" s="167">
        <f>SUM(J45,J55,J65,J69,J79,J89)/SUM('1501 Summary'!$L$208,'1501 Summary'!$L$237,'1501 Summary'!$L$320,'1501 Summary'!$L$340,'1501 Summary'!$L$359,'1501 Summary'!$L$439)</f>
        <v>17857.545119979935</v>
      </c>
      <c r="K98" s="167">
        <f>SUM(K45,K55,K65,K69,K79,K89)/SUM('1501 Summary'!M210,'1501 Summary'!M239,'1501 Summary'!M322,'1501 Summary'!M342,'1501 Summary'!M361,'1501 Summary'!M441)</f>
        <v>0.82900473498260252</v>
      </c>
      <c r="L98" s="167">
        <f>SUM(L45,L55,L65,L69,L79,L89)/SUM('1501 Summary'!$N$208,'1501 Summary'!$N$237,'1501 Summary'!$N$320,'1501 Summary'!$N$340,'1501 Summary'!$N$359,'1501 Summary'!$N$439)</f>
        <v>16097.669414585878</v>
      </c>
      <c r="M98" s="167">
        <f>SUM(M45,M55,M65,M69,M79,M89)/SUM('1501 Summary'!O210,'1501 Summary'!O239,'1501 Summary'!O322,'1501 Summary'!O342,'1501 Summary'!O361,'1501 Summary'!O441)</f>
        <v>0.79210734620440348</v>
      </c>
      <c r="N98" s="167">
        <f>SUM(N45,N55,N65,N69,N79,N89)/SUM('1501 Summary'!$P$208,'1501 Summary'!$P$237,'1501 Summary'!$P$320,'1501 Summary'!$P$340,'1501 Summary'!$P$359,'1501 Summary'!$P$439)</f>
        <v>16832.451675398082</v>
      </c>
      <c r="O98" s="167">
        <f>SUM(O45,O55,O65,O69,O79,O89)/SUM('1501 Summary'!Q210,'1501 Summary'!Q239,'1501 Summary'!Q322,'1501 Summary'!Q342,'1501 Summary'!Q361,'1501 Summary'!Q441)</f>
        <v>0.82574746578889413</v>
      </c>
      <c r="P98" s="167">
        <f>SUM(P45,P55,P65,P69,P79,P89)/SUM('1501 Summary'!$R$208,'1501 Summary'!$R$237,'1501 Summary'!$R$320,'1501 Summary'!$R$340,'1501 Summary'!$R$359,'1501 Summary'!$R$439)</f>
        <v>16186.086108278278</v>
      </c>
      <c r="Q98" s="167">
        <f>SUM(Q45,Q55,Q65,Q69,Q79,Q89)/SUM('1501 Summary'!S210,'1501 Summary'!S239,'1501 Summary'!S322,'1501 Summary'!S342,'1501 Summary'!S361,'1501 Summary'!S441)</f>
        <v>0.89732017344629877</v>
      </c>
      <c r="R98" s="167">
        <f>SUM(R45,R55,R65,R69,R79,R89)/SUM('1501 Summary'!$T$208,'1501 Summary'!$T$237,'1501 Summary'!$T$320,'1501 Summary'!$T$340,'1501 Summary'!$T$359,'1501 Summary'!$T$439)</f>
        <v>15471.755420564892</v>
      </c>
      <c r="S98" s="167">
        <f>SUM(S45,S55,S65,S69,S79,S89)/SUM('1501 Summary'!U210,'1501 Summary'!U239,'1501 Summary'!U322,'1501 Summary'!U342,'1501 Summary'!U361,'1501 Summary'!U441)</f>
        <v>0.71336703742109786</v>
      </c>
      <c r="T98" s="167">
        <f>SUM(T45,T55,T65,T69,T79,T89)/SUM('1501 Summary'!$V$208,'1501 Summary'!$V$237,'1501 Summary'!$V$320,'1501 Summary'!$V$340,'1501 Summary'!$V$359,'1501 Summary'!$V$439)</f>
        <v>16964.757379552568</v>
      </c>
      <c r="U98" s="167">
        <f>SUM(U45,U55,U65,U69,U79,U89)/SUM('1501 Summary'!W210,'1501 Summary'!W239,'1501 Summary'!W322,'1501 Summary'!W342,'1501 Summary'!W361,'1501 Summary'!W441)</f>
        <v>0.7933131139717976</v>
      </c>
      <c r="V98" s="167">
        <f>SUM(V45,V55,V65,V69,V79,V89)/SUM('1501 Summary'!$X$208,'1501 Summary'!$X$237,'1501 Summary'!$X$320,'1501 Summary'!$X$340,'1501 Summary'!$X$359,'1501 Summary'!$X$439)</f>
        <v>16568.102692215696</v>
      </c>
      <c r="W98" s="167">
        <f>SUM(W45,W55,W65,W69,W79,W89)/SUM('1501 Summary'!Y210,'1501 Summary'!Y239,'1501 Summary'!Y322,'1501 Summary'!Y342,'1501 Summary'!Y361,'1501 Summary'!Y441)</f>
        <v>1.0312815763742549</v>
      </c>
      <c r="X98" s="167">
        <f>SUM(X45,X55,X65,X69,X79,X89)/SUM('1501 Summary'!$Z$208,'1501 Summary'!$Z$237,'1501 Summary'!$Z$320,'1501 Summary'!$Z$340,'1501 Summary'!$Z$359,'1501 Summary'!$Z$439)</f>
        <v>20079.859236058612</v>
      </c>
      <c r="Y98" s="167">
        <f>SUM(Y45,Y55,Y65,Y69,Y79,Y89)/SUM('1501 Summary'!AA210,'1501 Summary'!AA239,'1501 Summary'!AA322,'1501 Summary'!AA342,'1501 Summary'!AA361,'1501 Summary'!AA441)</f>
        <v>1.6309859277351391</v>
      </c>
      <c r="Z98" s="167">
        <f>SUM(Z45,Z55,Z65,Z69,Z79,Z89)/SUM('1501 Summary'!$AB$208,'1501 Summary'!$AB$237,'1501 Summary'!$AB$320,'1501 Summary'!$AB$340,'1501 Summary'!$AB$359,'1501 Summary'!$AB$439)</f>
        <v>13797.867483146671</v>
      </c>
    </row>
    <row r="99" spans="2:29" x14ac:dyDescent="0.25">
      <c r="B99" s="115">
        <v>96</v>
      </c>
      <c r="C99" s="165" t="s">
        <v>443</v>
      </c>
      <c r="D99" s="167">
        <f>SUM(D46,D56,D66,D70,D80,D90)/SUM('1501 Summary'!$F$208,'1501 Summary'!$F$237,'1501 Summary'!$F$320,'1501 Summary'!$F$340,'1501 Summary'!$F$359,'1501 Summary'!$F$439)</f>
        <v>159842.29054701497</v>
      </c>
      <c r="E99" s="167">
        <f>SUM(E46,E56,E66,E70,E80,E90)/SUM('1501 Summary'!G211,'1501 Summary'!G240,'1501 Summary'!G323,'1501 Summary'!G343,'1501 Summary'!G362,'1501 Summary'!G442)</f>
        <v>0.25434809229809813</v>
      </c>
      <c r="F99" s="167">
        <f>SUM(F46,F56,F66,F70,F80,F90)/SUM('1501 Summary'!$H$208,'1501 Summary'!$H$237,'1501 Summary'!$H$320,'1501 Summary'!$H$340,'1501 Summary'!$H$359,'1501 Summary'!$H$439)</f>
        <v>111864.70441194848</v>
      </c>
      <c r="G99" s="167">
        <f>SUM(G46,G56,G66,G70,G80,G90)/SUM('1501 Summary'!I211,'1501 Summary'!I240,'1501 Summary'!I323,'1501 Summary'!I343,'1501 Summary'!I362,'1501 Summary'!I442)</f>
        <v>0.22613567213075816</v>
      </c>
      <c r="H99" s="167">
        <f>SUM(H46,H56,H66,H70,H80,H90)/SUM('1501 Summary'!$J$208,'1501 Summary'!$J$237,'1501 Summary'!$J$320,'1501 Summary'!$J$340,'1501 Summary'!$J$359,'1501 Summary'!$J$439)</f>
        <v>109965.20226638336</v>
      </c>
      <c r="I99" s="167">
        <f>SUM(I46,I56,I66,I70,I80,I90)/SUM('1501 Summary'!K211,'1501 Summary'!K240,'1501 Summary'!K323,'1501 Summary'!K343,'1501 Summary'!K362,'1501 Summary'!K442)</f>
        <v>0.20607508382965933</v>
      </c>
      <c r="J99" s="167">
        <f>SUM(J46,J56,J66,J70,J80,J90)/SUM('1501 Summary'!$L$208,'1501 Summary'!$L$237,'1501 Summary'!$L$320,'1501 Summary'!$L$340,'1501 Summary'!$L$359,'1501 Summary'!$L$439)</f>
        <v>138459.28633920761</v>
      </c>
      <c r="K99" s="167">
        <f>SUM(K46,K56,K66,K70,K80,K90)/SUM('1501 Summary'!M211,'1501 Summary'!M240,'1501 Summary'!M323,'1501 Summary'!M343,'1501 Summary'!M362,'1501 Summary'!M442)</f>
        <v>0.27403169470286981</v>
      </c>
      <c r="L99" s="167">
        <f>SUM(L46,L56,L66,L70,L80,L90)/SUM('1501 Summary'!$N$208,'1501 Summary'!$N$237,'1501 Summary'!$N$320,'1501 Summary'!$N$340,'1501 Summary'!$N$359,'1501 Summary'!$N$439)</f>
        <v>82403.43970161624</v>
      </c>
      <c r="M99" s="167">
        <f>SUM(M46,M56,M66,M70,M80,M90)/SUM('1501 Summary'!O211,'1501 Summary'!O240,'1501 Summary'!O323,'1501 Summary'!O343,'1501 Summary'!O362,'1501 Summary'!O442)</f>
        <v>0.16974121433281553</v>
      </c>
      <c r="N99" s="167">
        <f>SUM(N46,N56,N66,N70,N80,N90)/SUM('1501 Summary'!$P$208,'1501 Summary'!$P$237,'1501 Summary'!$P$320,'1501 Summary'!$P$340,'1501 Summary'!$P$359,'1501 Summary'!$P$439)</f>
        <v>112245.503522586</v>
      </c>
      <c r="O99" s="167">
        <f>SUM(O46,O56,O66,O70,O80,O90)/SUM('1501 Summary'!Q211,'1501 Summary'!Q240,'1501 Summary'!Q323,'1501 Summary'!Q343,'1501 Summary'!Q362,'1501 Summary'!Q442)</f>
        <v>0.23635382700598162</v>
      </c>
      <c r="P99" s="167">
        <f>SUM(P46,P56,P66,P70,P80,P90)/SUM('1501 Summary'!$R$208,'1501 Summary'!$R$237,'1501 Summary'!$R$320,'1501 Summary'!$R$340,'1501 Summary'!$R$359,'1501 Summary'!$R$439)</f>
        <v>98855.895151263991</v>
      </c>
      <c r="Q99" s="167">
        <f>SUM(Q46,Q56,Q66,Q70,Q80,Q90)/SUM('1501 Summary'!S211,'1501 Summary'!S240,'1501 Summary'!S323,'1501 Summary'!S343,'1501 Summary'!S362,'1501 Summary'!S442)</f>
        <v>0.21490699449646705</v>
      </c>
      <c r="R99" s="167">
        <f>SUM(R46,R56,R66,R70,R80,R90)/SUM('1501 Summary'!$T$208,'1501 Summary'!$T$237,'1501 Summary'!$T$320,'1501 Summary'!$T$340,'1501 Summary'!$T$359,'1501 Summary'!$T$439)</f>
        <v>222365.45793617901</v>
      </c>
      <c r="S99" s="167">
        <f>SUM(S46,S56,S66,S70,S80,S90)/SUM('1501 Summary'!U211,'1501 Summary'!U240,'1501 Summary'!U323,'1501 Summary'!U343,'1501 Summary'!U362,'1501 Summary'!U442)</f>
        <v>0.29869701451080083</v>
      </c>
      <c r="T99" s="167">
        <f>SUM(T46,T56,T66,T70,T80,T90)/SUM('1501 Summary'!$V$208,'1501 Summary'!$V$237,'1501 Summary'!$V$320,'1501 Summary'!$V$340,'1501 Summary'!$V$359,'1501 Summary'!$V$439)</f>
        <v>233128.40570722349</v>
      </c>
      <c r="U99" s="167">
        <f>SUM(U46,U56,U66,U70,U80,U90)/SUM('1501 Summary'!W211,'1501 Summary'!W240,'1501 Summary'!W323,'1501 Summary'!W343,'1501 Summary'!W362,'1501 Summary'!W442)</f>
        <v>0.35086176221568238</v>
      </c>
      <c r="V99" s="167">
        <f>SUM(V46,V56,V66,V70,V80,V90)/SUM('1501 Summary'!$X$208,'1501 Summary'!$X$237,'1501 Summary'!$X$320,'1501 Summary'!$X$340,'1501 Summary'!$X$359,'1501 Summary'!$X$439)</f>
        <v>231792.74654841534</v>
      </c>
      <c r="W99" s="167">
        <f>SUM(W46,W56,W66,W70,W80,W90)/SUM('1501 Summary'!Y211,'1501 Summary'!Y240,'1501 Summary'!Y323,'1501 Summary'!Y343,'1501 Summary'!Y362,'1501 Summary'!Y442)</f>
        <v>0.16994308362881749</v>
      </c>
      <c r="X99" s="167">
        <f>SUM(X46,X56,X66,X70,X80,X90)/SUM('1501 Summary'!$Z$208,'1501 Summary'!$Z$237,'1501 Summary'!$Z$320,'1501 Summary'!$Z$340,'1501 Summary'!$Z$359,'1501 Summary'!$Z$439)</f>
        <v>138752.72582721285</v>
      </c>
      <c r="Y99" s="167">
        <f>SUM(Y46,Y56,Y66,Y70,Y80,Y90)/SUM('1501 Summary'!AA211,'1501 Summary'!AA240,'1501 Summary'!AA323,'1501 Summary'!AA343,'1501 Summary'!AA362,'1501 Summary'!AA442)</f>
        <v>0.15789724740059083</v>
      </c>
      <c r="Z99" s="167">
        <f>SUM(Z46,Z56,Z66,Z70,Z80,Z90)/SUM('1501 Summary'!$AB$208,'1501 Summary'!$AB$237,'1501 Summary'!$AB$320,'1501 Summary'!$AB$340,'1501 Summary'!$AB$359,'1501 Summary'!$AB$439)</f>
        <v>50989.295599615878</v>
      </c>
    </row>
    <row r="100" spans="2:29" ht="15.75" thickBot="1" x14ac:dyDescent="0.3">
      <c r="B100" s="115">
        <v>97</v>
      </c>
      <c r="D100" s="119"/>
      <c r="E100" s="119"/>
      <c r="F100" s="121"/>
      <c r="G100" s="126"/>
      <c r="H100" s="122"/>
      <c r="I100" s="122"/>
      <c r="J100" s="122"/>
      <c r="K100" s="122"/>
      <c r="L100" s="122"/>
      <c r="M100" s="122"/>
      <c r="N100" s="122"/>
      <c r="O100" s="122"/>
      <c r="P100" s="122"/>
      <c r="Q100" s="122"/>
      <c r="R100" s="122"/>
      <c r="S100" s="122"/>
      <c r="T100" s="122"/>
      <c r="U100" s="122"/>
      <c r="V100" s="122"/>
      <c r="W100" s="122"/>
      <c r="X100" s="122"/>
      <c r="Y100" s="129"/>
      <c r="Z100" s="123"/>
    </row>
    <row r="101" spans="2:29" ht="15.75" thickBot="1" x14ac:dyDescent="0.3">
      <c r="B101" s="115">
        <v>98</v>
      </c>
    </row>
    <row r="102" spans="2:29" ht="15" customHeight="1" x14ac:dyDescent="0.25">
      <c r="B102" s="115">
        <v>99</v>
      </c>
      <c r="C102" s="587" t="s">
        <v>396</v>
      </c>
      <c r="D102" s="587"/>
      <c r="E102" s="587"/>
      <c r="F102" s="587"/>
      <c r="G102" s="587"/>
      <c r="H102" s="587"/>
      <c r="I102" s="587"/>
      <c r="J102" s="587"/>
      <c r="K102" s="587"/>
      <c r="L102" s="587"/>
      <c r="M102" s="587"/>
      <c r="N102" s="587"/>
      <c r="O102" s="587"/>
      <c r="P102" s="587"/>
      <c r="Q102" s="587"/>
      <c r="R102" s="587"/>
      <c r="S102" s="587"/>
      <c r="T102" s="587"/>
      <c r="U102" s="587"/>
      <c r="V102" s="587"/>
      <c r="W102" s="587"/>
      <c r="X102" s="587"/>
      <c r="Y102" s="587"/>
      <c r="Z102" s="588"/>
    </row>
    <row r="103" spans="2:29" x14ac:dyDescent="0.25">
      <c r="B103" s="115">
        <v>100</v>
      </c>
      <c r="C103" s="115" t="s">
        <v>374</v>
      </c>
      <c r="D103" s="115" t="s">
        <v>375</v>
      </c>
      <c r="E103" s="115"/>
      <c r="F103" s="115" t="s">
        <v>34</v>
      </c>
      <c r="G103" s="115"/>
      <c r="H103" s="115" t="s">
        <v>35</v>
      </c>
      <c r="I103" s="115"/>
      <c r="J103" s="115" t="s">
        <v>37</v>
      </c>
      <c r="K103" s="115"/>
      <c r="L103" s="115" t="s">
        <v>39</v>
      </c>
      <c r="M103" s="115"/>
      <c r="N103" s="115" t="s">
        <v>50</v>
      </c>
      <c r="O103" s="115"/>
      <c r="P103" s="115" t="s">
        <v>51</v>
      </c>
      <c r="Q103" s="115"/>
      <c r="R103" s="115" t="s">
        <v>79</v>
      </c>
      <c r="S103" s="115"/>
      <c r="T103" s="115" t="s">
        <v>52</v>
      </c>
      <c r="U103" s="115"/>
      <c r="V103" s="115" t="s">
        <v>41</v>
      </c>
      <c r="W103" s="115"/>
      <c r="X103" s="115" t="s">
        <v>43</v>
      </c>
      <c r="Y103" s="115"/>
      <c r="Z103" s="116" t="s">
        <v>44</v>
      </c>
      <c r="AA103" s="115" t="s">
        <v>386</v>
      </c>
      <c r="AB103" s="115" t="s">
        <v>388</v>
      </c>
      <c r="AC103" s="115" t="s">
        <v>616</v>
      </c>
    </row>
    <row r="104" spans="2:29" ht="43.5" customHeight="1" x14ac:dyDescent="0.25">
      <c r="B104" s="115">
        <v>101</v>
      </c>
      <c r="C104" s="117" t="s">
        <v>376</v>
      </c>
      <c r="D104" s="117" t="s">
        <v>81</v>
      </c>
      <c r="E104" s="117"/>
      <c r="F104" s="117" t="s">
        <v>82</v>
      </c>
      <c r="G104" s="117"/>
      <c r="H104" s="117" t="s">
        <v>83</v>
      </c>
      <c r="I104" s="117"/>
      <c r="J104" s="117" t="s">
        <v>84</v>
      </c>
      <c r="K104" s="117"/>
      <c r="L104" s="117" t="s">
        <v>85</v>
      </c>
      <c r="M104" s="117"/>
      <c r="N104" s="117" t="s">
        <v>86</v>
      </c>
      <c r="O104" s="117"/>
      <c r="P104" s="117" t="s">
        <v>87</v>
      </c>
      <c r="Q104" s="117"/>
      <c r="R104" s="117" t="s">
        <v>88</v>
      </c>
      <c r="S104" s="117"/>
      <c r="T104" s="117" t="s">
        <v>89</v>
      </c>
      <c r="U104" s="117"/>
      <c r="V104" s="117" t="s">
        <v>90</v>
      </c>
      <c r="W104" s="117"/>
      <c r="X104" s="117" t="s">
        <v>91</v>
      </c>
      <c r="Y104" s="117"/>
      <c r="Z104" s="222" t="s">
        <v>92</v>
      </c>
      <c r="AA104" s="219" t="s">
        <v>426</v>
      </c>
      <c r="AB104" s="162" t="s">
        <v>387</v>
      </c>
      <c r="AC104" s="214" t="s">
        <v>722</v>
      </c>
    </row>
    <row r="105" spans="2:29" x14ac:dyDescent="0.25">
      <c r="B105" s="115">
        <v>102</v>
      </c>
      <c r="C105" s="119" t="s">
        <v>416</v>
      </c>
      <c r="D105" s="118">
        <f>D8*SUM('1501 Summary'!$AB$23)</f>
        <v>22583970.553883139</v>
      </c>
      <c r="E105" s="118"/>
      <c r="F105" s="118">
        <f>F8*SUM('1501 Summary'!$AB$23)</f>
        <v>17686846.852574952</v>
      </c>
      <c r="G105" s="118"/>
      <c r="H105" s="118">
        <f>H8*SUM('1501 Summary'!$AB$23)</f>
        <v>14398095.016699623</v>
      </c>
      <c r="I105" s="118"/>
      <c r="J105" s="118">
        <f>J8*SUM('1501 Summary'!$AB$23)</f>
        <v>9897677.3183008675</v>
      </c>
      <c r="K105" s="118"/>
      <c r="L105" s="118">
        <f>L8*SUM('1501 Summary'!$AB$23)</f>
        <v>5928309.8502837559</v>
      </c>
      <c r="M105" s="118"/>
      <c r="N105" s="118">
        <f>N8*SUM('1501 Summary'!$AB$23)</f>
        <v>3780553.0600667661</v>
      </c>
      <c r="O105" s="118"/>
      <c r="P105" s="118">
        <f>P8*SUM('1501 Summary'!$AB$23)</f>
        <v>2905523.6940047569</v>
      </c>
      <c r="Q105" s="118"/>
      <c r="R105" s="118">
        <f>R8*SUM('1501 Summary'!$AB$23)</f>
        <v>1428373.1762518128</v>
      </c>
      <c r="S105" s="118"/>
      <c r="T105" s="118">
        <f>T8*SUM('1501 Summary'!$AB$23)</f>
        <v>4103551.258159365</v>
      </c>
      <c r="U105" s="118"/>
      <c r="V105" s="118">
        <f>V8*SUM('1501 Summary'!$AB$23)</f>
        <v>8795495.2079919372</v>
      </c>
      <c r="W105" s="118"/>
      <c r="X105" s="118">
        <f>X8*SUM('1501 Summary'!$AB$23)</f>
        <v>17574429.859745499</v>
      </c>
      <c r="Y105" s="118"/>
      <c r="Z105" s="223">
        <f>Z8*SUM('1501 Summary'!$AB$23)</f>
        <v>22484196.242159527</v>
      </c>
      <c r="AA105" s="131">
        <f>SUM(D105:Z105)</f>
        <v>131567022.09012201</v>
      </c>
      <c r="AB105" s="133">
        <f>SUM('1501 Summary'!$AB$23+'1501 Summary'!$AB$6)*12</f>
        <v>2301790.3200000003</v>
      </c>
      <c r="AC105" s="471">
        <f>SUM('1501 Summary'!F23,'1501 Summary'!H23,'1501 Summary'!J23,'1501 Summary'!L23,'1501 Summary'!N23,'1501 Summary'!P23,'1501 Summary'!R23,'1501 Summary'!T23,'1501 Summary'!V23,'1501 Summary'!X23,'1501 Summary'!Z23,'1501 Summary'!AB23,'1501 Summary'!F6,'1501 Summary'!H6,'1501 Summary'!J6,'1501 Summary'!L6,'1501 Summary'!N6,'1501 Summary'!P6,'1501 Summary'!R6,'1501 Summary'!T6)/12</f>
        <v>189983.88166666668</v>
      </c>
    </row>
    <row r="106" spans="2:29" x14ac:dyDescent="0.25">
      <c r="B106" s="115">
        <v>103</v>
      </c>
      <c r="C106" s="146" t="s">
        <v>448</v>
      </c>
      <c r="D106" s="147">
        <f>D10*SUM('1501 Summary'!$AB$46+'1501 Summary'!$AB$121+'1501 Summary'!$AB$139)</f>
        <v>15062223.505767643</v>
      </c>
      <c r="E106" s="147"/>
      <c r="F106" s="147">
        <f>F10*SUM('1501 Summary'!$AB$46+'1501 Summary'!$AB$121+'1501 Summary'!$AB$139)</f>
        <v>12545391.570208579</v>
      </c>
      <c r="G106" s="147"/>
      <c r="H106" s="147">
        <f>H10*SUM('1501 Summary'!$AB$46+'1501 Summary'!$AB$121+'1501 Summary'!$AB$139)</f>
        <v>9134851.1968940068</v>
      </c>
      <c r="I106" s="147"/>
      <c r="J106" s="147">
        <f>J10*SUM('1501 Summary'!$AB$46+'1501 Summary'!$AB$121+'1501 Summary'!$AB$139)</f>
        <v>6882254.5360852312</v>
      </c>
      <c r="K106" s="147"/>
      <c r="L106" s="147">
        <f>L10*SUM('1501 Summary'!$AB$46+'1501 Summary'!$AB$121+'1501 Summary'!$AB$139)</f>
        <v>3918036.3420420131</v>
      </c>
      <c r="M106" s="147"/>
      <c r="N106" s="147">
        <f>N10*SUM('1501 Summary'!$AB$46+'1501 Summary'!$AB$121+'1501 Summary'!$AB$139)</f>
        <v>3451958.2463035439</v>
      </c>
      <c r="O106" s="147"/>
      <c r="P106" s="147">
        <f>P10*SUM('1501 Summary'!$AB$46+'1501 Summary'!$AB$121+'1501 Summary'!$AB$139)</f>
        <v>2866629.3633415252</v>
      </c>
      <c r="Q106" s="147"/>
      <c r="R106" s="147">
        <f>R10*SUM('1501 Summary'!$AB$46+'1501 Summary'!$AB$121+'1501 Summary'!$AB$139)</f>
        <v>1603251.5715511125</v>
      </c>
      <c r="S106" s="147"/>
      <c r="T106" s="147">
        <f>T10*SUM('1501 Summary'!$AB$46+'1501 Summary'!$AB$121+'1501 Summary'!$AB$139)</f>
        <v>3921678.0600266438</v>
      </c>
      <c r="U106" s="147"/>
      <c r="V106" s="147">
        <f>V10*SUM('1501 Summary'!$AB$46+'1501 Summary'!$AB$121+'1501 Summary'!$AB$139)</f>
        <v>6902607.3037800584</v>
      </c>
      <c r="W106" s="147"/>
      <c r="X106" s="147">
        <f>X10*SUM('1501 Summary'!$AB$46+'1501 Summary'!$AB$121+'1501 Summary'!$AB$139)</f>
        <v>11278001.753868425</v>
      </c>
      <c r="Y106" s="147"/>
      <c r="Z106" s="224">
        <f>Z10*SUM('1501 Summary'!$AB$46+'1501 Summary'!$AB$121+'1501 Summary'!$AB$139)</f>
        <v>14984777.227434775</v>
      </c>
      <c r="AA106" s="131">
        <f t="shared" ref="AA106" si="6">SUM(D106:Z106)</f>
        <v>92551660.677303553</v>
      </c>
      <c r="AB106" s="132">
        <f>SUM('1501 Summary'!$AB$46+'1501 Summary'!$AB$121+'1501 Summary'!$AB$139)*12</f>
        <v>318952.9846153846</v>
      </c>
      <c r="AC106" s="133">
        <f>SUM('1501 Summary'!F46,'1501 Summary'!H46,'1501 Summary'!J46,'1501 Summary'!L46,'1501 Summary'!N46,'1501 Summary'!P46,'1501 Summary'!R46,'1501 Summary'!T46,'1501 Summary'!V46,'1501 Summary'!X46,'1501 Summary'!Z46,'1501 Summary'!AB46,'1501 Summary'!F121,'1501 Summary'!H121,'1501 Summary'!J121,'1501 Summary'!L121,'1501 Summary'!N121,'1501 Summary'!P121,'1501 Summary'!R121,'1501 Summary'!T121,'1501 Summary'!V121,'1501 Summary'!X121,'1501 Summary'!Z121,'1501 Summary'!AB121,'1501 Summary'!F139,'1501 Summary'!H139,'1501 Summary'!J139,'1501 Summary'!L139,'1501 Summary'!N139,'1501 Summary'!P139,'1501 Summary'!R139,'1501 Summary'!T139,'1501 Summary'!V139,'1501 Summary'!X139,'1501 Summary'!Z139,'1501 Summary'!AB139)/12</f>
        <v>26328.589743589739</v>
      </c>
    </row>
    <row r="107" spans="2:29" x14ac:dyDescent="0.25">
      <c r="B107" s="115">
        <v>104</v>
      </c>
      <c r="C107" s="119">
        <v>505</v>
      </c>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223"/>
      <c r="AA107" s="170"/>
      <c r="AB107" s="132"/>
      <c r="AC107" s="424"/>
    </row>
    <row r="108" spans="2:29" x14ac:dyDescent="0.25">
      <c r="B108" s="115">
        <v>105</v>
      </c>
      <c r="C108" s="119" t="s">
        <v>197</v>
      </c>
      <c r="D108" s="118">
        <f t="shared" ref="D108:Z108" si="7">(D20)*($AB$108/12)</f>
        <v>198287.11332766127</v>
      </c>
      <c r="E108" s="118">
        <f t="shared" si="7"/>
        <v>0</v>
      </c>
      <c r="F108" s="118">
        <f t="shared" si="7"/>
        <v>188214.89854764816</v>
      </c>
      <c r="G108" s="118">
        <f t="shared" si="7"/>
        <v>0</v>
      </c>
      <c r="H108" s="118">
        <f t="shared" si="7"/>
        <v>194118.57484118687</v>
      </c>
      <c r="I108" s="118">
        <f t="shared" si="7"/>
        <v>0</v>
      </c>
      <c r="J108" s="118">
        <f t="shared" si="7"/>
        <v>176830.52145568511</v>
      </c>
      <c r="K108" s="118">
        <f t="shared" si="7"/>
        <v>0</v>
      </c>
      <c r="L108" s="118">
        <f t="shared" si="7"/>
        <v>143669.82809661544</v>
      </c>
      <c r="M108" s="118">
        <f t="shared" si="7"/>
        <v>0</v>
      </c>
      <c r="N108" s="118">
        <f t="shared" si="7"/>
        <v>101792.4927454961</v>
      </c>
      <c r="O108" s="118">
        <f t="shared" si="7"/>
        <v>0</v>
      </c>
      <c r="P108" s="118">
        <f t="shared" si="7"/>
        <v>90115.953683290194</v>
      </c>
      <c r="Q108" s="118">
        <f t="shared" si="7"/>
        <v>0</v>
      </c>
      <c r="R108" s="118">
        <f t="shared" si="7"/>
        <v>85355.647251450864</v>
      </c>
      <c r="S108" s="118">
        <f t="shared" si="7"/>
        <v>0</v>
      </c>
      <c r="T108" s="118">
        <f t="shared" si="7"/>
        <v>89783.251490913521</v>
      </c>
      <c r="U108" s="118">
        <f t="shared" si="7"/>
        <v>0</v>
      </c>
      <c r="V108" s="118">
        <f t="shared" si="7"/>
        <v>121613.623886617</v>
      </c>
      <c r="W108" s="118">
        <f t="shared" si="7"/>
        <v>0</v>
      </c>
      <c r="X108" s="118">
        <f t="shared" si="7"/>
        <v>157344.41467948657</v>
      </c>
      <c r="Y108" s="118">
        <f t="shared" si="7"/>
        <v>0</v>
      </c>
      <c r="Z108" s="223">
        <f t="shared" si="7"/>
        <v>186860.45599686293</v>
      </c>
      <c r="AA108" s="150">
        <f>SUM(D108:Z108)</f>
        <v>1733986.7760029139</v>
      </c>
      <c r="AB108" s="132">
        <f>SUM('1501 Summary'!$AB$154+'1501 Summary'!$AB$70)*12</f>
        <v>5760</v>
      </c>
      <c r="AC108" s="133">
        <f>SUM('1501 Summary'!F70,'1501 Summary'!H70,'1501 Summary'!J70,'1501 Summary'!L70,'1501 Summary'!N70,'1501 Summary'!P70,'1501 Summary'!R70,'1501 Summary'!T70,'1501 Summary'!V70,'1501 Summary'!X70,'1501 Summary'!Z70,'1501 Summary'!AB70,'1501 Summary'!F154,'1501 Summary'!H154,'1501 Summary'!J154,'1501 Summary'!L154,'1501 Summary'!N154,'1501 Summary'!P154,'1501 Summary'!R154,'1501 Summary'!T154,'1501 Summary'!V154,'1501 Summary'!X154,'1501 Summary'!Z154,'1501 Summary'!AB154)/12</f>
        <v>474.16083333333336</v>
      </c>
    </row>
    <row r="109" spans="2:29" x14ac:dyDescent="0.25">
      <c r="B109" s="115">
        <v>106</v>
      </c>
      <c r="C109" s="119" t="s">
        <v>198</v>
      </c>
      <c r="D109" s="118">
        <f t="shared" ref="D109:Z109" si="8">(D21)*($AB$108/12)</f>
        <v>741772.55165321776</v>
      </c>
      <c r="E109" s="118">
        <f t="shared" si="8"/>
        <v>0</v>
      </c>
      <c r="F109" s="118">
        <f t="shared" si="8"/>
        <v>631009.03138596704</v>
      </c>
      <c r="G109" s="118">
        <f t="shared" si="8"/>
        <v>0</v>
      </c>
      <c r="H109" s="118">
        <f t="shared" si="8"/>
        <v>681770.74680741667</v>
      </c>
      <c r="I109" s="118">
        <f t="shared" si="8"/>
        <v>0</v>
      </c>
      <c r="J109" s="118">
        <f t="shared" si="8"/>
        <v>555010.48608341278</v>
      </c>
      <c r="K109" s="118">
        <f t="shared" si="8"/>
        <v>0</v>
      </c>
      <c r="L109" s="118">
        <f t="shared" si="8"/>
        <v>406761.92831343971</v>
      </c>
      <c r="M109" s="118">
        <f t="shared" si="8"/>
        <v>0</v>
      </c>
      <c r="N109" s="118">
        <f t="shared" si="8"/>
        <v>302026.22957671422</v>
      </c>
      <c r="O109" s="118">
        <f t="shared" si="8"/>
        <v>0</v>
      </c>
      <c r="P109" s="118">
        <f t="shared" si="8"/>
        <v>262990.02038365958</v>
      </c>
      <c r="Q109" s="118">
        <f t="shared" si="8"/>
        <v>0</v>
      </c>
      <c r="R109" s="118">
        <f t="shared" si="8"/>
        <v>260959.6989614873</v>
      </c>
      <c r="S109" s="118">
        <f t="shared" si="8"/>
        <v>0</v>
      </c>
      <c r="T109" s="118">
        <f t="shared" si="8"/>
        <v>274428.11758842989</v>
      </c>
      <c r="U109" s="118">
        <f t="shared" si="8"/>
        <v>0</v>
      </c>
      <c r="V109" s="118">
        <f t="shared" si="8"/>
        <v>370451.24452550762</v>
      </c>
      <c r="W109" s="118">
        <f t="shared" si="8"/>
        <v>0</v>
      </c>
      <c r="X109" s="118">
        <f t="shared" si="8"/>
        <v>484872.20651170699</v>
      </c>
      <c r="Y109" s="118">
        <f t="shared" si="8"/>
        <v>0</v>
      </c>
      <c r="Z109" s="223">
        <f t="shared" si="8"/>
        <v>660569.75859445252</v>
      </c>
      <c r="AA109" s="150">
        <f t="shared" ref="AA109:AA110" si="9">SUM(D109:Z109)</f>
        <v>5632622.0203854125</v>
      </c>
      <c r="AB109" s="132"/>
      <c r="AC109" s="424"/>
    </row>
    <row r="110" spans="2:29" x14ac:dyDescent="0.25">
      <c r="B110" s="115">
        <v>107</v>
      </c>
      <c r="C110" s="119" t="s">
        <v>199</v>
      </c>
      <c r="D110" s="118">
        <f t="shared" ref="D110:Z110" si="10">(D22)*($AB$108/12)</f>
        <v>676986.59022192785</v>
      </c>
      <c r="E110" s="118">
        <f t="shared" si="10"/>
        <v>0</v>
      </c>
      <c r="F110" s="118">
        <f t="shared" si="10"/>
        <v>470773.01904661686</v>
      </c>
      <c r="G110" s="118">
        <f t="shared" si="10"/>
        <v>0</v>
      </c>
      <c r="H110" s="118">
        <f t="shared" si="10"/>
        <v>554439.02864063717</v>
      </c>
      <c r="I110" s="118">
        <f t="shared" si="10"/>
        <v>0</v>
      </c>
      <c r="J110" s="118">
        <f t="shared" si="10"/>
        <v>391338.41169270646</v>
      </c>
      <c r="K110" s="118">
        <f t="shared" si="10"/>
        <v>0</v>
      </c>
      <c r="L110" s="118">
        <f t="shared" si="10"/>
        <v>264701.33588614169</v>
      </c>
      <c r="M110" s="118">
        <f t="shared" si="10"/>
        <v>0</v>
      </c>
      <c r="N110" s="118">
        <f t="shared" si="10"/>
        <v>201692.37309949304</v>
      </c>
      <c r="O110" s="118">
        <f t="shared" si="10"/>
        <v>0</v>
      </c>
      <c r="P110" s="118">
        <f t="shared" si="10"/>
        <v>182640.03338820743</v>
      </c>
      <c r="Q110" s="118">
        <f t="shared" si="10"/>
        <v>0</v>
      </c>
      <c r="R110" s="118">
        <f t="shared" si="10"/>
        <v>222008.63855099399</v>
      </c>
      <c r="S110" s="118">
        <f t="shared" si="10"/>
        <v>0</v>
      </c>
      <c r="T110" s="118">
        <f t="shared" si="10"/>
        <v>286940.55938649207</v>
      </c>
      <c r="U110" s="118">
        <f t="shared" si="10"/>
        <v>0</v>
      </c>
      <c r="V110" s="118">
        <f t="shared" si="10"/>
        <v>550578.27701784577</v>
      </c>
      <c r="W110" s="118">
        <f t="shared" si="10"/>
        <v>0</v>
      </c>
      <c r="X110" s="118">
        <f t="shared" si="10"/>
        <v>351314.06678717263</v>
      </c>
      <c r="Y110" s="118">
        <f t="shared" si="10"/>
        <v>0</v>
      </c>
      <c r="Z110" s="223">
        <f t="shared" si="10"/>
        <v>627938.9701663797</v>
      </c>
      <c r="AA110" s="150">
        <f t="shared" si="9"/>
        <v>4781351.3038846143</v>
      </c>
      <c r="AB110" s="132"/>
      <c r="AC110" s="424"/>
    </row>
    <row r="111" spans="2:29" x14ac:dyDescent="0.25">
      <c r="B111" s="115">
        <v>108</v>
      </c>
      <c r="C111" s="119" t="s">
        <v>377</v>
      </c>
      <c r="D111" s="118">
        <f>SUM(D108:D110)</f>
        <v>1617046.255202807</v>
      </c>
      <c r="E111" s="118"/>
      <c r="F111" s="118">
        <f t="shared" ref="F111:Z111" si="11">SUM(F108:F110)</f>
        <v>1289996.9489802322</v>
      </c>
      <c r="G111" s="118"/>
      <c r="H111" s="118">
        <f t="shared" si="11"/>
        <v>1430328.3502892407</v>
      </c>
      <c r="I111" s="118"/>
      <c r="J111" s="118">
        <f t="shared" si="11"/>
        <v>1123179.4192318043</v>
      </c>
      <c r="K111" s="118"/>
      <c r="L111" s="118">
        <f t="shared" si="11"/>
        <v>815133.09229619685</v>
      </c>
      <c r="M111" s="118"/>
      <c r="N111" s="118">
        <f t="shared" si="11"/>
        <v>605511.0954217033</v>
      </c>
      <c r="O111" s="118"/>
      <c r="P111" s="118">
        <f t="shared" si="11"/>
        <v>535746.00745515723</v>
      </c>
      <c r="Q111" s="118"/>
      <c r="R111" s="118">
        <f t="shared" si="11"/>
        <v>568323.98476393218</v>
      </c>
      <c r="S111" s="118"/>
      <c r="T111" s="118">
        <f t="shared" si="11"/>
        <v>651151.92846583552</v>
      </c>
      <c r="U111" s="118"/>
      <c r="V111" s="118">
        <f t="shared" si="11"/>
        <v>1042643.1454299705</v>
      </c>
      <c r="W111" s="118"/>
      <c r="X111" s="118">
        <f t="shared" si="11"/>
        <v>993530.68797836616</v>
      </c>
      <c r="Y111" s="118"/>
      <c r="Z111" s="223">
        <f t="shared" si="11"/>
        <v>1475369.1847576951</v>
      </c>
      <c r="AA111" s="151">
        <f>SUM(D111:Z111)</f>
        <v>12147960.10027294</v>
      </c>
      <c r="AC111" s="424"/>
    </row>
    <row r="112" spans="2:29" x14ac:dyDescent="0.25">
      <c r="B112" s="115">
        <v>109</v>
      </c>
      <c r="C112" s="148">
        <v>511</v>
      </c>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225"/>
      <c r="AA112" s="131"/>
      <c r="AC112" s="424"/>
    </row>
    <row r="113" spans="2:29" x14ac:dyDescent="0.25">
      <c r="B113" s="115">
        <v>110</v>
      </c>
      <c r="C113" s="124" t="s">
        <v>201</v>
      </c>
      <c r="D113" s="125">
        <f>D28*($AB$113/12)</f>
        <v>1277918.515101257</v>
      </c>
      <c r="E113" s="125"/>
      <c r="F113" s="125">
        <f>F28*($AB$113/12)</f>
        <v>990382.6685821173</v>
      </c>
      <c r="G113" s="125"/>
      <c r="H113" s="125">
        <f t="shared" ref="H113:Z113" si="12">H28*($AB$113/12)</f>
        <v>1077637.7241472292</v>
      </c>
      <c r="I113" s="125">
        <f t="shared" si="12"/>
        <v>0</v>
      </c>
      <c r="J113" s="125">
        <f t="shared" si="12"/>
        <v>876545.37649605831</v>
      </c>
      <c r="K113" s="125">
        <f t="shared" si="12"/>
        <v>0</v>
      </c>
      <c r="L113" s="125">
        <f t="shared" si="12"/>
        <v>646852.73191906139</v>
      </c>
      <c r="M113" s="125">
        <f t="shared" si="12"/>
        <v>0</v>
      </c>
      <c r="N113" s="125">
        <f t="shared" si="12"/>
        <v>456485.27691122756</v>
      </c>
      <c r="O113" s="125">
        <f t="shared" si="12"/>
        <v>0</v>
      </c>
      <c r="P113" s="125">
        <f t="shared" si="12"/>
        <v>393569.03060536605</v>
      </c>
      <c r="Q113" s="125">
        <f t="shared" si="12"/>
        <v>0</v>
      </c>
      <c r="R113" s="125">
        <f t="shared" si="12"/>
        <v>386597.33879029064</v>
      </c>
      <c r="S113" s="125">
        <f t="shared" si="12"/>
        <v>0</v>
      </c>
      <c r="T113" s="125">
        <f t="shared" si="12"/>
        <v>367805.14392311935</v>
      </c>
      <c r="U113" s="125">
        <f t="shared" si="12"/>
        <v>0</v>
      </c>
      <c r="V113" s="125">
        <f t="shared" si="12"/>
        <v>538941.22527855949</v>
      </c>
      <c r="W113" s="125">
        <f t="shared" si="12"/>
        <v>0</v>
      </c>
      <c r="X113" s="125">
        <f t="shared" si="12"/>
        <v>696754.7103977669</v>
      </c>
      <c r="Y113" s="125">
        <f t="shared" si="12"/>
        <v>0</v>
      </c>
      <c r="Z113" s="226">
        <f t="shared" si="12"/>
        <v>1030080.8094905791</v>
      </c>
      <c r="AA113" s="220">
        <f>SUM(D113:Z113)</f>
        <v>8739570.5516426321</v>
      </c>
      <c r="AB113" s="132">
        <f>SUM('1501 Summary'!$AB$96)*12</f>
        <v>1032</v>
      </c>
      <c r="AC113" s="472">
        <f>SUM('1501 Summary'!F96,'1501 Summary'!H96,'1501 Summary'!J96,'1501 Summary'!L96,'1501 Summary'!N96,'1501 Summary'!P96,'1501 Summary'!R96,'1501 Summary'!T96,'1501 Summary'!V96,'1501 Summary'!X96,'1501 Summary'!Z96,'1501 Summary'!AB96)/12</f>
        <v>86.46</v>
      </c>
    </row>
    <row r="114" spans="2:29" x14ac:dyDescent="0.25">
      <c r="B114" s="115">
        <v>111</v>
      </c>
      <c r="C114" s="124" t="s">
        <v>202</v>
      </c>
      <c r="D114" s="149">
        <f>D29*($AB$113/12)</f>
        <v>581575.52174168115</v>
      </c>
      <c r="E114" s="149"/>
      <c r="F114" s="149">
        <f>F29*($AB$113/12)</f>
        <v>354676.99979138363</v>
      </c>
      <c r="G114" s="149"/>
      <c r="H114" s="149">
        <f t="shared" ref="H114:Z114" si="13">H29*($AB$113/12)</f>
        <v>476001.06241699867</v>
      </c>
      <c r="I114" s="149">
        <f t="shared" si="13"/>
        <v>0</v>
      </c>
      <c r="J114" s="149">
        <f t="shared" si="13"/>
        <v>439926.54058097117</v>
      </c>
      <c r="K114" s="149">
        <f t="shared" si="13"/>
        <v>0</v>
      </c>
      <c r="L114" s="149">
        <f t="shared" si="13"/>
        <v>352728.51887469279</v>
      </c>
      <c r="M114" s="149">
        <f t="shared" si="13"/>
        <v>0</v>
      </c>
      <c r="N114" s="149">
        <f t="shared" si="13"/>
        <v>297620.30803987116</v>
      </c>
      <c r="O114" s="149">
        <f t="shared" si="13"/>
        <v>0</v>
      </c>
      <c r="P114" s="149">
        <f t="shared" si="13"/>
        <v>264189.02169101377</v>
      </c>
      <c r="Q114" s="149">
        <f t="shared" si="13"/>
        <v>0</v>
      </c>
      <c r="R114" s="149">
        <f t="shared" si="13"/>
        <v>279425.45125367481</v>
      </c>
      <c r="S114" s="149">
        <f t="shared" si="13"/>
        <v>0</v>
      </c>
      <c r="T114" s="149">
        <f t="shared" si="13"/>
        <v>259951.7853997632</v>
      </c>
      <c r="U114" s="149">
        <f t="shared" si="13"/>
        <v>0</v>
      </c>
      <c r="V114" s="149">
        <f t="shared" si="13"/>
        <v>479447.26395236229</v>
      </c>
      <c r="W114" s="149">
        <f t="shared" si="13"/>
        <v>0</v>
      </c>
      <c r="X114" s="149">
        <f t="shared" si="13"/>
        <v>233403.76911871816</v>
      </c>
      <c r="Y114" s="149">
        <f t="shared" si="13"/>
        <v>0</v>
      </c>
      <c r="Z114" s="226">
        <f t="shared" si="13"/>
        <v>484403.86016023316</v>
      </c>
      <c r="AA114" s="150">
        <f t="shared" ref="AA114:AA119" si="14">SUM(D114:Z114)</f>
        <v>4503350.1030213647</v>
      </c>
      <c r="AB114" s="132"/>
      <c r="AC114" s="424"/>
    </row>
    <row r="115" spans="2:29" x14ac:dyDescent="0.25">
      <c r="B115" s="115">
        <v>112</v>
      </c>
      <c r="C115" s="124" t="s">
        <v>203</v>
      </c>
      <c r="D115" s="149">
        <f>D30*($AB$113/12)</f>
        <v>182343.09611527575</v>
      </c>
      <c r="E115" s="149"/>
      <c r="F115" s="149">
        <f>F30*($AB$113/12)</f>
        <v>66194.095002872433</v>
      </c>
      <c r="G115" s="149"/>
      <c r="H115" s="149">
        <f t="shared" ref="H115:Z115" si="15">H30*($AB$113/12)</f>
        <v>105670.99567099568</v>
      </c>
      <c r="I115" s="149">
        <f t="shared" si="15"/>
        <v>0</v>
      </c>
      <c r="J115" s="149">
        <f t="shared" si="15"/>
        <v>80411.694192258452</v>
      </c>
      <c r="K115" s="149">
        <f t="shared" si="15"/>
        <v>0</v>
      </c>
      <c r="L115" s="149">
        <f t="shared" si="15"/>
        <v>66561.721107175646</v>
      </c>
      <c r="M115" s="149">
        <f t="shared" si="15"/>
        <v>0</v>
      </c>
      <c r="N115" s="149">
        <f t="shared" si="15"/>
        <v>6656.5611330501624</v>
      </c>
      <c r="O115" s="149">
        <f t="shared" si="15"/>
        <v>0</v>
      </c>
      <c r="P115" s="149">
        <f t="shared" si="15"/>
        <v>1358.9138134592681</v>
      </c>
      <c r="Q115" s="149">
        <f t="shared" si="15"/>
        <v>0</v>
      </c>
      <c r="R115" s="149">
        <f t="shared" si="15"/>
        <v>0</v>
      </c>
      <c r="S115" s="149">
        <f t="shared" si="15"/>
        <v>0</v>
      </c>
      <c r="T115" s="149">
        <f t="shared" si="15"/>
        <v>0</v>
      </c>
      <c r="U115" s="149">
        <f t="shared" si="15"/>
        <v>0</v>
      </c>
      <c r="V115" s="149">
        <f t="shared" si="15"/>
        <v>41734.519448805164</v>
      </c>
      <c r="W115" s="149">
        <f t="shared" si="15"/>
        <v>0</v>
      </c>
      <c r="X115" s="149">
        <f t="shared" si="15"/>
        <v>46613.141380583242</v>
      </c>
      <c r="Y115" s="149">
        <f t="shared" si="15"/>
        <v>0</v>
      </c>
      <c r="Z115" s="226">
        <f t="shared" si="15"/>
        <v>174452.93466223701</v>
      </c>
      <c r="AA115" s="150">
        <f t="shared" si="14"/>
        <v>771997.67252671276</v>
      </c>
      <c r="AB115" s="132"/>
      <c r="AC115" s="424"/>
    </row>
    <row r="116" spans="2:29" x14ac:dyDescent="0.25">
      <c r="B116" s="115">
        <v>113</v>
      </c>
      <c r="C116" s="124" t="s">
        <v>427</v>
      </c>
      <c r="D116" s="149">
        <f>SUM(D113:D115)</f>
        <v>2041837.1329582138</v>
      </c>
      <c r="E116" s="149">
        <f t="shared" ref="E116:Z116" si="16">SUM(E113:E115)</f>
        <v>0</v>
      </c>
      <c r="F116" s="149">
        <f t="shared" si="16"/>
        <v>1411253.7633763733</v>
      </c>
      <c r="G116" s="149">
        <f t="shared" si="16"/>
        <v>0</v>
      </c>
      <c r="H116" s="149">
        <f t="shared" si="16"/>
        <v>1659309.7822352236</v>
      </c>
      <c r="I116" s="149">
        <f t="shared" si="16"/>
        <v>0</v>
      </c>
      <c r="J116" s="149">
        <f t="shared" si="16"/>
        <v>1396883.611269288</v>
      </c>
      <c r="K116" s="149">
        <f t="shared" si="16"/>
        <v>0</v>
      </c>
      <c r="L116" s="149">
        <f t="shared" si="16"/>
        <v>1066142.9719009297</v>
      </c>
      <c r="M116" s="149">
        <f t="shared" si="16"/>
        <v>0</v>
      </c>
      <c r="N116" s="149">
        <f t="shared" si="16"/>
        <v>760762.1460841489</v>
      </c>
      <c r="O116" s="149">
        <f t="shared" si="16"/>
        <v>0</v>
      </c>
      <c r="P116" s="149">
        <f t="shared" si="16"/>
        <v>659116.96610983904</v>
      </c>
      <c r="Q116" s="149">
        <f t="shared" si="16"/>
        <v>0</v>
      </c>
      <c r="R116" s="149">
        <f t="shared" si="16"/>
        <v>666022.79004396545</v>
      </c>
      <c r="S116" s="149">
        <f t="shared" si="16"/>
        <v>0</v>
      </c>
      <c r="T116" s="149">
        <f t="shared" si="16"/>
        <v>627756.92932288256</v>
      </c>
      <c r="U116" s="149">
        <f t="shared" si="16"/>
        <v>0</v>
      </c>
      <c r="V116" s="149">
        <f t="shared" si="16"/>
        <v>1060123.0086797269</v>
      </c>
      <c r="W116" s="149">
        <f t="shared" si="16"/>
        <v>0</v>
      </c>
      <c r="X116" s="149">
        <f t="shared" si="16"/>
        <v>976771.62089706829</v>
      </c>
      <c r="Y116" s="149">
        <f t="shared" si="16"/>
        <v>0</v>
      </c>
      <c r="Z116" s="225">
        <f t="shared" si="16"/>
        <v>1688937.6043130492</v>
      </c>
      <c r="AA116" s="151">
        <f t="shared" si="14"/>
        <v>14014918.327190708</v>
      </c>
      <c r="AB116" s="132"/>
      <c r="AC116" s="424"/>
    </row>
    <row r="117" spans="2:29" x14ac:dyDescent="0.25">
      <c r="B117" s="115">
        <v>114</v>
      </c>
      <c r="C117" s="211">
        <v>570</v>
      </c>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27"/>
      <c r="AA117" s="131"/>
      <c r="AB117" s="132"/>
      <c r="AC117" s="424"/>
    </row>
    <row r="118" spans="2:29" x14ac:dyDescent="0.25">
      <c r="B118" s="115">
        <v>115</v>
      </c>
      <c r="C118" s="163" t="s">
        <v>208</v>
      </c>
      <c r="D118" s="202">
        <f t="shared" ref="D118:Z118" si="17">D39*($AB$118/12)</f>
        <v>116240.90553540339</v>
      </c>
      <c r="E118" s="202">
        <f t="shared" si="17"/>
        <v>0</v>
      </c>
      <c r="F118" s="202">
        <f t="shared" si="17"/>
        <v>110429.21088478173</v>
      </c>
      <c r="G118" s="202">
        <f t="shared" si="17"/>
        <v>0</v>
      </c>
      <c r="H118" s="202">
        <f t="shared" si="17"/>
        <v>104918.16721251886</v>
      </c>
      <c r="I118" s="202">
        <f t="shared" si="17"/>
        <v>0</v>
      </c>
      <c r="J118" s="202">
        <f t="shared" si="17"/>
        <v>104600.76854094311</v>
      </c>
      <c r="K118" s="202">
        <f t="shared" si="17"/>
        <v>0</v>
      </c>
      <c r="L118" s="202">
        <f t="shared" si="17"/>
        <v>97042.805481398042</v>
      </c>
      <c r="M118" s="202">
        <f t="shared" si="17"/>
        <v>0</v>
      </c>
      <c r="N118" s="202">
        <f t="shared" si="17"/>
        <v>82340.413546340817</v>
      </c>
      <c r="O118" s="202">
        <f t="shared" si="17"/>
        <v>0</v>
      </c>
      <c r="P118" s="202">
        <f t="shared" si="17"/>
        <v>73953.680874647718</v>
      </c>
      <c r="Q118" s="202">
        <f t="shared" si="17"/>
        <v>0</v>
      </c>
      <c r="R118" s="202">
        <f t="shared" si="17"/>
        <v>90258.003345606674</v>
      </c>
      <c r="S118" s="202">
        <f t="shared" si="17"/>
        <v>0</v>
      </c>
      <c r="T118" s="202">
        <f t="shared" si="17"/>
        <v>70427.992400253323</v>
      </c>
      <c r="U118" s="202">
        <f t="shared" si="17"/>
        <v>0</v>
      </c>
      <c r="V118" s="202">
        <f t="shared" si="17"/>
        <v>78762.127929069029</v>
      </c>
      <c r="W118" s="202">
        <f t="shared" si="17"/>
        <v>0</v>
      </c>
      <c r="X118" s="202">
        <f t="shared" si="17"/>
        <v>118621.02596580115</v>
      </c>
      <c r="Y118" s="202">
        <f t="shared" si="17"/>
        <v>0</v>
      </c>
      <c r="Z118" s="228">
        <f t="shared" si="17"/>
        <v>112385.94046865105</v>
      </c>
      <c r="AA118" s="220">
        <f t="shared" si="14"/>
        <v>1159981.0421854148</v>
      </c>
      <c r="AB118" s="132">
        <f>SUM('1501 Summary'!$AB$172+'1501 Summary'!$AB$192)*12</f>
        <v>96</v>
      </c>
      <c r="AC118" s="472">
        <f>SUM('1501 Summary'!F172,'1501 Summary'!H172,'1501 Summary'!J172,'1501 Summary'!L172,'1501 Summary'!N172,'1501 Summary'!P172,'1501 Summary'!R172,'1501 Summary'!T172,'1501 Summary'!V172,'1501 Summary'!X172,'1501 Summary'!Z172,'1501 Summary'!AB172,'1501 Summary'!F192,'1501 Summary'!H192,'1501 Summary'!J192,'1501 Summary'!L192,'1501 Summary'!N192,'1501 Summary'!P192,'1501 Summary'!R192,'1501 Summary'!T192)/12</f>
        <v>8.6666666666666661</v>
      </c>
    </row>
    <row r="119" spans="2:29" x14ac:dyDescent="0.25">
      <c r="B119" s="115">
        <v>116</v>
      </c>
      <c r="C119" s="163" t="s">
        <v>209</v>
      </c>
      <c r="D119" s="173">
        <f t="shared" ref="D119:Z119" si="18">D40*($AB$118/12)</f>
        <v>113149.51379633743</v>
      </c>
      <c r="E119" s="173">
        <f t="shared" si="18"/>
        <v>0</v>
      </c>
      <c r="F119" s="173">
        <f t="shared" si="18"/>
        <v>110782.17088701318</v>
      </c>
      <c r="G119" s="173">
        <f t="shared" si="18"/>
        <v>0</v>
      </c>
      <c r="H119" s="173">
        <f t="shared" si="18"/>
        <v>110334.36990966978</v>
      </c>
      <c r="I119" s="173">
        <f t="shared" si="18"/>
        <v>0</v>
      </c>
      <c r="J119" s="173">
        <f t="shared" si="18"/>
        <v>108981.4897082778</v>
      </c>
      <c r="K119" s="173">
        <f t="shared" si="18"/>
        <v>0</v>
      </c>
      <c r="L119" s="173">
        <f t="shared" si="18"/>
        <v>80899.550816920877</v>
      </c>
      <c r="M119" s="173">
        <f t="shared" si="18"/>
        <v>0</v>
      </c>
      <c r="N119" s="173">
        <f t="shared" si="18"/>
        <v>46127.054642381176</v>
      </c>
      <c r="O119" s="173">
        <f t="shared" si="18"/>
        <v>0</v>
      </c>
      <c r="P119" s="173">
        <f t="shared" si="18"/>
        <v>29083.37035391678</v>
      </c>
      <c r="Q119" s="173">
        <f t="shared" si="18"/>
        <v>0</v>
      </c>
      <c r="R119" s="173">
        <f t="shared" si="18"/>
        <v>19972.321075523923</v>
      </c>
      <c r="S119" s="173">
        <f t="shared" si="18"/>
        <v>0</v>
      </c>
      <c r="T119" s="173">
        <f t="shared" si="18"/>
        <v>22963.078291814949</v>
      </c>
      <c r="U119" s="173">
        <f t="shared" si="18"/>
        <v>0</v>
      </c>
      <c r="V119" s="173">
        <f t="shared" si="18"/>
        <v>39883.007117437723</v>
      </c>
      <c r="W119" s="173">
        <f t="shared" si="18"/>
        <v>0</v>
      </c>
      <c r="X119" s="173">
        <f t="shared" si="18"/>
        <v>79120.996441281139</v>
      </c>
      <c r="Y119" s="173">
        <f t="shared" si="18"/>
        <v>0</v>
      </c>
      <c r="Z119" s="229">
        <f t="shared" si="18"/>
        <v>105302.0462633452</v>
      </c>
      <c r="AA119" s="150">
        <f t="shared" si="14"/>
        <v>866598.96930392005</v>
      </c>
      <c r="AB119" s="132"/>
    </row>
    <row r="120" spans="2:29" x14ac:dyDescent="0.25">
      <c r="B120" s="115">
        <v>117</v>
      </c>
      <c r="C120" s="119" t="s">
        <v>428</v>
      </c>
      <c r="D120" s="171">
        <f>SUM(D118:D119)</f>
        <v>229390.41933174082</v>
      </c>
      <c r="E120" s="171">
        <f t="shared" ref="E120:Z120" si="19">SUM(E118:E119)</f>
        <v>0</v>
      </c>
      <c r="F120" s="171">
        <f t="shared" si="19"/>
        <v>221211.38177179493</v>
      </c>
      <c r="G120" s="171">
        <f t="shared" si="19"/>
        <v>0</v>
      </c>
      <c r="H120" s="171">
        <f t="shared" si="19"/>
        <v>215252.53712218866</v>
      </c>
      <c r="I120" s="171">
        <f t="shared" si="19"/>
        <v>0</v>
      </c>
      <c r="J120" s="171">
        <f t="shared" si="19"/>
        <v>213582.2582492209</v>
      </c>
      <c r="K120" s="171">
        <f t="shared" si="19"/>
        <v>0</v>
      </c>
      <c r="L120" s="171">
        <f t="shared" si="19"/>
        <v>177942.35629831892</v>
      </c>
      <c r="M120" s="171">
        <f t="shared" si="19"/>
        <v>0</v>
      </c>
      <c r="N120" s="171">
        <f t="shared" si="19"/>
        <v>128467.46818872199</v>
      </c>
      <c r="O120" s="171">
        <f t="shared" si="19"/>
        <v>0</v>
      </c>
      <c r="P120" s="171">
        <f t="shared" si="19"/>
        <v>103037.05122856449</v>
      </c>
      <c r="Q120" s="171">
        <f t="shared" si="19"/>
        <v>0</v>
      </c>
      <c r="R120" s="171">
        <f t="shared" si="19"/>
        <v>110230.3244211306</v>
      </c>
      <c r="S120" s="171">
        <f t="shared" si="19"/>
        <v>0</v>
      </c>
      <c r="T120" s="171">
        <f t="shared" si="19"/>
        <v>93391.070692068271</v>
      </c>
      <c r="U120" s="171">
        <f t="shared" si="19"/>
        <v>0</v>
      </c>
      <c r="V120" s="171">
        <f t="shared" si="19"/>
        <v>118645.13504650675</v>
      </c>
      <c r="W120" s="171">
        <f t="shared" si="19"/>
        <v>0</v>
      </c>
      <c r="X120" s="171">
        <f t="shared" si="19"/>
        <v>197742.02240708229</v>
      </c>
      <c r="Y120" s="171">
        <f t="shared" si="19"/>
        <v>0</v>
      </c>
      <c r="Z120" s="230">
        <f t="shared" si="19"/>
        <v>217687.98673199624</v>
      </c>
      <c r="AA120" s="151">
        <f>SUM(D120:Z120)</f>
        <v>2026580.0114893347</v>
      </c>
      <c r="AB120" s="132"/>
    </row>
    <row r="121" spans="2:29" x14ac:dyDescent="0.25">
      <c r="B121" s="115">
        <v>118</v>
      </c>
      <c r="C121" s="210" t="s">
        <v>444</v>
      </c>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31"/>
      <c r="AA121" s="131"/>
      <c r="AB121" s="132"/>
    </row>
    <row r="122" spans="2:29" x14ac:dyDescent="0.25">
      <c r="B122" s="115">
        <v>119</v>
      </c>
      <c r="C122" s="205" t="s">
        <v>441</v>
      </c>
      <c r="D122" s="204">
        <f>D96*($AB$122/12)</f>
        <v>8824689.0052356031</v>
      </c>
      <c r="E122" s="204">
        <f t="shared" ref="E122:Z122" si="20">E96*($AB$122/12)</f>
        <v>979.6326600000001</v>
      </c>
      <c r="F122" s="204">
        <f>F96*($AB$122/12)</f>
        <v>8535850.9598603845</v>
      </c>
      <c r="G122" s="204">
        <f t="shared" si="20"/>
        <v>956.20555999999999</v>
      </c>
      <c r="H122" s="204">
        <f t="shared" si="20"/>
        <v>8412954.1012216397</v>
      </c>
      <c r="I122" s="204">
        <f t="shared" si="20"/>
        <v>932.48864000000003</v>
      </c>
      <c r="J122" s="204">
        <f t="shared" si="20"/>
        <v>8394347.4694589879</v>
      </c>
      <c r="K122" s="204">
        <f t="shared" si="20"/>
        <v>930.66883999999993</v>
      </c>
      <c r="L122" s="204">
        <f t="shared" si="20"/>
        <v>7746419.9338660799</v>
      </c>
      <c r="M122" s="204">
        <f t="shared" si="20"/>
        <v>857.66017547368438</v>
      </c>
      <c r="N122" s="204">
        <f t="shared" si="20"/>
        <v>7591546.5252135582</v>
      </c>
      <c r="O122" s="204">
        <f t="shared" si="20"/>
        <v>840.68618494736847</v>
      </c>
      <c r="P122" s="204">
        <f t="shared" si="20"/>
        <v>7591485.4174703779</v>
      </c>
      <c r="Q122" s="204">
        <f t="shared" si="20"/>
        <v>847.18486042105246</v>
      </c>
      <c r="R122" s="204">
        <f t="shared" si="20"/>
        <v>7346601.8655276941</v>
      </c>
      <c r="S122" s="204">
        <f t="shared" si="20"/>
        <v>819.1212053684211</v>
      </c>
      <c r="T122" s="204">
        <f t="shared" si="20"/>
        <v>7711677.566414983</v>
      </c>
      <c r="U122" s="204">
        <f t="shared" si="20"/>
        <v>641.39665490526306</v>
      </c>
      <c r="V122" s="204">
        <f t="shared" si="20"/>
        <v>8618969.3642146438</v>
      </c>
      <c r="W122" s="204">
        <f t="shared" si="20"/>
        <v>709.84275643979061</v>
      </c>
      <c r="X122" s="204">
        <f t="shared" si="20"/>
        <v>9313723.1528155264</v>
      </c>
      <c r="Y122" s="204">
        <f t="shared" si="20"/>
        <v>768.69841940425545</v>
      </c>
      <c r="Z122" s="232">
        <f t="shared" si="20"/>
        <v>8281015.9444757076</v>
      </c>
      <c r="AA122" s="220">
        <f>SUM(D122:Z122)</f>
        <v>98378564.891732141</v>
      </c>
      <c r="AB122" s="132">
        <f>SUM('1501 Summary'!AB208,'1501 Summary'!AC237,'1501 Summary'!AB320,'1501 Summary'!AB340,'1501 Summary'!AB359,'1501 Summary'!AB439)*12</f>
        <v>2268</v>
      </c>
    </row>
    <row r="123" spans="2:29" x14ac:dyDescent="0.25">
      <c r="B123" s="115">
        <v>120</v>
      </c>
      <c r="C123" s="205" t="s">
        <v>442</v>
      </c>
      <c r="D123" s="206">
        <f>D97*($AB$122/12)</f>
        <v>6370371.4495345419</v>
      </c>
      <c r="E123" s="206">
        <f t="shared" ref="E123:Z123" si="21">E97*($AB$122/12)</f>
        <v>53.223751917032345</v>
      </c>
      <c r="F123" s="206">
        <f>F97*($AB$122/12)</f>
        <v>6057678.8586577224</v>
      </c>
      <c r="G123" s="206">
        <f t="shared" si="21"/>
        <v>53.704365725378061</v>
      </c>
      <c r="H123" s="206">
        <f t="shared" si="21"/>
        <v>6055269.5066939611</v>
      </c>
      <c r="I123" s="206">
        <f t="shared" si="21"/>
        <v>50.317846994958295</v>
      </c>
      <c r="J123" s="206">
        <f t="shared" si="21"/>
        <v>6200492.5302304476</v>
      </c>
      <c r="K123" s="206">
        <f t="shared" si="21"/>
        <v>52.690249680356409</v>
      </c>
      <c r="L123" s="206">
        <f t="shared" si="21"/>
        <v>5968103.8247737139</v>
      </c>
      <c r="M123" s="206">
        <f t="shared" si="21"/>
        <v>50.97692144202027</v>
      </c>
      <c r="N123" s="206">
        <f t="shared" si="21"/>
        <v>5840042.2021852024</v>
      </c>
      <c r="O123" s="206">
        <f t="shared" si="21"/>
        <v>48.812000828633757</v>
      </c>
      <c r="P123" s="206">
        <f t="shared" si="21"/>
        <v>5652542.6880349657</v>
      </c>
      <c r="Q123" s="206">
        <f t="shared" si="21"/>
        <v>47.517385414920305</v>
      </c>
      <c r="R123" s="206">
        <f t="shared" si="21"/>
        <v>5182647.7872882895</v>
      </c>
      <c r="S123" s="206">
        <f t="shared" si="21"/>
        <v>43.097047775220105</v>
      </c>
      <c r="T123" s="206">
        <f t="shared" si="21"/>
        <v>5535735.3220858248</v>
      </c>
      <c r="U123" s="206">
        <f t="shared" si="21"/>
        <v>44.53494649865651</v>
      </c>
      <c r="V123" s="206">
        <f t="shared" si="21"/>
        <v>6025091.7724330071</v>
      </c>
      <c r="W123" s="206">
        <f t="shared" si="21"/>
        <v>39.556449945260461</v>
      </c>
      <c r="X123" s="206">
        <f t="shared" si="21"/>
        <v>7111169.7095662635</v>
      </c>
      <c r="Y123" s="206">
        <f t="shared" si="21"/>
        <v>46.612065524567171</v>
      </c>
      <c r="Z123" s="233">
        <f t="shared" si="21"/>
        <v>5561819.5372750647</v>
      </c>
      <c r="AA123" s="150">
        <f t="shared" ref="AA123:AA126" si="22">SUM(D123:Z123)</f>
        <v>71561496.231790751</v>
      </c>
      <c r="AB123" s="132"/>
    </row>
    <row r="124" spans="2:29" x14ac:dyDescent="0.25">
      <c r="B124" s="115">
        <v>121</v>
      </c>
      <c r="C124" s="205" t="s">
        <v>442</v>
      </c>
      <c r="D124" s="206">
        <f>D98*($AB$122/12)</f>
        <v>3723047.8945116596</v>
      </c>
      <c r="E124" s="206">
        <f t="shared" ref="E124:Z124" si="23">E98*($AB$122/12)</f>
        <v>156.04491999369273</v>
      </c>
      <c r="F124" s="206">
        <f>F98*($AB$122/12)</f>
        <v>3142438.5809915736</v>
      </c>
      <c r="G124" s="206">
        <f t="shared" si="23"/>
        <v>151.30411469221551</v>
      </c>
      <c r="H124" s="206">
        <f t="shared" si="23"/>
        <v>3521208.3015389233</v>
      </c>
      <c r="I124" s="206">
        <f t="shared" si="23"/>
        <v>154.65518960324886</v>
      </c>
      <c r="J124" s="206">
        <f t="shared" si="23"/>
        <v>3375076.0276762079</v>
      </c>
      <c r="K124" s="206">
        <f t="shared" si="23"/>
        <v>156.68189491171188</v>
      </c>
      <c r="L124" s="206">
        <f t="shared" si="23"/>
        <v>3042459.5193567309</v>
      </c>
      <c r="M124" s="206">
        <f t="shared" si="23"/>
        <v>149.70828843263226</v>
      </c>
      <c r="N124" s="206">
        <f t="shared" si="23"/>
        <v>3181333.3666502377</v>
      </c>
      <c r="O124" s="206">
        <f t="shared" si="23"/>
        <v>156.06627103410099</v>
      </c>
      <c r="P124" s="206">
        <f t="shared" si="23"/>
        <v>3059170.2744645947</v>
      </c>
      <c r="Q124" s="206">
        <f t="shared" si="23"/>
        <v>169.59351278135046</v>
      </c>
      <c r="R124" s="206">
        <f t="shared" si="23"/>
        <v>2924161.7744867648</v>
      </c>
      <c r="S124" s="206">
        <f t="shared" si="23"/>
        <v>134.82637007258751</v>
      </c>
      <c r="T124" s="206">
        <f t="shared" si="23"/>
        <v>3206339.1447354355</v>
      </c>
      <c r="U124" s="206">
        <f t="shared" si="23"/>
        <v>149.93617854066974</v>
      </c>
      <c r="V124" s="206">
        <f t="shared" si="23"/>
        <v>3131371.4088287666</v>
      </c>
      <c r="W124" s="206">
        <f t="shared" si="23"/>
        <v>194.91221793473417</v>
      </c>
      <c r="X124" s="206">
        <f t="shared" si="23"/>
        <v>3795093.3956150776</v>
      </c>
      <c r="Y124" s="206">
        <f t="shared" si="23"/>
        <v>308.25634034194127</v>
      </c>
      <c r="Z124" s="233">
        <f t="shared" si="23"/>
        <v>2607796.9543147208</v>
      </c>
      <c r="AA124" s="150">
        <f t="shared" si="22"/>
        <v>38711378.628469028</v>
      </c>
      <c r="AB124" s="132"/>
    </row>
    <row r="125" spans="2:29" x14ac:dyDescent="0.25">
      <c r="B125" s="115">
        <v>122</v>
      </c>
      <c r="C125" s="205" t="s">
        <v>443</v>
      </c>
      <c r="D125" s="206">
        <f>D99*($AB$122/12)</f>
        <v>30210192.913385831</v>
      </c>
      <c r="E125" s="206">
        <f t="shared" ref="E125:Z125" si="24">E99*($AB$122/12)</f>
        <v>48.071789444340546</v>
      </c>
      <c r="F125" s="206">
        <f>F99*($AB$122/12)</f>
        <v>21142429.133858263</v>
      </c>
      <c r="G125" s="206">
        <f t="shared" si="24"/>
        <v>42.739642032713292</v>
      </c>
      <c r="H125" s="206">
        <f t="shared" si="24"/>
        <v>20783423.228346456</v>
      </c>
      <c r="I125" s="206">
        <f t="shared" si="24"/>
        <v>38.948190843805612</v>
      </c>
      <c r="J125" s="206">
        <f t="shared" si="24"/>
        <v>26168805.11811024</v>
      </c>
      <c r="K125" s="206">
        <f t="shared" si="24"/>
        <v>51.791990298842393</v>
      </c>
      <c r="L125" s="206">
        <f t="shared" si="24"/>
        <v>15574250.10360547</v>
      </c>
      <c r="M125" s="206">
        <f t="shared" si="24"/>
        <v>32.081089508902132</v>
      </c>
      <c r="N125" s="206">
        <f t="shared" si="24"/>
        <v>21214400.165768754</v>
      </c>
      <c r="O125" s="206">
        <f t="shared" si="24"/>
        <v>44.670873304130524</v>
      </c>
      <c r="P125" s="206">
        <f t="shared" si="24"/>
        <v>18683764.183588896</v>
      </c>
      <c r="Q125" s="206">
        <f t="shared" si="24"/>
        <v>40.617421959832271</v>
      </c>
      <c r="R125" s="206">
        <f t="shared" si="24"/>
        <v>42027071.549937829</v>
      </c>
      <c r="S125" s="206">
        <f t="shared" si="24"/>
        <v>56.453735742541355</v>
      </c>
      <c r="T125" s="206">
        <f t="shared" si="24"/>
        <v>44061268.678665236</v>
      </c>
      <c r="U125" s="206">
        <f t="shared" si="24"/>
        <v>66.312873058763969</v>
      </c>
      <c r="V125" s="206">
        <f t="shared" si="24"/>
        <v>43808829.097650498</v>
      </c>
      <c r="W125" s="206">
        <f t="shared" si="24"/>
        <v>32.119242805846504</v>
      </c>
      <c r="X125" s="206">
        <f t="shared" si="24"/>
        <v>26224265.181343228</v>
      </c>
      <c r="Y125" s="206">
        <f t="shared" si="24"/>
        <v>29.842579758711668</v>
      </c>
      <c r="Z125" s="233">
        <f t="shared" si="24"/>
        <v>9636976.8683274016</v>
      </c>
      <c r="AA125" s="150">
        <f t="shared" si="22"/>
        <v>319536159.87201685</v>
      </c>
      <c r="AB125" s="132"/>
    </row>
    <row r="126" spans="2:29" x14ac:dyDescent="0.25">
      <c r="B126" s="115">
        <v>123</v>
      </c>
      <c r="C126" s="203" t="s">
        <v>445</v>
      </c>
      <c r="D126" s="204">
        <f>SUM(D122:D125)</f>
        <v>49128301.262667634</v>
      </c>
      <c r="E126" s="204">
        <f t="shared" ref="E126:Z126" si="25">SUM(E122:E125)</f>
        <v>1236.9731213550656</v>
      </c>
      <c r="F126" s="204">
        <f t="shared" si="25"/>
        <v>38878397.533367947</v>
      </c>
      <c r="G126" s="204">
        <f t="shared" si="25"/>
        <v>1203.9536824503068</v>
      </c>
      <c r="H126" s="204">
        <f t="shared" si="25"/>
        <v>38772855.137800977</v>
      </c>
      <c r="I126" s="204">
        <f t="shared" si="25"/>
        <v>1176.4098674420127</v>
      </c>
      <c r="J126" s="204">
        <f t="shared" si="25"/>
        <v>44138721.145475879</v>
      </c>
      <c r="K126" s="204">
        <f t="shared" si="25"/>
        <v>1191.8329748909105</v>
      </c>
      <c r="L126" s="204">
        <f t="shared" si="25"/>
        <v>32331233.381601997</v>
      </c>
      <c r="M126" s="204">
        <f t="shared" si="25"/>
        <v>1090.4264748572391</v>
      </c>
      <c r="N126" s="204">
        <f t="shared" si="25"/>
        <v>37827322.259817749</v>
      </c>
      <c r="O126" s="204">
        <f t="shared" si="25"/>
        <v>1090.2353301142336</v>
      </c>
      <c r="P126" s="204">
        <f t="shared" si="25"/>
        <v>34986962.563558832</v>
      </c>
      <c r="Q126" s="204">
        <f t="shared" si="25"/>
        <v>1104.9131805771556</v>
      </c>
      <c r="R126" s="204">
        <f t="shared" si="25"/>
        <v>57480482.977240577</v>
      </c>
      <c r="S126" s="204">
        <f t="shared" si="25"/>
        <v>1053.49835895877</v>
      </c>
      <c r="T126" s="204">
        <f t="shared" si="25"/>
        <v>60515020.711901478</v>
      </c>
      <c r="U126" s="204">
        <f t="shared" si="25"/>
        <v>902.18065300335331</v>
      </c>
      <c r="V126" s="204">
        <f t="shared" si="25"/>
        <v>61584261.64312692</v>
      </c>
      <c r="W126" s="204">
        <f t="shared" si="25"/>
        <v>976.43066712563177</v>
      </c>
      <c r="X126" s="204">
        <f t="shared" si="25"/>
        <v>46444251.4393401</v>
      </c>
      <c r="Y126" s="204">
        <f t="shared" si="25"/>
        <v>1153.4094050294755</v>
      </c>
      <c r="Z126" s="232">
        <f t="shared" si="25"/>
        <v>26087609.304392893</v>
      </c>
      <c r="AA126" s="150">
        <f t="shared" si="22"/>
        <v>528187599.62400872</v>
      </c>
    </row>
    <row r="127" spans="2:29" ht="15.75" thickBot="1" x14ac:dyDescent="0.3">
      <c r="B127" s="115">
        <v>124</v>
      </c>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6"/>
      <c r="AA127" s="208"/>
    </row>
  </sheetData>
  <mergeCells count="2">
    <mergeCell ref="B4:Z4"/>
    <mergeCell ref="C102:Z102"/>
  </mergeCells>
  <pageMargins left="0.7" right="0.7" top="0.75" bottom="0.75" header="0.3" footer="0.3"/>
  <pageSetup scale="32" fitToHeight="0" orientation="landscape" r:id="rId1"/>
  <headerFooter scaleWithDoc="0">
    <oddHeader>&amp;CCascade Natural Gas Corporation
End of Period Calculations
IDM WP-1.3&amp;RPage &amp;P of &amp;N</oddHeader>
    <oddFooter>&amp;L&amp;A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2"/>
  <sheetViews>
    <sheetView view="pageBreakPreview" zoomScale="60" zoomScaleNormal="70" workbookViewId="0">
      <selection activeCell="A4" sqref="A4"/>
    </sheetView>
  </sheetViews>
  <sheetFormatPr defaultColWidth="8.7109375" defaultRowHeight="15" x14ac:dyDescent="0.25"/>
  <cols>
    <col min="1" max="1" width="8.7109375" style="1"/>
    <col min="2" max="2" width="8.7109375" style="3"/>
    <col min="3" max="3" width="34.28515625" style="1" customWidth="1"/>
    <col min="4" max="4" width="15.85546875" style="1" bestFit="1" customWidth="1"/>
    <col min="5" max="5" width="16.85546875" style="1" bestFit="1" customWidth="1"/>
    <col min="6" max="8" width="16.42578125" style="1" bestFit="1" customWidth="1"/>
    <col min="9" max="11" width="15.42578125" style="1" bestFit="1" customWidth="1"/>
    <col min="12" max="13" width="16.42578125" style="1" bestFit="1" customWidth="1"/>
    <col min="14" max="14" width="16.85546875" style="1" bestFit="1" customWidth="1"/>
    <col min="15" max="15" width="15.85546875" style="1" bestFit="1" customWidth="1"/>
    <col min="16" max="16" width="18.140625" style="1" bestFit="1" customWidth="1"/>
    <col min="17" max="16384" width="8.7109375" style="1"/>
  </cols>
  <sheetData>
    <row r="1" spans="1:28" x14ac:dyDescent="0.25">
      <c r="A1" s="546"/>
      <c r="B1" s="546" t="s">
        <v>57</v>
      </c>
      <c r="C1" s="12"/>
      <c r="D1" s="12"/>
      <c r="E1" s="12"/>
    </row>
    <row r="2" spans="1:28" x14ac:dyDescent="0.25">
      <c r="B2" s="13"/>
      <c r="C2" s="12"/>
      <c r="D2" s="92" t="s">
        <v>137</v>
      </c>
      <c r="E2" s="92" t="s">
        <v>136</v>
      </c>
      <c r="F2" s="92" t="s">
        <v>135</v>
      </c>
      <c r="G2" s="92" t="s">
        <v>134</v>
      </c>
      <c r="H2" s="92" t="s">
        <v>133</v>
      </c>
      <c r="I2" s="92" t="s">
        <v>132</v>
      </c>
      <c r="J2" s="92" t="s">
        <v>131</v>
      </c>
      <c r="K2" s="92" t="s">
        <v>130</v>
      </c>
      <c r="L2" s="92" t="s">
        <v>129</v>
      </c>
      <c r="M2" s="92" t="s">
        <v>128</v>
      </c>
      <c r="N2" s="92" t="s">
        <v>127</v>
      </c>
      <c r="O2" s="92" t="s">
        <v>126</v>
      </c>
      <c r="P2" s="12"/>
    </row>
    <row r="3" spans="1:28" customFormat="1" x14ac:dyDescent="0.25">
      <c r="A3" s="115" t="s">
        <v>374</v>
      </c>
      <c r="B3" s="115" t="s">
        <v>375</v>
      </c>
      <c r="C3" s="115" t="s">
        <v>34</v>
      </c>
      <c r="D3" s="115" t="s">
        <v>35</v>
      </c>
      <c r="E3" s="115" t="s">
        <v>37</v>
      </c>
      <c r="F3" s="115" t="s">
        <v>39</v>
      </c>
      <c r="G3" s="115" t="s">
        <v>50</v>
      </c>
      <c r="H3" s="115" t="s">
        <v>51</v>
      </c>
      <c r="I3" s="115" t="s">
        <v>79</v>
      </c>
      <c r="J3" s="547">
        <v>43664</v>
      </c>
      <c r="K3" s="115" t="s">
        <v>41</v>
      </c>
      <c r="L3" s="115" t="s">
        <v>43</v>
      </c>
      <c r="M3" s="115" t="s">
        <v>44</v>
      </c>
      <c r="N3" s="547" t="s">
        <v>386</v>
      </c>
      <c r="O3" s="115" t="s">
        <v>388</v>
      </c>
      <c r="P3" s="115" t="s">
        <v>616</v>
      </c>
      <c r="Q3" s="115"/>
      <c r="R3" s="115"/>
      <c r="S3" s="115"/>
      <c r="T3" s="115"/>
      <c r="U3" s="115"/>
      <c r="V3" s="115"/>
      <c r="W3" s="115"/>
      <c r="X3" s="116"/>
      <c r="Z3" s="1"/>
      <c r="AA3" s="1"/>
      <c r="AB3" s="1"/>
    </row>
    <row r="4" spans="1:28" x14ac:dyDescent="0.25">
      <c r="A4" s="1">
        <v>1</v>
      </c>
      <c r="B4" s="13"/>
      <c r="C4" s="12"/>
      <c r="D4" s="2">
        <v>43101</v>
      </c>
      <c r="E4" s="2">
        <v>43132</v>
      </c>
      <c r="F4" s="2">
        <v>43160</v>
      </c>
      <c r="G4" s="2">
        <v>43191</v>
      </c>
      <c r="H4" s="2">
        <v>43221</v>
      </c>
      <c r="I4" s="2">
        <v>43252</v>
      </c>
      <c r="J4" s="2">
        <v>43282</v>
      </c>
      <c r="K4" s="2">
        <v>43313</v>
      </c>
      <c r="L4" s="2">
        <v>43344</v>
      </c>
      <c r="M4" s="2">
        <v>43374</v>
      </c>
      <c r="N4" s="2">
        <v>43405</v>
      </c>
      <c r="O4" s="2">
        <v>43435</v>
      </c>
      <c r="P4" s="3" t="s">
        <v>26</v>
      </c>
    </row>
    <row r="5" spans="1:28" x14ac:dyDescent="0.25">
      <c r="A5" s="1">
        <v>2</v>
      </c>
      <c r="B5" s="13"/>
      <c r="C5" s="12" t="s">
        <v>58</v>
      </c>
      <c r="D5" s="13"/>
      <c r="E5" s="13"/>
    </row>
    <row r="6" spans="1:28" x14ac:dyDescent="0.25">
      <c r="A6" s="1">
        <v>3</v>
      </c>
      <c r="C6" s="12"/>
      <c r="D6" s="14"/>
      <c r="E6" s="14"/>
    </row>
    <row r="7" spans="1:28" x14ac:dyDescent="0.25">
      <c r="A7" s="1">
        <v>4</v>
      </c>
      <c r="B7" s="13" t="s">
        <v>59</v>
      </c>
      <c r="C7" s="12" t="s">
        <v>60</v>
      </c>
      <c r="D7" s="94">
        <v>17715788.260000002</v>
      </c>
      <c r="E7" s="94">
        <v>15798094.5</v>
      </c>
      <c r="F7" s="94">
        <v>13370154.18</v>
      </c>
      <c r="G7" s="94">
        <v>8783301.2300000004</v>
      </c>
      <c r="H7" s="94">
        <v>4902655.3499999996</v>
      </c>
      <c r="I7" s="94">
        <v>3988344.1</v>
      </c>
      <c r="J7" s="94">
        <v>3375473.33</v>
      </c>
      <c r="K7" s="94">
        <v>2376611.56</v>
      </c>
      <c r="L7" s="94">
        <v>4061119.46</v>
      </c>
      <c r="M7" s="94">
        <v>7799178.4699999997</v>
      </c>
      <c r="N7" s="94">
        <v>13405307.810000001</v>
      </c>
      <c r="O7" s="94">
        <v>16812218.870000001</v>
      </c>
      <c r="P7" s="158">
        <f>SUM(D7:O7)</f>
        <v>112388247.12</v>
      </c>
    </row>
    <row r="8" spans="1:28" x14ac:dyDescent="0.25">
      <c r="A8" s="1">
        <v>5</v>
      </c>
      <c r="B8" s="13" t="s">
        <v>61</v>
      </c>
      <c r="C8" s="12" t="s">
        <v>62</v>
      </c>
      <c r="D8" s="94">
        <v>13395437.73</v>
      </c>
      <c r="E8" s="94">
        <v>12139771.92</v>
      </c>
      <c r="F8" s="94">
        <v>10108817.720000001</v>
      </c>
      <c r="G8" s="94">
        <v>7314786.4500000002</v>
      </c>
      <c r="H8" s="94">
        <v>4474599.1500000004</v>
      </c>
      <c r="I8" s="94">
        <v>4017664.93</v>
      </c>
      <c r="J8" s="94">
        <v>3544889.28</v>
      </c>
      <c r="K8" s="94">
        <v>2727660.55</v>
      </c>
      <c r="L8" s="94">
        <v>4262473.4800000004</v>
      </c>
      <c r="M8" s="94">
        <v>6924595.9000000004</v>
      </c>
      <c r="N8" s="94">
        <v>9314153.3300000001</v>
      </c>
      <c r="O8" s="94">
        <v>12352698.75</v>
      </c>
      <c r="P8" s="158">
        <f>SUM(D8:O8)</f>
        <v>90577549.189999998</v>
      </c>
    </row>
    <row r="9" spans="1:28" x14ac:dyDescent="0.25">
      <c r="A9" s="1">
        <v>6</v>
      </c>
      <c r="C9" s="12" t="s">
        <v>63</v>
      </c>
      <c r="D9" s="95">
        <v>31111225.990000002</v>
      </c>
      <c r="E9" s="95">
        <v>27937866.420000002</v>
      </c>
      <c r="F9" s="95">
        <v>23478971.899999999</v>
      </c>
      <c r="G9" s="95">
        <v>16098087.68</v>
      </c>
      <c r="H9" s="95">
        <v>9377254.5</v>
      </c>
      <c r="I9" s="95">
        <v>8006009.0300000003</v>
      </c>
      <c r="J9" s="95">
        <v>6920362.6099999994</v>
      </c>
      <c r="K9" s="95">
        <v>5104272.1099999994</v>
      </c>
      <c r="L9" s="95">
        <v>8323592.9400000004</v>
      </c>
      <c r="M9" s="95">
        <v>14723774.370000001</v>
      </c>
      <c r="N9" s="95">
        <v>22719461.140000001</v>
      </c>
      <c r="O9" s="95">
        <v>29164917.620000001</v>
      </c>
      <c r="P9" s="158">
        <f t="shared" ref="P9:P20" si="0">SUM(D9:O9)</f>
        <v>202965796.31</v>
      </c>
    </row>
    <row r="10" spans="1:28" x14ac:dyDescent="0.25">
      <c r="A10" s="1">
        <v>7</v>
      </c>
      <c r="D10" s="94"/>
      <c r="E10" s="94"/>
      <c r="F10" s="94"/>
      <c r="G10" s="94"/>
      <c r="H10" s="94"/>
      <c r="I10" s="94"/>
      <c r="J10" s="94"/>
      <c r="K10" s="94"/>
      <c r="L10" s="94"/>
      <c r="M10" s="94"/>
      <c r="N10" s="94"/>
      <c r="O10" s="94"/>
      <c r="P10" s="158">
        <f t="shared" si="0"/>
        <v>0</v>
      </c>
    </row>
    <row r="11" spans="1:28" x14ac:dyDescent="0.25">
      <c r="A11" s="1">
        <v>8</v>
      </c>
      <c r="C11" s="1" t="s">
        <v>64</v>
      </c>
      <c r="D11" s="94"/>
      <c r="E11" s="94"/>
      <c r="F11" s="94"/>
      <c r="G11" s="94"/>
      <c r="H11" s="94"/>
      <c r="I11" s="94"/>
      <c r="J11" s="94"/>
      <c r="K11" s="94"/>
      <c r="L11" s="94"/>
      <c r="M11" s="94"/>
      <c r="N11" s="94"/>
      <c r="O11" s="94"/>
      <c r="P11" s="158">
        <f t="shared" si="0"/>
        <v>0</v>
      </c>
    </row>
    <row r="12" spans="1:28" x14ac:dyDescent="0.25">
      <c r="A12" s="1">
        <v>9</v>
      </c>
      <c r="B12" s="3" t="s">
        <v>65</v>
      </c>
      <c r="C12" s="1" t="s">
        <v>66</v>
      </c>
      <c r="D12" s="94">
        <v>72342.97</v>
      </c>
      <c r="E12" s="94">
        <v>113047.89</v>
      </c>
      <c r="F12" s="94">
        <v>75888.19</v>
      </c>
      <c r="G12" s="94">
        <v>66362.92</v>
      </c>
      <c r="H12" s="94">
        <v>59902.45</v>
      </c>
      <c r="I12" s="94">
        <v>27652.76</v>
      </c>
      <c r="J12" s="94">
        <v>45059.199999999997</v>
      </c>
      <c r="K12" s="94">
        <v>96203.3</v>
      </c>
      <c r="L12" s="94">
        <v>43444.41</v>
      </c>
      <c r="M12" s="94">
        <v>64759.69</v>
      </c>
      <c r="N12" s="94">
        <v>60409.53</v>
      </c>
      <c r="O12" s="94">
        <v>53643.39</v>
      </c>
      <c r="P12" s="158">
        <f t="shared" si="0"/>
        <v>778716.70000000007</v>
      </c>
    </row>
    <row r="13" spans="1:28" x14ac:dyDescent="0.25">
      <c r="A13" s="1">
        <v>10</v>
      </c>
      <c r="B13" s="3" t="s">
        <v>67</v>
      </c>
      <c r="C13" s="1" t="s">
        <v>68</v>
      </c>
      <c r="D13" s="94">
        <v>1975667.75</v>
      </c>
      <c r="E13" s="94">
        <v>1958711.43</v>
      </c>
      <c r="F13" s="94">
        <v>1991798.27</v>
      </c>
      <c r="G13" s="94">
        <v>1845870.9</v>
      </c>
      <c r="H13" s="94">
        <v>1842116.4</v>
      </c>
      <c r="I13" s="94">
        <v>1790232.17</v>
      </c>
      <c r="J13" s="94">
        <v>2076610.06</v>
      </c>
      <c r="K13" s="94">
        <v>1966520.59</v>
      </c>
      <c r="L13" s="94">
        <v>2061065.23</v>
      </c>
      <c r="M13" s="94">
        <v>1765918.76</v>
      </c>
      <c r="N13" s="94">
        <v>1781224.12</v>
      </c>
      <c r="O13" s="94">
        <v>1950593.46</v>
      </c>
      <c r="P13" s="158">
        <f t="shared" si="0"/>
        <v>23006329.140000004</v>
      </c>
    </row>
    <row r="14" spans="1:28" x14ac:dyDescent="0.25">
      <c r="A14" s="1">
        <v>11</v>
      </c>
      <c r="B14" s="3" t="s">
        <v>69</v>
      </c>
      <c r="C14" s="1" t="s">
        <v>70</v>
      </c>
      <c r="D14" s="94">
        <v>0</v>
      </c>
      <c r="E14" s="94">
        <v>0</v>
      </c>
      <c r="F14" s="94">
        <v>0</v>
      </c>
      <c r="G14" s="94">
        <v>0</v>
      </c>
      <c r="H14" s="94">
        <v>100</v>
      </c>
      <c r="I14" s="94">
        <v>0</v>
      </c>
      <c r="J14" s="94">
        <v>0</v>
      </c>
      <c r="K14" s="94">
        <v>0</v>
      </c>
      <c r="L14" s="94">
        <v>0</v>
      </c>
      <c r="M14" s="94">
        <v>0</v>
      </c>
      <c r="N14" s="94">
        <v>0</v>
      </c>
      <c r="O14" s="94">
        <v>0</v>
      </c>
      <c r="P14" s="158">
        <f t="shared" si="0"/>
        <v>100</v>
      </c>
    </row>
    <row r="15" spans="1:28" x14ac:dyDescent="0.25">
      <c r="A15" s="1">
        <v>12</v>
      </c>
      <c r="B15" s="3" t="s">
        <v>71</v>
      </c>
      <c r="C15" s="1" t="s">
        <v>72</v>
      </c>
      <c r="D15" s="94">
        <v>7130.21</v>
      </c>
      <c r="E15" s="94">
        <v>7130.21</v>
      </c>
      <c r="F15" s="94">
        <v>7130.21</v>
      </c>
      <c r="G15" s="94">
        <v>7130.21</v>
      </c>
      <c r="H15" s="94">
        <v>7130.21</v>
      </c>
      <c r="I15" s="94">
        <v>7130.21</v>
      </c>
      <c r="J15" s="94">
        <v>7130.21</v>
      </c>
      <c r="K15" s="94">
        <v>7130.21</v>
      </c>
      <c r="L15" s="94">
        <v>7130.21</v>
      </c>
      <c r="M15" s="94">
        <v>7130.21</v>
      </c>
      <c r="N15" s="94">
        <v>7130.21</v>
      </c>
      <c r="O15" s="94">
        <v>7130.21</v>
      </c>
      <c r="P15" s="158">
        <f t="shared" si="0"/>
        <v>85562.520000000019</v>
      </c>
    </row>
    <row r="16" spans="1:28" x14ac:dyDescent="0.25">
      <c r="A16" s="1">
        <v>13</v>
      </c>
      <c r="B16" s="3" t="s">
        <v>73</v>
      </c>
      <c r="C16" s="1" t="s">
        <v>74</v>
      </c>
      <c r="D16" s="94">
        <v>12484.38</v>
      </c>
      <c r="E16" s="94">
        <v>931.3</v>
      </c>
      <c r="F16" s="94">
        <v>-1992.47</v>
      </c>
      <c r="G16" s="94">
        <v>2985.14</v>
      </c>
      <c r="H16" s="94">
        <v>3482.66</v>
      </c>
      <c r="I16" s="94">
        <v>6620.36</v>
      </c>
      <c r="J16" s="94">
        <v>1740.13</v>
      </c>
      <c r="K16" s="94">
        <v>29809.68</v>
      </c>
      <c r="L16" s="94">
        <v>11062.42</v>
      </c>
      <c r="M16" s="94">
        <v>981.92</v>
      </c>
      <c r="N16" s="94">
        <v>2333.96</v>
      </c>
      <c r="O16" s="94">
        <v>2421.83</v>
      </c>
      <c r="P16" s="158">
        <f t="shared" si="0"/>
        <v>72861.310000000012</v>
      </c>
    </row>
    <row r="17" spans="1:16" x14ac:dyDescent="0.25">
      <c r="A17" s="1">
        <v>14</v>
      </c>
      <c r="B17" s="3" t="s">
        <v>75</v>
      </c>
      <c r="C17" s="1" t="s">
        <v>76</v>
      </c>
      <c r="D17" s="96">
        <v>0</v>
      </c>
      <c r="E17" s="96">
        <v>0</v>
      </c>
      <c r="F17" s="96">
        <v>0</v>
      </c>
      <c r="G17" s="96">
        <v>0</v>
      </c>
      <c r="H17" s="96">
        <v>0</v>
      </c>
      <c r="I17" s="96">
        <v>0</v>
      </c>
      <c r="J17" s="96">
        <v>0</v>
      </c>
      <c r="K17" s="96">
        <v>0</v>
      </c>
      <c r="L17" s="96">
        <v>0</v>
      </c>
      <c r="M17" s="96">
        <v>0</v>
      </c>
      <c r="N17" s="96">
        <v>0</v>
      </c>
      <c r="O17" s="96">
        <v>0</v>
      </c>
      <c r="P17" s="158">
        <f t="shared" si="0"/>
        <v>0</v>
      </c>
    </row>
    <row r="18" spans="1:16" x14ac:dyDescent="0.25">
      <c r="A18" s="1">
        <v>15</v>
      </c>
      <c r="B18" s="3">
        <v>4962</v>
      </c>
      <c r="C18" s="1" t="s">
        <v>359</v>
      </c>
      <c r="D18" s="96">
        <v>0</v>
      </c>
      <c r="E18" s="96">
        <v>0</v>
      </c>
      <c r="F18" s="96">
        <v>0</v>
      </c>
      <c r="G18" s="96">
        <v>0</v>
      </c>
      <c r="H18" s="96">
        <v>-1024987.67</v>
      </c>
      <c r="I18" s="96">
        <v>-1537457.68</v>
      </c>
      <c r="J18" s="96">
        <v>-260971.77</v>
      </c>
      <c r="K18" s="96">
        <v>109770.04</v>
      </c>
      <c r="L18" s="96">
        <v>-207420.63</v>
      </c>
      <c r="M18" s="96">
        <v>291048.44</v>
      </c>
      <c r="N18" s="96">
        <v>192423.99</v>
      </c>
      <c r="O18" s="96">
        <v>12870.2</v>
      </c>
      <c r="P18" s="158">
        <f t="shared" si="0"/>
        <v>-2424725.08</v>
      </c>
    </row>
    <row r="19" spans="1:16" x14ac:dyDescent="0.25">
      <c r="A19" s="1">
        <v>16</v>
      </c>
      <c r="C19" s="1" t="s">
        <v>77</v>
      </c>
      <c r="D19" s="95">
        <v>2067625.3099999998</v>
      </c>
      <c r="E19" s="95">
        <v>2079820.8299999998</v>
      </c>
      <c r="F19" s="95">
        <v>2072824.2</v>
      </c>
      <c r="G19" s="95">
        <v>1922349.1699999997</v>
      </c>
      <c r="H19" s="95">
        <v>887744.0499999997</v>
      </c>
      <c r="I19" s="95">
        <v>294177.82000000007</v>
      </c>
      <c r="J19" s="95">
        <v>1869567.83</v>
      </c>
      <c r="K19" s="95">
        <v>2209433.8200000003</v>
      </c>
      <c r="L19" s="95">
        <v>1915281.6400000001</v>
      </c>
      <c r="M19" s="95">
        <v>2129839.02</v>
      </c>
      <c r="N19" s="95">
        <v>2043521.81</v>
      </c>
      <c r="O19" s="95">
        <v>2026659.0899999999</v>
      </c>
      <c r="P19" s="158">
        <f>SUM(D19:O19)</f>
        <v>21518844.59</v>
      </c>
    </row>
    <row r="20" spans="1:16" ht="15.75" thickBot="1" x14ac:dyDescent="0.3">
      <c r="A20" s="1">
        <v>17</v>
      </c>
      <c r="C20" s="1" t="s">
        <v>78</v>
      </c>
      <c r="D20" s="97">
        <v>33178851.300000001</v>
      </c>
      <c r="E20" s="97">
        <v>30017687.25</v>
      </c>
      <c r="F20" s="97">
        <v>25551796.099999998</v>
      </c>
      <c r="G20" s="97">
        <v>18020436.849999998</v>
      </c>
      <c r="H20" s="97">
        <v>10264998.549999999</v>
      </c>
      <c r="I20" s="97">
        <v>8300186.8500000006</v>
      </c>
      <c r="J20" s="97">
        <v>8789930.4399999995</v>
      </c>
      <c r="K20" s="97">
        <v>7313705.9299999997</v>
      </c>
      <c r="L20" s="97">
        <v>10238874.58</v>
      </c>
      <c r="M20" s="97">
        <v>16853613.390000001</v>
      </c>
      <c r="N20" s="97">
        <v>24762982.949999999</v>
      </c>
      <c r="O20" s="97">
        <v>31191576.710000001</v>
      </c>
      <c r="P20" s="158">
        <f t="shared" si="0"/>
        <v>224484640.90000001</v>
      </c>
    </row>
    <row r="21" spans="1:16" ht="15.75" thickTop="1" x14ac:dyDescent="0.25">
      <c r="A21" s="1">
        <v>18</v>
      </c>
    </row>
    <row r="22" spans="1:16" x14ac:dyDescent="0.25">
      <c r="A22" s="1">
        <v>19</v>
      </c>
    </row>
    <row r="23" spans="1:16" x14ac:dyDescent="0.25">
      <c r="A23" s="1">
        <v>20</v>
      </c>
      <c r="P23" s="98">
        <v>225971125.45999998</v>
      </c>
    </row>
    <row r="24" spans="1:16" x14ac:dyDescent="0.25">
      <c r="A24" s="1">
        <v>21</v>
      </c>
      <c r="D24" s="158"/>
      <c r="E24" s="158"/>
      <c r="F24" s="158"/>
      <c r="G24" s="158"/>
      <c r="H24" s="158"/>
      <c r="I24" s="158"/>
      <c r="J24" s="158"/>
      <c r="K24" s="158"/>
      <c r="L24" s="158"/>
      <c r="M24" s="158"/>
      <c r="N24" s="158"/>
      <c r="O24" s="158"/>
    </row>
    <row r="25" spans="1:16" x14ac:dyDescent="0.25">
      <c r="A25" s="1">
        <v>22</v>
      </c>
      <c r="D25" s="158"/>
      <c r="E25" s="158"/>
      <c r="F25" s="158"/>
      <c r="G25" s="158"/>
      <c r="H25" s="158"/>
      <c r="I25" s="158"/>
      <c r="J25" s="158"/>
      <c r="K25" s="158"/>
      <c r="L25" s="158"/>
      <c r="M25" s="158"/>
      <c r="N25" s="158"/>
      <c r="O25" s="158"/>
      <c r="P25" s="158">
        <f>P9+P19</f>
        <v>224484640.90000001</v>
      </c>
    </row>
    <row r="26" spans="1:16" x14ac:dyDescent="0.25">
      <c r="A26" s="1">
        <v>23</v>
      </c>
      <c r="C26" s="159" t="s">
        <v>412</v>
      </c>
      <c r="D26" s="158">
        <f>D9</f>
        <v>31111225.990000002</v>
      </c>
      <c r="E26" s="158">
        <f t="shared" ref="E26:O26" si="1">E9</f>
        <v>27937866.420000002</v>
      </c>
      <c r="F26" s="158">
        <f t="shared" si="1"/>
        <v>23478971.899999999</v>
      </c>
      <c r="G26" s="158">
        <f t="shared" si="1"/>
        <v>16098087.68</v>
      </c>
      <c r="H26" s="158">
        <f t="shared" si="1"/>
        <v>9377254.5</v>
      </c>
      <c r="I26" s="158">
        <f t="shared" si="1"/>
        <v>8006009.0300000003</v>
      </c>
      <c r="J26" s="158">
        <f t="shared" si="1"/>
        <v>6920362.6099999994</v>
      </c>
      <c r="K26" s="158">
        <f t="shared" si="1"/>
        <v>5104272.1099999994</v>
      </c>
      <c r="L26" s="158">
        <f t="shared" si="1"/>
        <v>8323592.9400000004</v>
      </c>
      <c r="M26" s="158">
        <f t="shared" si="1"/>
        <v>14723774.370000001</v>
      </c>
      <c r="N26" s="158">
        <f t="shared" si="1"/>
        <v>22719461.140000001</v>
      </c>
      <c r="O26" s="158">
        <f t="shared" si="1"/>
        <v>29164917.620000001</v>
      </c>
    </row>
    <row r="27" spans="1:16" x14ac:dyDescent="0.25">
      <c r="A27" s="1">
        <v>24</v>
      </c>
      <c r="C27" s="1" t="s">
        <v>411</v>
      </c>
      <c r="D27" s="160">
        <f>D19</f>
        <v>2067625.3099999998</v>
      </c>
      <c r="E27" s="160">
        <f t="shared" ref="E27:O27" si="2">E19</f>
        <v>2079820.8299999998</v>
      </c>
      <c r="F27" s="160">
        <f t="shared" si="2"/>
        <v>2072824.2</v>
      </c>
      <c r="G27" s="160">
        <f t="shared" si="2"/>
        <v>1922349.1699999997</v>
      </c>
      <c r="H27" s="160">
        <f t="shared" si="2"/>
        <v>887744.0499999997</v>
      </c>
      <c r="I27" s="160">
        <f t="shared" si="2"/>
        <v>294177.82000000007</v>
      </c>
      <c r="J27" s="160">
        <f t="shared" si="2"/>
        <v>1869567.83</v>
      </c>
      <c r="K27" s="160">
        <f t="shared" si="2"/>
        <v>2209433.8200000003</v>
      </c>
      <c r="L27" s="160">
        <f t="shared" si="2"/>
        <v>1915281.6400000001</v>
      </c>
      <c r="M27" s="160">
        <f t="shared" si="2"/>
        <v>2129839.02</v>
      </c>
      <c r="N27" s="160">
        <f t="shared" si="2"/>
        <v>2043521.81</v>
      </c>
      <c r="O27" s="160">
        <f t="shared" si="2"/>
        <v>2026659.0899999999</v>
      </c>
    </row>
    <row r="28" spans="1:16" x14ac:dyDescent="0.25">
      <c r="A28" s="1">
        <v>25</v>
      </c>
      <c r="C28" s="1" t="s">
        <v>358</v>
      </c>
      <c r="D28" s="158">
        <f>SUM(D26:D27)</f>
        <v>33178851.300000001</v>
      </c>
      <c r="E28" s="158">
        <f t="shared" ref="E28:O28" si="3">SUM(E26:E27)</f>
        <v>30017687.25</v>
      </c>
      <c r="F28" s="158">
        <f t="shared" si="3"/>
        <v>25551796.099999998</v>
      </c>
      <c r="G28" s="158">
        <f t="shared" si="3"/>
        <v>18020436.849999998</v>
      </c>
      <c r="H28" s="158">
        <f t="shared" si="3"/>
        <v>10264998.549999999</v>
      </c>
      <c r="I28" s="158">
        <f t="shared" si="3"/>
        <v>8300186.8500000006</v>
      </c>
      <c r="J28" s="158">
        <f t="shared" si="3"/>
        <v>8789930.4399999995</v>
      </c>
      <c r="K28" s="158">
        <f t="shared" si="3"/>
        <v>7313705.9299999997</v>
      </c>
      <c r="L28" s="158">
        <f t="shared" si="3"/>
        <v>10238874.58</v>
      </c>
      <c r="M28" s="158">
        <f t="shared" si="3"/>
        <v>16853613.390000001</v>
      </c>
      <c r="N28" s="158">
        <f t="shared" si="3"/>
        <v>24762982.949999999</v>
      </c>
      <c r="O28" s="158">
        <f t="shared" si="3"/>
        <v>31191576.710000001</v>
      </c>
    </row>
    <row r="29" spans="1:16" x14ac:dyDescent="0.25">
      <c r="A29" s="1">
        <v>26</v>
      </c>
      <c r="C29" s="1" t="s">
        <v>45</v>
      </c>
      <c r="D29" s="158">
        <f>D20-D28</f>
        <v>0</v>
      </c>
      <c r="E29" s="158">
        <f t="shared" ref="E29:O29" si="4">E20-E28</f>
        <v>0</v>
      </c>
      <c r="F29" s="158">
        <f t="shared" si="4"/>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row>
    <row r="32" spans="1:16" x14ac:dyDescent="0.25">
      <c r="C32" s="159"/>
      <c r="D32" s="5"/>
    </row>
  </sheetData>
  <printOptions horizontalCentered="1"/>
  <pageMargins left="0.5" right="0.5" top="1" bottom="0.75" header="0.5" footer="0.3"/>
  <pageSetup scale="48" fitToHeight="0" orientation="landscape" horizontalDpi="1200" verticalDpi="1200" r:id="rId1"/>
  <headerFooter scaleWithDoc="0">
    <oddHeader>&amp;C&amp;10Cascade Natural Gas Corporation
Allocation Report Summary
IDM WP-1.4&amp;R&amp;9Page &amp;P of &amp;N</oddHeader>
    <oddFooter>&amp;L&amp;A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0"/>
  <sheetViews>
    <sheetView view="pageBreakPreview" zoomScale="110" zoomScaleNormal="100" zoomScaleSheetLayoutView="110" workbookViewId="0">
      <selection activeCell="C21" sqref="C21"/>
    </sheetView>
  </sheetViews>
  <sheetFormatPr defaultColWidth="9" defaultRowHeight="15" x14ac:dyDescent="0.25"/>
  <cols>
    <col min="1" max="1" width="5" customWidth="1"/>
    <col min="2" max="2" width="9.7109375" bestFit="1" customWidth="1"/>
    <col min="3" max="3" width="12.5703125" bestFit="1" customWidth="1"/>
    <col min="4" max="4" width="11.5703125" bestFit="1" customWidth="1"/>
    <col min="5" max="5" width="12.5703125" bestFit="1" customWidth="1"/>
    <col min="7" max="7" width="9.7109375" bestFit="1" customWidth="1"/>
    <col min="8" max="8" width="11.5703125" bestFit="1" customWidth="1"/>
    <col min="9" max="9" width="10.5703125" bestFit="1" customWidth="1"/>
    <col min="10" max="10" width="11.5703125" bestFit="1" customWidth="1"/>
  </cols>
  <sheetData>
    <row r="1" spans="1:10" x14ac:dyDescent="0.25">
      <c r="A1" s="115"/>
      <c r="B1" s="115" t="s">
        <v>374</v>
      </c>
      <c r="C1" s="115" t="s">
        <v>375</v>
      </c>
      <c r="D1" s="115" t="s">
        <v>34</v>
      </c>
      <c r="E1" s="115" t="s">
        <v>35</v>
      </c>
      <c r="F1" s="115" t="s">
        <v>37</v>
      </c>
      <c r="G1" s="115" t="s">
        <v>39</v>
      </c>
      <c r="H1" s="115" t="s">
        <v>50</v>
      </c>
      <c r="I1" s="115" t="s">
        <v>50</v>
      </c>
      <c r="J1" s="115" t="s">
        <v>79</v>
      </c>
    </row>
    <row r="2" spans="1:10" x14ac:dyDescent="0.25">
      <c r="A2">
        <v>1</v>
      </c>
      <c r="B2" s="589" t="s">
        <v>371</v>
      </c>
      <c r="C2" s="589"/>
      <c r="D2" s="589"/>
      <c r="E2" s="589"/>
      <c r="G2" s="589" t="s">
        <v>370</v>
      </c>
      <c r="H2" s="589"/>
      <c r="I2" s="589"/>
      <c r="J2" s="589"/>
    </row>
    <row r="3" spans="1:10" x14ac:dyDescent="0.25">
      <c r="A3">
        <v>2</v>
      </c>
      <c r="B3" t="s">
        <v>369</v>
      </c>
      <c r="C3" t="s">
        <v>368</v>
      </c>
      <c r="D3" t="s">
        <v>367</v>
      </c>
      <c r="E3" t="s">
        <v>26</v>
      </c>
      <c r="G3" t="s">
        <v>369</v>
      </c>
      <c r="H3" t="s">
        <v>368</v>
      </c>
      <c r="I3" t="s">
        <v>367</v>
      </c>
      <c r="J3" t="s">
        <v>26</v>
      </c>
    </row>
    <row r="4" spans="1:10" x14ac:dyDescent="0.25">
      <c r="A4">
        <v>3</v>
      </c>
      <c r="B4" s="111">
        <v>43101</v>
      </c>
      <c r="C4" s="17">
        <v>18693469</v>
      </c>
      <c r="D4" s="17">
        <v>3448294.9936721725</v>
      </c>
      <c r="E4" s="16">
        <f t="shared" ref="E4:E15" si="0">SUM(C4:D4)</f>
        <v>22141763.993672173</v>
      </c>
      <c r="G4" s="111">
        <v>43101</v>
      </c>
      <c r="H4" s="17">
        <v>12485458</v>
      </c>
      <c r="I4" s="17">
        <v>2441658.4780800049</v>
      </c>
      <c r="J4" s="16">
        <f t="shared" ref="J4:J15" si="1">SUM(H4:I4)</f>
        <v>14927116.478080004</v>
      </c>
    </row>
    <row r="5" spans="1:10" x14ac:dyDescent="0.25">
      <c r="A5">
        <v>4</v>
      </c>
      <c r="B5" s="111">
        <v>43132</v>
      </c>
      <c r="C5" s="17">
        <v>17650300</v>
      </c>
      <c r="D5" s="17">
        <v>-284967.53531961376</v>
      </c>
      <c r="E5" s="16">
        <f t="shared" si="0"/>
        <v>17365332.464680385</v>
      </c>
      <c r="G5" s="111">
        <v>43132</v>
      </c>
      <c r="H5" s="17">
        <v>12407841</v>
      </c>
      <c r="I5" s="17">
        <v>41539.216517117427</v>
      </c>
      <c r="J5" s="16">
        <f t="shared" si="1"/>
        <v>12449380.216517117</v>
      </c>
    </row>
    <row r="6" spans="1:10" x14ac:dyDescent="0.25">
      <c r="A6">
        <v>5</v>
      </c>
      <c r="B6" s="111">
        <v>43160</v>
      </c>
      <c r="C6" s="17">
        <v>14369101.000000002</v>
      </c>
      <c r="D6" s="17">
        <v>-180944.07720151372</v>
      </c>
      <c r="E6" s="16">
        <f t="shared" si="0"/>
        <v>14188156.922798488</v>
      </c>
      <c r="G6" s="111">
        <v>43160</v>
      </c>
      <c r="H6" s="17">
        <v>9073052</v>
      </c>
      <c r="I6" s="17">
        <v>13884.719672041567</v>
      </c>
      <c r="J6" s="16">
        <f t="shared" si="1"/>
        <v>9086936.719672041</v>
      </c>
    </row>
    <row r="7" spans="1:10" x14ac:dyDescent="0.25">
      <c r="A7">
        <v>6</v>
      </c>
      <c r="B7" s="111">
        <v>43191</v>
      </c>
      <c r="C7" s="17">
        <v>9150160</v>
      </c>
      <c r="D7" s="17">
        <v>612023.23056988558</v>
      </c>
      <c r="E7" s="16">
        <f t="shared" si="0"/>
        <v>9762183.230569886</v>
      </c>
      <c r="G7" s="111">
        <v>43191</v>
      </c>
      <c r="H7" s="17">
        <v>6481246</v>
      </c>
      <c r="I7" s="17">
        <v>350668.22034493589</v>
      </c>
      <c r="J7" s="16">
        <f t="shared" si="1"/>
        <v>6831914.2203449355</v>
      </c>
    </row>
    <row r="8" spans="1:10" x14ac:dyDescent="0.25">
      <c r="A8">
        <v>7</v>
      </c>
      <c r="B8" s="111">
        <v>43221</v>
      </c>
      <c r="C8" s="17">
        <v>4013985</v>
      </c>
      <c r="D8" s="17">
        <v>1834189.2583759401</v>
      </c>
      <c r="E8" s="16">
        <f t="shared" si="0"/>
        <v>5848174.2583759399</v>
      </c>
      <c r="G8" s="111">
        <v>43221</v>
      </c>
      <c r="H8" s="17">
        <v>3047111</v>
      </c>
      <c r="I8" s="17">
        <v>841234.96754166833</v>
      </c>
      <c r="J8" s="16">
        <f t="shared" si="1"/>
        <v>3888345.9675416686</v>
      </c>
    </row>
    <row r="9" spans="1:10" x14ac:dyDescent="0.25">
      <c r="A9">
        <v>8</v>
      </c>
      <c r="B9" s="111">
        <v>43252</v>
      </c>
      <c r="C9" s="17">
        <v>3576059</v>
      </c>
      <c r="D9" s="17">
        <v>154730.87990408155</v>
      </c>
      <c r="E9" s="16">
        <f t="shared" si="0"/>
        <v>3730789.8799040816</v>
      </c>
      <c r="G9" s="111">
        <v>43252</v>
      </c>
      <c r="H9" s="17">
        <v>3401928.9999999995</v>
      </c>
      <c r="I9" s="17">
        <v>12961.388478678498</v>
      </c>
      <c r="J9" s="16">
        <f t="shared" si="1"/>
        <v>3414890.3884786782</v>
      </c>
    </row>
    <row r="10" spans="1:10" x14ac:dyDescent="0.25">
      <c r="A10">
        <v>9</v>
      </c>
      <c r="B10" s="111">
        <v>43282</v>
      </c>
      <c r="C10" s="17">
        <v>2866203</v>
      </c>
      <c r="D10" s="17">
        <v>0</v>
      </c>
      <c r="E10" s="16">
        <f t="shared" si="0"/>
        <v>2866203</v>
      </c>
      <c r="G10" s="111">
        <v>43282</v>
      </c>
      <c r="H10" s="17">
        <v>2825601</v>
      </c>
      <c r="I10" s="17">
        <v>0</v>
      </c>
      <c r="J10" s="16">
        <f t="shared" si="1"/>
        <v>2825601</v>
      </c>
    </row>
    <row r="11" spans="1:10" x14ac:dyDescent="0.25">
      <c r="A11">
        <v>10</v>
      </c>
      <c r="B11" s="111">
        <v>43313</v>
      </c>
      <c r="C11" s="17">
        <v>1410114.0000000002</v>
      </c>
      <c r="D11" s="17">
        <v>0</v>
      </c>
      <c r="E11" s="16">
        <f t="shared" si="0"/>
        <v>1410114.0000000002</v>
      </c>
      <c r="G11" s="111">
        <v>43313</v>
      </c>
      <c r="H11" s="17">
        <v>1578948</v>
      </c>
      <c r="I11" s="17">
        <v>0</v>
      </c>
      <c r="J11" s="16">
        <f t="shared" si="1"/>
        <v>1578948</v>
      </c>
    </row>
    <row r="12" spans="1:10" x14ac:dyDescent="0.25">
      <c r="A12">
        <v>11</v>
      </c>
      <c r="B12" s="111">
        <v>43344</v>
      </c>
      <c r="C12" s="17">
        <v>3736534</v>
      </c>
      <c r="D12" s="17">
        <v>317637.9474857935</v>
      </c>
      <c r="E12" s="16">
        <f t="shared" si="0"/>
        <v>4054171.9474857934</v>
      </c>
      <c r="G12" s="111">
        <v>43344</v>
      </c>
      <c r="H12" s="17">
        <v>3771034</v>
      </c>
      <c r="I12" s="17">
        <v>87875.855530707981</v>
      </c>
      <c r="J12" s="16">
        <f t="shared" si="1"/>
        <v>3858909.8555307081</v>
      </c>
    </row>
    <row r="13" spans="1:10" x14ac:dyDescent="0.25">
      <c r="A13">
        <v>12</v>
      </c>
      <c r="B13" s="111">
        <v>43374</v>
      </c>
      <c r="C13" s="17">
        <v>8079434</v>
      </c>
      <c r="D13" s="17">
        <v>649827.15931558644</v>
      </c>
      <c r="E13" s="16">
        <f t="shared" si="0"/>
        <v>8729261.1593155861</v>
      </c>
      <c r="G13" s="111">
        <v>43374</v>
      </c>
      <c r="H13" s="17">
        <v>6451950</v>
      </c>
      <c r="I13" s="17">
        <v>353530.44473303773</v>
      </c>
      <c r="J13" s="16">
        <f t="shared" si="1"/>
        <v>6805480.4447330376</v>
      </c>
    </row>
    <row r="14" spans="1:10" x14ac:dyDescent="0.25">
      <c r="A14">
        <v>13</v>
      </c>
      <c r="B14" s="111">
        <v>43405</v>
      </c>
      <c r="C14" s="17">
        <v>15495271</v>
      </c>
      <c r="D14" s="17">
        <v>2010162.4787883651</v>
      </c>
      <c r="E14" s="16">
        <f t="shared" si="0"/>
        <v>17505433.478788365</v>
      </c>
      <c r="G14" s="111">
        <v>43405</v>
      </c>
      <c r="H14" s="17">
        <v>10347003</v>
      </c>
      <c r="I14" s="17">
        <v>853489.75394566334</v>
      </c>
      <c r="J14" s="16">
        <f t="shared" si="1"/>
        <v>11200492.753945664</v>
      </c>
    </row>
    <row r="15" spans="1:10" x14ac:dyDescent="0.25">
      <c r="A15">
        <v>14</v>
      </c>
      <c r="B15" s="111">
        <v>43435</v>
      </c>
      <c r="C15" s="113">
        <v>19400398</v>
      </c>
      <c r="D15" s="113">
        <v>3083798.2421595259</v>
      </c>
      <c r="E15" s="102">
        <f t="shared" si="0"/>
        <v>22484196.242159527</v>
      </c>
      <c r="G15" s="111">
        <v>43435</v>
      </c>
      <c r="H15" s="113">
        <v>13074117</v>
      </c>
      <c r="I15" s="113">
        <v>1910096.4536643373</v>
      </c>
      <c r="J15" s="102">
        <f t="shared" si="1"/>
        <v>14984213.453664336</v>
      </c>
    </row>
    <row r="16" spans="1:10" x14ac:dyDescent="0.25">
      <c r="A16">
        <v>15</v>
      </c>
      <c r="C16" s="112">
        <f>SUM(C4:C15)</f>
        <v>118441028</v>
      </c>
      <c r="D16" s="112">
        <f>SUM(D4:D15)</f>
        <v>11644752.577750221</v>
      </c>
      <c r="E16" s="16">
        <f>SUM(E4:E15)</f>
        <v>130085780.57775022</v>
      </c>
      <c r="H16" s="16">
        <f>SUM(H4:H15)</f>
        <v>84945290</v>
      </c>
      <c r="I16" s="16">
        <f>SUM(I4:I15)</f>
        <v>6906939.4985081935</v>
      </c>
      <c r="J16" s="16">
        <f>SUM(J4:J15)</f>
        <v>91852229.4985082</v>
      </c>
    </row>
    <row r="19" spans="8:20" x14ac:dyDescent="0.25">
      <c r="I19" s="17"/>
      <c r="J19" s="17"/>
      <c r="K19" s="17"/>
      <c r="L19" s="17"/>
      <c r="M19" s="17"/>
      <c r="N19" s="17"/>
      <c r="O19" s="17"/>
      <c r="P19" s="17"/>
      <c r="Q19" s="17"/>
      <c r="R19" s="17"/>
      <c r="S19" s="17"/>
      <c r="T19" s="17"/>
    </row>
    <row r="20" spans="8:20" x14ac:dyDescent="0.25">
      <c r="H20" s="17"/>
      <c r="I20" s="17"/>
      <c r="J20" s="17"/>
      <c r="K20" s="17"/>
      <c r="L20" s="17"/>
      <c r="M20" s="17"/>
      <c r="N20" s="17"/>
      <c r="O20" s="17"/>
      <c r="P20" s="17"/>
      <c r="Q20" s="17"/>
      <c r="R20" s="17"/>
      <c r="S20" s="17"/>
    </row>
  </sheetData>
  <mergeCells count="2">
    <mergeCell ref="B2:E2"/>
    <mergeCell ref="G2:J2"/>
  </mergeCells>
  <pageMargins left="0.7" right="0.7" top="1.5" bottom="0.75" header="0.3" footer="0.3"/>
  <pageSetup scale="87" fitToHeight="0" orientation="portrait" r:id="rId1"/>
  <headerFooter>
    <oddHeader>&amp;CCascade Natural Gas Corporation
Weather Normalization
IDM WP-1.5&amp;RPage &amp;P of &amp;N</oddHeader>
    <oddFooter>&amp;L&amp;A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76"/>
  <sheetViews>
    <sheetView view="pageBreakPreview" zoomScale="90" zoomScaleNormal="70" zoomScaleSheetLayoutView="90" workbookViewId="0"/>
  </sheetViews>
  <sheetFormatPr defaultRowHeight="15" x14ac:dyDescent="0.25"/>
  <cols>
    <col min="1" max="1" width="5.28515625" customWidth="1"/>
    <col min="2" max="2" width="24.7109375" bestFit="1" customWidth="1"/>
    <col min="3" max="3" width="65.7109375" bestFit="1" customWidth="1"/>
    <col min="4" max="4" width="19.140625" bestFit="1" customWidth="1"/>
    <col min="5" max="5" width="16.85546875" customWidth="1"/>
    <col min="6" max="7" width="14" bestFit="1" customWidth="1"/>
    <col min="8" max="10" width="14" customWidth="1"/>
    <col min="11" max="12" width="13.28515625" bestFit="1" customWidth="1"/>
    <col min="13" max="13" width="14" bestFit="1" customWidth="1"/>
    <col min="14" max="14" width="14.28515625" bestFit="1" customWidth="1"/>
    <col min="15" max="15" width="18" bestFit="1" customWidth="1"/>
    <col min="16" max="16" width="19.7109375" bestFit="1" customWidth="1"/>
    <col min="17" max="17" width="1.7109375" customWidth="1"/>
    <col min="18" max="18" width="19.7109375" bestFit="1" customWidth="1"/>
    <col min="19" max="19" width="1.7109375" customWidth="1"/>
    <col min="20" max="20" width="18.7109375" customWidth="1"/>
    <col min="21" max="21" width="14.28515625" customWidth="1"/>
    <col min="22" max="22" width="13.28515625" customWidth="1"/>
    <col min="23" max="23" width="14.7109375" bestFit="1" customWidth="1"/>
    <col min="24" max="24" width="12.5703125" bestFit="1" customWidth="1"/>
    <col min="25" max="25" width="3.140625" customWidth="1"/>
    <col min="26" max="26" width="9.140625" customWidth="1"/>
    <col min="27" max="27" width="3.85546875" customWidth="1"/>
    <col min="28" max="28" width="11.28515625" bestFit="1" customWidth="1"/>
    <col min="29" max="29" width="9.140625" customWidth="1"/>
    <col min="30" max="30" width="18.7109375" bestFit="1" customWidth="1"/>
    <col min="31" max="31" width="13.28515625" bestFit="1" customWidth="1"/>
    <col min="32" max="32" width="13.42578125" bestFit="1" customWidth="1"/>
    <col min="33" max="33" width="13" bestFit="1" customWidth="1"/>
    <col min="34" max="34" width="13.42578125" bestFit="1" customWidth="1"/>
    <col min="35" max="35" width="13" bestFit="1" customWidth="1"/>
    <col min="36" max="36" width="8" bestFit="1" customWidth="1"/>
    <col min="37" max="37" width="20.85546875" customWidth="1"/>
    <col min="38" max="38" width="16.85546875" customWidth="1"/>
    <col min="40" max="40" width="18.7109375" bestFit="1" customWidth="1"/>
    <col min="41" max="41" width="13.28515625" bestFit="1" customWidth="1"/>
    <col min="42" max="42" width="10.5703125" bestFit="1" customWidth="1"/>
    <col min="43" max="43" width="7.5703125" bestFit="1" customWidth="1"/>
    <col min="44" max="44" width="10.5703125" bestFit="1" customWidth="1"/>
    <col min="46" max="46" width="8" bestFit="1" customWidth="1"/>
    <col min="48" max="48" width="9.7109375" bestFit="1" customWidth="1"/>
    <col min="50" max="50" width="18.7109375" bestFit="1" customWidth="1"/>
    <col min="51" max="51" width="13.28515625" bestFit="1" customWidth="1"/>
    <col min="52" max="52" width="10.5703125" bestFit="1" customWidth="1"/>
    <col min="53" max="53" width="7.5703125" bestFit="1" customWidth="1"/>
    <col min="54" max="54" width="10.5703125" bestFit="1" customWidth="1"/>
    <col min="56" max="56" width="8" bestFit="1" customWidth="1"/>
    <col min="58" max="58" width="9.7109375" bestFit="1" customWidth="1"/>
  </cols>
  <sheetData>
    <row r="1" spans="1:58" ht="18.75" x14ac:dyDescent="0.3">
      <c r="B1" s="561" t="s">
        <v>591</v>
      </c>
      <c r="C1" s="561"/>
      <c r="D1" s="561"/>
      <c r="E1" s="561"/>
      <c r="F1" s="561"/>
      <c r="G1" s="561"/>
      <c r="H1" s="561"/>
      <c r="I1" s="561"/>
      <c r="J1" s="561"/>
      <c r="K1" s="561"/>
      <c r="L1" s="561"/>
      <c r="M1" s="561"/>
      <c r="N1" s="561"/>
      <c r="O1" s="561"/>
      <c r="P1" s="561"/>
    </row>
    <row r="2" spans="1:58" ht="21" x14ac:dyDescent="0.35">
      <c r="B2" s="590" t="s">
        <v>590</v>
      </c>
      <c r="C2" s="590"/>
      <c r="D2" s="590"/>
      <c r="E2" s="590"/>
      <c r="F2" s="590"/>
      <c r="G2" s="590"/>
      <c r="H2" s="590"/>
      <c r="I2" s="590"/>
      <c r="J2" s="590"/>
      <c r="K2" s="590"/>
      <c r="L2" s="590"/>
      <c r="M2" s="590"/>
      <c r="N2" s="590"/>
      <c r="O2" s="590"/>
      <c r="P2" s="590"/>
      <c r="AE2" t="s">
        <v>589</v>
      </c>
    </row>
    <row r="3" spans="1:58" ht="17.25" x14ac:dyDescent="0.3">
      <c r="B3" s="591" t="s">
        <v>588</v>
      </c>
      <c r="C3" s="591"/>
      <c r="D3" s="591"/>
      <c r="E3" s="591"/>
      <c r="F3" s="591"/>
      <c r="G3" s="591"/>
      <c r="H3" s="591"/>
      <c r="I3" s="591"/>
      <c r="J3" s="591"/>
      <c r="K3" s="591"/>
      <c r="L3" s="591"/>
      <c r="M3" s="591"/>
      <c r="N3" s="591"/>
      <c r="O3" s="591"/>
      <c r="P3" s="591"/>
    </row>
    <row r="4" spans="1:58" s="115" customFormat="1" ht="15.75" thickBot="1" x14ac:dyDescent="0.3">
      <c r="B4" s="115" t="s">
        <v>374</v>
      </c>
      <c r="C4" s="115" t="s">
        <v>375</v>
      </c>
      <c r="D4" s="115" t="s">
        <v>34</v>
      </c>
      <c r="E4" s="115" t="s">
        <v>35</v>
      </c>
      <c r="F4" s="115" t="s">
        <v>37</v>
      </c>
      <c r="G4" s="115" t="s">
        <v>39</v>
      </c>
      <c r="H4" s="115" t="s">
        <v>50</v>
      </c>
      <c r="I4" s="115" t="s">
        <v>51</v>
      </c>
      <c r="J4" s="115" t="s">
        <v>79</v>
      </c>
      <c r="K4" s="115" t="s">
        <v>52</v>
      </c>
      <c r="L4" s="115" t="s">
        <v>41</v>
      </c>
      <c r="M4" s="115" t="s">
        <v>43</v>
      </c>
      <c r="N4" s="115" t="s">
        <v>44</v>
      </c>
      <c r="O4" s="115" t="s">
        <v>386</v>
      </c>
      <c r="P4" s="115" t="s">
        <v>388</v>
      </c>
      <c r="Q4" s="115" t="s">
        <v>616</v>
      </c>
      <c r="R4" s="115" t="s">
        <v>654</v>
      </c>
      <c r="S4" s="115" t="s">
        <v>655</v>
      </c>
      <c r="T4" s="115" t="s">
        <v>656</v>
      </c>
      <c r="U4" s="115" t="s">
        <v>657</v>
      </c>
      <c r="V4" s="115" t="s">
        <v>658</v>
      </c>
      <c r="W4" s="115" t="s">
        <v>659</v>
      </c>
      <c r="X4" s="115" t="s">
        <v>660</v>
      </c>
      <c r="Y4" s="116" t="s">
        <v>661</v>
      </c>
      <c r="Z4" s="115" t="s">
        <v>662</v>
      </c>
      <c r="AA4" s="3" t="s">
        <v>663</v>
      </c>
      <c r="AB4" s="3" t="s">
        <v>664</v>
      </c>
      <c r="AC4" s="3" t="s">
        <v>665</v>
      </c>
      <c r="AD4" s="3" t="s">
        <v>666</v>
      </c>
      <c r="AE4" s="3" t="s">
        <v>667</v>
      </c>
      <c r="AF4" s="3" t="s">
        <v>668</v>
      </c>
      <c r="AG4" s="3" t="s">
        <v>669</v>
      </c>
      <c r="AH4" s="3" t="s">
        <v>670</v>
      </c>
      <c r="AI4" s="3" t="s">
        <v>671</v>
      </c>
      <c r="AJ4" s="3" t="s">
        <v>672</v>
      </c>
      <c r="AK4" s="3" t="s">
        <v>673</v>
      </c>
      <c r="AL4" s="3" t="s">
        <v>674</v>
      </c>
    </row>
    <row r="5" spans="1:58" ht="43.5" customHeight="1" x14ac:dyDescent="0.25">
      <c r="A5">
        <v>1</v>
      </c>
      <c r="B5" s="445" t="s">
        <v>509</v>
      </c>
      <c r="C5" s="444"/>
      <c r="D5" s="374">
        <v>43131</v>
      </c>
      <c r="E5" s="374">
        <v>43159</v>
      </c>
      <c r="F5" s="374">
        <v>43190</v>
      </c>
      <c r="G5" s="374">
        <v>43220</v>
      </c>
      <c r="H5" s="374">
        <v>43251</v>
      </c>
      <c r="I5" s="374">
        <v>43281</v>
      </c>
      <c r="J5" s="374">
        <v>43312</v>
      </c>
      <c r="K5" s="374">
        <v>43343</v>
      </c>
      <c r="L5" s="374">
        <v>43373</v>
      </c>
      <c r="M5" s="374">
        <v>43404</v>
      </c>
      <c r="N5" s="375" t="s">
        <v>534</v>
      </c>
      <c r="O5" s="374">
        <v>43434</v>
      </c>
      <c r="P5" s="364">
        <v>43465</v>
      </c>
      <c r="R5" s="443" t="s">
        <v>587</v>
      </c>
      <c r="AE5" s="374">
        <v>43343</v>
      </c>
      <c r="AF5" s="374">
        <v>43373</v>
      </c>
      <c r="AG5" s="374">
        <v>43404</v>
      </c>
      <c r="AH5" s="374">
        <v>43434</v>
      </c>
      <c r="AI5" s="374">
        <v>43465</v>
      </c>
      <c r="AK5" s="545" t="s">
        <v>714</v>
      </c>
    </row>
    <row r="6" spans="1:58" x14ac:dyDescent="0.25">
      <c r="A6">
        <v>2</v>
      </c>
      <c r="B6" s="403"/>
      <c r="C6" s="380" t="s">
        <v>586</v>
      </c>
      <c r="D6" s="441">
        <v>4.2500000000000003E-2</v>
      </c>
      <c r="E6" s="441">
        <v>4.2500000000000003E-2</v>
      </c>
      <c r="F6" s="441">
        <v>4.2500000000000003E-2</v>
      </c>
      <c r="G6" s="441">
        <v>4.4699999999999997E-2</v>
      </c>
      <c r="H6" s="441">
        <v>4.4699999999999997E-2</v>
      </c>
      <c r="I6" s="441">
        <v>4.4699999999999997E-2</v>
      </c>
      <c r="J6" s="441">
        <v>4.6899999999999997E-2</v>
      </c>
      <c r="K6" s="441">
        <v>4.6899999999999997E-2</v>
      </c>
      <c r="L6" s="441">
        <v>4.6899999999999997E-2</v>
      </c>
      <c r="M6" s="441">
        <v>4.9599999999999998E-2</v>
      </c>
      <c r="N6" s="442"/>
      <c r="O6" s="441">
        <v>4.9599999999999998E-2</v>
      </c>
      <c r="P6" s="441">
        <v>4.9599999999999998E-2</v>
      </c>
      <c r="R6" s="436"/>
    </row>
    <row r="7" spans="1:58" ht="15.75" x14ac:dyDescent="0.25">
      <c r="A7">
        <v>3</v>
      </c>
      <c r="B7" s="440"/>
      <c r="C7" s="380" t="s">
        <v>585</v>
      </c>
      <c r="D7" s="438">
        <v>31</v>
      </c>
      <c r="E7" s="438">
        <v>28</v>
      </c>
      <c r="F7" s="438">
        <v>31</v>
      </c>
      <c r="G7" s="438">
        <v>30</v>
      </c>
      <c r="H7" s="438">
        <v>31</v>
      </c>
      <c r="I7" s="438">
        <v>30</v>
      </c>
      <c r="J7" s="438">
        <v>31</v>
      </c>
      <c r="K7" s="438">
        <v>31</v>
      </c>
      <c r="L7" s="438">
        <v>30</v>
      </c>
      <c r="M7" s="438">
        <v>31</v>
      </c>
      <c r="N7" s="439"/>
      <c r="O7" s="438">
        <v>30</v>
      </c>
      <c r="P7" s="437">
        <v>31</v>
      </c>
      <c r="R7" s="436"/>
    </row>
    <row r="8" spans="1:58" x14ac:dyDescent="0.25">
      <c r="A8">
        <v>4</v>
      </c>
      <c r="B8" s="425">
        <v>502</v>
      </c>
      <c r="C8" s="424" t="s">
        <v>582</v>
      </c>
      <c r="K8" s="423" t="s">
        <v>554</v>
      </c>
      <c r="N8" s="387"/>
      <c r="P8" s="435"/>
      <c r="R8" s="392"/>
      <c r="T8" s="413"/>
      <c r="U8" s="413">
        <v>502</v>
      </c>
      <c r="V8" s="413"/>
      <c r="W8" s="413"/>
      <c r="X8" s="413"/>
      <c r="Y8" s="413"/>
      <c r="Z8" s="413" t="s">
        <v>584</v>
      </c>
      <c r="AA8" s="413"/>
      <c r="AB8" s="413" t="s">
        <v>583</v>
      </c>
    </row>
    <row r="9" spans="1:58" x14ac:dyDescent="0.25">
      <c r="A9">
        <v>5</v>
      </c>
      <c r="B9" s="394" t="s">
        <v>553</v>
      </c>
      <c r="C9" t="s">
        <v>552</v>
      </c>
      <c r="D9" s="419">
        <v>725</v>
      </c>
      <c r="E9" s="419">
        <v>751</v>
      </c>
      <c r="F9" s="419">
        <v>707</v>
      </c>
      <c r="G9" s="419">
        <v>673</v>
      </c>
      <c r="H9" s="419">
        <v>637</v>
      </c>
      <c r="I9" s="419">
        <v>620</v>
      </c>
      <c r="J9" s="419">
        <v>598</v>
      </c>
      <c r="K9" s="419">
        <v>0</v>
      </c>
      <c r="L9" s="419">
        <v>0</v>
      </c>
      <c r="M9" s="419">
        <v>0</v>
      </c>
      <c r="N9" s="420"/>
      <c r="O9" s="419">
        <v>0</v>
      </c>
      <c r="P9" s="410">
        <v>0</v>
      </c>
      <c r="R9" s="392"/>
      <c r="T9" s="413"/>
      <c r="U9" s="413"/>
      <c r="V9" s="416">
        <v>4948</v>
      </c>
      <c r="W9" s="413" t="s">
        <v>31</v>
      </c>
      <c r="X9" s="416">
        <f>V9</f>
        <v>4948</v>
      </c>
      <c r="Y9" s="413"/>
      <c r="Z9" s="413"/>
      <c r="AA9" s="413"/>
      <c r="AB9" s="413"/>
      <c r="AF9" s="17"/>
      <c r="AP9" s="17"/>
      <c r="AR9" s="17"/>
      <c r="AZ9" s="17"/>
      <c r="BB9" s="17"/>
    </row>
    <row r="10" spans="1:58" x14ac:dyDescent="0.25">
      <c r="A10">
        <v>6</v>
      </c>
      <c r="B10" s="394" t="s">
        <v>550</v>
      </c>
      <c r="C10" t="s">
        <v>570</v>
      </c>
      <c r="D10" s="409">
        <v>9287.84</v>
      </c>
      <c r="E10" s="409">
        <v>7055.65</v>
      </c>
      <c r="F10" s="409">
        <f>8448.23+4.96</f>
        <v>8453.1899999999987</v>
      </c>
      <c r="G10" s="409">
        <f>5185.68-4.96</f>
        <v>5180.72</v>
      </c>
      <c r="H10" s="409">
        <v>2620.5300000000002</v>
      </c>
      <c r="I10" s="409">
        <v>937.08</v>
      </c>
      <c r="J10" s="409">
        <v>454.28</v>
      </c>
      <c r="K10" s="409">
        <f>51.97-51.97</f>
        <v>0</v>
      </c>
      <c r="L10" s="409">
        <v>0</v>
      </c>
      <c r="M10" s="409">
        <v>0</v>
      </c>
      <c r="N10" s="406"/>
      <c r="O10" s="409">
        <v>0</v>
      </c>
      <c r="P10" s="408">
        <v>0</v>
      </c>
      <c r="R10" s="392"/>
      <c r="T10" s="415" t="s">
        <v>28</v>
      </c>
      <c r="U10" s="414">
        <v>454.28</v>
      </c>
      <c r="V10" s="412">
        <f>U10/V9</f>
        <v>9.181083265966046E-2</v>
      </c>
      <c r="W10" s="413"/>
      <c r="X10" s="412">
        <f>U10/X9</f>
        <v>9.181083265966046E-2</v>
      </c>
      <c r="Y10" s="413"/>
      <c r="Z10" s="413">
        <v>9.1829999999999995E-2</v>
      </c>
      <c r="AA10" s="413"/>
      <c r="AB10" s="412">
        <f>Z10-X10</f>
        <v>1.9167340339534822E-5</v>
      </c>
      <c r="AD10" s="427"/>
      <c r="AE10" s="386"/>
      <c r="AF10" s="426"/>
      <c r="AL10" s="426"/>
      <c r="AN10" s="427"/>
      <c r="AO10" s="386"/>
      <c r="AP10" s="426"/>
      <c r="AR10" s="426"/>
      <c r="AV10" s="426"/>
      <c r="AX10" s="427"/>
      <c r="AY10" s="386"/>
      <c r="AZ10" s="426"/>
      <c r="BB10" s="426"/>
      <c r="BF10" s="426"/>
    </row>
    <row r="11" spans="1:58" x14ac:dyDescent="0.25">
      <c r="A11">
        <v>7</v>
      </c>
      <c r="B11" s="394"/>
      <c r="C11" s="380" t="s">
        <v>543</v>
      </c>
      <c r="D11" s="386">
        <f t="shared" ref="D11:M11" si="0">D10</f>
        <v>9287.84</v>
      </c>
      <c r="E11" s="386">
        <f t="shared" si="0"/>
        <v>7055.65</v>
      </c>
      <c r="F11" s="386">
        <f t="shared" si="0"/>
        <v>8453.1899999999987</v>
      </c>
      <c r="G11" s="386">
        <f t="shared" si="0"/>
        <v>5180.72</v>
      </c>
      <c r="H11" s="386">
        <f t="shared" si="0"/>
        <v>2620.5300000000002</v>
      </c>
      <c r="I11" s="386">
        <f t="shared" si="0"/>
        <v>937.08</v>
      </c>
      <c r="J11" s="386">
        <f t="shared" si="0"/>
        <v>454.28</v>
      </c>
      <c r="K11" s="386">
        <f t="shared" si="0"/>
        <v>0</v>
      </c>
      <c r="L11" s="386">
        <f t="shared" si="0"/>
        <v>0</v>
      </c>
      <c r="M11" s="386">
        <f t="shared" si="0"/>
        <v>0</v>
      </c>
      <c r="N11" s="407"/>
      <c r="O11" s="386">
        <f>O10</f>
        <v>0</v>
      </c>
      <c r="P11" s="428">
        <f>P10</f>
        <v>0</v>
      </c>
      <c r="R11" s="392"/>
      <c r="T11" s="415" t="s">
        <v>11</v>
      </c>
      <c r="U11" s="414">
        <v>2264.84</v>
      </c>
      <c r="V11" s="412">
        <f>U11/V9</f>
        <v>0.45772837510105097</v>
      </c>
      <c r="W11" s="413"/>
      <c r="X11" s="412">
        <f>U11/X9</f>
        <v>0.45772837510105097</v>
      </c>
      <c r="Y11" s="413"/>
      <c r="Z11" s="413">
        <v>0.45772000000000002</v>
      </c>
      <c r="AA11" s="413"/>
      <c r="AB11" s="412">
        <f>Z11-X11</f>
        <v>-8.3751010509502954E-6</v>
      </c>
      <c r="AD11" s="427"/>
      <c r="AE11" s="386"/>
      <c r="AF11" s="426"/>
      <c r="AL11" s="426"/>
      <c r="AN11" s="427"/>
      <c r="AO11" s="386"/>
      <c r="AP11" s="426"/>
      <c r="AR11" s="426"/>
      <c r="AV11" s="426"/>
      <c r="AX11" s="427"/>
      <c r="AY11" s="386"/>
      <c r="AZ11" s="426"/>
      <c r="BB11" s="426"/>
      <c r="BF11" s="426"/>
    </row>
    <row r="12" spans="1:58" x14ac:dyDescent="0.25">
      <c r="A12">
        <v>8</v>
      </c>
      <c r="B12" s="394"/>
      <c r="C12" s="380" t="s">
        <v>542</v>
      </c>
      <c r="D12" s="405">
        <f>ROUND(-'[1]Authorized Margins'!J35*WACAP2018!D9,2)</f>
        <v>-7525.5</v>
      </c>
      <c r="E12" s="405">
        <f>ROUND(-'[1]Authorized Margins'!K35*WACAP2018!E9,2)</f>
        <v>-6391.01</v>
      </c>
      <c r="F12" s="405">
        <f>ROUND(-'[1]Authorized Margins'!L35*WACAP2018!F9,2)</f>
        <v>-5253.01</v>
      </c>
      <c r="G12" s="405">
        <f>ROUND(-'[1]Authorized Margins'!M35*WACAP2018!G9,2)</f>
        <v>-3243.86</v>
      </c>
      <c r="H12" s="405">
        <f>ROUND(-'[1]Authorized Margins'!N35*WACAP2018!H9,2)</f>
        <v>-1821.82</v>
      </c>
      <c r="I12" s="405">
        <f>ROUND(-'[1]Authorized Margins'!O35*WACAP2018!I9,2)</f>
        <v>-911.4</v>
      </c>
      <c r="J12" s="405">
        <f>ROUND(-'[1]Authorized Margins'!D35*WACAP2018!J9,2)</f>
        <v>-538.20000000000005</v>
      </c>
      <c r="K12" s="405">
        <v>0</v>
      </c>
      <c r="L12" s="405">
        <v>0</v>
      </c>
      <c r="M12" s="405">
        <v>0</v>
      </c>
      <c r="N12" s="406"/>
      <c r="O12" s="405">
        <v>0</v>
      </c>
      <c r="P12" s="404">
        <v>0</v>
      </c>
      <c r="R12" s="392"/>
    </row>
    <row r="13" spans="1:58" x14ac:dyDescent="0.25">
      <c r="A13">
        <v>9</v>
      </c>
      <c r="B13" s="394"/>
      <c r="C13" s="380" t="s">
        <v>541</v>
      </c>
      <c r="D13" s="378">
        <f t="shared" ref="D13:M13" si="1">SUM(D11:D12)</f>
        <v>1762.3400000000001</v>
      </c>
      <c r="E13" s="378">
        <f t="shared" si="1"/>
        <v>664.63999999999942</v>
      </c>
      <c r="F13" s="378">
        <f t="shared" si="1"/>
        <v>3200.1799999999985</v>
      </c>
      <c r="G13" s="378">
        <f t="shared" si="1"/>
        <v>1936.8600000000001</v>
      </c>
      <c r="H13" s="378">
        <f t="shared" si="1"/>
        <v>798.71000000000026</v>
      </c>
      <c r="I13" s="378">
        <f t="shared" si="1"/>
        <v>25.680000000000064</v>
      </c>
      <c r="J13" s="378">
        <f t="shared" si="1"/>
        <v>-83.920000000000073</v>
      </c>
      <c r="K13" s="378">
        <f t="shared" si="1"/>
        <v>0</v>
      </c>
      <c r="L13" s="378">
        <f t="shared" si="1"/>
        <v>0</v>
      </c>
      <c r="M13" s="378">
        <f t="shared" si="1"/>
        <v>0</v>
      </c>
      <c r="N13" s="402">
        <f>-[1]WACAP2017!Q14</f>
        <v>-13086.609999999999</v>
      </c>
      <c r="O13" s="378">
        <f>SUM(O11:O12)</f>
        <v>0</v>
      </c>
      <c r="P13" s="401">
        <f>SUM(P11:P12)</f>
        <v>0</v>
      </c>
      <c r="R13" s="400">
        <f>SUM(D13:Q13)-N13</f>
        <v>8304.49</v>
      </c>
    </row>
    <row r="14" spans="1:58" x14ac:dyDescent="0.25">
      <c r="A14">
        <v>10</v>
      </c>
      <c r="B14" s="394"/>
      <c r="C14" s="380" t="s">
        <v>540</v>
      </c>
      <c r="D14" s="54">
        <f>ROUND(ROUND([1]WACAP2017!O15*D$6,2)/365*D$7,2)</f>
        <v>47.24</v>
      </c>
      <c r="E14" s="54">
        <f t="shared" ref="E14:M14" si="2">ROUND(ROUND(D16*E$6,2)/365*E$7,2)</f>
        <v>48.57</v>
      </c>
      <c r="F14" s="54">
        <f t="shared" si="2"/>
        <v>56.34</v>
      </c>
      <c r="G14" s="54">
        <f t="shared" si="2"/>
        <v>69.31</v>
      </c>
      <c r="H14" s="54">
        <f t="shared" si="2"/>
        <v>79.239999999999995</v>
      </c>
      <c r="I14" s="54">
        <f t="shared" si="2"/>
        <v>79.91</v>
      </c>
      <c r="J14" s="54">
        <f t="shared" si="2"/>
        <v>87.06</v>
      </c>
      <c r="K14" s="54">
        <f t="shared" si="2"/>
        <v>87.07</v>
      </c>
      <c r="L14" s="54">
        <f t="shared" si="2"/>
        <v>84.6</v>
      </c>
      <c r="M14" s="54">
        <f t="shared" si="2"/>
        <v>92.81</v>
      </c>
      <c r="N14" s="384">
        <f>'[1]Ammort Split2018'!N13</f>
        <v>-501.25</v>
      </c>
      <c r="O14" s="54">
        <f>ROUND(ROUND(N16*O$6,2)/365*O$7,2)</f>
        <v>34.799999999999997</v>
      </c>
      <c r="P14" s="399">
        <f>ROUND(ROUND(O16*P$6,2)/365*P$7,2)</f>
        <v>36.1</v>
      </c>
      <c r="R14" s="398">
        <f>SUM(D14:Q14)</f>
        <v>301.80000000000013</v>
      </c>
    </row>
    <row r="15" spans="1:58" x14ac:dyDescent="0.25">
      <c r="A15">
        <v>11</v>
      </c>
      <c r="B15" s="394"/>
      <c r="C15" s="380" t="s">
        <v>539</v>
      </c>
      <c r="D15" s="383">
        <f t="shared" ref="D15:P15" si="3">SUM(D13:D14)</f>
        <v>1809.5800000000002</v>
      </c>
      <c r="E15" s="383">
        <f t="shared" si="3"/>
        <v>713.20999999999947</v>
      </c>
      <c r="F15" s="383">
        <f t="shared" si="3"/>
        <v>3256.5199999999986</v>
      </c>
      <c r="G15" s="383">
        <f t="shared" si="3"/>
        <v>2006.17</v>
      </c>
      <c r="H15" s="383">
        <f t="shared" si="3"/>
        <v>877.95000000000027</v>
      </c>
      <c r="I15" s="383">
        <f t="shared" si="3"/>
        <v>105.59000000000006</v>
      </c>
      <c r="J15" s="383">
        <f t="shared" si="3"/>
        <v>3.1399999999999295</v>
      </c>
      <c r="K15" s="383">
        <f t="shared" si="3"/>
        <v>87.07</v>
      </c>
      <c r="L15" s="383">
        <f t="shared" si="3"/>
        <v>84.6</v>
      </c>
      <c r="M15" s="383">
        <f t="shared" si="3"/>
        <v>92.81</v>
      </c>
      <c r="N15" s="397">
        <f t="shared" si="3"/>
        <v>-13587.859999999999</v>
      </c>
      <c r="O15" s="383">
        <f t="shared" si="3"/>
        <v>34.799999999999997</v>
      </c>
      <c r="P15" s="396">
        <f t="shared" si="3"/>
        <v>36.1</v>
      </c>
      <c r="R15" s="395">
        <f>SUM(R13:R14)</f>
        <v>8606.2899999999991</v>
      </c>
    </row>
    <row r="16" spans="1:58" x14ac:dyDescent="0.25">
      <c r="A16">
        <v>12</v>
      </c>
      <c r="B16" s="394"/>
      <c r="C16" s="380" t="s">
        <v>536</v>
      </c>
      <c r="D16" s="378">
        <f>[1]WACAP2017!O15+WACAP2018!D15</f>
        <v>14896.190000000004</v>
      </c>
      <c r="E16" s="378">
        <f t="shared" ref="E16:P16" si="4">D16+E15</f>
        <v>15609.400000000003</v>
      </c>
      <c r="F16" s="378">
        <f t="shared" si="4"/>
        <v>18865.920000000002</v>
      </c>
      <c r="G16" s="378">
        <f t="shared" si="4"/>
        <v>20872.090000000004</v>
      </c>
      <c r="H16" s="378">
        <f t="shared" si="4"/>
        <v>21750.040000000005</v>
      </c>
      <c r="I16" s="378">
        <f t="shared" si="4"/>
        <v>21855.630000000005</v>
      </c>
      <c r="J16" s="378">
        <f t="shared" si="4"/>
        <v>21858.770000000004</v>
      </c>
      <c r="K16" s="378">
        <f t="shared" si="4"/>
        <v>21945.840000000004</v>
      </c>
      <c r="L16" s="378">
        <f t="shared" si="4"/>
        <v>22030.440000000002</v>
      </c>
      <c r="M16" s="378">
        <f t="shared" si="4"/>
        <v>22123.250000000004</v>
      </c>
      <c r="N16" s="379">
        <f t="shared" si="4"/>
        <v>8535.3900000000049</v>
      </c>
      <c r="O16" s="378">
        <f t="shared" si="4"/>
        <v>8570.1900000000041</v>
      </c>
      <c r="P16" s="393">
        <f t="shared" si="4"/>
        <v>8606.2900000000045</v>
      </c>
      <c r="R16" s="392"/>
    </row>
    <row r="17" spans="1:58" x14ac:dyDescent="0.25">
      <c r="A17">
        <v>13</v>
      </c>
      <c r="B17" s="425"/>
      <c r="D17" s="17"/>
      <c r="E17" s="17"/>
      <c r="F17" s="386"/>
      <c r="G17" s="433"/>
      <c r="H17" s="433"/>
      <c r="I17" s="433"/>
      <c r="J17" s="433"/>
      <c r="K17" s="433"/>
      <c r="L17" s="433"/>
      <c r="M17" s="433"/>
      <c r="N17" s="434"/>
      <c r="O17" s="433"/>
      <c r="P17" s="432"/>
      <c r="Q17" s="16"/>
      <c r="R17" s="417"/>
      <c r="U17">
        <v>503</v>
      </c>
      <c r="AG17" s="424"/>
      <c r="AH17" s="424"/>
      <c r="AI17" s="424"/>
      <c r="AQ17" s="424"/>
      <c r="BA17" s="424"/>
    </row>
    <row r="18" spans="1:58" x14ac:dyDescent="0.25">
      <c r="A18">
        <v>14</v>
      </c>
      <c r="B18" s="425">
        <v>503</v>
      </c>
      <c r="C18" s="424" t="s">
        <v>582</v>
      </c>
      <c r="D18" s="17"/>
      <c r="E18" s="17"/>
      <c r="F18" s="386"/>
      <c r="G18" s="386"/>
      <c r="H18" s="17"/>
      <c r="I18" s="17"/>
      <c r="J18" s="17"/>
      <c r="K18" s="17"/>
      <c r="L18" s="17"/>
      <c r="M18" s="17"/>
      <c r="N18" s="420"/>
      <c r="O18" s="17"/>
      <c r="P18" s="422"/>
      <c r="Q18" s="16"/>
      <c r="R18" s="417"/>
      <c r="V18" s="17">
        <v>17031202</v>
      </c>
      <c r="W18" t="s">
        <v>31</v>
      </c>
      <c r="X18" s="17">
        <f>V18</f>
        <v>17031202</v>
      </c>
      <c r="AD18" s="386">
        <v>1</v>
      </c>
      <c r="AF18" s="17"/>
      <c r="AP18" s="17"/>
      <c r="AR18" s="17"/>
      <c r="AZ18" s="17"/>
      <c r="BB18" s="17"/>
    </row>
    <row r="19" spans="1:58" x14ac:dyDescent="0.25">
      <c r="A19">
        <v>15</v>
      </c>
      <c r="B19" s="394" t="s">
        <v>553</v>
      </c>
      <c r="C19" t="s">
        <v>552</v>
      </c>
      <c r="D19" s="419">
        <v>186631</v>
      </c>
      <c r="E19" s="419">
        <v>186836</v>
      </c>
      <c r="F19" s="419">
        <v>186988</v>
      </c>
      <c r="G19" s="419">
        <v>186933</v>
      </c>
      <c r="H19" s="419">
        <v>186735</v>
      </c>
      <c r="I19" s="419">
        <v>186713</v>
      </c>
      <c r="J19" s="419">
        <v>186674</v>
      </c>
      <c r="K19" s="419">
        <v>187363</v>
      </c>
      <c r="L19" s="419">
        <v>187869</v>
      </c>
      <c r="M19" s="419">
        <v>189161</v>
      </c>
      <c r="N19" s="420"/>
      <c r="O19" s="419">
        <v>190056</v>
      </c>
      <c r="P19" s="418">
        <v>190498</v>
      </c>
      <c r="Q19" s="386"/>
      <c r="R19" s="431"/>
      <c r="T19" s="427" t="s">
        <v>28</v>
      </c>
      <c r="U19" s="386">
        <v>4633347.3600000003</v>
      </c>
      <c r="V19" s="426">
        <f>U19/V18</f>
        <v>0.27205051998091506</v>
      </c>
      <c r="X19" s="426">
        <f>U19/X18</f>
        <v>0.27205051998091506</v>
      </c>
      <c r="Z19">
        <v>0.27205000000000001</v>
      </c>
      <c r="AB19" s="426">
        <f>Z19-X19</f>
        <v>-5.199809150480128E-7</v>
      </c>
      <c r="AD19" s="427"/>
      <c r="AE19" s="386">
        <f>K19</f>
        <v>187363</v>
      </c>
      <c r="AF19" s="386">
        <f>L19</f>
        <v>187869</v>
      </c>
      <c r="AG19" s="386">
        <f>M19</f>
        <v>189161</v>
      </c>
      <c r="AH19" s="386">
        <f>O19</f>
        <v>190056</v>
      </c>
      <c r="AI19" s="386">
        <f>P19</f>
        <v>190498</v>
      </c>
      <c r="AL19" s="426"/>
      <c r="AN19" s="427"/>
      <c r="AO19" s="386"/>
      <c r="AP19" s="426"/>
      <c r="AR19" s="426"/>
      <c r="AV19" s="426"/>
      <c r="AX19" s="427"/>
      <c r="AY19" s="386"/>
      <c r="AZ19" s="426"/>
      <c r="BB19" s="426"/>
      <c r="BF19" s="426"/>
    </row>
    <row r="20" spans="1:58" x14ac:dyDescent="0.25">
      <c r="A20">
        <v>16</v>
      </c>
      <c r="B20" s="394" t="s">
        <v>550</v>
      </c>
      <c r="C20" t="s">
        <v>570</v>
      </c>
      <c r="D20" s="411">
        <v>6636822.8899999997</v>
      </c>
      <c r="E20" s="411">
        <v>4674307.9000000004</v>
      </c>
      <c r="F20" s="411">
        <v>5539638.3799999999</v>
      </c>
      <c r="G20" s="411">
        <v>3685135.57</v>
      </c>
      <c r="H20" s="411">
        <v>2174874.87</v>
      </c>
      <c r="I20" s="411">
        <v>1181931.1100000001</v>
      </c>
      <c r="J20" s="411">
        <v>919203.33</v>
      </c>
      <c r="K20" s="411">
        <f>51.97+777387.89</f>
        <v>777439.86</v>
      </c>
      <c r="L20" s="411">
        <v>764273.83</v>
      </c>
      <c r="M20" s="411">
        <v>1443787.66</v>
      </c>
      <c r="N20" s="407"/>
      <c r="O20" s="411">
        <v>2437827.89</v>
      </c>
      <c r="P20" s="410">
        <v>4633347.3600000003</v>
      </c>
      <c r="Q20" s="386"/>
      <c r="R20" s="431"/>
      <c r="T20" s="427" t="s">
        <v>11</v>
      </c>
      <c r="U20" s="386">
        <v>7432096.4800000004</v>
      </c>
      <c r="V20" s="426">
        <f>U20/V18</f>
        <v>0.43638120668171282</v>
      </c>
      <c r="X20" s="426">
        <f>U20/X18</f>
        <v>0.43638120668171282</v>
      </c>
      <c r="Z20">
        <v>0.43589</v>
      </c>
      <c r="AB20" s="426">
        <f>Z20-X20</f>
        <v>-4.9120668171281912E-4</v>
      </c>
      <c r="AD20" s="427"/>
      <c r="AE20" s="386"/>
      <c r="AF20" s="426"/>
      <c r="AL20" s="426"/>
      <c r="AN20" s="427"/>
      <c r="AO20" s="386"/>
      <c r="AP20" s="426"/>
      <c r="AR20" s="426"/>
      <c r="AV20" s="426"/>
      <c r="AX20" s="427"/>
      <c r="AY20" s="386"/>
      <c r="AZ20" s="426"/>
      <c r="BB20" s="426"/>
      <c r="BF20" s="426"/>
    </row>
    <row r="21" spans="1:58" x14ac:dyDescent="0.25">
      <c r="A21">
        <v>17</v>
      </c>
      <c r="B21" s="394" t="s">
        <v>545</v>
      </c>
      <c r="C21" t="s">
        <v>573</v>
      </c>
      <c r="D21" s="430">
        <f>ROUND(12394705*0.29484,2)</f>
        <v>3654454.82</v>
      </c>
      <c r="E21" s="430">
        <f>ROUND(14191411*0.29484,2)</f>
        <v>4184195.62</v>
      </c>
      <c r="F21" s="430">
        <f>ROUND(9771873*0.29484,2)</f>
        <v>2881139.04</v>
      </c>
      <c r="G21" s="430">
        <f>ROUND(6423644*0.29484,2)</f>
        <v>1893947.2</v>
      </c>
      <c r="H21" s="430">
        <f>ROUND(3061183*0.29484,2)</f>
        <v>902559.2</v>
      </c>
      <c r="I21" s="430">
        <f>ROUND(2628458*0.29484,2)</f>
        <v>774974.56</v>
      </c>
      <c r="J21" s="430">
        <f>ROUND(2376801*0.29484,2)</f>
        <v>700776.01</v>
      </c>
      <c r="K21" s="430">
        <f>ROUND(1072372*0.27205,2)</f>
        <v>291738.8</v>
      </c>
      <c r="L21" s="430">
        <f>ROUND(1999718*0.27205,2)</f>
        <v>544023.28</v>
      </c>
      <c r="M21" s="430">
        <f>ROUND(4772036*0.27205,2)</f>
        <v>1298232.3899999999</v>
      </c>
      <c r="N21" s="407"/>
      <c r="O21" s="430">
        <f>ROUND(11306377*0.27205,2)</f>
        <v>3075899.86</v>
      </c>
      <c r="P21" s="430">
        <f>ROUND(13675573*0.27205,2)</f>
        <v>3720439.63</v>
      </c>
      <c r="Q21" s="386"/>
      <c r="R21" s="431"/>
      <c r="T21" s="427"/>
      <c r="U21" s="386"/>
      <c r="V21" s="426"/>
      <c r="X21" s="426"/>
      <c r="AB21" s="426"/>
      <c r="AK21" s="361">
        <f>+P21</f>
        <v>3720439.63</v>
      </c>
    </row>
    <row r="22" spans="1:58" x14ac:dyDescent="0.25">
      <c r="A22">
        <v>18</v>
      </c>
      <c r="B22" s="394" t="s">
        <v>545</v>
      </c>
      <c r="C22" t="s">
        <v>572</v>
      </c>
      <c r="D22" s="409">
        <f>-[1]WACAP2017!O20</f>
        <v>-4779530.3600000003</v>
      </c>
      <c r="E22" s="409">
        <f t="shared" ref="E22:M22" si="5">-D21</f>
        <v>-3654454.82</v>
      </c>
      <c r="F22" s="409">
        <f t="shared" si="5"/>
        <v>-4184195.62</v>
      </c>
      <c r="G22" s="409">
        <f t="shared" si="5"/>
        <v>-2881139.04</v>
      </c>
      <c r="H22" s="409">
        <f t="shared" si="5"/>
        <v>-1893947.2</v>
      </c>
      <c r="I22" s="409">
        <f t="shared" si="5"/>
        <v>-902559.2</v>
      </c>
      <c r="J22" s="409">
        <f t="shared" si="5"/>
        <v>-774974.56</v>
      </c>
      <c r="K22" s="409">
        <f t="shared" si="5"/>
        <v>-700776.01</v>
      </c>
      <c r="L22" s="409">
        <f t="shared" si="5"/>
        <v>-291738.8</v>
      </c>
      <c r="M22" s="409">
        <f t="shared" si="5"/>
        <v>-544023.28</v>
      </c>
      <c r="N22" s="406"/>
      <c r="O22" s="409">
        <f>-M21</f>
        <v>-1298232.3899999999</v>
      </c>
      <c r="P22" s="408">
        <f>-O21</f>
        <v>-3075899.86</v>
      </c>
      <c r="Q22" s="386"/>
      <c r="R22" s="431"/>
      <c r="V22" s="17"/>
      <c r="X22" s="17"/>
      <c r="AK22" s="361">
        <f>+D22</f>
        <v>-4779530.3600000003</v>
      </c>
      <c r="AL22" s="361">
        <f>+AK22+AK21</f>
        <v>-1059090.7300000004</v>
      </c>
    </row>
    <row r="23" spans="1:58" x14ac:dyDescent="0.25">
      <c r="A23">
        <v>19</v>
      </c>
      <c r="B23" s="394"/>
      <c r="C23" s="380" t="s">
        <v>543</v>
      </c>
      <c r="D23" s="386">
        <f t="shared" ref="D23:M23" si="6">SUM(D20:D22)</f>
        <v>5511747.3499999987</v>
      </c>
      <c r="E23" s="386">
        <f t="shared" si="6"/>
        <v>5204048.6999999993</v>
      </c>
      <c r="F23" s="386">
        <f t="shared" si="6"/>
        <v>4236581.8</v>
      </c>
      <c r="G23" s="386">
        <f t="shared" si="6"/>
        <v>2697943.7299999995</v>
      </c>
      <c r="H23" s="386">
        <f t="shared" si="6"/>
        <v>1183486.8700000003</v>
      </c>
      <c r="I23" s="386">
        <f t="shared" si="6"/>
        <v>1054346.4700000002</v>
      </c>
      <c r="J23" s="386">
        <f t="shared" si="6"/>
        <v>845004.7799999998</v>
      </c>
      <c r="K23" s="386">
        <f t="shared" si="6"/>
        <v>368402.64999999991</v>
      </c>
      <c r="L23" s="386">
        <f t="shared" si="6"/>
        <v>1016558.3099999998</v>
      </c>
      <c r="M23" s="386">
        <f t="shared" si="6"/>
        <v>2197996.7699999996</v>
      </c>
      <c r="N23" s="407"/>
      <c r="O23" s="386">
        <f>SUM(O20:O22)</f>
        <v>4215495.3600000003</v>
      </c>
      <c r="P23" s="428">
        <f>SUM(P20:P22)</f>
        <v>5277887.1300000008</v>
      </c>
      <c r="R23" s="392"/>
      <c r="T23" s="427"/>
      <c r="U23" s="386"/>
      <c r="V23" s="426"/>
      <c r="X23" s="426"/>
      <c r="AB23" s="426"/>
    </row>
    <row r="24" spans="1:58" x14ac:dyDescent="0.25">
      <c r="A24">
        <v>20</v>
      </c>
      <c r="B24" s="394"/>
      <c r="C24" s="380" t="s">
        <v>542</v>
      </c>
      <c r="D24" s="405">
        <f>ROUND(-'[1]Authorized Margins'!J41*WACAP2018!D19,2)</f>
        <v>-5765031.5899999999</v>
      </c>
      <c r="E24" s="405">
        <f>ROUND(-'[1]Authorized Margins'!K41*WACAP2018!E19,2)</f>
        <v>-4728819.16</v>
      </c>
      <c r="F24" s="405">
        <f>ROUND(-'[1]Authorized Margins'!L41*WACAP2018!F19,2)</f>
        <v>-3960405.84</v>
      </c>
      <c r="G24" s="405">
        <f>ROUND(-'[1]Authorized Margins'!M41*WACAP2018!G19,2)</f>
        <v>-2484339.5699999998</v>
      </c>
      <c r="H24" s="405">
        <f>ROUND(-'[1]Authorized Margins'!N41*WACAP2018!H19,2)</f>
        <v>-1613390.4</v>
      </c>
      <c r="I24" s="405">
        <f>ROUND(-'[1]Authorized Margins'!O41*WACAP2018!I19,2)</f>
        <v>-1082935.3999999999</v>
      </c>
      <c r="J24" s="405">
        <f>ROUND(-'[1]Authorized Margins'!D41*WACAP2018!J19,2)</f>
        <v>-892301.72</v>
      </c>
      <c r="K24" s="405">
        <f>ROUND(-'[1]Authorized Margins 2018'!E10*WACAP2018!K19,2)</f>
        <v>-655770.5</v>
      </c>
      <c r="L24" s="405">
        <f>ROUND(-'[1]Authorized Margins 2018'!F10*WACAP2018!L19,2)</f>
        <v>-971282.73</v>
      </c>
      <c r="M24" s="405">
        <f>ROUND(-'[1]Authorized Margins 2018'!G10*WACAP2018!M19,2)</f>
        <v>-2445851.73</v>
      </c>
      <c r="N24" s="406"/>
      <c r="O24" s="405">
        <f>ROUND(-'[1]Authorized Margins 2018'!H10*WACAP2018!O19,2)</f>
        <v>-4568946.24</v>
      </c>
      <c r="P24" s="404">
        <f>ROUND(-'[1]Authorized Margins 2018'!I10*WACAP2018!P19,2)</f>
        <v>-6088316.0800000001</v>
      </c>
      <c r="R24" s="392"/>
      <c r="AZ24" s="17"/>
      <c r="BB24" s="17"/>
    </row>
    <row r="25" spans="1:58" x14ac:dyDescent="0.25">
      <c r="A25">
        <v>21</v>
      </c>
      <c r="B25" s="394"/>
      <c r="C25" s="380" t="s">
        <v>541</v>
      </c>
      <c r="D25" s="378">
        <f t="shared" ref="D25:M25" si="7">SUM(D23:D24)</f>
        <v>-253284.24000000115</v>
      </c>
      <c r="E25" s="378">
        <f t="shared" si="7"/>
        <v>475229.53999999911</v>
      </c>
      <c r="F25" s="378">
        <f t="shared" si="7"/>
        <v>276175.95999999996</v>
      </c>
      <c r="G25" s="378">
        <f t="shared" si="7"/>
        <v>213604.15999999968</v>
      </c>
      <c r="H25" s="378">
        <f t="shared" si="7"/>
        <v>-429903.52999999956</v>
      </c>
      <c r="I25" s="378">
        <f t="shared" si="7"/>
        <v>-28588.929999999702</v>
      </c>
      <c r="J25" s="378">
        <f t="shared" si="7"/>
        <v>-47296.940000000177</v>
      </c>
      <c r="K25" s="378">
        <f t="shared" si="7"/>
        <v>-287367.85000000009</v>
      </c>
      <c r="L25" s="378">
        <f t="shared" si="7"/>
        <v>45275.579999999842</v>
      </c>
      <c r="M25" s="378">
        <f t="shared" si="7"/>
        <v>-247854.96000000043</v>
      </c>
      <c r="N25" s="402">
        <f>-[1]WACAP2017!Q26</f>
        <v>-2815845.8400000012</v>
      </c>
      <c r="O25" s="378">
        <f>SUM(O23:O24)</f>
        <v>-353450.87999999989</v>
      </c>
      <c r="P25" s="401">
        <f>SUM(P23:P24)</f>
        <v>-810428.94999999925</v>
      </c>
      <c r="R25" s="400">
        <f>SUM(D25:Q25)-N25</f>
        <v>-1447891.0400000014</v>
      </c>
      <c r="AX25" s="427"/>
      <c r="AY25" s="386"/>
      <c r="AZ25" s="426"/>
      <c r="BB25" s="426"/>
      <c r="BF25" s="426"/>
    </row>
    <row r="26" spans="1:58" x14ac:dyDescent="0.25">
      <c r="A26">
        <v>22</v>
      </c>
      <c r="B26" s="394"/>
      <c r="C26" s="380" t="s">
        <v>540</v>
      </c>
      <c r="D26" s="54">
        <f>ROUND(ROUND([1]WACAP2017!O27*D$6,2)/365*D$7,2)</f>
        <v>10164.049999999999</v>
      </c>
      <c r="E26" s="54">
        <f>ROUND(ROUND(D28*E$6,2)/365*E$7,2)</f>
        <v>8387.7900000000009</v>
      </c>
      <c r="F26" s="385">
        <f>ROUND(ROUND(E28*F$6,2)/365*F$7,2)+0.01</f>
        <v>11032.15</v>
      </c>
      <c r="G26" s="385">
        <f>ROUND(ROUND(F28*G$6,2)/365*G$7,2)-0.01</f>
        <v>12284.1</v>
      </c>
      <c r="H26" s="385">
        <f>ROUND(ROUND(G28*H$6,2)/365*H$7,2)+0.01</f>
        <v>13551.17</v>
      </c>
      <c r="I26" s="385">
        <f>ROUND(ROUND(H28*I$6,2)/365*I$7,2)-0.01</f>
        <v>11584.35</v>
      </c>
      <c r="J26" s="54">
        <f>ROUND(ROUND(I28*J$6,2)/365*J$7,2)</f>
        <v>12491.92</v>
      </c>
      <c r="K26" s="385">
        <f>ROUND(ROUND(J28*K$6,2)/365*K$7,2)-0.01</f>
        <v>12353.27</v>
      </c>
      <c r="L26" s="54">
        <f>ROUND(ROUND(K28*L$6,2)/365*L$7,2)</f>
        <v>10894.66</v>
      </c>
      <c r="M26" s="385">
        <f>ROUND(ROUND(L28*M$6,2)/365*M$7,2)-0.01</f>
        <v>12142.539999999999</v>
      </c>
      <c r="N26" s="384">
        <f>'[1]Ammort Split2018'!N25</f>
        <v>-107852.73999999999</v>
      </c>
      <c r="O26" s="54">
        <f>ROUND(ROUND(N28*O$6,2)/365*O$7,2)</f>
        <v>-1129.1600000000001</v>
      </c>
      <c r="P26" s="399">
        <f>ROUND(ROUND(O28*P$6,2)/365*P$7,2)</f>
        <v>-2660.5</v>
      </c>
      <c r="R26" s="398">
        <f>SUM(D26:Q26)</f>
        <v>3243.6000000000095</v>
      </c>
    </row>
    <row r="27" spans="1:58" x14ac:dyDescent="0.25">
      <c r="A27">
        <v>23</v>
      </c>
      <c r="B27" s="394"/>
      <c r="C27" s="380" t="s">
        <v>539</v>
      </c>
      <c r="D27" s="383">
        <f t="shared" ref="D27:P27" si="8">SUM(D25:D26)</f>
        <v>-243120.19000000117</v>
      </c>
      <c r="E27" s="383">
        <f t="shared" si="8"/>
        <v>483617.32999999908</v>
      </c>
      <c r="F27" s="383">
        <f t="shared" si="8"/>
        <v>287208.11</v>
      </c>
      <c r="G27" s="383">
        <f t="shared" si="8"/>
        <v>225888.25999999969</v>
      </c>
      <c r="H27" s="383">
        <f t="shared" si="8"/>
        <v>-416352.35999999958</v>
      </c>
      <c r="I27" s="383">
        <f t="shared" si="8"/>
        <v>-17004.579999999703</v>
      </c>
      <c r="J27" s="383">
        <f t="shared" si="8"/>
        <v>-34805.020000000179</v>
      </c>
      <c r="K27" s="383">
        <f t="shared" si="8"/>
        <v>-275014.58000000007</v>
      </c>
      <c r="L27" s="383">
        <f t="shared" si="8"/>
        <v>56170.239999999845</v>
      </c>
      <c r="M27" s="383">
        <f t="shared" si="8"/>
        <v>-235712.42000000042</v>
      </c>
      <c r="N27" s="397">
        <f t="shared" si="8"/>
        <v>-2923698.580000001</v>
      </c>
      <c r="O27" s="383">
        <f t="shared" si="8"/>
        <v>-354580.03999999986</v>
      </c>
      <c r="P27" s="396">
        <f t="shared" si="8"/>
        <v>-813089.44999999925</v>
      </c>
      <c r="R27" s="395">
        <f>SUM(R25:R26)</f>
        <v>-1444647.4400000013</v>
      </c>
    </row>
    <row r="28" spans="1:58" x14ac:dyDescent="0.25">
      <c r="A28">
        <v>24</v>
      </c>
      <c r="B28" s="394"/>
      <c r="C28" s="380" t="s">
        <v>536</v>
      </c>
      <c r="D28" s="378">
        <f>[1]WACAP2017!O27+WACAP2018!D27</f>
        <v>2572725.65</v>
      </c>
      <c r="E28" s="378">
        <f t="shared" ref="E28:P28" si="9">D28+E27</f>
        <v>3056342.9799999991</v>
      </c>
      <c r="F28" s="378">
        <f t="shared" si="9"/>
        <v>3343551.0899999989</v>
      </c>
      <c r="G28" s="378">
        <f t="shared" si="9"/>
        <v>3569439.3499999987</v>
      </c>
      <c r="H28" s="378">
        <f t="shared" si="9"/>
        <v>3153086.9899999993</v>
      </c>
      <c r="I28" s="378">
        <f t="shared" si="9"/>
        <v>3136082.4099999997</v>
      </c>
      <c r="J28" s="378">
        <f t="shared" si="9"/>
        <v>3101277.3899999997</v>
      </c>
      <c r="K28" s="378">
        <f t="shared" si="9"/>
        <v>2826262.8099999996</v>
      </c>
      <c r="L28" s="378">
        <f t="shared" si="9"/>
        <v>2882433.0499999993</v>
      </c>
      <c r="M28" s="378">
        <f t="shared" si="9"/>
        <v>2646720.629999999</v>
      </c>
      <c r="N28" s="379">
        <f t="shared" si="9"/>
        <v>-276977.95000000205</v>
      </c>
      <c r="O28" s="378">
        <f t="shared" si="9"/>
        <v>-631557.99000000185</v>
      </c>
      <c r="P28" s="393">
        <f t="shared" si="9"/>
        <v>-1444647.4400000011</v>
      </c>
      <c r="R28" s="392"/>
      <c r="V28" s="361">
        <f>ROUND(U33/Z33,0)</f>
        <v>186797</v>
      </c>
    </row>
    <row r="29" spans="1:58" x14ac:dyDescent="0.25">
      <c r="A29">
        <v>25</v>
      </c>
      <c r="B29" s="394"/>
      <c r="C29" s="380"/>
      <c r="D29" s="378"/>
      <c r="E29" s="378"/>
      <c r="F29" s="378"/>
      <c r="G29" s="378"/>
      <c r="H29" s="378"/>
      <c r="I29" s="378"/>
      <c r="J29" s="378"/>
      <c r="K29" s="378"/>
      <c r="L29" s="378"/>
      <c r="M29" s="378"/>
      <c r="N29" s="379"/>
      <c r="O29" s="378"/>
      <c r="P29" s="401"/>
      <c r="R29" s="392"/>
      <c r="T29" s="427"/>
      <c r="U29" s="386"/>
      <c r="V29" s="361">
        <f>ROUND(U34/Z34,0)</f>
        <v>660570</v>
      </c>
      <c r="AX29" s="427"/>
      <c r="AY29" s="386"/>
      <c r="AZ29" s="426"/>
      <c r="BB29" s="426"/>
      <c r="BF29" s="426"/>
    </row>
    <row r="30" spans="1:58" x14ac:dyDescent="0.25">
      <c r="A30">
        <v>26</v>
      </c>
      <c r="B30" s="425">
        <v>505</v>
      </c>
      <c r="C30" s="424" t="s">
        <v>581</v>
      </c>
      <c r="D30" s="17"/>
      <c r="E30" s="17"/>
      <c r="F30" s="386"/>
      <c r="G30" s="17"/>
      <c r="H30" s="17"/>
      <c r="I30" s="17"/>
      <c r="J30" s="17"/>
      <c r="K30" s="17"/>
      <c r="L30" s="17"/>
      <c r="M30" s="17"/>
      <c r="N30" s="420"/>
      <c r="O30" s="17"/>
      <c r="P30" s="422"/>
      <c r="R30" s="392"/>
      <c r="U30">
        <v>505</v>
      </c>
      <c r="V30" s="361">
        <f>ROUND(U35/Z35,0)</f>
        <v>627939</v>
      </c>
      <c r="W30" s="361">
        <f>SUM(V26:V30)</f>
        <v>1475306</v>
      </c>
      <c r="AD30" s="386">
        <v>12</v>
      </c>
      <c r="AF30" s="17"/>
    </row>
    <row r="31" spans="1:58" x14ac:dyDescent="0.25">
      <c r="A31">
        <v>27</v>
      </c>
      <c r="B31" s="394" t="s">
        <v>553</v>
      </c>
      <c r="C31" t="s">
        <v>552</v>
      </c>
      <c r="D31" s="419">
        <v>467</v>
      </c>
      <c r="E31" s="419">
        <v>469</v>
      </c>
      <c r="F31" s="419">
        <v>472</v>
      </c>
      <c r="G31" s="419">
        <v>471</v>
      </c>
      <c r="H31" s="419">
        <v>470</v>
      </c>
      <c r="I31" s="419">
        <v>470</v>
      </c>
      <c r="J31" s="419">
        <v>468</v>
      </c>
      <c r="K31" s="419">
        <v>473</v>
      </c>
      <c r="L31" s="419">
        <v>473</v>
      </c>
      <c r="M31" s="419">
        <v>475</v>
      </c>
      <c r="N31" s="420"/>
      <c r="O31" s="419">
        <v>477</v>
      </c>
      <c r="P31" s="418">
        <v>477</v>
      </c>
      <c r="Q31" s="361"/>
      <c r="R31" s="400"/>
      <c r="V31" s="17">
        <v>1475293</v>
      </c>
      <c r="W31" t="s">
        <v>31</v>
      </c>
      <c r="X31" s="17">
        <f>V31</f>
        <v>1475293</v>
      </c>
      <c r="AD31" s="427"/>
      <c r="AE31" s="386">
        <f>SUM(K31*12)</f>
        <v>5676</v>
      </c>
      <c r="AF31" s="386">
        <f>SUM(L31*12)</f>
        <v>5676</v>
      </c>
      <c r="AG31" s="386">
        <f>SUM(M31*12)</f>
        <v>5700</v>
      </c>
      <c r="AH31" s="386">
        <f>SUM(O31*12)</f>
        <v>5724</v>
      </c>
      <c r="AI31" s="386">
        <f>SUM(P31*12)</f>
        <v>5724</v>
      </c>
    </row>
    <row r="32" spans="1:58" x14ac:dyDescent="0.25">
      <c r="A32">
        <v>28</v>
      </c>
      <c r="B32" s="394" t="s">
        <v>550</v>
      </c>
      <c r="C32" t="s">
        <v>577</v>
      </c>
      <c r="D32" s="411"/>
      <c r="E32" s="411"/>
      <c r="F32" s="411"/>
      <c r="G32" s="411"/>
      <c r="H32" s="411"/>
      <c r="I32" s="411"/>
      <c r="J32" s="411"/>
      <c r="K32" s="411"/>
      <c r="L32" s="411"/>
      <c r="M32" s="411"/>
      <c r="N32" s="407"/>
      <c r="O32" s="411"/>
      <c r="P32" s="410"/>
      <c r="Q32" s="361"/>
      <c r="R32" s="400"/>
      <c r="T32" s="427" t="s">
        <v>28</v>
      </c>
      <c r="U32" s="386"/>
      <c r="V32" s="426"/>
      <c r="X32" s="426"/>
      <c r="AB32" s="426">
        <f>Z32-X32</f>
        <v>0</v>
      </c>
    </row>
    <row r="33" spans="1:35" x14ac:dyDescent="0.25">
      <c r="A33">
        <v>29</v>
      </c>
      <c r="B33" s="394" t="s">
        <v>550</v>
      </c>
      <c r="C33" t="s">
        <v>567</v>
      </c>
      <c r="D33" s="411">
        <v>36584.1</v>
      </c>
      <c r="E33" s="411">
        <v>34484.480000000003</v>
      </c>
      <c r="F33" s="411">
        <v>35891.93</v>
      </c>
      <c r="G33" s="411">
        <v>32963.480000000003</v>
      </c>
      <c r="H33" s="411">
        <v>26676.91</v>
      </c>
      <c r="I33" s="411">
        <v>18901.04</v>
      </c>
      <c r="J33" s="411">
        <v>16666.07</v>
      </c>
      <c r="K33" s="411">
        <v>15087.96</v>
      </c>
      <c r="L33" s="411">
        <v>15917.04</v>
      </c>
      <c r="M33" s="411">
        <v>21449.55</v>
      </c>
      <c r="N33" s="407"/>
      <c r="O33" s="411">
        <v>27966.77</v>
      </c>
      <c r="P33" s="410">
        <v>33345.21</v>
      </c>
      <c r="Q33" s="361"/>
      <c r="R33" s="400"/>
      <c r="T33" s="427" t="s">
        <v>28</v>
      </c>
      <c r="U33" s="386">
        <v>33345.21</v>
      </c>
      <c r="V33" s="426">
        <f>U33/V28</f>
        <v>0.17851041504949222</v>
      </c>
      <c r="X33" s="426">
        <f>U33/V28</f>
        <v>0.17851041504949222</v>
      </c>
      <c r="Z33">
        <v>0.17851</v>
      </c>
      <c r="AB33" s="426">
        <f>Z33-X33</f>
        <v>-4.1504949221948806E-7</v>
      </c>
    </row>
    <row r="34" spans="1:35" x14ac:dyDescent="0.25">
      <c r="A34">
        <v>30</v>
      </c>
      <c r="B34" s="394" t="s">
        <v>550</v>
      </c>
      <c r="C34" t="s">
        <v>566</v>
      </c>
      <c r="D34" s="411">
        <v>110453.41</v>
      </c>
      <c r="E34" s="411">
        <v>93245.34</v>
      </c>
      <c r="F34" s="411">
        <v>101518.86</v>
      </c>
      <c r="G34" s="411">
        <v>83345.52</v>
      </c>
      <c r="H34" s="411">
        <v>60825.95</v>
      </c>
      <c r="I34" s="411">
        <v>45164.09</v>
      </c>
      <c r="J34" s="411">
        <v>39243.589999999997</v>
      </c>
      <c r="K34" s="411">
        <v>37358.32</v>
      </c>
      <c r="L34" s="411">
        <v>39560.01</v>
      </c>
      <c r="M34" s="411">
        <v>52998.26</v>
      </c>
      <c r="N34" s="407"/>
      <c r="O34" s="411">
        <v>69805.899999999994</v>
      </c>
      <c r="P34" s="410">
        <v>95498.57</v>
      </c>
      <c r="Q34" s="361"/>
      <c r="R34" s="400"/>
      <c r="T34" s="427" t="s">
        <v>28</v>
      </c>
      <c r="U34" s="386">
        <v>95498.57</v>
      </c>
      <c r="V34" s="426">
        <f>U34/V29</f>
        <v>0.14456994716684077</v>
      </c>
      <c r="X34" s="426">
        <f>U34/V29</f>
        <v>0.14456994716684077</v>
      </c>
      <c r="Z34">
        <v>0.14457</v>
      </c>
      <c r="AB34" s="426">
        <f>Z34-X34</f>
        <v>5.2833159236431726E-8</v>
      </c>
    </row>
    <row r="35" spans="1:35" x14ac:dyDescent="0.25">
      <c r="A35">
        <v>31</v>
      </c>
      <c r="B35" s="394" t="s">
        <v>550</v>
      </c>
      <c r="C35" t="s">
        <v>549</v>
      </c>
      <c r="D35" s="409">
        <v>97119.65</v>
      </c>
      <c r="E35" s="409">
        <v>67106.34</v>
      </c>
      <c r="F35" s="409">
        <v>79539.13</v>
      </c>
      <c r="G35" s="409">
        <v>56617.7</v>
      </c>
      <c r="H35" s="409">
        <v>38134.97</v>
      </c>
      <c r="I35" s="409">
        <v>29057.4</v>
      </c>
      <c r="J35" s="409">
        <v>26256.94</v>
      </c>
      <c r="K35" s="409">
        <v>30654.41</v>
      </c>
      <c r="L35" s="409">
        <v>39895.96</v>
      </c>
      <c r="M35" s="409">
        <v>75972.92</v>
      </c>
      <c r="N35" s="406"/>
      <c r="O35" s="409">
        <v>48783.12</v>
      </c>
      <c r="P35" s="408">
        <v>87559.81</v>
      </c>
      <c r="Q35" s="361"/>
      <c r="R35" s="400"/>
      <c r="T35" s="427" t="s">
        <v>28</v>
      </c>
      <c r="U35" s="386">
        <v>87559.81</v>
      </c>
      <c r="V35" s="426">
        <f>U35/V30</f>
        <v>0.13943999337515267</v>
      </c>
      <c r="X35" s="426">
        <f>U35/V30</f>
        <v>0.13943999337515267</v>
      </c>
      <c r="Z35">
        <v>0.13944000000000001</v>
      </c>
      <c r="AB35" s="426">
        <f>Z35-X35</f>
        <v>6.6248473373775596E-9</v>
      </c>
    </row>
    <row r="36" spans="1:35" x14ac:dyDescent="0.25">
      <c r="A36">
        <v>32</v>
      </c>
      <c r="B36" s="425"/>
      <c r="C36" s="380" t="s">
        <v>543</v>
      </c>
      <c r="D36" s="386">
        <f t="shared" ref="D36:M36" si="10">SUM(D32:D35)</f>
        <v>244157.16</v>
      </c>
      <c r="E36" s="386">
        <f t="shared" si="10"/>
        <v>194836.16</v>
      </c>
      <c r="F36" s="386">
        <f t="shared" si="10"/>
        <v>216949.92</v>
      </c>
      <c r="G36" s="386">
        <f t="shared" si="10"/>
        <v>172926.7</v>
      </c>
      <c r="H36" s="386">
        <f t="shared" si="10"/>
        <v>125637.83</v>
      </c>
      <c r="I36" s="386">
        <f t="shared" si="10"/>
        <v>93122.53</v>
      </c>
      <c r="J36" s="386">
        <f t="shared" si="10"/>
        <v>82166.599999999991</v>
      </c>
      <c r="K36" s="386">
        <f t="shared" si="10"/>
        <v>83100.69</v>
      </c>
      <c r="L36" s="386">
        <f t="shared" si="10"/>
        <v>95373.010000000009</v>
      </c>
      <c r="M36" s="386">
        <f t="shared" si="10"/>
        <v>150420.72999999998</v>
      </c>
      <c r="N36" s="407"/>
      <c r="O36" s="386">
        <f>SUM(O32:O35)</f>
        <v>146555.79</v>
      </c>
      <c r="P36" s="429">
        <f>SUM(P32:P35)</f>
        <v>216403.59</v>
      </c>
      <c r="R36" s="392"/>
      <c r="T36" s="427" t="s">
        <v>11</v>
      </c>
      <c r="U36" s="386">
        <v>620118.15</v>
      </c>
      <c r="V36" s="426">
        <f>U36/V31</f>
        <v>0.42033558757480721</v>
      </c>
      <c r="X36" s="426">
        <f>U36/X31</f>
        <v>0.42033558757480721</v>
      </c>
      <c r="Z36">
        <v>0.41949999999999998</v>
      </c>
      <c r="AB36" s="426">
        <f>Z36-X36</f>
        <v>-8.3558757480722834E-4</v>
      </c>
    </row>
    <row r="37" spans="1:35" x14ac:dyDescent="0.25">
      <c r="A37">
        <v>33</v>
      </c>
      <c r="B37" s="425"/>
      <c r="C37" s="380" t="s">
        <v>542</v>
      </c>
      <c r="D37" s="405">
        <f>ROUND(-'[1]Authorized Margins'!J60*WACAP2018!D31,2)</f>
        <v>-216673.99</v>
      </c>
      <c r="E37" s="405">
        <f>ROUND(-'[1]Authorized Margins'!K60*WACAP2018!E31,2)</f>
        <v>-245441.77</v>
      </c>
      <c r="F37" s="405">
        <f>ROUND(-'[1]Authorized Margins'!L60*WACAP2018!F31,2)</f>
        <v>-196559.68</v>
      </c>
      <c r="G37" s="405">
        <f>ROUND(-'[1]Authorized Margins'!M60*WACAP2018!G31,2)</f>
        <v>-143485.44</v>
      </c>
      <c r="H37" s="405">
        <f>ROUND(-'[1]Authorized Margins'!N60*WACAP2018!H31,2)</f>
        <v>-122613.6</v>
      </c>
      <c r="I37" s="405">
        <f>ROUND(-'[1]Authorized Margins'!O60*WACAP2018!I31,2)</f>
        <v>-99052.5</v>
      </c>
      <c r="J37" s="405">
        <f>ROUND(-'[1]Authorized Margins'!D60*WACAP2018!J31,2)</f>
        <v>-93366</v>
      </c>
      <c r="K37" s="405">
        <f>ROUND(-'[1]Authorized Margins 2018'!E14*WACAP2018!K31,2)</f>
        <v>-76356.39</v>
      </c>
      <c r="L37" s="405">
        <f>ROUND(-'[1]Authorized Margins 2018'!F14*WACAP2018!L31,2)</f>
        <v>-99188.1</v>
      </c>
      <c r="M37" s="405">
        <f>ROUND(-'[1]Authorized Margins 2018'!G14*WACAP2018!M31,2)</f>
        <v>-169703.25</v>
      </c>
      <c r="N37" s="406"/>
      <c r="O37" s="405">
        <f>ROUND(-'[1]Authorized Margins 2018'!H14*WACAP2018!O31,2)</f>
        <v>-146930.31</v>
      </c>
      <c r="P37" s="404">
        <f>ROUND(-'[1]Authorized Margins 2018'!I14*WACAP2018!P31,2)</f>
        <v>-205315.11</v>
      </c>
      <c r="R37" s="392"/>
    </row>
    <row r="38" spans="1:35" x14ac:dyDescent="0.25">
      <c r="A38">
        <v>34</v>
      </c>
      <c r="B38" s="425"/>
      <c r="C38" s="380" t="s">
        <v>541</v>
      </c>
      <c r="D38" s="378">
        <f t="shared" ref="D38:M38" si="11">SUM(D36:D37)</f>
        <v>27483.170000000013</v>
      </c>
      <c r="E38" s="378">
        <f t="shared" si="11"/>
        <v>-50605.609999999986</v>
      </c>
      <c r="F38" s="378">
        <f t="shared" si="11"/>
        <v>20390.24000000002</v>
      </c>
      <c r="G38" s="378">
        <f t="shared" si="11"/>
        <v>29441.260000000009</v>
      </c>
      <c r="H38" s="378">
        <f t="shared" si="11"/>
        <v>3024.2299999999959</v>
      </c>
      <c r="I38" s="378">
        <f t="shared" si="11"/>
        <v>-5929.9700000000012</v>
      </c>
      <c r="J38" s="378">
        <f t="shared" si="11"/>
        <v>-11199.400000000009</v>
      </c>
      <c r="K38" s="378">
        <f t="shared" si="11"/>
        <v>6744.3000000000029</v>
      </c>
      <c r="L38" s="378">
        <f t="shared" si="11"/>
        <v>-3815.0899999999965</v>
      </c>
      <c r="M38" s="378">
        <f t="shared" si="11"/>
        <v>-19282.520000000019</v>
      </c>
      <c r="N38" s="402">
        <f>-[1]WACAP2017!Q39</f>
        <v>-29054.270000000008</v>
      </c>
      <c r="O38" s="378">
        <f>SUM(O36:O37)</f>
        <v>-374.51999999998952</v>
      </c>
      <c r="P38" s="401">
        <f>SUM(P36:P37)</f>
        <v>11088.48000000001</v>
      </c>
      <c r="R38" s="400">
        <f>SUM(D38:Q38)-N38</f>
        <v>6964.5700000000543</v>
      </c>
    </row>
    <row r="39" spans="1:35" x14ac:dyDescent="0.25">
      <c r="A39">
        <v>35</v>
      </c>
      <c r="B39" s="394"/>
      <c r="C39" s="380" t="s">
        <v>540</v>
      </c>
      <c r="D39" s="54">
        <f>ROUND(ROUND([1]WACAP2017!O40*D$6,2)/365*D$7,2)</f>
        <v>104.87</v>
      </c>
      <c r="E39" s="54">
        <f t="shared" ref="E39:M39" si="12">ROUND(ROUND(D41*E$6,2)/365*E$7,2)</f>
        <v>184.67</v>
      </c>
      <c r="F39" s="54">
        <f t="shared" si="12"/>
        <v>22.46</v>
      </c>
      <c r="G39" s="54">
        <f t="shared" si="12"/>
        <v>97.85</v>
      </c>
      <c r="H39" s="54">
        <f t="shared" si="12"/>
        <v>213.26</v>
      </c>
      <c r="I39" s="54">
        <f t="shared" si="12"/>
        <v>218.27</v>
      </c>
      <c r="J39" s="54">
        <f t="shared" si="12"/>
        <v>213.9</v>
      </c>
      <c r="K39" s="54">
        <f t="shared" si="12"/>
        <v>170.14</v>
      </c>
      <c r="L39" s="54">
        <f t="shared" si="12"/>
        <v>191.31</v>
      </c>
      <c r="M39" s="54">
        <f t="shared" si="12"/>
        <v>193.8</v>
      </c>
      <c r="N39" s="384">
        <f>'[1]Ammort Split2018'!N38</f>
        <v>-1112.8499999999999</v>
      </c>
      <c r="O39" s="54">
        <f>ROUND(ROUND(N41*O$6,2)/365*O$7,2)</f>
        <v>-13.26</v>
      </c>
      <c r="P39" s="399">
        <f>ROUND(ROUND(O41*P$6,2)/365*P$7,2)</f>
        <v>-15.33</v>
      </c>
      <c r="R39" s="398">
        <f>SUM(D39:Q39)</f>
        <v>469.09000000000009</v>
      </c>
    </row>
    <row r="40" spans="1:35" x14ac:dyDescent="0.25">
      <c r="A40">
        <v>36</v>
      </c>
      <c r="B40" s="394"/>
      <c r="C40" s="380" t="s">
        <v>539</v>
      </c>
      <c r="D40" s="383">
        <f t="shared" ref="D40:P40" si="13">SUM(D38:D39)</f>
        <v>27588.040000000012</v>
      </c>
      <c r="E40" s="383">
        <f t="shared" si="13"/>
        <v>-50420.939999999988</v>
      </c>
      <c r="F40" s="383">
        <f t="shared" si="13"/>
        <v>20412.700000000019</v>
      </c>
      <c r="G40" s="383">
        <f t="shared" si="13"/>
        <v>29539.110000000008</v>
      </c>
      <c r="H40" s="383">
        <f t="shared" si="13"/>
        <v>3237.4899999999961</v>
      </c>
      <c r="I40" s="383">
        <f t="shared" si="13"/>
        <v>-5711.7000000000007</v>
      </c>
      <c r="J40" s="383">
        <f t="shared" si="13"/>
        <v>-10985.500000000009</v>
      </c>
      <c r="K40" s="383">
        <f t="shared" si="13"/>
        <v>6914.4400000000032</v>
      </c>
      <c r="L40" s="383">
        <f t="shared" si="13"/>
        <v>-3623.7799999999966</v>
      </c>
      <c r="M40" s="383">
        <f t="shared" si="13"/>
        <v>-19088.720000000019</v>
      </c>
      <c r="N40" s="397">
        <f t="shared" si="13"/>
        <v>-30167.120000000006</v>
      </c>
      <c r="O40" s="383">
        <f t="shared" si="13"/>
        <v>-387.77999999998951</v>
      </c>
      <c r="P40" s="396">
        <f t="shared" si="13"/>
        <v>11073.150000000011</v>
      </c>
      <c r="R40" s="395">
        <f>SUM(R38:R39)</f>
        <v>7433.6600000000544</v>
      </c>
    </row>
    <row r="41" spans="1:35" x14ac:dyDescent="0.25">
      <c r="A41">
        <v>37</v>
      </c>
      <c r="B41" s="394"/>
      <c r="C41" s="380" t="s">
        <v>536</v>
      </c>
      <c r="D41" s="378">
        <f>[1]WACAP2017!O40+WACAP2018!D40</f>
        <v>56642.310000000034</v>
      </c>
      <c r="E41" s="378">
        <f t="shared" ref="E41:P41" si="14">D41+E40</f>
        <v>6221.3700000000463</v>
      </c>
      <c r="F41" s="378">
        <f t="shared" si="14"/>
        <v>26634.070000000065</v>
      </c>
      <c r="G41" s="378">
        <f t="shared" si="14"/>
        <v>56173.180000000073</v>
      </c>
      <c r="H41" s="378">
        <f t="shared" si="14"/>
        <v>59410.670000000071</v>
      </c>
      <c r="I41" s="378">
        <f t="shared" si="14"/>
        <v>53698.970000000074</v>
      </c>
      <c r="J41" s="378">
        <f t="shared" si="14"/>
        <v>42713.470000000067</v>
      </c>
      <c r="K41" s="378">
        <f t="shared" si="14"/>
        <v>49627.910000000069</v>
      </c>
      <c r="L41" s="378">
        <f t="shared" si="14"/>
        <v>46004.13000000007</v>
      </c>
      <c r="M41" s="378">
        <f t="shared" si="14"/>
        <v>26915.410000000051</v>
      </c>
      <c r="N41" s="379">
        <f t="shared" si="14"/>
        <v>-3251.7099999999555</v>
      </c>
      <c r="O41" s="378">
        <f t="shared" si="14"/>
        <v>-3639.4899999999452</v>
      </c>
      <c r="P41" s="393">
        <f t="shared" si="14"/>
        <v>7433.6600000000653</v>
      </c>
      <c r="R41" s="392"/>
      <c r="V41" s="361">
        <f>ROUND(U46/Z46,0)</f>
        <v>145493</v>
      </c>
    </row>
    <row r="42" spans="1:35" x14ac:dyDescent="0.25">
      <c r="A42">
        <v>38</v>
      </c>
      <c r="B42" s="425"/>
      <c r="C42" s="380"/>
      <c r="D42" s="378"/>
      <c r="E42" s="378"/>
      <c r="F42" s="378"/>
      <c r="G42" s="378"/>
      <c r="H42" s="378"/>
      <c r="I42" s="378"/>
      <c r="J42" s="378"/>
      <c r="K42" s="378"/>
      <c r="L42" s="378"/>
      <c r="M42" s="378"/>
      <c r="N42" s="379"/>
      <c r="O42" s="378"/>
      <c r="P42" s="401"/>
      <c r="R42" s="392"/>
      <c r="T42" s="427"/>
      <c r="U42" s="386"/>
      <c r="V42" s="361">
        <f>ROUND(U47/Z47,0)</f>
        <v>148417</v>
      </c>
    </row>
    <row r="43" spans="1:35" x14ac:dyDescent="0.25">
      <c r="A43">
        <v>39</v>
      </c>
      <c r="B43" s="425">
        <v>511</v>
      </c>
      <c r="C43" s="424" t="s">
        <v>581</v>
      </c>
      <c r="D43" s="17"/>
      <c r="E43" s="17"/>
      <c r="F43" s="386"/>
      <c r="G43" s="17"/>
      <c r="H43" s="17"/>
      <c r="I43" s="17"/>
      <c r="J43" s="17"/>
      <c r="K43" s="17"/>
      <c r="L43" s="17"/>
      <c r="M43" s="17"/>
      <c r="N43" s="420"/>
      <c r="O43" s="17"/>
      <c r="P43" s="422"/>
      <c r="R43" s="392"/>
      <c r="U43">
        <v>511</v>
      </c>
      <c r="V43" s="361">
        <f>ROUND(U48/Z48,0)</f>
        <v>11382</v>
      </c>
      <c r="W43" s="361">
        <f>SUM(V39:V43)</f>
        <v>305292</v>
      </c>
      <c r="AD43" s="386">
        <v>25</v>
      </c>
      <c r="AF43" s="17"/>
    </row>
    <row r="44" spans="1:35" x14ac:dyDescent="0.25">
      <c r="A44">
        <v>40</v>
      </c>
      <c r="B44" s="394" t="s">
        <v>553</v>
      </c>
      <c r="C44" t="s">
        <v>552</v>
      </c>
      <c r="D44" s="419">
        <v>14</v>
      </c>
      <c r="E44" s="419">
        <v>13</v>
      </c>
      <c r="F44" s="419">
        <v>13</v>
      </c>
      <c r="G44" s="419">
        <v>13</v>
      </c>
      <c r="H44" s="419">
        <v>13</v>
      </c>
      <c r="I44" s="419">
        <v>12</v>
      </c>
      <c r="J44" s="419">
        <v>12</v>
      </c>
      <c r="K44" s="419">
        <v>12</v>
      </c>
      <c r="L44" s="419">
        <v>12</v>
      </c>
      <c r="M44" s="419">
        <v>11</v>
      </c>
      <c r="N44" s="420"/>
      <c r="O44" s="419">
        <v>11</v>
      </c>
      <c r="P44" s="418">
        <v>13</v>
      </c>
      <c r="Q44" s="361"/>
      <c r="R44" s="400"/>
      <c r="V44" s="17">
        <v>305292</v>
      </c>
      <c r="W44" t="s">
        <v>31</v>
      </c>
      <c r="X44" s="17">
        <f>V44</f>
        <v>305292</v>
      </c>
      <c r="AD44" s="427"/>
      <c r="AE44" s="386">
        <f>SUM(K44*25)</f>
        <v>300</v>
      </c>
      <c r="AF44" s="386">
        <f>SUM(L44*25)</f>
        <v>300</v>
      </c>
      <c r="AG44" s="386">
        <f>SUM(M44*25)</f>
        <v>275</v>
      </c>
      <c r="AH44" s="386">
        <f>SUM(O44*25)</f>
        <v>275</v>
      </c>
      <c r="AI44" s="386">
        <f>SUM(P44*25)</f>
        <v>325</v>
      </c>
    </row>
    <row r="45" spans="1:35" x14ac:dyDescent="0.25">
      <c r="A45">
        <v>41</v>
      </c>
      <c r="B45" s="394" t="s">
        <v>550</v>
      </c>
      <c r="C45" t="s">
        <v>577</v>
      </c>
      <c r="D45" s="411"/>
      <c r="E45" s="411"/>
      <c r="F45" s="411"/>
      <c r="G45" s="411"/>
      <c r="H45" s="411"/>
      <c r="I45" s="411"/>
      <c r="J45" s="411"/>
      <c r="K45" s="411"/>
      <c r="L45" s="411"/>
      <c r="M45" s="411"/>
      <c r="N45" s="407"/>
      <c r="O45" s="411"/>
      <c r="P45" s="410"/>
      <c r="Q45" s="361"/>
      <c r="R45" s="400"/>
      <c r="T45" s="427" t="s">
        <v>28</v>
      </c>
      <c r="U45" s="386"/>
      <c r="V45" s="426"/>
      <c r="X45" s="426"/>
      <c r="AB45" s="426">
        <f>Z45-X45</f>
        <v>0</v>
      </c>
    </row>
    <row r="46" spans="1:35" x14ac:dyDescent="0.25">
      <c r="A46">
        <v>42</v>
      </c>
      <c r="B46" s="394" t="s">
        <v>550</v>
      </c>
      <c r="C46" t="s">
        <v>576</v>
      </c>
      <c r="D46" s="411">
        <v>26518.880000000001</v>
      </c>
      <c r="E46" s="411">
        <v>23221.58</v>
      </c>
      <c r="F46" s="411">
        <v>21463.74</v>
      </c>
      <c r="G46" s="411">
        <v>22215.4</v>
      </c>
      <c r="H46" s="411">
        <v>15472.89</v>
      </c>
      <c r="I46" s="411">
        <v>13616.72</v>
      </c>
      <c r="J46" s="411">
        <v>15494.41</v>
      </c>
      <c r="K46" s="411">
        <v>15999.69</v>
      </c>
      <c r="L46" s="411">
        <v>13770.66</v>
      </c>
      <c r="M46" s="411">
        <v>22619.91</v>
      </c>
      <c r="N46" s="407"/>
      <c r="O46" s="411">
        <v>16667.36</v>
      </c>
      <c r="P46" s="410">
        <v>20849.150000000001</v>
      </c>
      <c r="Q46" s="361"/>
      <c r="R46" s="400"/>
      <c r="T46" s="427" t="s">
        <v>28</v>
      </c>
      <c r="U46" s="386">
        <v>20849.150000000001</v>
      </c>
      <c r="V46" s="426">
        <f>U46/V41</f>
        <v>0.143300021306867</v>
      </c>
      <c r="X46" s="426">
        <f>U46/V41</f>
        <v>0.143300021306867</v>
      </c>
      <c r="Z46">
        <v>0.14330000000000001</v>
      </c>
      <c r="AB46" s="426">
        <f>Z46-X46</f>
        <v>-2.1306866992976126E-8</v>
      </c>
    </row>
    <row r="47" spans="1:35" x14ac:dyDescent="0.25">
      <c r="A47">
        <v>43</v>
      </c>
      <c r="B47" s="394" t="s">
        <v>550</v>
      </c>
      <c r="C47" t="s">
        <v>575</v>
      </c>
      <c r="D47" s="411">
        <v>20174.560000000001</v>
      </c>
      <c r="E47" s="411">
        <v>11080.85</v>
      </c>
      <c r="F47" s="411">
        <v>15521.03</v>
      </c>
      <c r="G47" s="411">
        <v>18979.78</v>
      </c>
      <c r="H47" s="411">
        <v>19055.68</v>
      </c>
      <c r="I47" s="411">
        <v>18557.689999999999</v>
      </c>
      <c r="J47" s="411">
        <v>16808.43</v>
      </c>
      <c r="K47" s="411">
        <v>16322.54</v>
      </c>
      <c r="L47" s="411">
        <v>15929.03</v>
      </c>
      <c r="M47" s="411">
        <v>28858.59</v>
      </c>
      <c r="N47" s="407"/>
      <c r="O47" s="411">
        <v>7547.76</v>
      </c>
      <c r="P47" s="410">
        <v>16302.12</v>
      </c>
      <c r="Q47" s="361"/>
      <c r="R47" s="400"/>
      <c r="T47" s="427" t="s">
        <v>28</v>
      </c>
      <c r="U47" s="386">
        <v>16302.12</v>
      </c>
      <c r="V47" s="426">
        <f>U47/V42</f>
        <v>0.10983997790010579</v>
      </c>
      <c r="X47" s="426">
        <f>U47/V42</f>
        <v>0.10983997790010579</v>
      </c>
      <c r="Z47">
        <v>0.10983999999999999</v>
      </c>
      <c r="AB47" s="426">
        <f>Z47-X47</f>
        <v>2.2099894206317749E-8</v>
      </c>
    </row>
    <row r="48" spans="1:35" x14ac:dyDescent="0.25">
      <c r="A48">
        <v>44</v>
      </c>
      <c r="B48" s="394" t="s">
        <v>550</v>
      </c>
      <c r="C48" t="s">
        <v>574</v>
      </c>
      <c r="D48" s="409">
        <v>201.86</v>
      </c>
      <c r="E48" s="409">
        <v>162.09</v>
      </c>
      <c r="F48" s="409">
        <v>0</v>
      </c>
      <c r="G48" s="409">
        <v>488.25</v>
      </c>
      <c r="H48" s="409">
        <v>1071.18</v>
      </c>
      <c r="I48" s="409">
        <v>171.11</v>
      </c>
      <c r="J48" s="409">
        <v>34.53</v>
      </c>
      <c r="K48" s="409">
        <v>0</v>
      </c>
      <c r="L48" s="409">
        <v>0</v>
      </c>
      <c r="M48" s="409">
        <v>719.16</v>
      </c>
      <c r="N48" s="406"/>
      <c r="O48" s="409">
        <v>0</v>
      </c>
      <c r="P48" s="408">
        <v>308.33999999999997</v>
      </c>
      <c r="Q48" s="361"/>
      <c r="R48" s="400"/>
      <c r="T48" s="427" t="s">
        <v>28</v>
      </c>
      <c r="U48" s="386">
        <v>308.33999999999997</v>
      </c>
      <c r="V48" s="426">
        <f>U48/V43</f>
        <v>2.7090142329994727E-2</v>
      </c>
      <c r="X48" s="426">
        <f>U48/V43</f>
        <v>2.7090142329994727E-2</v>
      </c>
      <c r="Z48">
        <v>2.7089999999999999E-2</v>
      </c>
      <c r="AB48" s="426">
        <f>Z48-X48</f>
        <v>-1.4232999472757468E-7</v>
      </c>
    </row>
    <row r="49" spans="1:37" x14ac:dyDescent="0.25">
      <c r="A49">
        <v>45</v>
      </c>
      <c r="B49" s="394"/>
      <c r="C49" s="380" t="s">
        <v>543</v>
      </c>
      <c r="D49" s="386">
        <f t="shared" ref="D49:M49" si="15">SUM(D45:D48)</f>
        <v>46895.3</v>
      </c>
      <c r="E49" s="386">
        <f t="shared" si="15"/>
        <v>34464.519999999997</v>
      </c>
      <c r="F49" s="386">
        <f t="shared" si="15"/>
        <v>36984.770000000004</v>
      </c>
      <c r="G49" s="386">
        <f t="shared" si="15"/>
        <v>41683.43</v>
      </c>
      <c r="H49" s="386">
        <f t="shared" si="15"/>
        <v>35599.75</v>
      </c>
      <c r="I49" s="386">
        <f t="shared" si="15"/>
        <v>32345.519999999997</v>
      </c>
      <c r="J49" s="386">
        <f t="shared" si="15"/>
        <v>32337.37</v>
      </c>
      <c r="K49" s="386">
        <f t="shared" si="15"/>
        <v>32322.230000000003</v>
      </c>
      <c r="L49" s="386">
        <f t="shared" si="15"/>
        <v>29699.690000000002</v>
      </c>
      <c r="M49" s="386">
        <f t="shared" si="15"/>
        <v>52197.66</v>
      </c>
      <c r="N49" s="407"/>
      <c r="O49" s="386">
        <f>SUM(O45:O48)</f>
        <v>24215.120000000003</v>
      </c>
      <c r="P49" s="429">
        <f>SUM(P45:P48)</f>
        <v>37459.61</v>
      </c>
      <c r="R49" s="392"/>
      <c r="T49" s="427" t="s">
        <v>11</v>
      </c>
      <c r="U49" s="386">
        <v>128574.49</v>
      </c>
      <c r="V49" s="426">
        <f>U49/V44</f>
        <v>0.42115250317728603</v>
      </c>
      <c r="X49" s="426">
        <f>U49/X44</f>
        <v>0.42115250317728603</v>
      </c>
      <c r="Z49">
        <v>0.41949999999999998</v>
      </c>
      <c r="AB49" s="426">
        <f>Z49-X49</f>
        <v>-1.6525031772860466E-3</v>
      </c>
    </row>
    <row r="50" spans="1:37" x14ac:dyDescent="0.25">
      <c r="A50">
        <v>46</v>
      </c>
      <c r="B50" s="394"/>
      <c r="C50" s="380" t="s">
        <v>542</v>
      </c>
      <c r="D50" s="405">
        <f>ROUND(-'[1]Authorized Margins'!J73*WACAP2018!D44,2)</f>
        <v>-28581.14</v>
      </c>
      <c r="E50" s="405">
        <f>ROUND(-'[1]Authorized Margins'!K73*WACAP2018!E44,2)</f>
        <v>-24226.02</v>
      </c>
      <c r="F50" s="405">
        <f>ROUND(-'[1]Authorized Margins'!L73*WACAP2018!F44,2)</f>
        <v>-29448.38</v>
      </c>
      <c r="G50" s="405">
        <f>ROUND(-'[1]Authorized Margins'!M73*WACAP2018!G44,2)</f>
        <v>-17553.64</v>
      </c>
      <c r="H50" s="405">
        <f>ROUND(-'[1]Authorized Margins'!N73*WACAP2018!H44,2)</f>
        <v>-14058.33</v>
      </c>
      <c r="I50" s="405">
        <f>ROUND(-'[1]Authorized Margins'!O73*WACAP2018!I44,2)</f>
        <v>-9224.76</v>
      </c>
      <c r="J50" s="405">
        <f>ROUND(-'[1]Authorized Margins'!D73*WACAP2018!J44,2)</f>
        <v>-6727.44</v>
      </c>
      <c r="K50" s="405">
        <f>ROUND(-'[1]Authorized Margins 2018'!E16*WACAP2018!K44,2)</f>
        <v>-9747.7199999999993</v>
      </c>
      <c r="L50" s="405">
        <f>ROUND(-'[1]Authorized Margins 2018'!F16*WACAP2018!L44,2)</f>
        <v>-9136.56</v>
      </c>
      <c r="M50" s="405">
        <f>ROUND(-'[1]Authorized Margins 2018'!G16*WACAP2018!M44,2)</f>
        <v>-9511.92</v>
      </c>
      <c r="N50" s="406"/>
      <c r="O50" s="405">
        <f>ROUND(-'[1]Authorized Margins 2018'!H16*WACAP2018!O44,2)</f>
        <v>-12788.82</v>
      </c>
      <c r="P50" s="404">
        <f>ROUND(-'[1]Authorized Margins 2018'!I16*WACAP2018!P44,2)</f>
        <v>-24477.18</v>
      </c>
      <c r="R50" s="392"/>
    </row>
    <row r="51" spans="1:37" x14ac:dyDescent="0.25">
      <c r="A51">
        <v>47</v>
      </c>
      <c r="B51" s="394"/>
      <c r="C51" s="380" t="s">
        <v>541</v>
      </c>
      <c r="D51" s="378">
        <f t="shared" ref="D51:M51" si="16">SUM(D49:D50)</f>
        <v>18314.160000000003</v>
      </c>
      <c r="E51" s="378">
        <f t="shared" si="16"/>
        <v>10238.499999999996</v>
      </c>
      <c r="F51" s="378">
        <f t="shared" si="16"/>
        <v>7536.3900000000031</v>
      </c>
      <c r="G51" s="378">
        <f t="shared" si="16"/>
        <v>24129.79</v>
      </c>
      <c r="H51" s="378">
        <f t="shared" si="16"/>
        <v>21541.42</v>
      </c>
      <c r="I51" s="378">
        <f t="shared" si="16"/>
        <v>23120.759999999995</v>
      </c>
      <c r="J51" s="378">
        <f t="shared" si="16"/>
        <v>25609.93</v>
      </c>
      <c r="K51" s="378">
        <f t="shared" si="16"/>
        <v>22574.510000000002</v>
      </c>
      <c r="L51" s="378">
        <f t="shared" si="16"/>
        <v>20563.130000000005</v>
      </c>
      <c r="M51" s="378">
        <f t="shared" si="16"/>
        <v>42685.740000000005</v>
      </c>
      <c r="N51" s="402">
        <f>-[1]WACAP2017!Q52</f>
        <v>-230373.36999999997</v>
      </c>
      <c r="O51" s="378">
        <f>SUM(O49:O50)</f>
        <v>11426.300000000003</v>
      </c>
      <c r="P51" s="401">
        <f>SUM(P49:P50)</f>
        <v>12982.43</v>
      </c>
      <c r="R51" s="400">
        <f>SUM(D51:Q51)-N51</f>
        <v>240723.06000000003</v>
      </c>
    </row>
    <row r="52" spans="1:37" x14ac:dyDescent="0.25">
      <c r="A52">
        <v>48</v>
      </c>
      <c r="B52" s="394"/>
      <c r="C52" s="380" t="s">
        <v>540</v>
      </c>
      <c r="D52" s="54">
        <f>ROUND(ROUND([1]WACAP2017!O53*D$6,2)/365*D$7,2)</f>
        <v>831.55</v>
      </c>
      <c r="E52" s="54">
        <f t="shared" ref="E52:M52" si="17">ROUND(ROUND(D54*E$6,2)/365*E$7,2)</f>
        <v>813.5</v>
      </c>
      <c r="F52" s="54">
        <f t="shared" si="17"/>
        <v>940.55</v>
      </c>
      <c r="G52" s="54">
        <f t="shared" si="17"/>
        <v>988.48</v>
      </c>
      <c r="H52" s="54">
        <f t="shared" si="17"/>
        <v>1116.78</v>
      </c>
      <c r="I52" s="54">
        <f t="shared" si="17"/>
        <v>1164</v>
      </c>
      <c r="J52" s="54">
        <f t="shared" si="17"/>
        <v>1358.74</v>
      </c>
      <c r="K52" s="54">
        <f t="shared" si="17"/>
        <v>1466.16</v>
      </c>
      <c r="L52" s="54">
        <f t="shared" si="17"/>
        <v>1511.54</v>
      </c>
      <c r="M52" s="54">
        <f t="shared" si="17"/>
        <v>1744.83</v>
      </c>
      <c r="N52" s="384">
        <f>'[1]Ammort Split2018'!N51</f>
        <v>-8823.7899999999991</v>
      </c>
      <c r="O52" s="54">
        <f>ROUND(ROUND(N54*O$6,2)/365*O$7,2)</f>
        <v>894.54</v>
      </c>
      <c r="P52" s="399">
        <f>ROUND(ROUND(O54*P$6,2)/365*P$7,2)</f>
        <v>976.26</v>
      </c>
      <c r="R52" s="398">
        <f>SUM(D52:Q52)</f>
        <v>4983.1400000000003</v>
      </c>
    </row>
    <row r="53" spans="1:37" x14ac:dyDescent="0.25">
      <c r="A53">
        <v>49</v>
      </c>
      <c r="B53" s="394"/>
      <c r="C53" s="380" t="s">
        <v>539</v>
      </c>
      <c r="D53" s="383">
        <f t="shared" ref="D53:P53" si="18">SUM(D51:D52)</f>
        <v>19145.710000000003</v>
      </c>
      <c r="E53" s="383">
        <f t="shared" si="18"/>
        <v>11051.999999999996</v>
      </c>
      <c r="F53" s="383">
        <f t="shared" si="18"/>
        <v>8476.9400000000023</v>
      </c>
      <c r="G53" s="383">
        <f t="shared" si="18"/>
        <v>25118.27</v>
      </c>
      <c r="H53" s="383">
        <f t="shared" si="18"/>
        <v>22658.199999999997</v>
      </c>
      <c r="I53" s="383">
        <f t="shared" si="18"/>
        <v>24284.759999999995</v>
      </c>
      <c r="J53" s="383">
        <f t="shared" si="18"/>
        <v>26968.670000000002</v>
      </c>
      <c r="K53" s="383">
        <f t="shared" si="18"/>
        <v>24040.670000000002</v>
      </c>
      <c r="L53" s="383">
        <f t="shared" si="18"/>
        <v>22074.670000000006</v>
      </c>
      <c r="M53" s="383">
        <f t="shared" si="18"/>
        <v>44430.570000000007</v>
      </c>
      <c r="N53" s="397">
        <f t="shared" si="18"/>
        <v>-239197.15999999997</v>
      </c>
      <c r="O53" s="383">
        <f t="shared" si="18"/>
        <v>12320.840000000004</v>
      </c>
      <c r="P53" s="396">
        <f t="shared" si="18"/>
        <v>13958.69</v>
      </c>
      <c r="R53" s="395">
        <f>SUM(R51:R52)</f>
        <v>245706.20000000004</v>
      </c>
    </row>
    <row r="54" spans="1:37" x14ac:dyDescent="0.25">
      <c r="A54">
        <v>50</v>
      </c>
      <c r="B54" s="394"/>
      <c r="C54" s="380" t="s">
        <v>536</v>
      </c>
      <c r="D54" s="378">
        <f>[1]WACAP2017!O53+WACAP2018!D53</f>
        <v>249519.07999999996</v>
      </c>
      <c r="E54" s="378">
        <f t="shared" ref="E54:P54" si="19">D54+E53</f>
        <v>260571.07999999996</v>
      </c>
      <c r="F54" s="378">
        <f t="shared" si="19"/>
        <v>269048.01999999996</v>
      </c>
      <c r="G54" s="378">
        <f t="shared" si="19"/>
        <v>294166.28999999998</v>
      </c>
      <c r="H54" s="378">
        <f t="shared" si="19"/>
        <v>316824.49</v>
      </c>
      <c r="I54" s="378">
        <f t="shared" si="19"/>
        <v>341109.25</v>
      </c>
      <c r="J54" s="378">
        <f t="shared" si="19"/>
        <v>368077.92</v>
      </c>
      <c r="K54" s="378">
        <f t="shared" si="19"/>
        <v>392118.58999999997</v>
      </c>
      <c r="L54" s="378">
        <f t="shared" si="19"/>
        <v>414193.25999999995</v>
      </c>
      <c r="M54" s="378">
        <f t="shared" si="19"/>
        <v>458623.82999999996</v>
      </c>
      <c r="N54" s="379">
        <f t="shared" si="19"/>
        <v>219426.66999999998</v>
      </c>
      <c r="O54" s="378">
        <f t="shared" si="19"/>
        <v>231747.50999999998</v>
      </c>
      <c r="P54" s="393">
        <f t="shared" si="19"/>
        <v>245706.19999999998</v>
      </c>
      <c r="R54" s="392"/>
    </row>
    <row r="55" spans="1:37" x14ac:dyDescent="0.25">
      <c r="A55">
        <v>51</v>
      </c>
      <c r="B55" s="425"/>
      <c r="D55" s="17"/>
      <c r="E55" s="17"/>
      <c r="F55" s="386"/>
      <c r="G55" s="17"/>
      <c r="H55" s="17"/>
      <c r="I55" s="17"/>
      <c r="J55" s="17"/>
      <c r="K55" s="17"/>
      <c r="L55" s="17"/>
      <c r="M55" s="17"/>
      <c r="N55" s="420"/>
      <c r="O55" s="17"/>
      <c r="P55" s="422"/>
      <c r="R55" s="392"/>
    </row>
    <row r="56" spans="1:37" x14ac:dyDescent="0.25">
      <c r="A56">
        <v>52</v>
      </c>
      <c r="B56" s="425" t="s">
        <v>580</v>
      </c>
      <c r="C56" s="424" t="s">
        <v>571</v>
      </c>
      <c r="D56" s="17"/>
      <c r="E56" s="17"/>
      <c r="F56" s="386"/>
      <c r="G56" s="17"/>
      <c r="H56" s="17"/>
      <c r="I56" s="17"/>
      <c r="J56" s="17"/>
      <c r="K56" s="17"/>
      <c r="L56" s="17"/>
      <c r="M56" s="17"/>
      <c r="N56" s="420"/>
      <c r="O56" s="17"/>
      <c r="P56" s="422"/>
      <c r="R56" s="392"/>
      <c r="U56">
        <v>504</v>
      </c>
      <c r="AD56" s="386">
        <v>3</v>
      </c>
    </row>
    <row r="57" spans="1:37" x14ac:dyDescent="0.25">
      <c r="A57">
        <v>53</v>
      </c>
      <c r="B57" s="394" t="s">
        <v>553</v>
      </c>
      <c r="C57" t="s">
        <v>552</v>
      </c>
      <c r="D57" s="419">
        <v>1</v>
      </c>
      <c r="E57" s="419">
        <v>1</v>
      </c>
      <c r="F57" s="419">
        <v>1</v>
      </c>
      <c r="G57" s="419">
        <v>1</v>
      </c>
      <c r="H57" s="419">
        <v>1</v>
      </c>
      <c r="I57" s="419">
        <v>1</v>
      </c>
      <c r="J57" s="419">
        <v>1</v>
      </c>
      <c r="K57" s="419">
        <v>1</v>
      </c>
      <c r="L57" s="419">
        <v>1</v>
      </c>
      <c r="M57" s="419">
        <v>1</v>
      </c>
      <c r="N57" s="420"/>
      <c r="O57" s="419">
        <v>1</v>
      </c>
      <c r="P57" s="418">
        <v>1</v>
      </c>
      <c r="Q57" s="16"/>
      <c r="R57" s="417"/>
      <c r="V57" s="17">
        <v>4915</v>
      </c>
      <c r="W57" t="s">
        <v>31</v>
      </c>
      <c r="X57" s="17">
        <f>V57</f>
        <v>4915</v>
      </c>
      <c r="AE57" s="386">
        <f>SUM(K57*3)</f>
        <v>3</v>
      </c>
      <c r="AF57" s="386">
        <f>SUM(L57*3)</f>
        <v>3</v>
      </c>
      <c r="AG57" s="386">
        <f>SUM(M57*3)</f>
        <v>3</v>
      </c>
      <c r="AH57" s="386">
        <f>SUM(O57*3)</f>
        <v>3</v>
      </c>
      <c r="AI57" s="386">
        <f>SUM(P57*3)</f>
        <v>3</v>
      </c>
    </row>
    <row r="58" spans="1:37" x14ac:dyDescent="0.25">
      <c r="A58">
        <v>54</v>
      </c>
      <c r="B58" s="394" t="s">
        <v>550</v>
      </c>
      <c r="C58" t="s">
        <v>570</v>
      </c>
      <c r="D58" s="411">
        <v>680.9</v>
      </c>
      <c r="E58" s="411">
        <v>1071.92</v>
      </c>
      <c r="F58" s="411">
        <v>1416.68</v>
      </c>
      <c r="G58" s="411">
        <v>1113.76</v>
      </c>
      <c r="H58" s="411">
        <v>694.68</v>
      </c>
      <c r="I58" s="411">
        <v>127.96</v>
      </c>
      <c r="J58" s="411">
        <v>107.78</v>
      </c>
      <c r="K58" s="411">
        <v>30.51</v>
      </c>
      <c r="L58" s="411">
        <v>36.56</v>
      </c>
      <c r="M58" s="411">
        <v>115.94</v>
      </c>
      <c r="N58" s="407"/>
      <c r="O58" s="411">
        <v>481.12</v>
      </c>
      <c r="P58" s="410">
        <v>801.64</v>
      </c>
      <c r="Q58" s="361"/>
      <c r="R58" s="400"/>
      <c r="T58" s="427" t="s">
        <v>28</v>
      </c>
      <c r="U58" s="386">
        <v>1137.43</v>
      </c>
      <c r="V58" s="426">
        <f>U58/V57</f>
        <v>0.23142014242115974</v>
      </c>
      <c r="X58" s="426">
        <f>U58/X57</f>
        <v>0.23142014242115974</v>
      </c>
      <c r="Z58">
        <v>0.23141999999999999</v>
      </c>
      <c r="AB58" s="426">
        <f>Z58-X58</f>
        <v>-1.424211597544911E-7</v>
      </c>
    </row>
    <row r="59" spans="1:37" x14ac:dyDescent="0.25">
      <c r="A59">
        <v>55</v>
      </c>
      <c r="B59" s="394" t="s">
        <v>545</v>
      </c>
      <c r="C59" t="s">
        <v>579</v>
      </c>
      <c r="D59" s="411">
        <v>1071.92</v>
      </c>
      <c r="E59" s="411">
        <v>1416.68</v>
      </c>
      <c r="F59" s="411">
        <v>1113.76</v>
      </c>
      <c r="G59" s="411">
        <v>694.68</v>
      </c>
      <c r="H59" s="411">
        <v>127.96</v>
      </c>
      <c r="I59" s="411">
        <v>107.78</v>
      </c>
      <c r="J59" s="411">
        <v>30.51</v>
      </c>
      <c r="K59" s="411">
        <v>36.56</v>
      </c>
      <c r="L59" s="411">
        <v>115.94</v>
      </c>
      <c r="M59" s="411">
        <v>481.12</v>
      </c>
      <c r="N59" s="407"/>
      <c r="O59" s="411">
        <v>801.64</v>
      </c>
      <c r="P59" s="410">
        <v>1137.43</v>
      </c>
      <c r="Q59" s="361"/>
      <c r="R59" s="400"/>
      <c r="T59" s="427" t="s">
        <v>11</v>
      </c>
      <c r="U59" s="386">
        <v>2128.88</v>
      </c>
      <c r="V59" s="426">
        <f>U59/V57</f>
        <v>0.43313936927772129</v>
      </c>
      <c r="X59" s="426">
        <f>U59/X57</f>
        <v>0.43313936927772129</v>
      </c>
      <c r="Z59">
        <v>0.43314000000000002</v>
      </c>
      <c r="AB59" s="426">
        <f>Z59-X59</f>
        <v>6.3072227873828268E-7</v>
      </c>
      <c r="AK59" s="361">
        <f>+P59</f>
        <v>1137.43</v>
      </c>
    </row>
    <row r="60" spans="1:37" x14ac:dyDescent="0.25">
      <c r="A60">
        <v>56</v>
      </c>
      <c r="B60" s="394" t="s">
        <v>545</v>
      </c>
      <c r="C60" t="s">
        <v>578</v>
      </c>
      <c r="D60" s="409">
        <f>-[1]WACAP2017!O58</f>
        <v>-680.9</v>
      </c>
      <c r="E60" s="409">
        <f t="shared" ref="E60:M60" si="20">-D59</f>
        <v>-1071.92</v>
      </c>
      <c r="F60" s="409">
        <f t="shared" si="20"/>
        <v>-1416.68</v>
      </c>
      <c r="G60" s="409">
        <f t="shared" si="20"/>
        <v>-1113.76</v>
      </c>
      <c r="H60" s="409">
        <f t="shared" si="20"/>
        <v>-694.68</v>
      </c>
      <c r="I60" s="409">
        <f t="shared" si="20"/>
        <v>-127.96</v>
      </c>
      <c r="J60" s="409">
        <f t="shared" si="20"/>
        <v>-107.78</v>
      </c>
      <c r="K60" s="409">
        <f t="shared" si="20"/>
        <v>-30.51</v>
      </c>
      <c r="L60" s="409">
        <f t="shared" si="20"/>
        <v>-36.56</v>
      </c>
      <c r="M60" s="409">
        <f t="shared" si="20"/>
        <v>-115.94</v>
      </c>
      <c r="N60" s="406"/>
      <c r="O60" s="409">
        <f>-M59</f>
        <v>-481.12</v>
      </c>
      <c r="P60" s="408">
        <f>-O59</f>
        <v>-801.64</v>
      </c>
      <c r="Q60" s="361"/>
      <c r="R60" s="400"/>
      <c r="T60" s="427"/>
      <c r="U60" s="386"/>
      <c r="V60" s="426"/>
      <c r="X60" s="426"/>
      <c r="AB60" s="426"/>
      <c r="AK60" s="361">
        <f>+D60</f>
        <v>-680.9</v>
      </c>
    </row>
    <row r="61" spans="1:37" x14ac:dyDescent="0.25">
      <c r="A61">
        <v>57</v>
      </c>
      <c r="B61" s="394"/>
      <c r="C61" s="380" t="s">
        <v>543</v>
      </c>
      <c r="D61" s="386">
        <f t="shared" ref="D61:M61" si="21">SUM(D58:D60)</f>
        <v>1071.92</v>
      </c>
      <c r="E61" s="386">
        <f t="shared" si="21"/>
        <v>1416.6800000000003</v>
      </c>
      <c r="F61" s="386">
        <f t="shared" si="21"/>
        <v>1113.76</v>
      </c>
      <c r="G61" s="386">
        <f t="shared" si="21"/>
        <v>694.68000000000006</v>
      </c>
      <c r="H61" s="386">
        <f t="shared" si="21"/>
        <v>127.96000000000004</v>
      </c>
      <c r="I61" s="386">
        <f t="shared" si="21"/>
        <v>107.78000000000002</v>
      </c>
      <c r="J61" s="386">
        <f t="shared" si="21"/>
        <v>30.509999999999991</v>
      </c>
      <c r="K61" s="386">
        <f t="shared" si="21"/>
        <v>36.56</v>
      </c>
      <c r="L61" s="386">
        <f t="shared" si="21"/>
        <v>115.94</v>
      </c>
      <c r="M61" s="386">
        <f t="shared" si="21"/>
        <v>481.11999999999995</v>
      </c>
      <c r="N61" s="407"/>
      <c r="O61" s="386">
        <f>SUM(O58:O60)</f>
        <v>801.64</v>
      </c>
      <c r="P61" s="428">
        <f>SUM(P58:P60)</f>
        <v>1137.4300000000003</v>
      </c>
      <c r="R61" s="392"/>
    </row>
    <row r="62" spans="1:37" x14ac:dyDescent="0.25">
      <c r="A62">
        <v>58</v>
      </c>
      <c r="B62" s="394"/>
      <c r="C62" s="380" t="s">
        <v>542</v>
      </c>
      <c r="D62" s="405">
        <f>ROUND(-'[1]Authorized Margins'!J47*WACAP2018!D57,2)</f>
        <v>-123.03</v>
      </c>
      <c r="E62" s="405">
        <f>ROUND(-'[1]Authorized Margins'!K47*WACAP2018!E57,2)</f>
        <v>-101.99</v>
      </c>
      <c r="F62" s="405">
        <f>ROUND(-'[1]Authorized Margins'!L47*WACAP2018!F57,2)</f>
        <v>-82.09</v>
      </c>
      <c r="G62" s="405">
        <f>ROUND(-'[1]Authorized Margins'!M47*WACAP2018!G57,2)</f>
        <v>-52.56</v>
      </c>
      <c r="H62" s="405">
        <f>ROUND(-'[1]Authorized Margins'!N47*WACAP2018!H57,2)</f>
        <v>-36.19</v>
      </c>
      <c r="I62" s="405">
        <f>ROUND(-'[1]Authorized Margins'!O47*WACAP2018!I57,2)</f>
        <v>-28.49</v>
      </c>
      <c r="J62" s="405">
        <f>ROUND(-'[1]Authorized Margins'!D47*WACAP2018!J57,2)</f>
        <v>-26.96</v>
      </c>
      <c r="K62" s="405">
        <f>ROUND(-'[1]Authorized Margins 2018'!E12*WACAP2018!K57,2)</f>
        <v>-21.6</v>
      </c>
      <c r="L62" s="405">
        <f>ROUND(-'[1]Authorized Margins 2018'!F12*WACAP2018!L57,2)</f>
        <v>-32.049999999999997</v>
      </c>
      <c r="M62" s="405">
        <f>ROUND(-'[1]Authorized Margins 2018'!G12*WACAP2018!M57,2)</f>
        <v>-59.39</v>
      </c>
      <c r="N62" s="406"/>
      <c r="O62" s="405">
        <f>ROUND(-'[1]Authorized Margins 2018'!H12*WACAP2018!O57,2)</f>
        <v>-89.84</v>
      </c>
      <c r="P62" s="404">
        <f>ROUND(-'[1]Authorized Margins 2018'!I12*WACAP2018!P57,2)</f>
        <v>-127</v>
      </c>
      <c r="R62" s="392"/>
    </row>
    <row r="63" spans="1:37" x14ac:dyDescent="0.25">
      <c r="A63">
        <v>59</v>
      </c>
      <c r="B63" s="394"/>
      <c r="C63" s="380" t="s">
        <v>541</v>
      </c>
      <c r="D63" s="378">
        <f t="shared" ref="D63:M63" si="22">SUM(D61:D62)</f>
        <v>948.8900000000001</v>
      </c>
      <c r="E63" s="378">
        <f t="shared" si="22"/>
        <v>1314.6900000000003</v>
      </c>
      <c r="F63" s="378">
        <f t="shared" si="22"/>
        <v>1031.67</v>
      </c>
      <c r="G63" s="378">
        <f t="shared" si="22"/>
        <v>642.12000000000012</v>
      </c>
      <c r="H63" s="378">
        <f t="shared" si="22"/>
        <v>91.770000000000039</v>
      </c>
      <c r="I63" s="378">
        <f t="shared" si="22"/>
        <v>79.29000000000002</v>
      </c>
      <c r="J63" s="378">
        <f t="shared" si="22"/>
        <v>3.5499999999999901</v>
      </c>
      <c r="K63" s="378">
        <f t="shared" si="22"/>
        <v>14.96</v>
      </c>
      <c r="L63" s="378">
        <f t="shared" si="22"/>
        <v>83.89</v>
      </c>
      <c r="M63" s="378">
        <f t="shared" si="22"/>
        <v>421.72999999999996</v>
      </c>
      <c r="N63" s="402">
        <f>-[1]WACAP2017!Q64</f>
        <v>-856.04</v>
      </c>
      <c r="O63" s="378">
        <f>SUM(O61:O62)</f>
        <v>711.8</v>
      </c>
      <c r="P63" s="401">
        <f>SUM(P61:P62)</f>
        <v>1010.4300000000003</v>
      </c>
      <c r="R63" s="400">
        <f>SUM(D63:Q63)-N63</f>
        <v>6354.7900000000018</v>
      </c>
      <c r="U63">
        <v>948.8900000000001</v>
      </c>
    </row>
    <row r="64" spans="1:37" x14ac:dyDescent="0.25">
      <c r="A64">
        <v>60</v>
      </c>
      <c r="B64" s="394"/>
      <c r="C64" s="380" t="s">
        <v>540</v>
      </c>
      <c r="D64" s="54">
        <f>ROUND(ROUND([1]WACAP2017!O65*D$6,2)/365*D$7,2)</f>
        <v>3.09</v>
      </c>
      <c r="E64" s="54">
        <f t="shared" ref="E64:M64" si="23">ROUND(ROUND(D66*E$6,2)/365*E$7,2)</f>
        <v>5.89</v>
      </c>
      <c r="F64" s="54">
        <f t="shared" si="23"/>
        <v>11.29</v>
      </c>
      <c r="G64" s="54">
        <f t="shared" si="23"/>
        <v>15.33</v>
      </c>
      <c r="H64" s="54">
        <f t="shared" si="23"/>
        <v>18.329999999999998</v>
      </c>
      <c r="I64" s="54">
        <f t="shared" si="23"/>
        <v>18.149999999999999</v>
      </c>
      <c r="J64" s="54">
        <f t="shared" si="23"/>
        <v>20.059999999999999</v>
      </c>
      <c r="K64" s="54">
        <f t="shared" si="23"/>
        <v>20.16</v>
      </c>
      <c r="L64" s="54">
        <f t="shared" si="23"/>
        <v>19.64</v>
      </c>
      <c r="M64" s="54">
        <f t="shared" si="23"/>
        <v>21.9</v>
      </c>
      <c r="N64" s="384">
        <f>'[1]Ammort Split2018'!N63</f>
        <v>-32.79</v>
      </c>
      <c r="O64" s="54">
        <f>ROUND(ROUND(N66*O$6,2)/365*O$7,2)</f>
        <v>19.38</v>
      </c>
      <c r="P64" s="399">
        <f>ROUND(ROUND(O66*P$6,2)/365*P$7,2)</f>
        <v>23.11</v>
      </c>
      <c r="R64" s="398">
        <f>SUM(D64:Q64)</f>
        <v>163.54000000000002</v>
      </c>
      <c r="U64">
        <v>3.09</v>
      </c>
    </row>
    <row r="65" spans="1:37" x14ac:dyDescent="0.25">
      <c r="A65">
        <v>61</v>
      </c>
      <c r="B65" s="394"/>
      <c r="C65" s="380" t="s">
        <v>539</v>
      </c>
      <c r="D65" s="383">
        <f t="shared" ref="D65:P65" si="24">SUM(D63:D64)</f>
        <v>951.98000000000013</v>
      </c>
      <c r="E65" s="383">
        <f t="shared" si="24"/>
        <v>1320.5800000000004</v>
      </c>
      <c r="F65" s="383">
        <f t="shared" si="24"/>
        <v>1042.96</v>
      </c>
      <c r="G65" s="383">
        <f t="shared" si="24"/>
        <v>657.45000000000016</v>
      </c>
      <c r="H65" s="383">
        <f t="shared" si="24"/>
        <v>110.10000000000004</v>
      </c>
      <c r="I65" s="383">
        <f t="shared" si="24"/>
        <v>97.440000000000026</v>
      </c>
      <c r="J65" s="383">
        <f t="shared" si="24"/>
        <v>23.609999999999989</v>
      </c>
      <c r="K65" s="383">
        <f t="shared" si="24"/>
        <v>35.120000000000005</v>
      </c>
      <c r="L65" s="383">
        <f t="shared" si="24"/>
        <v>103.53</v>
      </c>
      <c r="M65" s="383">
        <f t="shared" si="24"/>
        <v>443.62999999999994</v>
      </c>
      <c r="N65" s="397">
        <f t="shared" si="24"/>
        <v>-888.82999999999993</v>
      </c>
      <c r="O65" s="383">
        <f t="shared" si="24"/>
        <v>731.18</v>
      </c>
      <c r="P65" s="396">
        <f t="shared" si="24"/>
        <v>1033.5400000000002</v>
      </c>
      <c r="R65" s="395">
        <f>SUM(R63:R64)</f>
        <v>6518.3300000000017</v>
      </c>
      <c r="U65">
        <v>951.98000000000013</v>
      </c>
    </row>
    <row r="66" spans="1:37" x14ac:dyDescent="0.25">
      <c r="A66">
        <v>62</v>
      </c>
      <c r="B66" s="394"/>
      <c r="C66" s="380" t="s">
        <v>536</v>
      </c>
      <c r="D66" s="378">
        <f>[1]WACAP2017!O65+WACAP2018!D65</f>
        <v>1808.02</v>
      </c>
      <c r="E66" s="378">
        <f t="shared" ref="E66:P66" si="25">D66+E65</f>
        <v>3128.6000000000004</v>
      </c>
      <c r="F66" s="378">
        <f t="shared" si="25"/>
        <v>4171.5600000000004</v>
      </c>
      <c r="G66" s="378">
        <f t="shared" si="25"/>
        <v>4829.01</v>
      </c>
      <c r="H66" s="378">
        <f t="shared" si="25"/>
        <v>4939.1100000000006</v>
      </c>
      <c r="I66" s="378">
        <f t="shared" si="25"/>
        <v>5036.55</v>
      </c>
      <c r="J66" s="378">
        <f t="shared" si="25"/>
        <v>5060.16</v>
      </c>
      <c r="K66" s="378">
        <f t="shared" si="25"/>
        <v>5095.28</v>
      </c>
      <c r="L66" s="378">
        <f t="shared" si="25"/>
        <v>5198.8099999999995</v>
      </c>
      <c r="M66" s="378">
        <f t="shared" si="25"/>
        <v>5642.44</v>
      </c>
      <c r="N66" s="379">
        <f t="shared" si="25"/>
        <v>4753.6099999999997</v>
      </c>
      <c r="O66" s="378">
        <f t="shared" si="25"/>
        <v>5484.79</v>
      </c>
      <c r="P66" s="393">
        <f t="shared" si="25"/>
        <v>6518.33</v>
      </c>
      <c r="R66" s="392"/>
      <c r="U66">
        <v>1808.02</v>
      </c>
      <c r="V66" s="361">
        <f>1808.02-1805.56</f>
        <v>2.4600000000000364</v>
      </c>
    </row>
    <row r="67" spans="1:37" x14ac:dyDescent="0.25">
      <c r="A67">
        <v>63</v>
      </c>
      <c r="B67" s="394"/>
      <c r="C67" s="380"/>
      <c r="D67" s="378"/>
      <c r="E67" s="378"/>
      <c r="F67" s="378"/>
      <c r="G67" s="378"/>
      <c r="H67" s="378"/>
      <c r="I67" s="378"/>
      <c r="J67" s="378"/>
      <c r="K67" s="378"/>
      <c r="L67" s="378"/>
      <c r="M67" s="378"/>
      <c r="N67" s="379"/>
      <c r="O67" s="378"/>
      <c r="P67" s="401"/>
      <c r="R67" s="392"/>
      <c r="T67" s="427"/>
      <c r="U67" s="386"/>
      <c r="V67" s="361"/>
    </row>
    <row r="68" spans="1:37" x14ac:dyDescent="0.25">
      <c r="A68">
        <v>64</v>
      </c>
      <c r="B68" s="425">
        <v>504</v>
      </c>
      <c r="C68" s="424" t="s">
        <v>571</v>
      </c>
      <c r="D68" s="17"/>
      <c r="E68" s="17"/>
      <c r="F68" s="386"/>
      <c r="G68" s="17"/>
      <c r="H68" s="17"/>
      <c r="I68" s="17"/>
      <c r="J68" s="17"/>
      <c r="K68" s="17"/>
      <c r="L68" s="17"/>
      <c r="M68" s="17"/>
      <c r="N68" s="420"/>
      <c r="O68" s="17"/>
      <c r="P68" s="422"/>
      <c r="R68" s="392"/>
      <c r="U68">
        <v>504</v>
      </c>
      <c r="AD68" s="386">
        <v>3</v>
      </c>
    </row>
    <row r="69" spans="1:37" x14ac:dyDescent="0.25">
      <c r="A69">
        <v>65</v>
      </c>
      <c r="B69" s="394" t="s">
        <v>553</v>
      </c>
      <c r="C69" t="s">
        <v>552</v>
      </c>
      <c r="D69" s="419">
        <v>26212</v>
      </c>
      <c r="E69" s="419">
        <v>26234</v>
      </c>
      <c r="F69" s="419">
        <v>26243</v>
      </c>
      <c r="G69" s="419">
        <v>26195</v>
      </c>
      <c r="H69" s="419">
        <v>26136</v>
      </c>
      <c r="I69" s="419">
        <v>26057</v>
      </c>
      <c r="J69" s="419">
        <v>26021</v>
      </c>
      <c r="K69" s="419">
        <v>26015</v>
      </c>
      <c r="L69" s="419">
        <v>26018</v>
      </c>
      <c r="M69" s="419">
        <v>26202</v>
      </c>
      <c r="N69" s="420"/>
      <c r="O69" s="419">
        <v>26397</v>
      </c>
      <c r="P69" s="418">
        <v>26496</v>
      </c>
      <c r="Q69" s="16"/>
      <c r="R69" s="417"/>
      <c r="V69" s="17">
        <v>11483089</v>
      </c>
      <c r="W69" t="s">
        <v>31</v>
      </c>
      <c r="X69" s="17">
        <f>V69</f>
        <v>11483089</v>
      </c>
      <c r="AE69" s="386">
        <f>SUM(K69*3)</f>
        <v>78045</v>
      </c>
      <c r="AF69" s="386">
        <f>SUM(L69*3)</f>
        <v>78054</v>
      </c>
      <c r="AG69" s="386">
        <f>SUM(M69*3)</f>
        <v>78606</v>
      </c>
      <c r="AH69" s="386">
        <f>SUM(O69*3)</f>
        <v>79191</v>
      </c>
      <c r="AI69" s="386">
        <f>SUM(P69*3)</f>
        <v>79488</v>
      </c>
    </row>
    <row r="70" spans="1:37" x14ac:dyDescent="0.25">
      <c r="A70">
        <v>66</v>
      </c>
      <c r="B70" s="394" t="s">
        <v>550</v>
      </c>
      <c r="C70" t="s">
        <v>570</v>
      </c>
      <c r="D70" s="411">
        <v>3747378.62</v>
      </c>
      <c r="E70" s="411">
        <v>2679131.08</v>
      </c>
      <c r="F70" s="411">
        <v>3103331.87</v>
      </c>
      <c r="G70" s="411">
        <v>2141220</v>
      </c>
      <c r="H70" s="411">
        <v>1349757.98</v>
      </c>
      <c r="I70" s="411">
        <v>844546.7</v>
      </c>
      <c r="J70" s="411">
        <v>711414.76</v>
      </c>
      <c r="K70" s="411">
        <v>676165.17</v>
      </c>
      <c r="L70" s="411">
        <v>646022.94999999995</v>
      </c>
      <c r="M70" s="411">
        <v>987518.65</v>
      </c>
      <c r="N70" s="407"/>
      <c r="O70" s="411">
        <v>1426740.68</v>
      </c>
      <c r="P70" s="410">
        <v>2657414.36</v>
      </c>
      <c r="Q70" s="361"/>
      <c r="R70" s="400"/>
      <c r="T70" s="427" t="s">
        <v>28</v>
      </c>
      <c r="U70" s="386">
        <v>2657414.36</v>
      </c>
      <c r="V70" s="426">
        <f>U70/V69</f>
        <v>0.23141981743762499</v>
      </c>
      <c r="X70" s="426">
        <f>U70/X69</f>
        <v>0.23141981743762499</v>
      </c>
      <c r="Z70">
        <v>0.23141999999999999</v>
      </c>
      <c r="AB70" s="426">
        <f>Z70-X70</f>
        <v>1.8256237499514327E-7</v>
      </c>
    </row>
    <row r="71" spans="1:37" x14ac:dyDescent="0.25">
      <c r="A71">
        <v>67</v>
      </c>
      <c r="B71" s="394" t="s">
        <v>545</v>
      </c>
      <c r="C71" t="s">
        <v>573</v>
      </c>
      <c r="D71" s="430">
        <f>ROUND(ROUND(9146743*0.9044,0)*0.24608,2)</f>
        <v>2035651.03</v>
      </c>
      <c r="E71" s="430">
        <f>ROUND(ROUND(10687012*0.903,0)*0.24608,2)</f>
        <v>2374763.54</v>
      </c>
      <c r="F71" s="430">
        <f>ROUND(ROUND(7181224*0.9013,0)*0.24608,2)</f>
        <v>1592737.3</v>
      </c>
      <c r="G71" s="430">
        <f>ROUND(ROUND(4977541*0.8898,0)*0.24608,2)</f>
        <v>1089892.26</v>
      </c>
      <c r="H71" s="430">
        <f>ROUND(ROUND(2554573*0.8776,0)*0.24608,2)</f>
        <v>551685.03</v>
      </c>
      <c r="I71" s="430">
        <f>ROUND(ROUND(2530552*0.8711,0)*0.24608,2)</f>
        <v>542449.89</v>
      </c>
      <c r="J71" s="430">
        <f>ROUND(ROUND(2469451*0.8771,0)*0.24608,2)</f>
        <v>532998.21</v>
      </c>
      <c r="K71" s="430">
        <f>ROUND(ROUND(1246891*0.8762,0)*0.23142,2)</f>
        <v>252832.37</v>
      </c>
      <c r="L71" s="430">
        <f>ROUND(ROUND(2233399*0.8787,0)*0.23142,2)</f>
        <v>454158.97</v>
      </c>
      <c r="M71" s="430">
        <f>ROUND(ROUND(4424005*0.8633,0)*0.23142,2)</f>
        <v>883849.45</v>
      </c>
      <c r="N71" s="407"/>
      <c r="O71" s="430">
        <f>ROUND(ROUND(8615742*0.886,0)*0.23142,2)</f>
        <v>1766555.45</v>
      </c>
      <c r="P71" s="430">
        <f>ROUND(ROUND(10228218*0.8923,0)*0.23142,2)</f>
        <v>2112086.7999999998</v>
      </c>
      <c r="Q71" s="361"/>
      <c r="R71" s="400"/>
      <c r="T71" s="427" t="s">
        <v>11</v>
      </c>
      <c r="U71" s="386">
        <v>4981768.76</v>
      </c>
      <c r="V71" s="426">
        <f>U71/V69</f>
        <v>0.43383524764111814</v>
      </c>
      <c r="X71" s="426">
        <f>U71/X69</f>
        <v>0.43383524764111814</v>
      </c>
      <c r="Z71">
        <v>0.43314000000000002</v>
      </c>
      <c r="AB71" s="426">
        <f>Z71-X71</f>
        <v>-6.9524764111811299E-4</v>
      </c>
      <c r="AK71" s="361">
        <f>+P71</f>
        <v>2112086.7999999998</v>
      </c>
    </row>
    <row r="72" spans="1:37" x14ac:dyDescent="0.25">
      <c r="A72">
        <v>68</v>
      </c>
      <c r="B72" s="394" t="s">
        <v>545</v>
      </c>
      <c r="C72" t="s">
        <v>572</v>
      </c>
      <c r="D72" s="409">
        <f>-[1]WACAP2017!O70</f>
        <v>-2621765.6</v>
      </c>
      <c r="E72" s="409">
        <f t="shared" ref="E72:M72" si="26">-D71</f>
        <v>-2035651.03</v>
      </c>
      <c r="F72" s="409">
        <f t="shared" si="26"/>
        <v>-2374763.54</v>
      </c>
      <c r="G72" s="409">
        <f t="shared" si="26"/>
        <v>-1592737.3</v>
      </c>
      <c r="H72" s="409">
        <f t="shared" si="26"/>
        <v>-1089892.26</v>
      </c>
      <c r="I72" s="409">
        <f t="shared" si="26"/>
        <v>-551685.03</v>
      </c>
      <c r="J72" s="409">
        <f t="shared" si="26"/>
        <v>-542449.89</v>
      </c>
      <c r="K72" s="409">
        <f t="shared" si="26"/>
        <v>-532998.21</v>
      </c>
      <c r="L72" s="409">
        <f t="shared" si="26"/>
        <v>-252832.37</v>
      </c>
      <c r="M72" s="409">
        <f t="shared" si="26"/>
        <v>-454158.97</v>
      </c>
      <c r="N72" s="406"/>
      <c r="O72" s="409">
        <f>-M71</f>
        <v>-883849.45</v>
      </c>
      <c r="P72" s="408">
        <f>-O71</f>
        <v>-1766555.45</v>
      </c>
      <c r="Q72" s="361"/>
      <c r="R72" s="400"/>
      <c r="T72" s="427"/>
      <c r="U72" s="386"/>
      <c r="V72" s="426"/>
      <c r="X72" s="426"/>
      <c r="AB72" s="426"/>
      <c r="AK72" s="361">
        <f>+D72</f>
        <v>-2621765.6</v>
      </c>
    </row>
    <row r="73" spans="1:37" x14ac:dyDescent="0.25">
      <c r="A73">
        <v>69</v>
      </c>
      <c r="B73" s="394"/>
      <c r="C73" s="380" t="s">
        <v>543</v>
      </c>
      <c r="D73" s="386">
        <f t="shared" ref="D73:M73" si="27">SUM(D70:D72)</f>
        <v>3161264.0500000003</v>
      </c>
      <c r="E73" s="386">
        <f t="shared" si="27"/>
        <v>3018243.59</v>
      </c>
      <c r="F73" s="386">
        <f t="shared" si="27"/>
        <v>2321305.63</v>
      </c>
      <c r="G73" s="386">
        <f t="shared" si="27"/>
        <v>1638374.9599999997</v>
      </c>
      <c r="H73" s="386">
        <f t="shared" si="27"/>
        <v>811550.75</v>
      </c>
      <c r="I73" s="386">
        <f t="shared" si="27"/>
        <v>835311.55999999982</v>
      </c>
      <c r="J73" s="386">
        <f t="shared" si="27"/>
        <v>701963.08</v>
      </c>
      <c r="K73" s="386">
        <f t="shared" si="27"/>
        <v>395999.33000000007</v>
      </c>
      <c r="L73" s="386">
        <f t="shared" si="27"/>
        <v>847349.54999999993</v>
      </c>
      <c r="M73" s="386">
        <f t="shared" si="27"/>
        <v>1417209.1300000001</v>
      </c>
      <c r="N73" s="407"/>
      <c r="O73" s="386">
        <f>SUM(O70:O72)</f>
        <v>2309446.6799999997</v>
      </c>
      <c r="P73" s="428">
        <f>SUM(P70:P72)</f>
        <v>3002945.71</v>
      </c>
      <c r="R73" s="392"/>
    </row>
    <row r="74" spans="1:37" x14ac:dyDescent="0.25">
      <c r="A74">
        <v>70</v>
      </c>
      <c r="B74" s="394"/>
      <c r="C74" s="380" t="s">
        <v>542</v>
      </c>
      <c r="D74" s="405">
        <f>ROUND(-'[1]Authorized Margins'!J47*WACAP2018!D69,2)</f>
        <v>-3224862.36</v>
      </c>
      <c r="E74" s="405">
        <f>ROUND(-'[1]Authorized Margins'!K47*WACAP2018!E69,2)</f>
        <v>-2675605.66</v>
      </c>
      <c r="F74" s="405">
        <f>ROUND(-'[1]Authorized Margins'!L47*WACAP2018!F69,2)</f>
        <v>-2154287.87</v>
      </c>
      <c r="G74" s="405">
        <f>ROUND(-'[1]Authorized Margins'!M47*WACAP2018!G69,2)</f>
        <v>-1376809.2</v>
      </c>
      <c r="H74" s="405">
        <f>ROUND(-'[1]Authorized Margins'!N47*WACAP2018!H69,2)</f>
        <v>-945861.84</v>
      </c>
      <c r="I74" s="405">
        <f>ROUND(-'[1]Authorized Margins'!O47*WACAP2018!I69,2)</f>
        <v>-742363.93</v>
      </c>
      <c r="J74" s="405">
        <f>ROUND(-'[1]Authorized Margins'!D47*WACAP2018!J69,2)</f>
        <v>-701526.16</v>
      </c>
      <c r="K74" s="405">
        <f>ROUND(-'[1]Authorized Margins 2018'!E12*WACAP2018!K69,2)</f>
        <v>-561924</v>
      </c>
      <c r="L74" s="405">
        <f>ROUND(-'[1]Authorized Margins 2018'!F12*WACAP2018!L69,2)</f>
        <v>-833876.9</v>
      </c>
      <c r="M74" s="405">
        <f>ROUND(-'[1]Authorized Margins 2018'!G12*WACAP2018!M69,2)</f>
        <v>-1556136.78</v>
      </c>
      <c r="N74" s="406"/>
      <c r="O74" s="405">
        <f>ROUND(-'[1]Authorized Margins 2018'!H12*WACAP2018!O69,2)</f>
        <v>-2371506.48</v>
      </c>
      <c r="P74" s="404">
        <f>ROUND(-'[1]Authorized Margins 2018'!I12*WACAP2018!P69,2)</f>
        <v>-3364992</v>
      </c>
      <c r="R74" s="392"/>
    </row>
    <row r="75" spans="1:37" x14ac:dyDescent="0.25">
      <c r="A75">
        <v>71</v>
      </c>
      <c r="B75" s="394"/>
      <c r="C75" s="380" t="s">
        <v>541</v>
      </c>
      <c r="D75" s="378">
        <f t="shared" ref="D75:M75" si="28">SUM(D73:D74)</f>
        <v>-63598.30999999959</v>
      </c>
      <c r="E75" s="378">
        <f t="shared" si="28"/>
        <v>342637.9299999997</v>
      </c>
      <c r="F75" s="378">
        <f t="shared" si="28"/>
        <v>167017.75999999978</v>
      </c>
      <c r="G75" s="378">
        <f t="shared" si="28"/>
        <v>261565.75999999978</v>
      </c>
      <c r="H75" s="378">
        <f t="shared" si="28"/>
        <v>-134311.08999999997</v>
      </c>
      <c r="I75" s="378">
        <f t="shared" si="28"/>
        <v>92947.629999999772</v>
      </c>
      <c r="J75" s="378">
        <f t="shared" si="28"/>
        <v>436.91999999992549</v>
      </c>
      <c r="K75" s="378">
        <f t="shared" si="28"/>
        <v>-165924.66999999993</v>
      </c>
      <c r="L75" s="378">
        <f t="shared" si="28"/>
        <v>13472.649999999907</v>
      </c>
      <c r="M75" s="378">
        <f t="shared" si="28"/>
        <v>-138927.64999999991</v>
      </c>
      <c r="N75" s="402">
        <f>-[1]WACAP2017!Q76</f>
        <v>-2543595.8700000015</v>
      </c>
      <c r="O75" s="378">
        <f>SUM(O73:O74)</f>
        <v>-62059.800000000279</v>
      </c>
      <c r="P75" s="401">
        <f>SUM(P73:P74)</f>
        <v>-362046.29000000004</v>
      </c>
      <c r="R75" s="400">
        <f>SUM(D75:Q75)-N75</f>
        <v>-48789.16000000108</v>
      </c>
    </row>
    <row r="76" spans="1:37" x14ac:dyDescent="0.25">
      <c r="A76">
        <v>72</v>
      </c>
      <c r="B76" s="394"/>
      <c r="C76" s="380" t="s">
        <v>540</v>
      </c>
      <c r="D76" s="54">
        <f>ROUND(ROUND([1]WACAP2017!O77*D$6,2)/365*D$7,2)</f>
        <v>9181.34</v>
      </c>
      <c r="E76" s="54">
        <f>ROUND(ROUND(D78*E$6,2)/365*E$7,2)</f>
        <v>8115.4</v>
      </c>
      <c r="F76" s="385">
        <f>ROUND(ROUND(E78*F$6,2)/365*F$7,2)+0.01</f>
        <v>10251</v>
      </c>
      <c r="G76" s="54">
        <f t="shared" ref="G76:M76" si="29">ROUND(ROUND(F78*G$6,2)/365*G$7,2)</f>
        <v>11085.11</v>
      </c>
      <c r="H76" s="54">
        <f t="shared" si="29"/>
        <v>12489.72</v>
      </c>
      <c r="I76" s="54">
        <f t="shared" si="29"/>
        <v>11639.26</v>
      </c>
      <c r="J76" s="54">
        <f t="shared" si="29"/>
        <v>13035.78</v>
      </c>
      <c r="K76" s="54">
        <f t="shared" si="29"/>
        <v>13089.44</v>
      </c>
      <c r="L76" s="54">
        <f t="shared" si="29"/>
        <v>12078.05</v>
      </c>
      <c r="M76" s="54">
        <f t="shared" si="29"/>
        <v>13306.79</v>
      </c>
      <c r="N76" s="384">
        <f>'[1]Ammort Split2018'!N75</f>
        <v>-97425.049999999988</v>
      </c>
      <c r="O76" s="54">
        <f>ROUND(ROUND(N78*O$6,2)/365*O$7,2)</f>
        <v>1598.74</v>
      </c>
      <c r="P76" s="399">
        <f>ROUND(ROUND(O78*P$6,2)/365*P$7,2)</f>
        <v>1397.33</v>
      </c>
      <c r="R76" s="398">
        <f>SUM(D76:Q76)</f>
        <v>19842.910000000025</v>
      </c>
    </row>
    <row r="77" spans="1:37" x14ac:dyDescent="0.25">
      <c r="A77">
        <v>73</v>
      </c>
      <c r="B77" s="394"/>
      <c r="C77" s="380" t="s">
        <v>539</v>
      </c>
      <c r="D77" s="383">
        <f t="shared" ref="D77:P77" si="30">SUM(D75:D76)</f>
        <v>-54416.969999999594</v>
      </c>
      <c r="E77" s="383">
        <f t="shared" si="30"/>
        <v>350753.32999999973</v>
      </c>
      <c r="F77" s="383">
        <f t="shared" si="30"/>
        <v>177268.75999999978</v>
      </c>
      <c r="G77" s="383">
        <f t="shared" si="30"/>
        <v>272650.86999999976</v>
      </c>
      <c r="H77" s="383">
        <f t="shared" si="30"/>
        <v>-121821.36999999997</v>
      </c>
      <c r="I77" s="383">
        <f t="shared" si="30"/>
        <v>104586.88999999977</v>
      </c>
      <c r="J77" s="383">
        <f t="shared" si="30"/>
        <v>13472.699999999926</v>
      </c>
      <c r="K77" s="383">
        <f t="shared" si="30"/>
        <v>-152835.22999999992</v>
      </c>
      <c r="L77" s="383">
        <f t="shared" si="30"/>
        <v>25550.699999999906</v>
      </c>
      <c r="M77" s="383">
        <f t="shared" si="30"/>
        <v>-125620.8599999999</v>
      </c>
      <c r="N77" s="397">
        <f t="shared" si="30"/>
        <v>-2641020.9200000013</v>
      </c>
      <c r="O77" s="383">
        <f t="shared" si="30"/>
        <v>-60461.060000000281</v>
      </c>
      <c r="P77" s="396">
        <f t="shared" si="30"/>
        <v>-360648.96000000002</v>
      </c>
      <c r="R77" s="395">
        <f>SUM(R75:R76)</f>
        <v>-28946.250000001055</v>
      </c>
    </row>
    <row r="78" spans="1:37" x14ac:dyDescent="0.25">
      <c r="A78">
        <v>74</v>
      </c>
      <c r="B78" s="394"/>
      <c r="C78" s="380" t="s">
        <v>536</v>
      </c>
      <c r="D78" s="378">
        <f>[1]WACAP2017!O77+WACAP2018!D77</f>
        <v>2489178.9000000018</v>
      </c>
      <c r="E78" s="378">
        <f t="shared" ref="E78:P78" si="31">D78+E77</f>
        <v>2839932.2300000014</v>
      </c>
      <c r="F78" s="378">
        <f t="shared" si="31"/>
        <v>3017200.9900000012</v>
      </c>
      <c r="G78" s="378">
        <f t="shared" si="31"/>
        <v>3289851.8600000008</v>
      </c>
      <c r="H78" s="378">
        <f t="shared" si="31"/>
        <v>3168030.4900000007</v>
      </c>
      <c r="I78" s="378">
        <f t="shared" si="31"/>
        <v>3272617.3800000004</v>
      </c>
      <c r="J78" s="378">
        <f t="shared" si="31"/>
        <v>3286090.08</v>
      </c>
      <c r="K78" s="378">
        <f t="shared" si="31"/>
        <v>3133254.85</v>
      </c>
      <c r="L78" s="378">
        <f t="shared" si="31"/>
        <v>3158805.55</v>
      </c>
      <c r="M78" s="378">
        <f t="shared" si="31"/>
        <v>3033184.69</v>
      </c>
      <c r="N78" s="379">
        <f t="shared" si="31"/>
        <v>392163.76999999862</v>
      </c>
      <c r="O78" s="378">
        <f t="shared" si="31"/>
        <v>331702.70999999833</v>
      </c>
      <c r="P78" s="393">
        <f t="shared" si="31"/>
        <v>-28946.250000001688</v>
      </c>
      <c r="R78" s="392"/>
      <c r="V78" s="361">
        <f>ROUND(U83/Z83,0)</f>
        <v>884588</v>
      </c>
    </row>
    <row r="79" spans="1:37" x14ac:dyDescent="0.25">
      <c r="A79">
        <v>75</v>
      </c>
      <c r="B79" s="394"/>
      <c r="C79" s="380"/>
      <c r="D79" s="378"/>
      <c r="E79" s="378"/>
      <c r="F79" s="378"/>
      <c r="G79" s="378"/>
      <c r="H79" s="378"/>
      <c r="I79" s="378"/>
      <c r="J79" s="378"/>
      <c r="K79" s="378"/>
      <c r="L79" s="378"/>
      <c r="M79" s="378"/>
      <c r="N79" s="379"/>
      <c r="O79" s="378"/>
      <c r="P79" s="401"/>
      <c r="R79" s="392"/>
      <c r="T79" s="427"/>
      <c r="U79" s="386"/>
      <c r="V79" s="361">
        <f>ROUND(U84/Z84,0)</f>
        <v>335987</v>
      </c>
    </row>
    <row r="80" spans="1:37" x14ac:dyDescent="0.25">
      <c r="A80">
        <v>76</v>
      </c>
      <c r="B80" s="425">
        <v>511</v>
      </c>
      <c r="C80" s="424" t="s">
        <v>571</v>
      </c>
      <c r="D80" s="17"/>
      <c r="E80" s="17"/>
      <c r="F80" s="386"/>
      <c r="G80" s="17"/>
      <c r="H80" s="17"/>
      <c r="I80" s="17"/>
      <c r="J80" s="17"/>
      <c r="K80" s="17"/>
      <c r="L80" s="17"/>
      <c r="M80" s="17"/>
      <c r="N80" s="420"/>
      <c r="O80" s="17"/>
      <c r="P80" s="422"/>
      <c r="R80" s="392"/>
      <c r="U80">
        <v>511</v>
      </c>
      <c r="V80" s="361">
        <f>ROUND(U85/Z85,0)</f>
        <v>163071</v>
      </c>
      <c r="W80" s="361">
        <f>SUM(V76:V80)</f>
        <v>1383646</v>
      </c>
      <c r="AD80" s="386">
        <v>25</v>
      </c>
      <c r="AF80" s="17"/>
    </row>
    <row r="81" spans="1:37" x14ac:dyDescent="0.25">
      <c r="A81">
        <v>77</v>
      </c>
      <c r="B81" s="394" t="s">
        <v>553</v>
      </c>
      <c r="C81" t="s">
        <v>552</v>
      </c>
      <c r="D81" s="419">
        <v>73</v>
      </c>
      <c r="E81" s="419">
        <v>73</v>
      </c>
      <c r="F81" s="419">
        <v>73</v>
      </c>
      <c r="G81" s="419">
        <v>73</v>
      </c>
      <c r="H81" s="419">
        <v>73</v>
      </c>
      <c r="I81" s="419">
        <v>73</v>
      </c>
      <c r="J81" s="419">
        <v>73</v>
      </c>
      <c r="K81" s="419">
        <v>73</v>
      </c>
      <c r="L81" s="419">
        <v>74</v>
      </c>
      <c r="M81" s="419">
        <v>74</v>
      </c>
      <c r="N81" s="420"/>
      <c r="O81" s="419">
        <v>74</v>
      </c>
      <c r="P81" s="418">
        <v>74</v>
      </c>
      <c r="Q81" s="16"/>
      <c r="R81" s="417"/>
      <c r="V81" s="17">
        <v>1383646</v>
      </c>
      <c r="W81" t="s">
        <v>31</v>
      </c>
      <c r="X81" s="17">
        <f>V81</f>
        <v>1383646</v>
      </c>
      <c r="AD81" s="427"/>
      <c r="AE81" s="386">
        <f>SUM(K81*25)</f>
        <v>1825</v>
      </c>
      <c r="AF81" s="386">
        <f>SUM(L81*25)</f>
        <v>1850</v>
      </c>
      <c r="AG81" s="386">
        <f>SUM(M81*25)</f>
        <v>1850</v>
      </c>
      <c r="AH81" s="386">
        <f>SUM(O81*25)</f>
        <v>1850</v>
      </c>
      <c r="AI81" s="386">
        <f>SUM(P81*25)</f>
        <v>1850</v>
      </c>
    </row>
    <row r="82" spans="1:37" x14ac:dyDescent="0.25">
      <c r="A82">
        <v>78</v>
      </c>
      <c r="B82" s="394" t="s">
        <v>550</v>
      </c>
      <c r="C82" t="s">
        <v>577</v>
      </c>
      <c r="D82" s="411"/>
      <c r="E82" s="411"/>
      <c r="F82" s="411"/>
      <c r="G82" s="411"/>
      <c r="H82" s="411"/>
      <c r="I82" s="411"/>
      <c r="J82" s="411"/>
      <c r="K82" s="411"/>
      <c r="L82" s="411"/>
      <c r="M82" s="411"/>
      <c r="N82" s="407"/>
      <c r="O82" s="411"/>
      <c r="P82" s="410"/>
      <c r="Q82" s="361"/>
      <c r="R82" s="400"/>
      <c r="T82" s="427" t="s">
        <v>28</v>
      </c>
      <c r="U82" s="386"/>
      <c r="V82" s="426"/>
      <c r="X82" s="426"/>
      <c r="AB82" s="426">
        <f>Z82-X82</f>
        <v>0</v>
      </c>
    </row>
    <row r="83" spans="1:37" x14ac:dyDescent="0.25">
      <c r="A83">
        <v>79</v>
      </c>
      <c r="B83" s="394" t="s">
        <v>550</v>
      </c>
      <c r="C83" t="s">
        <v>576</v>
      </c>
      <c r="D83" s="411">
        <v>156434.76999999999</v>
      </c>
      <c r="E83" s="411">
        <v>125400.08</v>
      </c>
      <c r="F83" s="411">
        <v>138393.04</v>
      </c>
      <c r="G83" s="411">
        <v>109323.28</v>
      </c>
      <c r="H83" s="411">
        <v>81596.990000000005</v>
      </c>
      <c r="I83" s="411">
        <v>54885.69</v>
      </c>
      <c r="J83" s="411">
        <v>42887.62</v>
      </c>
      <c r="K83" s="411">
        <v>39296.639999999999</v>
      </c>
      <c r="L83" s="411">
        <v>38739.699999999997</v>
      </c>
      <c r="M83" s="411">
        <v>59100.5</v>
      </c>
      <c r="N83" s="407"/>
      <c r="O83" s="411">
        <v>83177.59</v>
      </c>
      <c r="P83" s="410">
        <v>126761.43</v>
      </c>
      <c r="Q83" s="361"/>
      <c r="R83" s="400"/>
      <c r="T83" s="427" t="s">
        <v>28</v>
      </c>
      <c r="U83" s="386">
        <v>126761.43</v>
      </c>
      <c r="V83" s="426">
        <f>U83/V78</f>
        <v>0.14329996563371875</v>
      </c>
      <c r="X83" s="426">
        <f>U83/V78</f>
        <v>0.14329996563371875</v>
      </c>
      <c r="Z83">
        <v>0.14330000000000001</v>
      </c>
      <c r="AB83" s="426">
        <f>Z83-X83</f>
        <v>3.4366281265185705E-8</v>
      </c>
    </row>
    <row r="84" spans="1:37" x14ac:dyDescent="0.25">
      <c r="A84">
        <v>80</v>
      </c>
      <c r="B84" s="394" t="s">
        <v>550</v>
      </c>
      <c r="C84" t="s">
        <v>575</v>
      </c>
      <c r="D84" s="411">
        <v>43222.92</v>
      </c>
      <c r="E84" s="411">
        <v>29445.74</v>
      </c>
      <c r="F84" s="411">
        <v>38243.29</v>
      </c>
      <c r="G84" s="411">
        <v>31287.71</v>
      </c>
      <c r="H84" s="411">
        <v>21248.27</v>
      </c>
      <c r="I84" s="411">
        <v>15449.41</v>
      </c>
      <c r="J84" s="411">
        <v>13031.72</v>
      </c>
      <c r="K84" s="411">
        <v>14312.45</v>
      </c>
      <c r="L84" s="411">
        <v>12517.83</v>
      </c>
      <c r="M84" s="411">
        <v>26865.67</v>
      </c>
      <c r="N84" s="407"/>
      <c r="O84" s="411">
        <v>18089.310000000001</v>
      </c>
      <c r="P84" s="410">
        <v>36904.800000000003</v>
      </c>
      <c r="Q84" s="361"/>
      <c r="R84" s="400"/>
      <c r="T84" s="427" t="s">
        <v>28</v>
      </c>
      <c r="U84" s="386">
        <v>36904.800000000003</v>
      </c>
      <c r="V84" s="426">
        <f>U84/V79</f>
        <v>0.10983996404622799</v>
      </c>
      <c r="X84" s="426">
        <f>U84/V79</f>
        <v>0.10983996404622799</v>
      </c>
      <c r="Z84">
        <v>0.10983999999999999</v>
      </c>
      <c r="AB84" s="426">
        <f>Z84-X84</f>
        <v>3.5953772001273698E-8</v>
      </c>
    </row>
    <row r="85" spans="1:37" x14ac:dyDescent="0.25">
      <c r="A85">
        <v>81</v>
      </c>
      <c r="B85" s="394" t="s">
        <v>550</v>
      </c>
      <c r="C85" t="s">
        <v>574</v>
      </c>
      <c r="D85" s="411">
        <v>4269.8500000000004</v>
      </c>
      <c r="E85" s="411">
        <v>1539.46</v>
      </c>
      <c r="F85" s="411">
        <v>2685.1</v>
      </c>
      <c r="G85" s="411">
        <v>1578.77</v>
      </c>
      <c r="H85" s="411">
        <v>639.82000000000005</v>
      </c>
      <c r="I85" s="411">
        <v>0</v>
      </c>
      <c r="J85" s="411">
        <v>0</v>
      </c>
      <c r="K85" s="411">
        <v>0</v>
      </c>
      <c r="L85" s="411">
        <v>0</v>
      </c>
      <c r="M85" s="411">
        <v>477.16</v>
      </c>
      <c r="N85" s="407"/>
      <c r="O85" s="411">
        <v>1262.75</v>
      </c>
      <c r="P85" s="410">
        <v>4417.59</v>
      </c>
      <c r="Q85" s="361"/>
      <c r="R85" s="400"/>
      <c r="T85" s="427" t="s">
        <v>28</v>
      </c>
      <c r="U85" s="386">
        <v>4417.59</v>
      </c>
      <c r="V85" s="426">
        <f>U85/V80</f>
        <v>2.7089979211509099E-2</v>
      </c>
      <c r="X85" s="426">
        <f>U85/V80</f>
        <v>2.7089979211509099E-2</v>
      </c>
      <c r="Z85">
        <v>2.7089999999999999E-2</v>
      </c>
      <c r="AB85" s="426">
        <f>Z85-X85</f>
        <v>2.0788490900924828E-8</v>
      </c>
    </row>
    <row r="86" spans="1:37" x14ac:dyDescent="0.25">
      <c r="A86">
        <v>82</v>
      </c>
      <c r="B86" s="394" t="s">
        <v>545</v>
      </c>
      <c r="C86" t="s">
        <v>573</v>
      </c>
      <c r="D86" s="430">
        <f>ROUND(ROUND(9146743*0.0956,0)*0.11295,2)</f>
        <v>98766.76</v>
      </c>
      <c r="E86" s="430">
        <f>ROUND(ROUND(10687012*0.097,0)*0.11295,2)</f>
        <v>117088.49</v>
      </c>
      <c r="F86" s="430">
        <f>ROUND(ROUND(7181224*0.0987,0)*0.11295,2)</f>
        <v>80057.490000000005</v>
      </c>
      <c r="G86" s="430">
        <f>ROUND(ROUND(4977541*0.1102,0)*0.11295,2)</f>
        <v>61955.9</v>
      </c>
      <c r="H86" s="430">
        <f>ROUND(ROUND(2554573*0.1224,0)*0.11295,2)</f>
        <v>35317.21</v>
      </c>
      <c r="I86" s="430">
        <f>ROUND(ROUND(2530552*0.1289,0)*0.11295,2)</f>
        <v>36842.93</v>
      </c>
      <c r="J86" s="430">
        <f>ROUND(ROUND(2469451*0.1229,0)*0.11295,2)</f>
        <v>34279.870000000003</v>
      </c>
      <c r="K86" s="430">
        <f>ROUND(ROUND(1246891*0.1238,0)*0.10984,2)</f>
        <v>16955.45</v>
      </c>
      <c r="L86" s="430">
        <f>ROUND(ROUND(2233399*0.1213,0)*0.10984,2)</f>
        <v>29756.86</v>
      </c>
      <c r="M86" s="430">
        <f>ROUND(ROUND(4424005*0.1367,0)*0.10984,2)</f>
        <v>66426.95</v>
      </c>
      <c r="N86" s="407"/>
      <c r="O86" s="430">
        <f>ROUND(ROUND(8615742*0.114,0)*0.10984,2)</f>
        <v>107884.3</v>
      </c>
      <c r="P86" s="430">
        <f>ROUND(ROUND(10228218*0.1077,0)*0.10984,2)</f>
        <v>120997.44</v>
      </c>
      <c r="Q86" s="361"/>
      <c r="R86" s="400"/>
      <c r="T86" s="427" t="s">
        <v>11</v>
      </c>
      <c r="U86" s="386">
        <v>581427.31999999995</v>
      </c>
      <c r="V86" s="426">
        <f>U86/V81</f>
        <v>0.42021392755083303</v>
      </c>
      <c r="X86" s="426">
        <f>U86/X81</f>
        <v>0.42021392755083303</v>
      </c>
      <c r="Z86">
        <v>0.41949999999999998</v>
      </c>
      <c r="AB86" s="426">
        <f>Z86-X86</f>
        <v>-7.1392755083304893E-4</v>
      </c>
      <c r="AK86" s="361">
        <f>+P86</f>
        <v>120997.44</v>
      </c>
    </row>
    <row r="87" spans="1:37" x14ac:dyDescent="0.25">
      <c r="A87">
        <v>83</v>
      </c>
      <c r="B87" s="394" t="s">
        <v>545</v>
      </c>
      <c r="C87" t="s">
        <v>572</v>
      </c>
      <c r="D87" s="409">
        <f>-[1]WACAP2017!O85</f>
        <v>-134303.76</v>
      </c>
      <c r="E87" s="409">
        <f t="shared" ref="E87:M87" si="32">-D86</f>
        <v>-98766.76</v>
      </c>
      <c r="F87" s="409">
        <f t="shared" si="32"/>
        <v>-117088.49</v>
      </c>
      <c r="G87" s="409">
        <f t="shared" si="32"/>
        <v>-80057.490000000005</v>
      </c>
      <c r="H87" s="409">
        <f t="shared" si="32"/>
        <v>-61955.9</v>
      </c>
      <c r="I87" s="409">
        <f t="shared" si="32"/>
        <v>-35317.21</v>
      </c>
      <c r="J87" s="409">
        <f t="shared" si="32"/>
        <v>-36842.93</v>
      </c>
      <c r="K87" s="409">
        <f t="shared" si="32"/>
        <v>-34279.870000000003</v>
      </c>
      <c r="L87" s="409">
        <f t="shared" si="32"/>
        <v>-16955.45</v>
      </c>
      <c r="M87" s="409">
        <f t="shared" si="32"/>
        <v>-29756.86</v>
      </c>
      <c r="N87" s="406"/>
      <c r="O87" s="409">
        <f>-M86</f>
        <v>-66426.95</v>
      </c>
      <c r="P87" s="408">
        <f>-O86</f>
        <v>-107884.3</v>
      </c>
      <c r="Q87" s="361"/>
      <c r="R87" s="400"/>
      <c r="T87" s="427"/>
      <c r="U87" s="386"/>
      <c r="V87" s="426"/>
      <c r="X87" s="426"/>
      <c r="AB87" s="426"/>
      <c r="AK87" s="361">
        <f>+D87</f>
        <v>-134303.76</v>
      </c>
    </row>
    <row r="88" spans="1:37" x14ac:dyDescent="0.25">
      <c r="A88">
        <v>84</v>
      </c>
      <c r="B88" s="394"/>
      <c r="C88" s="380" t="s">
        <v>543</v>
      </c>
      <c r="D88" s="386">
        <f t="shared" ref="D88:M88" si="33">SUM(D82:D87)</f>
        <v>168390.53999999998</v>
      </c>
      <c r="E88" s="386">
        <f t="shared" si="33"/>
        <v>174707.01</v>
      </c>
      <c r="F88" s="386">
        <f t="shared" si="33"/>
        <v>142290.43000000005</v>
      </c>
      <c r="G88" s="386">
        <f t="shared" si="33"/>
        <v>124088.16999999997</v>
      </c>
      <c r="H88" s="386">
        <f t="shared" si="33"/>
        <v>76846.390000000014</v>
      </c>
      <c r="I88" s="386">
        <f t="shared" si="33"/>
        <v>71860.820000000007</v>
      </c>
      <c r="J88" s="386">
        <f t="shared" si="33"/>
        <v>53356.280000000006</v>
      </c>
      <c r="K88" s="386">
        <f t="shared" si="33"/>
        <v>36284.669999999991</v>
      </c>
      <c r="L88" s="386">
        <f t="shared" si="33"/>
        <v>64058.94</v>
      </c>
      <c r="M88" s="386">
        <f t="shared" si="33"/>
        <v>123113.42</v>
      </c>
      <c r="N88" s="407"/>
      <c r="O88" s="386">
        <f>SUM(O82:O87)</f>
        <v>143987</v>
      </c>
      <c r="P88" s="429">
        <f>SUM(P82:P87)</f>
        <v>181196.96000000002</v>
      </c>
      <c r="R88" s="392"/>
    </row>
    <row r="89" spans="1:37" x14ac:dyDescent="0.25">
      <c r="A89">
        <v>85</v>
      </c>
      <c r="B89" s="394"/>
      <c r="C89" s="380" t="s">
        <v>542</v>
      </c>
      <c r="D89" s="405">
        <f>ROUND(-'[1]Authorized Margins'!J73*WACAP2018!D81,2)</f>
        <v>-149030.23000000001</v>
      </c>
      <c r="E89" s="405">
        <f>ROUND(-'[1]Authorized Margins'!K73*WACAP2018!E81,2)</f>
        <v>-136038.42000000001</v>
      </c>
      <c r="F89" s="405">
        <f>ROUND(-'[1]Authorized Margins'!L73*WACAP2018!F81,2)</f>
        <v>-165363.98000000001</v>
      </c>
      <c r="G89" s="405">
        <f>ROUND(-'[1]Authorized Margins'!M73*WACAP2018!G81,2)</f>
        <v>-98570.44</v>
      </c>
      <c r="H89" s="405">
        <f>ROUND(-'[1]Authorized Margins'!N73*WACAP2018!H81,2)</f>
        <v>-78942.929999999993</v>
      </c>
      <c r="I89" s="405">
        <f>ROUND(-'[1]Authorized Margins'!O73*WACAP2018!I81,2)</f>
        <v>-56117.29</v>
      </c>
      <c r="J89" s="405">
        <f>ROUND(-'[1]Authorized Margins'!D73*WACAP2018!J81,2)</f>
        <v>-40925.26</v>
      </c>
      <c r="K89" s="405">
        <f>ROUND(-'[1]Authorized Margins 2018'!E16*WACAP2018!K81,2)</f>
        <v>-59298.63</v>
      </c>
      <c r="L89" s="405">
        <f>ROUND(-'[1]Authorized Margins 2018'!F16*WACAP2018!L81,2)</f>
        <v>-56342.12</v>
      </c>
      <c r="M89" s="405">
        <f>ROUND(-'[1]Authorized Margins 2018'!G16*WACAP2018!M81,2)</f>
        <v>-63989.279999999999</v>
      </c>
      <c r="N89" s="406"/>
      <c r="O89" s="405">
        <f>ROUND(-'[1]Authorized Margins 2018'!H16*WACAP2018!O81,2)</f>
        <v>-86033.88</v>
      </c>
      <c r="P89" s="404">
        <f>ROUND(-'[1]Authorized Margins 2018'!I16*WACAP2018!P81,2)</f>
        <v>-139331.64000000001</v>
      </c>
      <c r="R89" s="392"/>
    </row>
    <row r="90" spans="1:37" x14ac:dyDescent="0.25">
      <c r="A90">
        <v>86</v>
      </c>
      <c r="B90" s="394"/>
      <c r="C90" s="380" t="s">
        <v>541</v>
      </c>
      <c r="D90" s="378">
        <f t="shared" ref="D90:M90" si="34">SUM(D88:D89)</f>
        <v>19360.309999999969</v>
      </c>
      <c r="E90" s="378">
        <f t="shared" si="34"/>
        <v>38668.589999999997</v>
      </c>
      <c r="F90" s="378">
        <f t="shared" si="34"/>
        <v>-23073.549999999959</v>
      </c>
      <c r="G90" s="378">
        <f t="shared" si="34"/>
        <v>25517.729999999967</v>
      </c>
      <c r="H90" s="378">
        <f t="shared" si="34"/>
        <v>-2096.539999999979</v>
      </c>
      <c r="I90" s="378">
        <f t="shared" si="34"/>
        <v>15743.530000000006</v>
      </c>
      <c r="J90" s="378">
        <f t="shared" si="34"/>
        <v>12431.020000000004</v>
      </c>
      <c r="K90" s="378">
        <f t="shared" si="34"/>
        <v>-23013.960000000006</v>
      </c>
      <c r="L90" s="378">
        <f t="shared" si="34"/>
        <v>7716.82</v>
      </c>
      <c r="M90" s="378">
        <f t="shared" si="34"/>
        <v>59124.14</v>
      </c>
      <c r="N90" s="402">
        <f>-[1]WACAP2017!Q91</f>
        <v>-296435.60000000009</v>
      </c>
      <c r="O90" s="378">
        <f>SUM(O88:O89)</f>
        <v>57953.119999999995</v>
      </c>
      <c r="P90" s="401">
        <f>SUM(P88:P89)</f>
        <v>41865.320000000007</v>
      </c>
      <c r="R90" s="400">
        <f>SUM(D90:Q90)-N90</f>
        <v>230196.53000000003</v>
      </c>
    </row>
    <row r="91" spans="1:37" x14ac:dyDescent="0.25">
      <c r="A91">
        <v>87</v>
      </c>
      <c r="B91" s="394"/>
      <c r="C91" s="380" t="s">
        <v>540</v>
      </c>
      <c r="D91" s="54">
        <f>ROUND(ROUND([1]WACAP2017!O92*D$6,2)/365*D$7,2)</f>
        <v>1070.01</v>
      </c>
      <c r="E91" s="54">
        <f t="shared" ref="E91:M91" si="35">ROUND(ROUND(D93*E$6,2)/365*E$7,2)</f>
        <v>1033.07</v>
      </c>
      <c r="F91" s="54">
        <f t="shared" si="35"/>
        <v>1287.06</v>
      </c>
      <c r="G91" s="54">
        <f t="shared" si="35"/>
        <v>1229.98</v>
      </c>
      <c r="H91" s="54">
        <f t="shared" si="35"/>
        <v>1372.52</v>
      </c>
      <c r="I91" s="54">
        <f t="shared" si="35"/>
        <v>1325.59</v>
      </c>
      <c r="J91" s="54">
        <f t="shared" si="35"/>
        <v>1505.18</v>
      </c>
      <c r="K91" s="54">
        <f t="shared" si="35"/>
        <v>1560.69</v>
      </c>
      <c r="L91" s="54">
        <f t="shared" si="35"/>
        <v>1427.65</v>
      </c>
      <c r="M91" s="54">
        <f t="shared" si="35"/>
        <v>1598.69</v>
      </c>
      <c r="N91" s="384">
        <f>'[1]Ammort Split2018'!N90</f>
        <v>-11354.1</v>
      </c>
      <c r="O91" s="54">
        <f>ROUND(ROUND(N93*O$6,2)/365*O$7,2)</f>
        <v>539.9</v>
      </c>
      <c r="P91" s="399">
        <f>ROUND(ROUND(O93*P$6,2)/365*P$7,2)</f>
        <v>804.3</v>
      </c>
      <c r="R91" s="398">
        <f>SUM(D91:Q91)</f>
        <v>3400.54</v>
      </c>
    </row>
    <row r="92" spans="1:37" x14ac:dyDescent="0.25">
      <c r="A92">
        <v>88</v>
      </c>
      <c r="B92" s="394"/>
      <c r="C92" s="380" t="s">
        <v>539</v>
      </c>
      <c r="D92" s="383">
        <f t="shared" ref="D92:P92" si="36">SUM(D90:D91)</f>
        <v>20430.319999999967</v>
      </c>
      <c r="E92" s="383">
        <f t="shared" si="36"/>
        <v>39701.659999999996</v>
      </c>
      <c r="F92" s="383">
        <f t="shared" si="36"/>
        <v>-21786.489999999958</v>
      </c>
      <c r="G92" s="383">
        <f t="shared" si="36"/>
        <v>26747.709999999966</v>
      </c>
      <c r="H92" s="383">
        <f t="shared" si="36"/>
        <v>-724.01999999997906</v>
      </c>
      <c r="I92" s="383">
        <f t="shared" si="36"/>
        <v>17069.120000000006</v>
      </c>
      <c r="J92" s="383">
        <f t="shared" si="36"/>
        <v>13936.200000000004</v>
      </c>
      <c r="K92" s="383">
        <f t="shared" si="36"/>
        <v>-21453.270000000008</v>
      </c>
      <c r="L92" s="383">
        <f t="shared" si="36"/>
        <v>9144.4699999999993</v>
      </c>
      <c r="M92" s="383">
        <f t="shared" si="36"/>
        <v>60722.83</v>
      </c>
      <c r="N92" s="397">
        <f t="shared" si="36"/>
        <v>-307789.70000000007</v>
      </c>
      <c r="O92" s="383">
        <f t="shared" si="36"/>
        <v>58493.02</v>
      </c>
      <c r="P92" s="396">
        <f t="shared" si="36"/>
        <v>42669.62000000001</v>
      </c>
      <c r="R92" s="395">
        <f>SUM(R90:R91)</f>
        <v>233597.07000000004</v>
      </c>
    </row>
    <row r="93" spans="1:37" x14ac:dyDescent="0.25">
      <c r="A93">
        <v>89</v>
      </c>
      <c r="B93" s="394"/>
      <c r="C93" s="380" t="s">
        <v>536</v>
      </c>
      <c r="D93" s="378">
        <f>[1]WACAP2017!O92+WACAP2018!D92</f>
        <v>316865.92000000004</v>
      </c>
      <c r="E93" s="378">
        <f t="shared" ref="E93:P93" si="37">D93+E92</f>
        <v>356567.58</v>
      </c>
      <c r="F93" s="378">
        <f t="shared" si="37"/>
        <v>334781.09000000008</v>
      </c>
      <c r="G93" s="378">
        <f t="shared" si="37"/>
        <v>361528.80000000005</v>
      </c>
      <c r="H93" s="378">
        <f t="shared" si="37"/>
        <v>360804.78000000009</v>
      </c>
      <c r="I93" s="378">
        <f t="shared" si="37"/>
        <v>377873.90000000008</v>
      </c>
      <c r="J93" s="378">
        <f t="shared" si="37"/>
        <v>391810.10000000009</v>
      </c>
      <c r="K93" s="378">
        <f t="shared" si="37"/>
        <v>370356.83000000007</v>
      </c>
      <c r="L93" s="378">
        <f t="shared" si="37"/>
        <v>379501.30000000005</v>
      </c>
      <c r="M93" s="378">
        <f t="shared" si="37"/>
        <v>440224.13000000006</v>
      </c>
      <c r="N93" s="379">
        <f t="shared" si="37"/>
        <v>132434.43</v>
      </c>
      <c r="O93" s="378">
        <f t="shared" si="37"/>
        <v>190927.44999999998</v>
      </c>
      <c r="P93" s="393">
        <f t="shared" si="37"/>
        <v>233597.07</v>
      </c>
      <c r="R93" s="392"/>
    </row>
    <row r="94" spans="1:37" x14ac:dyDescent="0.25">
      <c r="A94">
        <v>90</v>
      </c>
      <c r="B94" s="425"/>
      <c r="D94" s="17"/>
      <c r="E94" s="17"/>
      <c r="F94" s="386"/>
      <c r="G94" s="17"/>
      <c r="H94" s="17"/>
      <c r="I94" s="17"/>
      <c r="J94" s="17"/>
      <c r="K94" s="17"/>
      <c r="L94" s="17"/>
      <c r="M94" s="17"/>
      <c r="N94" s="420"/>
      <c r="O94" s="17"/>
      <c r="P94" s="422"/>
      <c r="R94" s="392"/>
    </row>
    <row r="95" spans="1:37" x14ac:dyDescent="0.25">
      <c r="A95">
        <v>91</v>
      </c>
      <c r="B95" s="425">
        <v>512</v>
      </c>
      <c r="C95" s="424" t="s">
        <v>571</v>
      </c>
      <c r="D95" s="17"/>
      <c r="E95" s="17"/>
      <c r="F95" s="386"/>
      <c r="G95" s="17"/>
      <c r="H95" s="17"/>
      <c r="I95" s="17"/>
      <c r="J95" s="17"/>
      <c r="K95" s="423" t="s">
        <v>554</v>
      </c>
      <c r="L95" s="17"/>
      <c r="M95" s="17"/>
      <c r="N95" s="420"/>
      <c r="O95" s="17"/>
      <c r="P95" s="422"/>
      <c r="R95" s="392"/>
      <c r="T95" s="413"/>
      <c r="U95" s="413">
        <v>512</v>
      </c>
      <c r="V95" s="413"/>
      <c r="W95" s="413"/>
      <c r="X95" s="413"/>
      <c r="Y95" s="413"/>
      <c r="Z95" s="413"/>
      <c r="AA95" s="413"/>
      <c r="AB95" s="413"/>
    </row>
    <row r="96" spans="1:37" x14ac:dyDescent="0.25">
      <c r="A96">
        <v>92</v>
      </c>
      <c r="B96" s="394" t="s">
        <v>553</v>
      </c>
      <c r="C96" t="s">
        <v>552</v>
      </c>
      <c r="D96" s="419">
        <v>1</v>
      </c>
      <c r="E96" s="419">
        <v>1</v>
      </c>
      <c r="F96" s="419">
        <v>1</v>
      </c>
      <c r="G96" s="419">
        <v>1</v>
      </c>
      <c r="H96" s="419">
        <v>1</v>
      </c>
      <c r="I96" s="419">
        <v>1</v>
      </c>
      <c r="J96" s="419">
        <v>1</v>
      </c>
      <c r="K96" s="419">
        <v>0</v>
      </c>
      <c r="L96" s="419">
        <v>0</v>
      </c>
      <c r="M96" s="419">
        <v>0</v>
      </c>
      <c r="N96" s="420"/>
      <c r="O96" s="419">
        <v>0</v>
      </c>
      <c r="P96" s="418">
        <v>0</v>
      </c>
      <c r="Q96" s="16"/>
      <c r="R96" s="417"/>
      <c r="T96" s="413"/>
      <c r="U96" s="413"/>
      <c r="V96" s="416">
        <v>4195</v>
      </c>
      <c r="W96" s="413" t="s">
        <v>31</v>
      </c>
      <c r="X96" s="416">
        <f>V96</f>
        <v>4195</v>
      </c>
      <c r="Y96" s="413"/>
      <c r="Z96" s="413"/>
      <c r="AA96" s="413"/>
      <c r="AB96" s="413"/>
    </row>
    <row r="97" spans="1:37" x14ac:dyDescent="0.25">
      <c r="A97">
        <v>93</v>
      </c>
      <c r="B97" s="394" t="s">
        <v>550</v>
      </c>
      <c r="C97" t="s">
        <v>570</v>
      </c>
      <c r="D97" s="409">
        <v>953.02</v>
      </c>
      <c r="E97" s="409">
        <v>766.8</v>
      </c>
      <c r="F97" s="409">
        <v>894.6</v>
      </c>
      <c r="G97" s="409">
        <v>822</v>
      </c>
      <c r="H97" s="409">
        <v>990.18</v>
      </c>
      <c r="I97" s="409">
        <v>961.19</v>
      </c>
      <c r="J97" s="409">
        <v>901.04</v>
      </c>
      <c r="K97" s="409">
        <v>0</v>
      </c>
      <c r="L97" s="409">
        <v>0</v>
      </c>
      <c r="M97" s="409">
        <v>0</v>
      </c>
      <c r="N97" s="406"/>
      <c r="O97" s="409">
        <v>0</v>
      </c>
      <c r="P97" s="408">
        <v>0</v>
      </c>
      <c r="Q97" s="361"/>
      <c r="R97" s="400"/>
      <c r="T97" s="415" t="s">
        <v>28</v>
      </c>
      <c r="U97" s="414">
        <v>901.04</v>
      </c>
      <c r="V97" s="412">
        <f>U97/V96</f>
        <v>0.21478903456495826</v>
      </c>
      <c r="W97" s="413"/>
      <c r="X97" s="412">
        <f>U97/X96</f>
        <v>0.21478903456495826</v>
      </c>
      <c r="Y97" s="413"/>
      <c r="Z97" s="413">
        <v>0.21479000000000001</v>
      </c>
      <c r="AA97" s="413"/>
      <c r="AB97" s="412">
        <f>Z97-X97</f>
        <v>9.6543504174428918E-7</v>
      </c>
    </row>
    <row r="98" spans="1:37" x14ac:dyDescent="0.25">
      <c r="A98">
        <v>94</v>
      </c>
      <c r="B98" s="394"/>
      <c r="C98" s="380" t="s">
        <v>543</v>
      </c>
      <c r="D98" s="386">
        <f t="shared" ref="D98:M98" si="38">D97</f>
        <v>953.02</v>
      </c>
      <c r="E98" s="386">
        <f t="shared" si="38"/>
        <v>766.8</v>
      </c>
      <c r="F98" s="386">
        <f t="shared" si="38"/>
        <v>894.6</v>
      </c>
      <c r="G98" s="386">
        <f t="shared" si="38"/>
        <v>822</v>
      </c>
      <c r="H98" s="386">
        <f t="shared" si="38"/>
        <v>990.18</v>
      </c>
      <c r="I98" s="386">
        <f t="shared" si="38"/>
        <v>961.19</v>
      </c>
      <c r="J98" s="386">
        <f t="shared" si="38"/>
        <v>901.04</v>
      </c>
      <c r="K98" s="386">
        <f t="shared" si="38"/>
        <v>0</v>
      </c>
      <c r="L98" s="386">
        <f t="shared" si="38"/>
        <v>0</v>
      </c>
      <c r="M98" s="386">
        <f t="shared" si="38"/>
        <v>0</v>
      </c>
      <c r="N98" s="407"/>
      <c r="O98" s="386">
        <f>O97</f>
        <v>0</v>
      </c>
      <c r="P98" s="428">
        <f>P97</f>
        <v>0</v>
      </c>
      <c r="R98" s="392"/>
      <c r="T98" s="415" t="s">
        <v>11</v>
      </c>
      <c r="U98" s="414">
        <v>1920.14</v>
      </c>
      <c r="V98" s="412">
        <f>U98/V96</f>
        <v>0.45772109654350418</v>
      </c>
      <c r="W98" s="413"/>
      <c r="X98" s="412">
        <f>U98/X96</f>
        <v>0.45772109654350418</v>
      </c>
      <c r="Y98" s="413"/>
      <c r="Z98" s="413">
        <v>0.45772000000000002</v>
      </c>
      <c r="AA98" s="413"/>
      <c r="AB98" s="412">
        <f>Z98-X98</f>
        <v>-1.0965435041643268E-6</v>
      </c>
    </row>
    <row r="99" spans="1:37" x14ac:dyDescent="0.25">
      <c r="A99">
        <v>95</v>
      </c>
      <c r="B99" s="394"/>
      <c r="C99" s="380" t="s">
        <v>542</v>
      </c>
      <c r="D99" s="405">
        <f>-'[1]Authorized Margins'!J79*WACAP2018!D96</f>
        <v>-744.68</v>
      </c>
      <c r="E99" s="405">
        <f>-'[1]Authorized Margins'!K79*WACAP2018!E96</f>
        <v>-817.71</v>
      </c>
      <c r="F99" s="405">
        <f>-'[1]Authorized Margins'!L79*WACAP2018!F96</f>
        <v>-890.73</v>
      </c>
      <c r="G99" s="405">
        <f>-'[1]Authorized Margins'!M79*WACAP2018!G96</f>
        <v>-779.9</v>
      </c>
      <c r="H99" s="405">
        <f>-'[1]Authorized Margins'!N79*WACAP2018!H96</f>
        <v>-862.38</v>
      </c>
      <c r="I99" s="405">
        <f>-'[1]Authorized Margins'!O79*WACAP2018!I96</f>
        <v>-863.67</v>
      </c>
      <c r="J99" s="405">
        <f>-'[1]Authorized Margins'!D79*WACAP2018!J96</f>
        <v>-848.85</v>
      </c>
      <c r="K99" s="405">
        <v>0</v>
      </c>
      <c r="L99" s="405">
        <v>0</v>
      </c>
      <c r="M99" s="405">
        <v>0</v>
      </c>
      <c r="N99" s="406"/>
      <c r="O99" s="405">
        <v>0</v>
      </c>
      <c r="P99" s="404">
        <v>0</v>
      </c>
      <c r="R99" s="392"/>
    </row>
    <row r="100" spans="1:37" x14ac:dyDescent="0.25">
      <c r="A100">
        <v>96</v>
      </c>
      <c r="B100" s="394"/>
      <c r="C100" s="380" t="s">
        <v>541</v>
      </c>
      <c r="D100" s="378">
        <f t="shared" ref="D100:M100" si="39">SUM(D98:D99)</f>
        <v>208.34000000000003</v>
      </c>
      <c r="E100" s="378">
        <f t="shared" si="39"/>
        <v>-50.910000000000082</v>
      </c>
      <c r="F100" s="378">
        <f t="shared" si="39"/>
        <v>3.8700000000000045</v>
      </c>
      <c r="G100" s="378">
        <f t="shared" si="39"/>
        <v>42.100000000000023</v>
      </c>
      <c r="H100" s="378">
        <f t="shared" si="39"/>
        <v>127.79999999999995</v>
      </c>
      <c r="I100" s="378">
        <f t="shared" si="39"/>
        <v>97.520000000000095</v>
      </c>
      <c r="J100" s="378">
        <f t="shared" si="39"/>
        <v>52.189999999999941</v>
      </c>
      <c r="K100" s="378">
        <f t="shared" si="39"/>
        <v>0</v>
      </c>
      <c r="L100" s="378">
        <f t="shared" si="39"/>
        <v>0</v>
      </c>
      <c r="M100" s="378">
        <f t="shared" si="39"/>
        <v>0</v>
      </c>
      <c r="N100" s="402">
        <f>-[1]WACAP2017!Q101</f>
        <v>-397.53999999999991</v>
      </c>
      <c r="O100" s="378">
        <f>SUM(O98:O99)</f>
        <v>0</v>
      </c>
      <c r="P100" s="401">
        <f>SUM(P98:P99)</f>
        <v>0</v>
      </c>
      <c r="R100" s="400">
        <f>SUM(D100:Q100)-N100</f>
        <v>480.90999999999997</v>
      </c>
    </row>
    <row r="101" spans="1:37" x14ac:dyDescent="0.25">
      <c r="A101">
        <v>97</v>
      </c>
      <c r="B101" s="394"/>
      <c r="C101" s="380" t="s">
        <v>540</v>
      </c>
      <c r="D101" s="54">
        <f>ROUND(ROUND([1]WACAP2017!O102*D$6,2)/365*D$7,2)</f>
        <v>1.44</v>
      </c>
      <c r="E101" s="54">
        <f t="shared" ref="E101:M101" si="40">ROUND(ROUND(D103*E$6,2)/365*E$7,2)</f>
        <v>1.98</v>
      </c>
      <c r="F101" s="54">
        <f t="shared" si="40"/>
        <v>2.02</v>
      </c>
      <c r="G101" s="54">
        <f t="shared" si="40"/>
        <v>2.0699999999999998</v>
      </c>
      <c r="H101" s="54">
        <f t="shared" si="40"/>
        <v>2.31</v>
      </c>
      <c r="I101" s="54">
        <f t="shared" si="40"/>
        <v>2.71</v>
      </c>
      <c r="J101" s="54">
        <f t="shared" si="40"/>
        <v>3.34</v>
      </c>
      <c r="K101" s="54">
        <f t="shared" si="40"/>
        <v>3.56</v>
      </c>
      <c r="L101" s="54">
        <f t="shared" si="40"/>
        <v>3.46</v>
      </c>
      <c r="M101" s="54">
        <f t="shared" si="40"/>
        <v>3.8</v>
      </c>
      <c r="N101" s="384">
        <f>'[1]Ammort Split2018'!N100</f>
        <v>-15.230000000000002</v>
      </c>
      <c r="O101" s="54">
        <f>ROUND(ROUND(N103*O$6,2)/365*O$7,2)</f>
        <v>2.0099999999999998</v>
      </c>
      <c r="P101" s="399">
        <f>ROUND(ROUND(O103*P$6,2)/365*P$7,2)</f>
        <v>2.08</v>
      </c>
      <c r="R101" s="398">
        <f>SUM(D101:Q101)</f>
        <v>15.549999999999999</v>
      </c>
    </row>
    <row r="102" spans="1:37" x14ac:dyDescent="0.25">
      <c r="A102">
        <v>98</v>
      </c>
      <c r="B102" s="394"/>
      <c r="C102" s="380" t="s">
        <v>539</v>
      </c>
      <c r="D102" s="383">
        <f t="shared" ref="D102:P102" si="41">SUM(D100:D101)</f>
        <v>209.78000000000003</v>
      </c>
      <c r="E102" s="383">
        <f t="shared" si="41"/>
        <v>-48.930000000000085</v>
      </c>
      <c r="F102" s="383">
        <f t="shared" si="41"/>
        <v>5.8900000000000041</v>
      </c>
      <c r="G102" s="383">
        <f t="shared" si="41"/>
        <v>44.170000000000023</v>
      </c>
      <c r="H102" s="383">
        <f t="shared" si="41"/>
        <v>130.10999999999996</v>
      </c>
      <c r="I102" s="383">
        <f t="shared" si="41"/>
        <v>100.23000000000009</v>
      </c>
      <c r="J102" s="383">
        <f t="shared" si="41"/>
        <v>55.529999999999944</v>
      </c>
      <c r="K102" s="383">
        <f t="shared" si="41"/>
        <v>3.56</v>
      </c>
      <c r="L102" s="383">
        <f t="shared" si="41"/>
        <v>3.46</v>
      </c>
      <c r="M102" s="383">
        <f t="shared" si="41"/>
        <v>3.8</v>
      </c>
      <c r="N102" s="397">
        <f t="shared" si="41"/>
        <v>-412.76999999999992</v>
      </c>
      <c r="O102" s="383">
        <f t="shared" si="41"/>
        <v>2.0099999999999998</v>
      </c>
      <c r="P102" s="396">
        <f t="shared" si="41"/>
        <v>2.08</v>
      </c>
      <c r="R102" s="395">
        <f>SUM(R100:R101)</f>
        <v>496.46</v>
      </c>
    </row>
    <row r="103" spans="1:37" x14ac:dyDescent="0.25">
      <c r="A103">
        <v>99</v>
      </c>
      <c r="B103" s="394"/>
      <c r="C103" s="380" t="s">
        <v>536</v>
      </c>
      <c r="D103" s="378">
        <f>[1]WACAP2017!O102+WACAP2018!D102</f>
        <v>607.31999999999994</v>
      </c>
      <c r="E103" s="378">
        <f t="shared" ref="E103:P103" si="42">D103+E102</f>
        <v>558.38999999999987</v>
      </c>
      <c r="F103" s="378">
        <f t="shared" si="42"/>
        <v>564.27999999999986</v>
      </c>
      <c r="G103" s="378">
        <f t="shared" si="42"/>
        <v>608.44999999999993</v>
      </c>
      <c r="H103" s="378">
        <f t="shared" si="42"/>
        <v>738.56</v>
      </c>
      <c r="I103" s="378">
        <f t="shared" si="42"/>
        <v>838.79000000000008</v>
      </c>
      <c r="J103" s="378">
        <f t="shared" si="42"/>
        <v>894.32</v>
      </c>
      <c r="K103" s="378">
        <f t="shared" si="42"/>
        <v>897.88</v>
      </c>
      <c r="L103" s="378">
        <f t="shared" si="42"/>
        <v>901.34</v>
      </c>
      <c r="M103" s="378">
        <f t="shared" si="42"/>
        <v>905.14</v>
      </c>
      <c r="N103" s="379">
        <f t="shared" si="42"/>
        <v>492.37000000000006</v>
      </c>
      <c r="O103" s="378">
        <f t="shared" si="42"/>
        <v>494.38000000000005</v>
      </c>
      <c r="P103" s="393">
        <f t="shared" si="42"/>
        <v>496.46000000000004</v>
      </c>
      <c r="R103" s="392"/>
      <c r="V103" s="361">
        <f>ROUND(U108/Z108,0)</f>
        <v>79</v>
      </c>
    </row>
    <row r="104" spans="1:37" x14ac:dyDescent="0.25">
      <c r="A104">
        <v>100</v>
      </c>
      <c r="B104" s="425"/>
      <c r="D104" s="17"/>
      <c r="E104" s="17"/>
      <c r="F104" s="386"/>
      <c r="G104" s="17"/>
      <c r="H104" s="17"/>
      <c r="I104" s="17"/>
      <c r="J104" s="17"/>
      <c r="K104" s="17"/>
      <c r="L104" s="17"/>
      <c r="M104" s="17"/>
      <c r="N104" s="420"/>
      <c r="O104" s="17"/>
      <c r="P104" s="422"/>
      <c r="R104" s="392"/>
      <c r="T104" s="427"/>
      <c r="U104" s="386"/>
      <c r="V104" s="361">
        <f>ROUND(U109/Z109,0)</f>
        <v>0</v>
      </c>
    </row>
    <row r="105" spans="1:37" x14ac:dyDescent="0.25">
      <c r="A105">
        <v>101</v>
      </c>
      <c r="B105" s="425" t="s">
        <v>569</v>
      </c>
      <c r="C105" s="424" t="s">
        <v>568</v>
      </c>
      <c r="D105" s="17"/>
      <c r="E105" s="17"/>
      <c r="F105" s="386"/>
      <c r="G105" s="17"/>
      <c r="H105" s="17"/>
      <c r="I105" s="17"/>
      <c r="J105" s="17"/>
      <c r="K105" s="17"/>
      <c r="L105" s="17"/>
      <c r="M105" s="17"/>
      <c r="N105" s="420"/>
      <c r="O105" s="17"/>
      <c r="P105" s="422"/>
      <c r="R105" s="392"/>
      <c r="U105">
        <v>505</v>
      </c>
      <c r="V105" s="361">
        <f>ROUND(U110/Z110,0)</f>
        <v>0</v>
      </c>
      <c r="W105" s="361">
        <f>SUM(V101:V105)</f>
        <v>79</v>
      </c>
      <c r="AD105" s="386">
        <v>12</v>
      </c>
      <c r="AF105" s="17"/>
    </row>
    <row r="106" spans="1:37" x14ac:dyDescent="0.25">
      <c r="A106">
        <v>102</v>
      </c>
      <c r="B106" s="394" t="s">
        <v>553</v>
      </c>
      <c r="C106" t="s">
        <v>552</v>
      </c>
      <c r="D106" s="419">
        <v>1</v>
      </c>
      <c r="E106" s="419">
        <v>1</v>
      </c>
      <c r="F106" s="419">
        <v>1</v>
      </c>
      <c r="G106" s="419">
        <v>1</v>
      </c>
      <c r="H106" s="419">
        <v>1</v>
      </c>
      <c r="I106" s="419">
        <v>1</v>
      </c>
      <c r="J106" s="419">
        <v>1</v>
      </c>
      <c r="K106" s="419">
        <v>1</v>
      </c>
      <c r="L106" s="419">
        <v>1</v>
      </c>
      <c r="M106" s="419">
        <v>1</v>
      </c>
      <c r="N106" s="420"/>
      <c r="O106" s="419">
        <v>1</v>
      </c>
      <c r="P106" s="418">
        <v>1</v>
      </c>
      <c r="Q106" s="16"/>
      <c r="R106" s="417"/>
      <c r="V106" s="17">
        <v>79</v>
      </c>
      <c r="W106" t="s">
        <v>31</v>
      </c>
      <c r="X106" s="17">
        <f>V106</f>
        <v>79</v>
      </c>
      <c r="AD106" s="427"/>
      <c r="AE106" s="386">
        <f>SUM(K106*12)</f>
        <v>12</v>
      </c>
      <c r="AF106" s="386">
        <f>SUM(L106*12)</f>
        <v>12</v>
      </c>
      <c r="AG106" s="386">
        <f>SUM(M106*12)</f>
        <v>12</v>
      </c>
      <c r="AH106" s="386">
        <f>SUM(O106*12)</f>
        <v>12</v>
      </c>
      <c r="AI106" s="386">
        <f>SUM(P106*12)</f>
        <v>12</v>
      </c>
    </row>
    <row r="107" spans="1:37" x14ac:dyDescent="0.25">
      <c r="A107">
        <v>103</v>
      </c>
      <c r="B107" s="394" t="s">
        <v>550</v>
      </c>
      <c r="C107" t="s">
        <v>567</v>
      </c>
      <c r="D107" s="411">
        <v>78.58</v>
      </c>
      <c r="E107" s="411">
        <v>94.22</v>
      </c>
      <c r="F107" s="411">
        <v>0</v>
      </c>
      <c r="G107" s="411">
        <v>9.61</v>
      </c>
      <c r="H107" s="411">
        <v>0</v>
      </c>
      <c r="I107" s="411">
        <v>0</v>
      </c>
      <c r="J107" s="411">
        <v>31.47</v>
      </c>
      <c r="K107" s="411">
        <v>0</v>
      </c>
      <c r="L107" s="411">
        <v>64.09</v>
      </c>
      <c r="M107" s="411">
        <v>33.56</v>
      </c>
      <c r="N107" s="407"/>
      <c r="O107" s="411">
        <v>3.75</v>
      </c>
      <c r="P107" s="410">
        <v>11.25</v>
      </c>
      <c r="Q107" s="361"/>
      <c r="R107" s="400"/>
      <c r="T107" s="427" t="s">
        <v>28</v>
      </c>
      <c r="U107" s="386"/>
      <c r="V107" s="426"/>
      <c r="X107" s="426"/>
      <c r="AB107" s="426">
        <f>Z107-X107</f>
        <v>0</v>
      </c>
    </row>
    <row r="108" spans="1:37" x14ac:dyDescent="0.25">
      <c r="A108">
        <v>104</v>
      </c>
      <c r="B108" s="394" t="s">
        <v>550</v>
      </c>
      <c r="C108" t="s">
        <v>566</v>
      </c>
      <c r="D108" s="411">
        <v>0</v>
      </c>
      <c r="E108" s="411">
        <v>116.39</v>
      </c>
      <c r="F108" s="411">
        <v>0</v>
      </c>
      <c r="G108" s="411">
        <v>0</v>
      </c>
      <c r="H108" s="411">
        <v>0</v>
      </c>
      <c r="I108" s="411">
        <v>0</v>
      </c>
      <c r="J108" s="411">
        <v>0</v>
      </c>
      <c r="K108" s="411">
        <v>0</v>
      </c>
      <c r="L108" s="411">
        <v>0</v>
      </c>
      <c r="M108" s="411">
        <v>0</v>
      </c>
      <c r="N108" s="407"/>
      <c r="O108" s="411">
        <v>0</v>
      </c>
      <c r="P108" s="410">
        <v>0</v>
      </c>
      <c r="Q108" s="361"/>
      <c r="R108" s="400"/>
      <c r="T108" s="427" t="s">
        <v>28</v>
      </c>
      <c r="U108" s="386">
        <v>14.1</v>
      </c>
      <c r="V108" s="426">
        <f>U108/V103</f>
        <v>0.17848101265822786</v>
      </c>
      <c r="X108" s="426">
        <f>U108/V103</f>
        <v>0.17848101265822786</v>
      </c>
      <c r="Z108">
        <v>0.17851</v>
      </c>
      <c r="AB108" s="426">
        <f>Z108-X108</f>
        <v>2.8987341772146458E-5</v>
      </c>
    </row>
    <row r="109" spans="1:37" x14ac:dyDescent="0.25">
      <c r="A109">
        <v>105</v>
      </c>
      <c r="B109" s="394" t="s">
        <v>545</v>
      </c>
      <c r="C109" t="s">
        <v>565</v>
      </c>
      <c r="D109" s="411">
        <v>94.22</v>
      </c>
      <c r="E109" s="411">
        <v>0</v>
      </c>
      <c r="F109" s="411">
        <v>9.61</v>
      </c>
      <c r="G109" s="411">
        <v>0</v>
      </c>
      <c r="H109" s="411">
        <v>0</v>
      </c>
      <c r="I109" s="411">
        <v>31.47</v>
      </c>
      <c r="J109" s="411">
        <v>0</v>
      </c>
      <c r="K109" s="411">
        <v>64.09</v>
      </c>
      <c r="L109" s="411">
        <v>33.56</v>
      </c>
      <c r="M109" s="411">
        <v>3.75</v>
      </c>
      <c r="N109" s="407"/>
      <c r="O109" s="411">
        <v>11.25</v>
      </c>
      <c r="P109" s="410">
        <v>14.1</v>
      </c>
      <c r="Q109" s="361"/>
      <c r="R109" s="400"/>
      <c r="T109" s="427" t="s">
        <v>28</v>
      </c>
      <c r="U109" s="386">
        <v>0</v>
      </c>
      <c r="V109" s="426" t="e">
        <f>U109/V104</f>
        <v>#DIV/0!</v>
      </c>
      <c r="X109" s="426" t="e">
        <f>U109/V104</f>
        <v>#DIV/0!</v>
      </c>
      <c r="Z109">
        <v>0.14457</v>
      </c>
      <c r="AB109" s="426" t="e">
        <f>Z109-X109</f>
        <v>#DIV/0!</v>
      </c>
      <c r="AK109" s="361">
        <f>+P109</f>
        <v>14.1</v>
      </c>
    </row>
    <row r="110" spans="1:37" x14ac:dyDescent="0.25">
      <c r="A110">
        <v>106</v>
      </c>
      <c r="B110" s="394" t="s">
        <v>545</v>
      </c>
      <c r="C110" t="s">
        <v>564</v>
      </c>
      <c r="D110" s="411">
        <v>116.39</v>
      </c>
      <c r="E110" s="411">
        <v>0</v>
      </c>
      <c r="F110" s="411">
        <v>0</v>
      </c>
      <c r="G110" s="411">
        <v>0</v>
      </c>
      <c r="H110" s="411">
        <v>0</v>
      </c>
      <c r="I110" s="411">
        <v>0</v>
      </c>
      <c r="J110" s="411">
        <v>0</v>
      </c>
      <c r="K110" s="411">
        <v>0</v>
      </c>
      <c r="L110" s="411">
        <v>0</v>
      </c>
      <c r="M110" s="411">
        <v>0</v>
      </c>
      <c r="N110" s="407"/>
      <c r="O110" s="411">
        <v>0</v>
      </c>
      <c r="P110" s="410">
        <v>0</v>
      </c>
      <c r="Q110" s="361"/>
      <c r="R110" s="400"/>
      <c r="T110" s="427" t="s">
        <v>28</v>
      </c>
      <c r="U110" s="386">
        <v>0</v>
      </c>
      <c r="V110" s="426" t="e">
        <f>U110/V105</f>
        <v>#DIV/0!</v>
      </c>
      <c r="X110" s="426" t="e">
        <f>U110/V105</f>
        <v>#DIV/0!</v>
      </c>
      <c r="Z110">
        <v>0.13944000000000001</v>
      </c>
      <c r="AB110" s="426" t="e">
        <f>Z110-X110</f>
        <v>#DIV/0!</v>
      </c>
      <c r="AK110" s="361">
        <f>+P110</f>
        <v>0</v>
      </c>
    </row>
    <row r="111" spans="1:37" x14ac:dyDescent="0.25">
      <c r="A111">
        <v>107</v>
      </c>
      <c r="B111" s="394" t="s">
        <v>545</v>
      </c>
      <c r="C111" t="s">
        <v>563</v>
      </c>
      <c r="D111" s="411">
        <f>-[1]WACAP2017!O108</f>
        <v>-78.58</v>
      </c>
      <c r="E111" s="411">
        <f t="shared" ref="E111:M111" si="43">-D109</f>
        <v>-94.22</v>
      </c>
      <c r="F111" s="411">
        <f t="shared" si="43"/>
        <v>0</v>
      </c>
      <c r="G111" s="411">
        <f t="shared" si="43"/>
        <v>-9.61</v>
      </c>
      <c r="H111" s="411">
        <f t="shared" si="43"/>
        <v>0</v>
      </c>
      <c r="I111" s="411">
        <f t="shared" si="43"/>
        <v>0</v>
      </c>
      <c r="J111" s="411">
        <f t="shared" si="43"/>
        <v>-31.47</v>
      </c>
      <c r="K111" s="411">
        <f t="shared" si="43"/>
        <v>0</v>
      </c>
      <c r="L111" s="411">
        <f t="shared" si="43"/>
        <v>-64.09</v>
      </c>
      <c r="M111" s="411">
        <f t="shared" si="43"/>
        <v>-33.56</v>
      </c>
      <c r="N111" s="407"/>
      <c r="O111" s="411">
        <f>-M109</f>
        <v>-3.75</v>
      </c>
      <c r="P111" s="410">
        <f>-O109</f>
        <v>-11.25</v>
      </c>
      <c r="Q111" s="361"/>
      <c r="R111" s="400"/>
      <c r="T111" s="427" t="s">
        <v>11</v>
      </c>
      <c r="U111" s="386">
        <v>33.14</v>
      </c>
      <c r="V111" s="426">
        <f>U111/V106</f>
        <v>0.41949367088607598</v>
      </c>
      <c r="X111" s="426">
        <f>U111/X106</f>
        <v>0.41949367088607598</v>
      </c>
      <c r="Z111">
        <v>0.41949999999999998</v>
      </c>
      <c r="AB111" s="426">
        <f>Z111-X111</f>
        <v>6.3291139240084782E-6</v>
      </c>
      <c r="AK111" s="361">
        <f>+D111</f>
        <v>-78.58</v>
      </c>
    </row>
    <row r="112" spans="1:37" x14ac:dyDescent="0.25">
      <c r="A112">
        <v>108</v>
      </c>
      <c r="B112" s="394" t="s">
        <v>545</v>
      </c>
      <c r="C112" t="s">
        <v>562</v>
      </c>
      <c r="D112" s="409">
        <f>-[1]WACAP2017!O109</f>
        <v>0</v>
      </c>
      <c r="E112" s="409">
        <f t="shared" ref="E112:M112" si="44">-D110</f>
        <v>-116.39</v>
      </c>
      <c r="F112" s="409">
        <f t="shared" si="44"/>
        <v>0</v>
      </c>
      <c r="G112" s="409">
        <f t="shared" si="44"/>
        <v>0</v>
      </c>
      <c r="H112" s="409">
        <f t="shared" si="44"/>
        <v>0</v>
      </c>
      <c r="I112" s="409">
        <f t="shared" si="44"/>
        <v>0</v>
      </c>
      <c r="J112" s="409">
        <f t="shared" si="44"/>
        <v>0</v>
      </c>
      <c r="K112" s="409">
        <f t="shared" si="44"/>
        <v>0</v>
      </c>
      <c r="L112" s="409">
        <f t="shared" si="44"/>
        <v>0</v>
      </c>
      <c r="M112" s="409">
        <f t="shared" si="44"/>
        <v>0</v>
      </c>
      <c r="N112" s="406"/>
      <c r="O112" s="409">
        <f>-M110</f>
        <v>0</v>
      </c>
      <c r="P112" s="408">
        <f>-O110</f>
        <v>0</v>
      </c>
      <c r="Q112" s="361"/>
      <c r="R112" s="400"/>
      <c r="AK112" s="361">
        <f>+D112</f>
        <v>0</v>
      </c>
    </row>
    <row r="113" spans="1:37" x14ac:dyDescent="0.25">
      <c r="A113">
        <v>109</v>
      </c>
      <c r="B113" s="425"/>
      <c r="C113" s="380" t="s">
        <v>543</v>
      </c>
      <c r="D113" s="386">
        <f t="shared" ref="D113:M113" si="45">SUM(D107:D112)</f>
        <v>210.61</v>
      </c>
      <c r="E113" s="386">
        <f t="shared" si="45"/>
        <v>0</v>
      </c>
      <c r="F113" s="386">
        <f t="shared" si="45"/>
        <v>9.61</v>
      </c>
      <c r="G113" s="386">
        <f t="shared" si="45"/>
        <v>0</v>
      </c>
      <c r="H113" s="386">
        <f t="shared" si="45"/>
        <v>0</v>
      </c>
      <c r="I113" s="386">
        <f t="shared" si="45"/>
        <v>31.47</v>
      </c>
      <c r="J113" s="386">
        <f t="shared" si="45"/>
        <v>0</v>
      </c>
      <c r="K113" s="386">
        <f t="shared" si="45"/>
        <v>64.09</v>
      </c>
      <c r="L113" s="386">
        <f t="shared" si="45"/>
        <v>33.56</v>
      </c>
      <c r="M113" s="386">
        <f t="shared" si="45"/>
        <v>3.75</v>
      </c>
      <c r="N113" s="407"/>
      <c r="O113" s="386">
        <f>SUM(O107:O112)</f>
        <v>11.25</v>
      </c>
      <c r="P113" s="428">
        <f>SUM(P107:P112)</f>
        <v>14.100000000000001</v>
      </c>
      <c r="R113" s="392"/>
    </row>
    <row r="114" spans="1:37" x14ac:dyDescent="0.25">
      <c r="A114">
        <v>110</v>
      </c>
      <c r="B114" s="425"/>
      <c r="C114" s="380" t="s">
        <v>542</v>
      </c>
      <c r="D114" s="405">
        <f>ROUND(-'[1]Authorized Margins'!J60*WACAP2018!D106,2)</f>
        <v>-463.97</v>
      </c>
      <c r="E114" s="405">
        <f>ROUND(-'[1]Authorized Margins'!K60*WACAP2018!E106,2)</f>
        <v>-523.33000000000004</v>
      </c>
      <c r="F114" s="405">
        <f>ROUND(-'[1]Authorized Margins'!L60*WACAP2018!F106,2)</f>
        <v>-416.44</v>
      </c>
      <c r="G114" s="405">
        <f>ROUND(-'[1]Authorized Margins'!M60*WACAP2018!G106,2)</f>
        <v>-304.64</v>
      </c>
      <c r="H114" s="405">
        <f>ROUND(-'[1]Authorized Margins'!N60*WACAP2018!H106,2)</f>
        <v>-260.88</v>
      </c>
      <c r="I114" s="405">
        <f>ROUND(-'[1]Authorized Margins'!O60*WACAP2018!I106,2)</f>
        <v>-210.75</v>
      </c>
      <c r="J114" s="405">
        <f>ROUND(-'[1]Authorized Margins'!D60*WACAP2018!J106,2)</f>
        <v>-199.5</v>
      </c>
      <c r="K114" s="405">
        <f>ROUND(-'[1]Authorized Margins 2018'!E14*WACAP2018!K106,2)</f>
        <v>-161.43</v>
      </c>
      <c r="L114" s="405">
        <f>ROUND(-'[1]Authorized Margins 2018'!F14*WACAP2018!L106,2)</f>
        <v>-209.7</v>
      </c>
      <c r="M114" s="405">
        <f>ROUND(-'[1]Authorized Margins 2018'!G14*WACAP2018!M106,2)</f>
        <v>-357.27</v>
      </c>
      <c r="N114" s="406"/>
      <c r="O114" s="405">
        <f>ROUND(-'[1]Authorized Margins 2018'!H14*WACAP2018!O106,2)</f>
        <v>-308.02999999999997</v>
      </c>
      <c r="P114" s="404">
        <f>ROUND(-'[1]Authorized Margins 2018'!I14*WACAP2018!P106,2)</f>
        <v>-430.43</v>
      </c>
      <c r="R114" s="392"/>
    </row>
    <row r="115" spans="1:37" x14ac:dyDescent="0.25">
      <c r="A115">
        <v>111</v>
      </c>
      <c r="B115" s="425"/>
      <c r="C115" s="380" t="s">
        <v>541</v>
      </c>
      <c r="D115" s="378">
        <f t="shared" ref="D115:M115" si="46">SUM(D113:D114)</f>
        <v>-253.36</v>
      </c>
      <c r="E115" s="378">
        <f t="shared" si="46"/>
        <v>-523.33000000000004</v>
      </c>
      <c r="F115" s="378">
        <f t="shared" si="46"/>
        <v>-406.83</v>
      </c>
      <c r="G115" s="378">
        <f t="shared" si="46"/>
        <v>-304.64</v>
      </c>
      <c r="H115" s="378">
        <f t="shared" si="46"/>
        <v>-260.88</v>
      </c>
      <c r="I115" s="378">
        <f t="shared" si="46"/>
        <v>-179.28</v>
      </c>
      <c r="J115" s="378">
        <f t="shared" si="46"/>
        <v>-199.5</v>
      </c>
      <c r="K115" s="378">
        <f t="shared" si="46"/>
        <v>-97.34</v>
      </c>
      <c r="L115" s="378">
        <f t="shared" si="46"/>
        <v>-176.14</v>
      </c>
      <c r="M115" s="378">
        <f t="shared" si="46"/>
        <v>-353.52</v>
      </c>
      <c r="N115" s="402">
        <f>-[1]WACAP2017!Q116</f>
        <v>3837.4000000000005</v>
      </c>
      <c r="O115" s="378">
        <f>SUM(O113:O114)</f>
        <v>-296.77999999999997</v>
      </c>
      <c r="P115" s="401">
        <f>SUM(P113:P114)</f>
        <v>-416.33</v>
      </c>
      <c r="R115" s="400">
        <f>SUM(D115:Q115)-N115</f>
        <v>-3467.93</v>
      </c>
    </row>
    <row r="116" spans="1:37" x14ac:dyDescent="0.25">
      <c r="A116">
        <v>112</v>
      </c>
      <c r="B116" s="394"/>
      <c r="C116" s="380" t="s">
        <v>540</v>
      </c>
      <c r="D116" s="54">
        <f>ROUND(ROUND([1]WACAP2017!O117*D$6,2)/365*D$7,2)</f>
        <v>-13.85</v>
      </c>
      <c r="E116" s="54">
        <f t="shared" ref="E116:M116" si="47">ROUND(ROUND(D118*E$6,2)/365*E$7,2)</f>
        <v>-13.38</v>
      </c>
      <c r="F116" s="54">
        <f t="shared" si="47"/>
        <v>-16.75</v>
      </c>
      <c r="G116" s="54">
        <f t="shared" si="47"/>
        <v>-18.61</v>
      </c>
      <c r="H116" s="54">
        <f t="shared" si="47"/>
        <v>-20.46</v>
      </c>
      <c r="I116" s="54">
        <f t="shared" si="47"/>
        <v>-20.83</v>
      </c>
      <c r="J116" s="54">
        <f t="shared" si="47"/>
        <v>-23.38</v>
      </c>
      <c r="K116" s="54">
        <f t="shared" si="47"/>
        <v>-24.27</v>
      </c>
      <c r="L116" s="54">
        <f t="shared" si="47"/>
        <v>-23.95</v>
      </c>
      <c r="M116" s="54">
        <f t="shared" si="47"/>
        <v>-27.02</v>
      </c>
      <c r="N116" s="384">
        <f>'[1]Ammort Split2018'!N115</f>
        <v>146.99</v>
      </c>
      <c r="O116" s="54">
        <f>ROUND(ROUND(N118*O$6,2)/365*O$7,2)</f>
        <v>-11.46</v>
      </c>
      <c r="P116" s="399">
        <f>ROUND(ROUND(O118*P$6,2)/365*P$7,2)</f>
        <v>-13.14</v>
      </c>
      <c r="R116" s="398">
        <f>SUM(D116:Q116)</f>
        <v>-80.11</v>
      </c>
    </row>
    <row r="117" spans="1:37" x14ac:dyDescent="0.25">
      <c r="A117">
        <v>113</v>
      </c>
      <c r="B117" s="394"/>
      <c r="C117" s="380" t="s">
        <v>539</v>
      </c>
      <c r="D117" s="383">
        <f t="shared" ref="D117:P117" si="48">SUM(D115:D116)</f>
        <v>-267.21000000000004</v>
      </c>
      <c r="E117" s="383">
        <f t="shared" si="48"/>
        <v>-536.71</v>
      </c>
      <c r="F117" s="383">
        <f t="shared" si="48"/>
        <v>-423.58</v>
      </c>
      <c r="G117" s="383">
        <f t="shared" si="48"/>
        <v>-323.25</v>
      </c>
      <c r="H117" s="383">
        <f t="shared" si="48"/>
        <v>-281.33999999999997</v>
      </c>
      <c r="I117" s="383">
        <f t="shared" si="48"/>
        <v>-200.11</v>
      </c>
      <c r="J117" s="383">
        <f t="shared" si="48"/>
        <v>-222.88</v>
      </c>
      <c r="K117" s="383">
        <f t="shared" si="48"/>
        <v>-121.61</v>
      </c>
      <c r="L117" s="383">
        <f t="shared" si="48"/>
        <v>-200.08999999999997</v>
      </c>
      <c r="M117" s="383">
        <f t="shared" si="48"/>
        <v>-380.53999999999996</v>
      </c>
      <c r="N117" s="397">
        <f t="shared" si="48"/>
        <v>3984.3900000000003</v>
      </c>
      <c r="O117" s="383">
        <f t="shared" si="48"/>
        <v>-308.23999999999995</v>
      </c>
      <c r="P117" s="396">
        <f t="shared" si="48"/>
        <v>-429.46999999999997</v>
      </c>
      <c r="R117" s="395">
        <f>SUM(R115:R116)</f>
        <v>-3548.04</v>
      </c>
    </row>
    <row r="118" spans="1:37" x14ac:dyDescent="0.25">
      <c r="A118">
        <v>114</v>
      </c>
      <c r="B118" s="394"/>
      <c r="C118" s="380" t="s">
        <v>536</v>
      </c>
      <c r="D118" s="378">
        <f>[1]WACAP2017!O117+WACAP2018!D117</f>
        <v>-4104.6099999999988</v>
      </c>
      <c r="E118" s="378">
        <f t="shared" ref="E118:P118" si="49">D118+E117</f>
        <v>-4641.3199999999988</v>
      </c>
      <c r="F118" s="378">
        <f t="shared" si="49"/>
        <v>-5064.8999999999987</v>
      </c>
      <c r="G118" s="378">
        <f t="shared" si="49"/>
        <v>-5388.1499999999987</v>
      </c>
      <c r="H118" s="378">
        <f t="shared" si="49"/>
        <v>-5669.4899999999989</v>
      </c>
      <c r="I118" s="378">
        <f t="shared" si="49"/>
        <v>-5869.5999999999985</v>
      </c>
      <c r="J118" s="378">
        <f t="shared" si="49"/>
        <v>-6092.4799999999987</v>
      </c>
      <c r="K118" s="378">
        <f t="shared" si="49"/>
        <v>-6214.0899999999983</v>
      </c>
      <c r="L118" s="378">
        <f t="shared" si="49"/>
        <v>-6414.1799999999985</v>
      </c>
      <c r="M118" s="378">
        <f t="shared" si="49"/>
        <v>-6794.7199999999984</v>
      </c>
      <c r="N118" s="379">
        <f t="shared" si="49"/>
        <v>-2810.3299999999981</v>
      </c>
      <c r="O118" s="378">
        <f t="shared" si="49"/>
        <v>-3118.5699999999979</v>
      </c>
      <c r="P118" s="393">
        <f t="shared" si="49"/>
        <v>-3548.0399999999977</v>
      </c>
      <c r="R118" s="392"/>
    </row>
    <row r="119" spans="1:37" x14ac:dyDescent="0.25">
      <c r="A119">
        <v>115</v>
      </c>
      <c r="B119" s="425"/>
      <c r="C119" s="380"/>
      <c r="D119" s="378"/>
      <c r="E119" s="378"/>
      <c r="F119" s="378"/>
      <c r="G119" s="378"/>
      <c r="H119" s="378"/>
      <c r="I119" s="378"/>
      <c r="J119" s="378"/>
      <c r="K119" s="378"/>
      <c r="L119" s="378"/>
      <c r="M119" s="378"/>
      <c r="N119" s="379"/>
      <c r="O119" s="378"/>
      <c r="P119" s="401"/>
      <c r="R119" s="392"/>
      <c r="T119" s="427"/>
      <c r="U119" s="386"/>
      <c r="V119" s="361">
        <f>ROUND(U122/Z122,0)</f>
        <v>121886</v>
      </c>
    </row>
    <row r="120" spans="1:37" x14ac:dyDescent="0.25">
      <c r="A120">
        <v>116</v>
      </c>
      <c r="B120" s="425">
        <v>570</v>
      </c>
      <c r="C120" s="424" t="s">
        <v>555</v>
      </c>
      <c r="D120" s="17"/>
      <c r="E120" s="17"/>
      <c r="F120" s="386"/>
      <c r="G120" s="17"/>
      <c r="H120" s="17"/>
      <c r="I120" s="17"/>
      <c r="J120" s="17"/>
      <c r="K120" s="17"/>
      <c r="L120" s="17"/>
      <c r="M120" s="17"/>
      <c r="N120" s="420"/>
      <c r="O120" s="17"/>
      <c r="P120" s="422"/>
      <c r="R120" s="392"/>
      <c r="U120">
        <v>570</v>
      </c>
      <c r="V120" s="361">
        <f>ROUND(U123/Z123,0)</f>
        <v>138596</v>
      </c>
      <c r="W120" s="361">
        <f>SUM(V119:V120)</f>
        <v>260482</v>
      </c>
      <c r="AD120" s="386">
        <v>33</v>
      </c>
      <c r="AF120" s="17"/>
    </row>
    <row r="121" spans="1:37" x14ac:dyDescent="0.25">
      <c r="A121">
        <v>117</v>
      </c>
      <c r="B121" s="394" t="s">
        <v>553</v>
      </c>
      <c r="C121" t="s">
        <v>552</v>
      </c>
      <c r="D121" s="419">
        <v>7</v>
      </c>
      <c r="E121" s="419">
        <v>7</v>
      </c>
      <c r="F121" s="419">
        <v>7</v>
      </c>
      <c r="G121" s="419">
        <v>7</v>
      </c>
      <c r="H121" s="419">
        <v>7</v>
      </c>
      <c r="I121" s="419">
        <v>7</v>
      </c>
      <c r="J121" s="419">
        <v>7</v>
      </c>
      <c r="K121" s="419">
        <v>9</v>
      </c>
      <c r="L121" s="419">
        <v>8</v>
      </c>
      <c r="M121" s="419">
        <v>8</v>
      </c>
      <c r="N121" s="420"/>
      <c r="O121" s="419">
        <v>8</v>
      </c>
      <c r="P121" s="418">
        <v>8</v>
      </c>
      <c r="Q121" s="16"/>
      <c r="R121" s="417"/>
      <c r="V121" s="17">
        <v>260482</v>
      </c>
      <c r="W121" t="s">
        <v>31</v>
      </c>
      <c r="X121" s="17">
        <f>V121</f>
        <v>260482</v>
      </c>
      <c r="AD121" s="427"/>
      <c r="AE121" s="386">
        <f>SUM(K121*33)</f>
        <v>297</v>
      </c>
      <c r="AF121" s="386">
        <f>SUM(L121*33)</f>
        <v>264</v>
      </c>
      <c r="AG121" s="386">
        <f>SUM(M121*33)</f>
        <v>264</v>
      </c>
      <c r="AH121" s="386">
        <f>SUM(O121*33)</f>
        <v>264</v>
      </c>
      <c r="AI121" s="386">
        <f>SUM(P121*33)</f>
        <v>264</v>
      </c>
    </row>
    <row r="122" spans="1:37" x14ac:dyDescent="0.25">
      <c r="A122">
        <v>118</v>
      </c>
      <c r="B122" s="394" t="s">
        <v>550</v>
      </c>
      <c r="C122" t="s">
        <v>561</v>
      </c>
      <c r="D122" s="411">
        <v>9200.8700000000008</v>
      </c>
      <c r="E122" s="411">
        <v>8695.19</v>
      </c>
      <c r="F122" s="411">
        <v>8330.48</v>
      </c>
      <c r="G122" s="411">
        <v>8341.75</v>
      </c>
      <c r="H122" s="411">
        <v>7943.29</v>
      </c>
      <c r="I122" s="411">
        <v>6886.74</v>
      </c>
      <c r="J122" s="411">
        <v>6144.86</v>
      </c>
      <c r="K122" s="411">
        <f>7365.66+779.66+63.26</f>
        <v>8208.58</v>
      </c>
      <c r="L122" s="411">
        <v>5560.29</v>
      </c>
      <c r="M122" s="411">
        <v>6218.27</v>
      </c>
      <c r="N122" s="407"/>
      <c r="O122" s="411">
        <v>9365.1299999999992</v>
      </c>
      <c r="P122" s="410">
        <v>8872.8700000000008</v>
      </c>
      <c r="Q122" s="361"/>
      <c r="R122" s="400"/>
      <c r="T122" s="427" t="s">
        <v>28</v>
      </c>
      <c r="U122" s="386">
        <v>9622.91</v>
      </c>
      <c r="V122" s="426">
        <f>U122/V119</f>
        <v>7.8950084505193377E-2</v>
      </c>
      <c r="X122" s="426">
        <f>U122/V119</f>
        <v>7.8950084505193377E-2</v>
      </c>
      <c r="Z122">
        <v>7.8950000000000006E-2</v>
      </c>
      <c r="AB122" s="426">
        <f>Z122-X122</f>
        <v>-8.450519337066531E-8</v>
      </c>
    </row>
    <row r="123" spans="1:37" x14ac:dyDescent="0.25">
      <c r="A123">
        <v>119</v>
      </c>
      <c r="B123" s="394" t="s">
        <v>550</v>
      </c>
      <c r="C123" t="s">
        <v>560</v>
      </c>
      <c r="D123" s="411">
        <v>2865.37</v>
      </c>
      <c r="E123" s="411">
        <v>2805.42</v>
      </c>
      <c r="F123" s="411">
        <v>2794.08</v>
      </c>
      <c r="G123" s="411">
        <v>2759.82</v>
      </c>
      <c r="H123" s="411">
        <v>2048.6799999999998</v>
      </c>
      <c r="I123" s="411">
        <v>1168.1099999999999</v>
      </c>
      <c r="J123" s="411">
        <v>736.5</v>
      </c>
      <c r="K123" s="411">
        <v>505.1</v>
      </c>
      <c r="L123" s="411">
        <v>516.21</v>
      </c>
      <c r="M123" s="411">
        <v>896.57</v>
      </c>
      <c r="N123" s="407"/>
      <c r="O123" s="411">
        <v>1778.64</v>
      </c>
      <c r="P123" s="410">
        <v>2367.19</v>
      </c>
      <c r="Q123" s="361"/>
      <c r="R123" s="400"/>
      <c r="T123" s="427" t="s">
        <v>28</v>
      </c>
      <c r="U123" s="386">
        <v>3115.63</v>
      </c>
      <c r="V123" s="426">
        <f>U123/V120</f>
        <v>2.2479941701059193E-2</v>
      </c>
      <c r="X123" s="426">
        <f>U123/V120</f>
        <v>2.2479941701059193E-2</v>
      </c>
      <c r="Z123">
        <v>2.248E-2</v>
      </c>
      <c r="AB123" s="426">
        <f>Z123-X123</f>
        <v>5.829894080683351E-8</v>
      </c>
    </row>
    <row r="124" spans="1:37" x14ac:dyDescent="0.25">
      <c r="A124">
        <v>120</v>
      </c>
      <c r="B124" s="394" t="s">
        <v>545</v>
      </c>
      <c r="C124" t="s">
        <v>559</v>
      </c>
      <c r="D124" s="411">
        <v>8695.19</v>
      </c>
      <c r="E124" s="411">
        <v>8330.48</v>
      </c>
      <c r="F124" s="411">
        <v>8341.75</v>
      </c>
      <c r="G124" s="411">
        <v>7943.29</v>
      </c>
      <c r="H124" s="411">
        <v>6886.74</v>
      </c>
      <c r="I124" s="411">
        <v>6144.86</v>
      </c>
      <c r="J124" s="411">
        <v>7365.66</v>
      </c>
      <c r="K124" s="411">
        <v>5560.29</v>
      </c>
      <c r="L124" s="411">
        <v>6218.27</v>
      </c>
      <c r="M124" s="411">
        <v>9365.1299999999992</v>
      </c>
      <c r="N124" s="407"/>
      <c r="O124" s="411">
        <v>8872.8700000000008</v>
      </c>
      <c r="P124" s="410">
        <v>9622.91</v>
      </c>
      <c r="Q124" s="361"/>
      <c r="R124" s="400"/>
      <c r="T124" s="427" t="s">
        <v>11</v>
      </c>
      <c r="U124" s="386">
        <v>105729.64</v>
      </c>
      <c r="V124" s="426">
        <f>U124/V121</f>
        <v>0.40589998541165995</v>
      </c>
      <c r="X124" s="426">
        <f>U124/X121</f>
        <v>0.40589998541165995</v>
      </c>
      <c r="Z124">
        <v>0.40589999999999998</v>
      </c>
      <c r="AB124" s="426">
        <f>Z124-X124</f>
        <v>1.4588340035981417E-8</v>
      </c>
      <c r="AK124" s="361">
        <f>+D124</f>
        <v>8695.19</v>
      </c>
    </row>
    <row r="125" spans="1:37" x14ac:dyDescent="0.25">
      <c r="A125">
        <v>121</v>
      </c>
      <c r="B125" s="394" t="s">
        <v>545</v>
      </c>
      <c r="C125" t="s">
        <v>558</v>
      </c>
      <c r="D125" s="411">
        <v>2805.42</v>
      </c>
      <c r="E125" s="411">
        <v>2794.08</v>
      </c>
      <c r="F125" s="411">
        <v>2759.82</v>
      </c>
      <c r="G125" s="411">
        <v>2048.6799999999998</v>
      </c>
      <c r="H125" s="411">
        <v>1168.1099999999999</v>
      </c>
      <c r="I125" s="411">
        <v>736.5</v>
      </c>
      <c r="J125" s="411">
        <v>505.1</v>
      </c>
      <c r="K125" s="411">
        <v>516.21</v>
      </c>
      <c r="L125" s="411">
        <v>896.57</v>
      </c>
      <c r="M125" s="411">
        <v>1778.64</v>
      </c>
      <c r="N125" s="407"/>
      <c r="O125" s="411">
        <v>2367.19</v>
      </c>
      <c r="P125" s="410">
        <v>3115.63</v>
      </c>
      <c r="Q125" s="361"/>
      <c r="R125" s="400"/>
      <c r="AB125" s="426"/>
      <c r="AK125" s="361">
        <f>+D125</f>
        <v>2805.42</v>
      </c>
    </row>
    <row r="126" spans="1:37" x14ac:dyDescent="0.25">
      <c r="A126">
        <v>122</v>
      </c>
      <c r="B126" s="394" t="s">
        <v>545</v>
      </c>
      <c r="C126" t="s">
        <v>557</v>
      </c>
      <c r="D126" s="411">
        <f>-[1]WACAP2017!O123</f>
        <v>-9200.8700000000008</v>
      </c>
      <c r="E126" s="411">
        <f t="shared" ref="E126:J127" si="50">-D124</f>
        <v>-8695.19</v>
      </c>
      <c r="F126" s="411">
        <f t="shared" si="50"/>
        <v>-8330.48</v>
      </c>
      <c r="G126" s="411">
        <f t="shared" si="50"/>
        <v>-8341.75</v>
      </c>
      <c r="H126" s="411">
        <f t="shared" si="50"/>
        <v>-7943.29</v>
      </c>
      <c r="I126" s="411">
        <f t="shared" si="50"/>
        <v>-6886.74</v>
      </c>
      <c r="J126" s="411">
        <f t="shared" si="50"/>
        <v>-6144.86</v>
      </c>
      <c r="K126" s="411">
        <f>-J124-363.62</f>
        <v>-7729.28</v>
      </c>
      <c r="L126" s="411">
        <f>-K124</f>
        <v>-5560.29</v>
      </c>
      <c r="M126" s="411">
        <f>-L124</f>
        <v>-6218.27</v>
      </c>
      <c r="N126" s="407"/>
      <c r="O126" s="411">
        <f>-M124</f>
        <v>-9365.1299999999992</v>
      </c>
      <c r="P126" s="410">
        <f>-O124</f>
        <v>-8872.8700000000008</v>
      </c>
      <c r="Q126" s="361"/>
      <c r="R126" s="400"/>
      <c r="AK126" s="361">
        <f>+D126</f>
        <v>-9200.8700000000008</v>
      </c>
    </row>
    <row r="127" spans="1:37" x14ac:dyDescent="0.25">
      <c r="A127">
        <v>123</v>
      </c>
      <c r="B127" s="394" t="s">
        <v>545</v>
      </c>
      <c r="C127" t="s">
        <v>556</v>
      </c>
      <c r="D127" s="409">
        <f>-[1]WACAP2017!O124</f>
        <v>-2865.37</v>
      </c>
      <c r="E127" s="409">
        <f t="shared" si="50"/>
        <v>-2805.42</v>
      </c>
      <c r="F127" s="409">
        <f t="shared" si="50"/>
        <v>-2794.08</v>
      </c>
      <c r="G127" s="409">
        <f t="shared" si="50"/>
        <v>-2759.82</v>
      </c>
      <c r="H127" s="409">
        <f t="shared" si="50"/>
        <v>-2048.6799999999998</v>
      </c>
      <c r="I127" s="409">
        <f t="shared" si="50"/>
        <v>-1168.1099999999999</v>
      </c>
      <c r="J127" s="409">
        <f t="shared" si="50"/>
        <v>-736.5</v>
      </c>
      <c r="K127" s="409">
        <f>-J125</f>
        <v>-505.1</v>
      </c>
      <c r="L127" s="409">
        <f>-K125</f>
        <v>-516.21</v>
      </c>
      <c r="M127" s="409">
        <f>-L125</f>
        <v>-896.57</v>
      </c>
      <c r="N127" s="406"/>
      <c r="O127" s="409">
        <f>-M125</f>
        <v>-1778.64</v>
      </c>
      <c r="P127" s="408">
        <f>-O125</f>
        <v>-2367.19</v>
      </c>
      <c r="Q127" s="361"/>
      <c r="R127" s="400"/>
      <c r="AK127" s="361">
        <f>+D127</f>
        <v>-2865.37</v>
      </c>
    </row>
    <row r="128" spans="1:37" x14ac:dyDescent="0.25">
      <c r="A128">
        <v>124</v>
      </c>
      <c r="B128" s="394"/>
      <c r="C128" s="380" t="s">
        <v>543</v>
      </c>
      <c r="D128" s="386">
        <f t="shared" ref="D128:M128" si="51">SUM(D122:D127)</f>
        <v>11500.609999999997</v>
      </c>
      <c r="E128" s="386">
        <f t="shared" si="51"/>
        <v>11124.559999999998</v>
      </c>
      <c r="F128" s="386">
        <f t="shared" si="51"/>
        <v>11101.569999999998</v>
      </c>
      <c r="G128" s="386">
        <f t="shared" si="51"/>
        <v>9991.9700000000012</v>
      </c>
      <c r="H128" s="386">
        <f t="shared" si="51"/>
        <v>8054.8499999999985</v>
      </c>
      <c r="I128" s="386">
        <f t="shared" si="51"/>
        <v>6881.36</v>
      </c>
      <c r="J128" s="386">
        <f t="shared" si="51"/>
        <v>7870.760000000002</v>
      </c>
      <c r="K128" s="386">
        <f t="shared" si="51"/>
        <v>6555.8</v>
      </c>
      <c r="L128" s="386">
        <f t="shared" si="51"/>
        <v>7114.84</v>
      </c>
      <c r="M128" s="386">
        <f t="shared" si="51"/>
        <v>11143.77</v>
      </c>
      <c r="N128" s="407"/>
      <c r="O128" s="386">
        <f>SUM(O122:O127)</f>
        <v>11240.06</v>
      </c>
      <c r="P128" s="401">
        <f>SUM(P122:P127)</f>
        <v>12738.54</v>
      </c>
      <c r="R128" s="392"/>
    </row>
    <row r="129" spans="1:37" x14ac:dyDescent="0.25">
      <c r="A129">
        <v>125</v>
      </c>
      <c r="B129" s="394"/>
      <c r="C129" s="380" t="s">
        <v>542</v>
      </c>
      <c r="D129" s="405">
        <f>ROUND(-'[1]Authorized Margins'!J95*WACAP2018!D121,2)</f>
        <v>-16748.55</v>
      </c>
      <c r="E129" s="405">
        <f>ROUND(-'[1]Authorized Margins'!K95*WACAP2018!E121,2)</f>
        <v>-16839.27</v>
      </c>
      <c r="F129" s="405">
        <f>ROUND(-'[1]Authorized Margins'!L95*WACAP2018!F121,2)</f>
        <v>-14322.07</v>
      </c>
      <c r="G129" s="405">
        <f>ROUND(-'[1]Authorized Margins'!M95*WACAP2018!G121,2)</f>
        <v>-13668.48</v>
      </c>
      <c r="H129" s="405">
        <f>ROUND(-'[1]Authorized Margins'!N95*WACAP2018!H121,2)</f>
        <v>-13131.93</v>
      </c>
      <c r="I129" s="405">
        <f>ROUND(-'[1]Authorized Margins'!O95*WACAP2018!I121,2)</f>
        <v>-11028.71</v>
      </c>
      <c r="J129" s="405">
        <f>ROUND(-'[1]Authorized Margins'!D95*WACAP2018!J121,2)</f>
        <v>-9885.68</v>
      </c>
      <c r="K129" s="405">
        <f>ROUND(-'[1]Authorized Margins 2018'!E18*WACAP2018!K121,2)</f>
        <v>-9942.93</v>
      </c>
      <c r="L129" s="405">
        <f>ROUND(-'[1]Authorized Margins 2018'!F18*WACAP2018!L121,2)</f>
        <v>-6932.32</v>
      </c>
      <c r="M129" s="405">
        <f>ROUND(-'[1]Authorized Margins 2018'!G18*WACAP2018!M121,2)</f>
        <v>-8996.48</v>
      </c>
      <c r="N129" s="406"/>
      <c r="O129" s="405">
        <f>ROUND(-'[1]Authorized Margins 2018'!H18*WACAP2018!O121,2)</f>
        <v>-12708</v>
      </c>
      <c r="P129" s="404">
        <f>ROUND(-'[1]Authorized Margins 2018'!I18*WACAP2018!P121,2)</f>
        <v>-14600.88</v>
      </c>
      <c r="R129" s="392"/>
    </row>
    <row r="130" spans="1:37" x14ac:dyDescent="0.25">
      <c r="A130">
        <v>126</v>
      </c>
      <c r="B130" s="394"/>
      <c r="C130" s="380" t="s">
        <v>541</v>
      </c>
      <c r="D130" s="378">
        <f t="shared" ref="D130:M130" si="52">SUM(D128:D129)</f>
        <v>-5247.9400000000023</v>
      </c>
      <c r="E130" s="378">
        <f t="shared" si="52"/>
        <v>-5714.7100000000028</v>
      </c>
      <c r="F130" s="378">
        <f t="shared" si="52"/>
        <v>-3220.5000000000018</v>
      </c>
      <c r="G130" s="378">
        <f t="shared" si="52"/>
        <v>-3676.5099999999984</v>
      </c>
      <c r="H130" s="378">
        <f t="shared" si="52"/>
        <v>-5077.0800000000017</v>
      </c>
      <c r="I130" s="378">
        <f t="shared" si="52"/>
        <v>-4147.3499999999995</v>
      </c>
      <c r="J130" s="378">
        <f t="shared" si="52"/>
        <v>-2014.9199999999983</v>
      </c>
      <c r="K130" s="378">
        <f t="shared" si="52"/>
        <v>-3387.13</v>
      </c>
      <c r="L130" s="378">
        <f t="shared" si="52"/>
        <v>182.52000000000044</v>
      </c>
      <c r="M130" s="378">
        <f t="shared" si="52"/>
        <v>2147.2900000000009</v>
      </c>
      <c r="N130" s="402">
        <f>-[1]WACAP2017!Q131</f>
        <v>23801.620000000006</v>
      </c>
      <c r="O130" s="378">
        <f>SUM(O128:O129)</f>
        <v>-1467.9400000000005</v>
      </c>
      <c r="P130" s="401">
        <f>SUM(P128:P129)</f>
        <v>-1862.3399999999983</v>
      </c>
      <c r="R130" s="400">
        <f>SUM(D130:Q130)-N130</f>
        <v>-33486.61</v>
      </c>
    </row>
    <row r="131" spans="1:37" x14ac:dyDescent="0.25">
      <c r="A131">
        <v>127</v>
      </c>
      <c r="B131" s="394"/>
      <c r="C131" s="380" t="s">
        <v>540</v>
      </c>
      <c r="D131" s="54">
        <f>ROUND(ROUND([1]WACAP2017!O132*D$6,2)/365*D$7,2)</f>
        <v>-85.91</v>
      </c>
      <c r="E131" s="54">
        <f t="shared" ref="E131:M131" si="53">ROUND(ROUND(D133*E$6,2)/365*E$7,2)</f>
        <v>-94.99</v>
      </c>
      <c r="F131" s="54">
        <f t="shared" si="53"/>
        <v>-126.14</v>
      </c>
      <c r="G131" s="54">
        <f t="shared" si="53"/>
        <v>-140.68</v>
      </c>
      <c r="H131" s="54">
        <f t="shared" si="53"/>
        <v>-159.86000000000001</v>
      </c>
      <c r="I131" s="54">
        <f t="shared" si="53"/>
        <v>-173.95</v>
      </c>
      <c r="J131" s="54">
        <f t="shared" si="53"/>
        <v>-205.81</v>
      </c>
      <c r="K131" s="54">
        <f t="shared" si="53"/>
        <v>-214.65</v>
      </c>
      <c r="L131" s="54">
        <f t="shared" si="53"/>
        <v>-221.61</v>
      </c>
      <c r="M131" s="54">
        <f t="shared" si="53"/>
        <v>-242.35</v>
      </c>
      <c r="N131" s="384">
        <f>'[1]Ammort Split2018'!N130</f>
        <v>911.66</v>
      </c>
      <c r="O131" s="54">
        <f>ROUND(ROUND(N133*O$6,2)/365*O$7,2)</f>
        <v>-126.01</v>
      </c>
      <c r="P131" s="399">
        <f>ROUND(ROUND(O133*P$6,2)/365*P$7,2)</f>
        <v>-136.93</v>
      </c>
      <c r="R131" s="398">
        <f>SUM(D131:Q131)</f>
        <v>-1017.2299999999998</v>
      </c>
    </row>
    <row r="132" spans="1:37" x14ac:dyDescent="0.25">
      <c r="A132">
        <v>128</v>
      </c>
      <c r="B132" s="394"/>
      <c r="C132" s="380" t="s">
        <v>539</v>
      </c>
      <c r="D132" s="383">
        <f t="shared" ref="D132:P132" si="54">SUM(D130:D131)</f>
        <v>-5333.8500000000022</v>
      </c>
      <c r="E132" s="383">
        <f t="shared" si="54"/>
        <v>-5809.7000000000025</v>
      </c>
      <c r="F132" s="383">
        <f t="shared" si="54"/>
        <v>-3346.6400000000017</v>
      </c>
      <c r="G132" s="383">
        <f t="shared" si="54"/>
        <v>-3817.1899999999982</v>
      </c>
      <c r="H132" s="383">
        <f t="shared" si="54"/>
        <v>-5236.9400000000014</v>
      </c>
      <c r="I132" s="383">
        <f t="shared" si="54"/>
        <v>-4321.2999999999993</v>
      </c>
      <c r="J132" s="383">
        <f t="shared" si="54"/>
        <v>-2220.7299999999982</v>
      </c>
      <c r="K132" s="383">
        <f t="shared" si="54"/>
        <v>-3601.78</v>
      </c>
      <c r="L132" s="383">
        <f t="shared" si="54"/>
        <v>-39.089999999999577</v>
      </c>
      <c r="M132" s="383">
        <f t="shared" si="54"/>
        <v>1904.940000000001</v>
      </c>
      <c r="N132" s="397">
        <f t="shared" si="54"/>
        <v>24713.280000000006</v>
      </c>
      <c r="O132" s="383">
        <f t="shared" si="54"/>
        <v>-1593.9500000000005</v>
      </c>
      <c r="P132" s="396">
        <f t="shared" si="54"/>
        <v>-1999.2699999999984</v>
      </c>
      <c r="R132" s="395">
        <f>SUM(R130:R131)</f>
        <v>-34503.840000000004</v>
      </c>
    </row>
    <row r="133" spans="1:37" x14ac:dyDescent="0.25">
      <c r="A133">
        <v>129</v>
      </c>
      <c r="B133" s="394"/>
      <c r="C133" s="380" t="s">
        <v>536</v>
      </c>
      <c r="D133" s="378">
        <f>[1]WACAP2017!O132+WACAP2018!D132</f>
        <v>-29135.470000000005</v>
      </c>
      <c r="E133" s="378">
        <f t="shared" ref="E133:P133" si="55">D133+E132</f>
        <v>-34945.170000000006</v>
      </c>
      <c r="F133" s="378">
        <f t="shared" si="55"/>
        <v>-38291.810000000005</v>
      </c>
      <c r="G133" s="378">
        <f t="shared" si="55"/>
        <v>-42109</v>
      </c>
      <c r="H133" s="378">
        <f t="shared" si="55"/>
        <v>-47345.94</v>
      </c>
      <c r="I133" s="378">
        <f t="shared" si="55"/>
        <v>-51667.240000000005</v>
      </c>
      <c r="J133" s="378">
        <f t="shared" si="55"/>
        <v>-53887.97</v>
      </c>
      <c r="K133" s="378">
        <f t="shared" si="55"/>
        <v>-57489.75</v>
      </c>
      <c r="L133" s="378">
        <f t="shared" si="55"/>
        <v>-57528.84</v>
      </c>
      <c r="M133" s="378">
        <f t="shared" si="55"/>
        <v>-55623.899999999994</v>
      </c>
      <c r="N133" s="379">
        <f t="shared" si="55"/>
        <v>-30910.619999999988</v>
      </c>
      <c r="O133" s="378">
        <f t="shared" si="55"/>
        <v>-32504.569999999989</v>
      </c>
      <c r="P133" s="393">
        <f t="shared" si="55"/>
        <v>-34503.839999999989</v>
      </c>
      <c r="R133" s="392"/>
    </row>
    <row r="134" spans="1:37" x14ac:dyDescent="0.25">
      <c r="A134">
        <v>130</v>
      </c>
      <c r="B134" s="425"/>
      <c r="D134" s="17"/>
      <c r="E134" s="17"/>
      <c r="F134" s="386"/>
      <c r="G134" s="17"/>
      <c r="H134" s="17"/>
      <c r="I134" s="17"/>
      <c r="J134" s="17"/>
      <c r="K134" s="17"/>
      <c r="L134" s="17"/>
      <c r="M134" s="17"/>
      <c r="N134" s="420"/>
      <c r="O134" s="17"/>
      <c r="P134" s="422"/>
      <c r="R134" s="392"/>
      <c r="T134" s="415"/>
      <c r="U134" s="414"/>
      <c r="V134" s="421">
        <f>ROUND(U137/Z137,0)</f>
        <v>3496</v>
      </c>
      <c r="W134" s="413"/>
      <c r="X134" s="413"/>
      <c r="Y134" s="413"/>
      <c r="Z134" s="413"/>
      <c r="AA134" s="413"/>
      <c r="AB134" s="413"/>
    </row>
    <row r="135" spans="1:37" x14ac:dyDescent="0.25">
      <c r="A135">
        <v>131</v>
      </c>
      <c r="B135" s="425">
        <v>577</v>
      </c>
      <c r="C135" s="424" t="s">
        <v>555</v>
      </c>
      <c r="D135" s="17"/>
      <c r="E135" s="17"/>
      <c r="F135" s="386"/>
      <c r="G135" s="17"/>
      <c r="H135" s="17"/>
      <c r="I135" s="17"/>
      <c r="J135" s="17"/>
      <c r="K135" s="423" t="s">
        <v>554</v>
      </c>
      <c r="L135" s="17"/>
      <c r="M135" s="17"/>
      <c r="N135" s="420"/>
      <c r="O135" s="17"/>
      <c r="P135" s="422"/>
      <c r="R135" s="392"/>
      <c r="T135" s="413"/>
      <c r="U135" s="413">
        <v>577</v>
      </c>
      <c r="V135" s="421">
        <f>ROUND(U138/Z138,0)</f>
        <v>0</v>
      </c>
      <c r="W135" s="421">
        <f>SUM(V134:V135)</f>
        <v>3496</v>
      </c>
      <c r="X135" s="413"/>
      <c r="Y135" s="413"/>
      <c r="Z135" s="413"/>
      <c r="AA135" s="413"/>
      <c r="AB135" s="413"/>
    </row>
    <row r="136" spans="1:37" x14ac:dyDescent="0.25">
      <c r="A136">
        <v>132</v>
      </c>
      <c r="B136" s="394" t="s">
        <v>553</v>
      </c>
      <c r="C136" t="s">
        <v>552</v>
      </c>
      <c r="D136" s="419">
        <v>2</v>
      </c>
      <c r="E136" s="419">
        <v>2</v>
      </c>
      <c r="F136" s="419">
        <v>2</v>
      </c>
      <c r="G136" s="419">
        <v>2</v>
      </c>
      <c r="H136" s="419">
        <v>2</v>
      </c>
      <c r="I136" s="419">
        <v>2</v>
      </c>
      <c r="J136" s="419">
        <v>2</v>
      </c>
      <c r="K136" s="419">
        <v>0</v>
      </c>
      <c r="L136" s="419"/>
      <c r="M136" s="419"/>
      <c r="N136" s="420"/>
      <c r="O136" s="419"/>
      <c r="P136" s="418"/>
      <c r="Q136" s="16"/>
      <c r="R136" s="417"/>
      <c r="T136" s="413"/>
      <c r="U136" s="413"/>
      <c r="V136" s="416">
        <v>8245</v>
      </c>
      <c r="W136" s="413" t="s">
        <v>31</v>
      </c>
      <c r="X136" s="416">
        <f>V136</f>
        <v>8245</v>
      </c>
      <c r="Y136" s="413"/>
      <c r="Z136" s="413"/>
      <c r="AA136" s="413"/>
      <c r="AB136" s="413"/>
    </row>
    <row r="137" spans="1:37" x14ac:dyDescent="0.25">
      <c r="A137">
        <v>133</v>
      </c>
      <c r="B137" s="394" t="s">
        <v>550</v>
      </c>
      <c r="C137" t="s">
        <v>551</v>
      </c>
      <c r="D137" s="411">
        <v>832.08</v>
      </c>
      <c r="E137" s="411">
        <v>832.08</v>
      </c>
      <c r="F137" s="411">
        <v>832.08</v>
      </c>
      <c r="G137" s="411">
        <v>832.08</v>
      </c>
      <c r="H137" s="411">
        <v>832.08</v>
      </c>
      <c r="I137" s="411">
        <v>832.08</v>
      </c>
      <c r="J137" s="411">
        <v>815.23</v>
      </c>
      <c r="K137" s="411">
        <f>779.66-779.66</f>
        <v>0</v>
      </c>
      <c r="L137" s="411"/>
      <c r="M137" s="411"/>
      <c r="N137" s="407"/>
      <c r="O137" s="411"/>
      <c r="P137" s="410"/>
      <c r="Q137" s="361"/>
      <c r="R137" s="400"/>
      <c r="T137" s="415" t="s">
        <v>28</v>
      </c>
      <c r="U137" s="414">
        <v>363.62</v>
      </c>
      <c r="V137" s="412">
        <f>U137/V134</f>
        <v>0.10401029748283754</v>
      </c>
      <c r="W137" s="413"/>
      <c r="X137" s="412">
        <f>U137/V134</f>
        <v>0.10401029748283754</v>
      </c>
      <c r="Y137" s="413"/>
      <c r="Z137" s="413">
        <v>0.10401000000000001</v>
      </c>
      <c r="AA137" s="413"/>
      <c r="AB137" s="412">
        <f>Z137-X137</f>
        <v>-2.9748283753017191E-7</v>
      </c>
    </row>
    <row r="138" spans="1:37" x14ac:dyDescent="0.25">
      <c r="A138">
        <v>134</v>
      </c>
      <c r="B138" s="394" t="s">
        <v>550</v>
      </c>
      <c r="C138" t="s">
        <v>549</v>
      </c>
      <c r="D138" s="411">
        <v>930.33</v>
      </c>
      <c r="E138" s="411">
        <v>896.88</v>
      </c>
      <c r="F138" s="411">
        <v>747.38</v>
      </c>
      <c r="G138" s="411">
        <v>705.66</v>
      </c>
      <c r="H138" s="411">
        <v>396.29</v>
      </c>
      <c r="I138" s="411">
        <v>83.19</v>
      </c>
      <c r="J138" s="411">
        <v>61.06</v>
      </c>
      <c r="K138" s="411">
        <f>63.26-63.26</f>
        <v>0</v>
      </c>
      <c r="L138" s="411"/>
      <c r="M138" s="411"/>
      <c r="N138" s="407"/>
      <c r="O138" s="411"/>
      <c r="P138" s="410"/>
      <c r="Q138" s="361"/>
      <c r="R138" s="400"/>
      <c r="T138" s="415" t="s">
        <v>28</v>
      </c>
      <c r="U138" s="414">
        <v>0</v>
      </c>
      <c r="V138" s="412" t="e">
        <f>U138/V135</f>
        <v>#DIV/0!</v>
      </c>
      <c r="W138" s="413"/>
      <c r="X138" s="412" t="e">
        <f>U138/V135</f>
        <v>#DIV/0!</v>
      </c>
      <c r="Y138" s="413"/>
      <c r="Z138" s="413">
        <v>8.4459999999999993E-2</v>
      </c>
      <c r="AA138" s="413"/>
      <c r="AB138" s="412" t="e">
        <f>Z138-X138</f>
        <v>#DIV/0!</v>
      </c>
    </row>
    <row r="139" spans="1:37" x14ac:dyDescent="0.25">
      <c r="A139">
        <v>135</v>
      </c>
      <c r="B139" s="394" t="s">
        <v>545</v>
      </c>
      <c r="C139" t="s">
        <v>548</v>
      </c>
      <c r="D139" s="411">
        <v>832.08</v>
      </c>
      <c r="E139" s="411">
        <v>832.08</v>
      </c>
      <c r="F139" s="411">
        <v>832.08</v>
      </c>
      <c r="G139" s="411">
        <v>832.08</v>
      </c>
      <c r="H139" s="411">
        <v>832.08</v>
      </c>
      <c r="I139" s="411">
        <v>815.23</v>
      </c>
      <c r="J139" s="411">
        <v>363.62</v>
      </c>
      <c r="K139" s="411"/>
      <c r="L139" s="411"/>
      <c r="M139" s="411"/>
      <c r="N139" s="407"/>
      <c r="O139" s="411"/>
      <c r="P139" s="410"/>
      <c r="Q139" s="361"/>
      <c r="R139" s="400"/>
      <c r="T139" s="415" t="s">
        <v>11</v>
      </c>
      <c r="U139" s="414">
        <v>1509.12</v>
      </c>
      <c r="V139" s="412">
        <f>U139/V136</f>
        <v>0.18303456640388113</v>
      </c>
      <c r="W139" s="413"/>
      <c r="X139" s="412">
        <f>U139/X136</f>
        <v>0.18303456640388113</v>
      </c>
      <c r="Y139" s="413"/>
      <c r="Z139" s="413">
        <v>0.43167</v>
      </c>
      <c r="AA139" s="413"/>
      <c r="AB139" s="412">
        <f>Z139-X139</f>
        <v>0.24863543359611887</v>
      </c>
      <c r="AK139" s="361">
        <f>+D139</f>
        <v>832.08</v>
      </c>
    </row>
    <row r="140" spans="1:37" x14ac:dyDescent="0.25">
      <c r="A140">
        <v>136</v>
      </c>
      <c r="B140" s="394" t="s">
        <v>545</v>
      </c>
      <c r="C140" t="s">
        <v>547</v>
      </c>
      <c r="D140" s="411">
        <v>896.88</v>
      </c>
      <c r="E140" s="411">
        <v>747.38</v>
      </c>
      <c r="F140" s="411">
        <v>705.66</v>
      </c>
      <c r="G140" s="411">
        <v>396.29</v>
      </c>
      <c r="H140" s="411">
        <v>83.19</v>
      </c>
      <c r="I140" s="411">
        <v>61.06</v>
      </c>
      <c r="J140" s="411">
        <v>0</v>
      </c>
      <c r="K140" s="411"/>
      <c r="L140" s="411"/>
      <c r="M140" s="411"/>
      <c r="N140" s="407"/>
      <c r="O140" s="411"/>
      <c r="P140" s="410"/>
      <c r="Q140" s="361"/>
      <c r="R140" s="400"/>
      <c r="T140" s="413"/>
      <c r="U140" s="413"/>
      <c r="V140" s="413"/>
      <c r="W140" s="413"/>
      <c r="X140" s="413"/>
      <c r="Y140" s="413"/>
      <c r="Z140" s="413"/>
      <c r="AA140" s="413"/>
      <c r="AB140" s="412"/>
      <c r="AK140" s="361">
        <f>+D140</f>
        <v>896.88</v>
      </c>
    </row>
    <row r="141" spans="1:37" x14ac:dyDescent="0.25">
      <c r="A141">
        <v>137</v>
      </c>
      <c r="B141" s="394" t="s">
        <v>545</v>
      </c>
      <c r="C141" t="s">
        <v>546</v>
      </c>
      <c r="D141" s="411">
        <f>-[1]WACAP2017!O138</f>
        <v>-832.08</v>
      </c>
      <c r="E141" s="411">
        <f t="shared" ref="E141:J142" si="56">-D139</f>
        <v>-832.08</v>
      </c>
      <c r="F141" s="411">
        <f t="shared" si="56"/>
        <v>-832.08</v>
      </c>
      <c r="G141" s="411">
        <f t="shared" si="56"/>
        <v>-832.08</v>
      </c>
      <c r="H141" s="411">
        <f t="shared" si="56"/>
        <v>-832.08</v>
      </c>
      <c r="I141" s="411">
        <f t="shared" si="56"/>
        <v>-832.08</v>
      </c>
      <c r="J141" s="411">
        <f t="shared" si="56"/>
        <v>-815.23</v>
      </c>
      <c r="K141" s="411">
        <f>-J139+363.62</f>
        <v>0</v>
      </c>
      <c r="L141" s="411">
        <f>-K139</f>
        <v>0</v>
      </c>
      <c r="M141" s="411">
        <f>-L139</f>
        <v>0</v>
      </c>
      <c r="N141" s="407"/>
      <c r="O141" s="411">
        <f>-M139</f>
        <v>0</v>
      </c>
      <c r="P141" s="410">
        <f>-O139</f>
        <v>0</v>
      </c>
      <c r="Q141" s="361"/>
      <c r="R141" s="400"/>
      <c r="AK141" s="361">
        <f>+D141</f>
        <v>-832.08</v>
      </c>
    </row>
    <row r="142" spans="1:37" x14ac:dyDescent="0.25">
      <c r="A142">
        <v>138</v>
      </c>
      <c r="B142" s="394" t="s">
        <v>545</v>
      </c>
      <c r="C142" t="s">
        <v>544</v>
      </c>
      <c r="D142" s="409">
        <f>-[1]WACAP2017!O139</f>
        <v>-930.33</v>
      </c>
      <c r="E142" s="409">
        <f t="shared" si="56"/>
        <v>-896.88</v>
      </c>
      <c r="F142" s="409">
        <f t="shared" si="56"/>
        <v>-747.38</v>
      </c>
      <c r="G142" s="409">
        <f t="shared" si="56"/>
        <v>-705.66</v>
      </c>
      <c r="H142" s="409">
        <f t="shared" si="56"/>
        <v>-396.29</v>
      </c>
      <c r="I142" s="409">
        <f t="shared" si="56"/>
        <v>-83.19</v>
      </c>
      <c r="J142" s="409">
        <f t="shared" si="56"/>
        <v>-61.06</v>
      </c>
      <c r="K142" s="409">
        <f>-J140</f>
        <v>0</v>
      </c>
      <c r="L142" s="409">
        <f>-K140</f>
        <v>0</v>
      </c>
      <c r="M142" s="409">
        <f>-L140</f>
        <v>0</v>
      </c>
      <c r="N142" s="406"/>
      <c r="O142" s="409">
        <f>-M140</f>
        <v>0</v>
      </c>
      <c r="P142" s="408">
        <f>-O140</f>
        <v>0</v>
      </c>
      <c r="Q142" s="361"/>
      <c r="R142" s="400"/>
      <c r="AK142" s="361">
        <f>+D142</f>
        <v>-930.33</v>
      </c>
    </row>
    <row r="143" spans="1:37" x14ac:dyDescent="0.25">
      <c r="A143">
        <v>139</v>
      </c>
      <c r="B143" s="403"/>
      <c r="C143" s="380" t="s">
        <v>543</v>
      </c>
      <c r="D143" s="386">
        <f t="shared" ref="D143:M143" si="57">SUM(D137:D142)</f>
        <v>1728.9600000000005</v>
      </c>
      <c r="E143" s="386">
        <f t="shared" si="57"/>
        <v>1579.46</v>
      </c>
      <c r="F143" s="386">
        <f t="shared" si="57"/>
        <v>1537.7399999999998</v>
      </c>
      <c r="G143" s="386">
        <f t="shared" si="57"/>
        <v>1228.3700000000003</v>
      </c>
      <c r="H143" s="386">
        <f t="shared" si="57"/>
        <v>915.27000000000044</v>
      </c>
      <c r="I143" s="386">
        <f t="shared" si="57"/>
        <v>876.29</v>
      </c>
      <c r="J143" s="386">
        <f t="shared" si="57"/>
        <v>363.61999999999983</v>
      </c>
      <c r="K143" s="386">
        <f t="shared" si="57"/>
        <v>0</v>
      </c>
      <c r="L143" s="386">
        <f t="shared" si="57"/>
        <v>0</v>
      </c>
      <c r="M143" s="386">
        <f t="shared" si="57"/>
        <v>0</v>
      </c>
      <c r="N143" s="407"/>
      <c r="O143" s="386">
        <f>SUM(O137:O142)</f>
        <v>0</v>
      </c>
      <c r="P143" s="401">
        <f>SUM(P137:P142)</f>
        <v>0</v>
      </c>
      <c r="R143" s="392"/>
    </row>
    <row r="144" spans="1:37" x14ac:dyDescent="0.25">
      <c r="A144">
        <v>140</v>
      </c>
      <c r="B144" s="403"/>
      <c r="C144" s="380" t="s">
        <v>542</v>
      </c>
      <c r="D144" s="405">
        <f>ROUND(-'[1]Authorized Margins'!J105*WACAP2018!D136,2)</f>
        <v>-2343.46</v>
      </c>
      <c r="E144" s="405">
        <f>ROUND(-'[1]Authorized Margins'!K105*WACAP2018!E136,2)</f>
        <v>-2320.3200000000002</v>
      </c>
      <c r="F144" s="405">
        <f>ROUND(-'[1]Authorized Margins'!L105*WACAP2018!F136,2)</f>
        <v>-1840.36</v>
      </c>
      <c r="G144" s="405">
        <f>ROUND(-'[1]Authorized Margins'!M105*WACAP2018!G136,2)</f>
        <v>-1772.62</v>
      </c>
      <c r="H144" s="405">
        <f>ROUND(-'[1]Authorized Margins'!N105*WACAP2018!H136,2)</f>
        <v>-1589.68</v>
      </c>
      <c r="I144" s="405">
        <f>ROUND(-'[1]Authorized Margins'!O105*WACAP2018!I136,2)</f>
        <v>-1271.5</v>
      </c>
      <c r="J144" s="405">
        <f>ROUND(-'[1]Authorized Margins'!D105*WACAP2018!J136,2)</f>
        <v>-1373.4</v>
      </c>
      <c r="K144" s="405">
        <v>0</v>
      </c>
      <c r="L144" s="405">
        <v>0</v>
      </c>
      <c r="M144" s="405">
        <v>0</v>
      </c>
      <c r="N144" s="406"/>
      <c r="O144" s="405">
        <v>0</v>
      </c>
      <c r="P144" s="404">
        <v>0</v>
      </c>
      <c r="R144" s="392"/>
    </row>
    <row r="145" spans="1:38" x14ac:dyDescent="0.25">
      <c r="A145">
        <v>141</v>
      </c>
      <c r="B145" s="403"/>
      <c r="C145" s="380" t="s">
        <v>541</v>
      </c>
      <c r="D145" s="378">
        <f t="shared" ref="D145:M145" si="58">SUM(D143:D144)</f>
        <v>-614.49999999999955</v>
      </c>
      <c r="E145" s="378">
        <f t="shared" si="58"/>
        <v>-740.86000000000013</v>
      </c>
      <c r="F145" s="378">
        <f t="shared" si="58"/>
        <v>-302.62000000000012</v>
      </c>
      <c r="G145" s="378">
        <f t="shared" si="58"/>
        <v>-544.24999999999955</v>
      </c>
      <c r="H145" s="378">
        <f t="shared" si="58"/>
        <v>-674.40999999999963</v>
      </c>
      <c r="I145" s="378">
        <f t="shared" si="58"/>
        <v>-395.21000000000004</v>
      </c>
      <c r="J145" s="378">
        <f t="shared" si="58"/>
        <v>-1009.7800000000002</v>
      </c>
      <c r="K145" s="378">
        <f t="shared" si="58"/>
        <v>0</v>
      </c>
      <c r="L145" s="378">
        <f t="shared" si="58"/>
        <v>0</v>
      </c>
      <c r="M145" s="378">
        <f t="shared" si="58"/>
        <v>0</v>
      </c>
      <c r="N145" s="402">
        <f>-[1]WACAP2017!Q146</f>
        <v>2062.389999999999</v>
      </c>
      <c r="O145" s="378">
        <f>SUM(O143:O144)</f>
        <v>0</v>
      </c>
      <c r="P145" s="401">
        <f>SUM(P143:P144)</f>
        <v>0</v>
      </c>
      <c r="R145" s="400">
        <f>SUM(D145:Q145)-N145</f>
        <v>-4281.6299999999992</v>
      </c>
    </row>
    <row r="146" spans="1:38" x14ac:dyDescent="0.25">
      <c r="A146">
        <v>142</v>
      </c>
      <c r="B146" s="394"/>
      <c r="C146" s="380" t="s">
        <v>540</v>
      </c>
      <c r="D146" s="54">
        <f>ROUND(ROUND([1]WACAP2017!O147*D$6,2)/365*D$7,2)</f>
        <v>-7.44</v>
      </c>
      <c r="E146" s="54">
        <f t="shared" ref="E146:M146" si="59">ROUND(ROUND(D148*E$6,2)/365*E$7,2)</f>
        <v>-8.75</v>
      </c>
      <c r="F146" s="54">
        <f t="shared" si="59"/>
        <v>-12.39</v>
      </c>
      <c r="G146" s="54">
        <f t="shared" si="59"/>
        <v>-13.77</v>
      </c>
      <c r="H146" s="54">
        <f t="shared" si="59"/>
        <v>-16.350000000000001</v>
      </c>
      <c r="I146" s="54">
        <f t="shared" si="59"/>
        <v>-18.36</v>
      </c>
      <c r="J146" s="54">
        <f t="shared" si="59"/>
        <v>-21.55</v>
      </c>
      <c r="K146" s="54">
        <f t="shared" si="59"/>
        <v>-25.66</v>
      </c>
      <c r="L146" s="54">
        <f t="shared" si="59"/>
        <v>-24.93</v>
      </c>
      <c r="M146" s="54">
        <f t="shared" si="59"/>
        <v>-27.35</v>
      </c>
      <c r="N146" s="384">
        <f>'[1]Ammort Split2018'!N145</f>
        <v>78.990000000000009</v>
      </c>
      <c r="O146" s="54">
        <f>ROUND(ROUND(N148*O$6,2)/365*O$7,2)</f>
        <v>-17.850000000000001</v>
      </c>
      <c r="P146" s="399">
        <f>ROUND(ROUND(O148*P$6,2)/365*P$7,2)</f>
        <v>-18.52</v>
      </c>
      <c r="R146" s="398">
        <f>SUM(D146:Q146)</f>
        <v>-133.92999999999998</v>
      </c>
    </row>
    <row r="147" spans="1:38" x14ac:dyDescent="0.25">
      <c r="A147">
        <v>143</v>
      </c>
      <c r="B147" s="394"/>
      <c r="C147" s="380" t="s">
        <v>539</v>
      </c>
      <c r="D147" s="383">
        <f t="shared" ref="D147:P147" si="60">SUM(D145:D146)</f>
        <v>-621.9399999999996</v>
      </c>
      <c r="E147" s="383">
        <f t="shared" si="60"/>
        <v>-749.61000000000013</v>
      </c>
      <c r="F147" s="383">
        <f t="shared" si="60"/>
        <v>-315.0100000000001</v>
      </c>
      <c r="G147" s="383">
        <f t="shared" si="60"/>
        <v>-558.01999999999953</v>
      </c>
      <c r="H147" s="383">
        <f t="shared" si="60"/>
        <v>-690.75999999999965</v>
      </c>
      <c r="I147" s="383">
        <f t="shared" si="60"/>
        <v>-413.57000000000005</v>
      </c>
      <c r="J147" s="383">
        <f t="shared" si="60"/>
        <v>-1031.3300000000002</v>
      </c>
      <c r="K147" s="383">
        <f t="shared" si="60"/>
        <v>-25.66</v>
      </c>
      <c r="L147" s="383">
        <f t="shared" si="60"/>
        <v>-24.93</v>
      </c>
      <c r="M147" s="383">
        <f t="shared" si="60"/>
        <v>-27.35</v>
      </c>
      <c r="N147" s="397">
        <f t="shared" si="60"/>
        <v>2141.3799999999992</v>
      </c>
      <c r="O147" s="383">
        <f t="shared" si="60"/>
        <v>-17.850000000000001</v>
      </c>
      <c r="P147" s="396">
        <f t="shared" si="60"/>
        <v>-18.52</v>
      </c>
      <c r="R147" s="395">
        <f>SUM(R145:R146)</f>
        <v>-4415.5599999999995</v>
      </c>
    </row>
    <row r="148" spans="1:38" x14ac:dyDescent="0.25">
      <c r="A148">
        <v>144</v>
      </c>
      <c r="B148" s="394"/>
      <c r="C148" s="380" t="s">
        <v>536</v>
      </c>
      <c r="D148" s="378">
        <f>[1]WACAP2017!O147+WACAP2018!D147</f>
        <v>-2684.3299999999986</v>
      </c>
      <c r="E148" s="378">
        <f t="shared" ref="E148:P148" si="61">D148+E147</f>
        <v>-3433.9399999999987</v>
      </c>
      <c r="F148" s="378">
        <f t="shared" si="61"/>
        <v>-3748.9499999999989</v>
      </c>
      <c r="G148" s="378">
        <f t="shared" si="61"/>
        <v>-4306.9699999999984</v>
      </c>
      <c r="H148" s="378">
        <f t="shared" si="61"/>
        <v>-4997.7299999999977</v>
      </c>
      <c r="I148" s="378">
        <f t="shared" si="61"/>
        <v>-5411.2999999999975</v>
      </c>
      <c r="J148" s="378">
        <f t="shared" si="61"/>
        <v>-6442.6299999999974</v>
      </c>
      <c r="K148" s="378">
        <f t="shared" si="61"/>
        <v>-6468.2899999999972</v>
      </c>
      <c r="L148" s="378">
        <f t="shared" si="61"/>
        <v>-6493.2199999999975</v>
      </c>
      <c r="M148" s="378">
        <f t="shared" si="61"/>
        <v>-6520.5699999999979</v>
      </c>
      <c r="N148" s="379">
        <f t="shared" si="61"/>
        <v>-4379.1899999999987</v>
      </c>
      <c r="O148" s="378">
        <f t="shared" si="61"/>
        <v>-4397.0399999999991</v>
      </c>
      <c r="P148" s="393">
        <f t="shared" si="61"/>
        <v>-4415.5599999999995</v>
      </c>
      <c r="R148" s="392"/>
    </row>
    <row r="149" spans="1:38" ht="15.75" thickBot="1" x14ac:dyDescent="0.3">
      <c r="A149">
        <v>145</v>
      </c>
      <c r="B149" s="391"/>
      <c r="C149" s="235"/>
      <c r="D149" s="235"/>
      <c r="E149" s="235"/>
      <c r="F149" s="390"/>
      <c r="G149" s="235"/>
      <c r="H149" s="235"/>
      <c r="I149" s="235"/>
      <c r="J149" s="235"/>
      <c r="K149" s="235"/>
      <c r="L149" s="235"/>
      <c r="M149" s="235"/>
      <c r="N149" s="389"/>
      <c r="O149" s="235"/>
      <c r="P149" s="236"/>
      <c r="R149" s="388"/>
    </row>
    <row r="150" spans="1:38" x14ac:dyDescent="0.25">
      <c r="A150">
        <v>146</v>
      </c>
      <c r="F150" s="361"/>
      <c r="N150" s="387"/>
    </row>
    <row r="151" spans="1:38" ht="30" x14ac:dyDescent="0.25">
      <c r="A151">
        <v>147</v>
      </c>
      <c r="C151" s="380" t="s">
        <v>538</v>
      </c>
      <c r="D151" s="378">
        <f t="shared" ref="D151:P151" si="62">D13+D25+D63+D75+D38+D115+D51+D90+D100+D130+D145</f>
        <v>-254921.14000000071</v>
      </c>
      <c r="E151" s="378">
        <f t="shared" si="62"/>
        <v>811118.46999999892</v>
      </c>
      <c r="F151" s="378">
        <f t="shared" si="62"/>
        <v>448352.56999999972</v>
      </c>
      <c r="G151" s="378">
        <f t="shared" si="62"/>
        <v>552354.37999999942</v>
      </c>
      <c r="H151" s="378">
        <f t="shared" si="62"/>
        <v>-546739.59999999939</v>
      </c>
      <c r="I151" s="378">
        <f t="shared" si="62"/>
        <v>92773.670000000071</v>
      </c>
      <c r="J151" s="378">
        <f t="shared" si="62"/>
        <v>-23270.85000000025</v>
      </c>
      <c r="K151" s="378">
        <f t="shared" si="62"/>
        <v>-450457.18000000005</v>
      </c>
      <c r="L151" s="378">
        <f t="shared" si="62"/>
        <v>83303.359999999768</v>
      </c>
      <c r="M151" s="378">
        <f t="shared" si="62"/>
        <v>-302039.75000000041</v>
      </c>
      <c r="N151" s="379">
        <f t="shared" si="62"/>
        <v>-5899943.7300000032</v>
      </c>
      <c r="O151" s="378">
        <f t="shared" si="62"/>
        <v>-347558.70000000019</v>
      </c>
      <c r="P151" s="378">
        <f t="shared" si="62"/>
        <v>-1107807.2499999993</v>
      </c>
      <c r="R151" s="54">
        <f>R13+R25+R75+R38+R115+R51+R90+R100+R130+R145+R63</f>
        <v>-1044892.0200000021</v>
      </c>
      <c r="T151" s="361"/>
      <c r="AE151" s="386">
        <f>SUM(AE6:AE150)</f>
        <v>273521</v>
      </c>
      <c r="AF151" s="386">
        <f>SUM(AF6:AF150)</f>
        <v>274028</v>
      </c>
      <c r="AG151" s="386">
        <f>SUM(AG6:AG150)</f>
        <v>275871</v>
      </c>
      <c r="AH151" s="386">
        <f>SUM(AH6:AH150)</f>
        <v>277375</v>
      </c>
      <c r="AI151" s="386">
        <f>SUM(AI6:AI150)</f>
        <v>278164</v>
      </c>
      <c r="AK151" s="517">
        <f>SUM(AK6:AK150)</f>
        <v>-1582282.8800000013</v>
      </c>
      <c r="AL151" s="518" t="s">
        <v>715</v>
      </c>
    </row>
    <row r="152" spans="1:38" x14ac:dyDescent="0.25">
      <c r="A152">
        <v>148</v>
      </c>
      <c r="C152" s="380" t="s">
        <v>537</v>
      </c>
      <c r="D152" s="385">
        <f>D14+D26+D64+D76+D39+D116+D52+D91+D101+D131+D146-0.02</f>
        <v>21296.37</v>
      </c>
      <c r="E152" s="98">
        <f>E14+E26+E64+E76+E39+E116+E52+E91+E101+E131+E146</f>
        <v>18473.749999999996</v>
      </c>
      <c r="F152" s="385">
        <f>F14+F26+F64+F76+F39+F116+F52+F91+F101+F131+F146-0.02</f>
        <v>23447.57</v>
      </c>
      <c r="G152" s="385">
        <f>G14+G26+G64+G76+G39+G116+G52+G91+G101+G131+G146+0.01</f>
        <v>25599.179999999993</v>
      </c>
      <c r="H152" s="385">
        <f>H14+H26+H64+H76+H39+H116+H52+H91+H101+H131+H146-0.01</f>
        <v>28646.65</v>
      </c>
      <c r="I152" s="385">
        <f>I14+I26+I64+I76+I39+I116+I52+I91+I101+I131+I146+0.01</f>
        <v>25819.109999999993</v>
      </c>
      <c r="J152" s="385">
        <f>J14+J26+J64+J76+J39+J116+J52+J91+J101+J131+J146-0.01</f>
        <v>28465.230000000003</v>
      </c>
      <c r="K152" s="98">
        <f>K14+K26+K64+K76+K39+K116+K52+K91+K101+K131+K146+0.01</f>
        <v>28485.919999999998</v>
      </c>
      <c r="L152" s="385">
        <f>L14+L26+L64+L76+L39+L116+L52+L91+L101+L131+L146-0.01</f>
        <v>25940.41</v>
      </c>
      <c r="M152" s="385">
        <f>M14+M26+M64+M76+M39+M116+M52+M91+M101+M131+M146-0.01+0.01</f>
        <v>28808.440000000002</v>
      </c>
      <c r="N152" s="384">
        <f>N14+N26+N64+N76+N39+N116+N52+N91+N101+N131+N146</f>
        <v>-225980.16</v>
      </c>
      <c r="O152" s="54">
        <f>O14+O26+O64+O76+O39+O116+O52+O91+O101+O131+O146</f>
        <v>1791.63</v>
      </c>
      <c r="P152" s="54">
        <f>P14+P26+P64+P76+P39+P116+P52+P91+P101+P131+P146</f>
        <v>394.75999999999993</v>
      </c>
      <c r="R152" s="383">
        <f>R14+R26+R76+R39+R116+R52+R91+R101+R131+R146+R64</f>
        <v>31188.900000000034</v>
      </c>
      <c r="T152" s="361"/>
    </row>
    <row r="153" spans="1:38" x14ac:dyDescent="0.25">
      <c r="A153">
        <v>149</v>
      </c>
      <c r="C153" s="380" t="s">
        <v>536</v>
      </c>
      <c r="D153" s="378">
        <f>SUM(D151:D152)+[1]WACAP2017!O152</f>
        <v>5666318.9600000009</v>
      </c>
      <c r="E153" s="378">
        <f t="shared" ref="E153:P153" si="63">SUM(E151:E152)+D153</f>
        <v>6495911.1799999997</v>
      </c>
      <c r="F153" s="378">
        <f t="shared" si="63"/>
        <v>6967711.3199999994</v>
      </c>
      <c r="G153" s="378">
        <f t="shared" si="63"/>
        <v>7545664.879999999</v>
      </c>
      <c r="H153" s="378">
        <f t="shared" si="63"/>
        <v>7027571.9299999997</v>
      </c>
      <c r="I153" s="378">
        <f t="shared" si="63"/>
        <v>7146164.71</v>
      </c>
      <c r="J153" s="378">
        <f t="shared" si="63"/>
        <v>7151359.0899999999</v>
      </c>
      <c r="K153" s="378">
        <f t="shared" si="63"/>
        <v>6729387.8300000001</v>
      </c>
      <c r="L153" s="378">
        <f t="shared" si="63"/>
        <v>6838631.5999999996</v>
      </c>
      <c r="M153" s="378">
        <f t="shared" si="63"/>
        <v>6565400.2899999991</v>
      </c>
      <c r="N153" s="379">
        <f t="shared" si="63"/>
        <v>439476.39999999572</v>
      </c>
      <c r="O153" s="378">
        <f t="shared" si="63"/>
        <v>93709.329999995534</v>
      </c>
      <c r="P153" s="382">
        <f t="shared" si="63"/>
        <v>-1013703.1600000038</v>
      </c>
      <c r="R153" s="381">
        <f>SUM(R151:R152)</f>
        <v>-1013703.1200000021</v>
      </c>
      <c r="T153" s="361"/>
    </row>
    <row r="154" spans="1:38" x14ac:dyDescent="0.25">
      <c r="A154">
        <v>150</v>
      </c>
      <c r="C154" s="380"/>
      <c r="D154" s="54"/>
      <c r="E154" s="378"/>
      <c r="F154" s="378"/>
      <c r="G154" s="378"/>
      <c r="H154" s="378"/>
      <c r="I154" s="378"/>
      <c r="J154" s="378"/>
      <c r="K154" s="378"/>
      <c r="L154" s="378"/>
      <c r="M154" s="378"/>
      <c r="N154" s="379"/>
      <c r="O154" s="378"/>
      <c r="P154" s="378"/>
    </row>
    <row r="155" spans="1:38" ht="15.75" thickBot="1" x14ac:dyDescent="0.3">
      <c r="A155">
        <v>151</v>
      </c>
      <c r="B155" s="592" t="s">
        <v>535</v>
      </c>
      <c r="F155" s="361"/>
      <c r="N155" s="377" t="s">
        <v>534</v>
      </c>
    </row>
    <row r="156" spans="1:38" ht="15.75" x14ac:dyDescent="0.25">
      <c r="A156">
        <v>152</v>
      </c>
      <c r="B156" s="593"/>
      <c r="C156" s="376"/>
      <c r="D156" s="374">
        <v>43131</v>
      </c>
      <c r="E156" s="374">
        <v>43159</v>
      </c>
      <c r="F156" s="374">
        <v>43190</v>
      </c>
      <c r="G156" s="374">
        <v>43220</v>
      </c>
      <c r="H156" s="374">
        <v>43251</v>
      </c>
      <c r="I156" s="374">
        <v>43281</v>
      </c>
      <c r="J156" s="374">
        <v>43312</v>
      </c>
      <c r="K156" s="374">
        <v>43343</v>
      </c>
      <c r="L156" s="374">
        <v>43373</v>
      </c>
      <c r="M156" s="374">
        <v>43404</v>
      </c>
      <c r="N156" s="375" t="s">
        <v>534</v>
      </c>
      <c r="O156" s="374">
        <v>43434</v>
      </c>
      <c r="P156" s="364">
        <v>43465</v>
      </c>
    </row>
    <row r="157" spans="1:38" ht="15.75" x14ac:dyDescent="0.25">
      <c r="A157">
        <v>153</v>
      </c>
      <c r="B157" s="373" t="s">
        <v>533</v>
      </c>
      <c r="C157" s="372" t="s">
        <v>532</v>
      </c>
      <c r="D157" s="363">
        <f t="shared" ref="D157:P157" si="64">-D151</f>
        <v>254921.14000000071</v>
      </c>
      <c r="E157" s="363">
        <f t="shared" si="64"/>
        <v>-811118.46999999892</v>
      </c>
      <c r="F157" s="363">
        <f t="shared" si="64"/>
        <v>-448352.56999999972</v>
      </c>
      <c r="G157" s="363">
        <f t="shared" si="64"/>
        <v>-552354.37999999942</v>
      </c>
      <c r="H157" s="363">
        <f t="shared" si="64"/>
        <v>546739.59999999939</v>
      </c>
      <c r="I157" s="363">
        <f t="shared" si="64"/>
        <v>-92773.670000000071</v>
      </c>
      <c r="J157" s="363">
        <f t="shared" si="64"/>
        <v>23270.85000000025</v>
      </c>
      <c r="K157" s="363">
        <f t="shared" si="64"/>
        <v>450457.18000000005</v>
      </c>
      <c r="L157" s="363">
        <f t="shared" si="64"/>
        <v>-83303.359999999768</v>
      </c>
      <c r="M157" s="363">
        <f t="shared" si="64"/>
        <v>302039.75000000041</v>
      </c>
      <c r="N157" s="371">
        <f t="shared" si="64"/>
        <v>5899943.7300000032</v>
      </c>
      <c r="O157" s="363">
        <f t="shared" si="64"/>
        <v>347558.70000000019</v>
      </c>
      <c r="P157" s="363">
        <f t="shared" si="64"/>
        <v>1107807.2499999993</v>
      </c>
      <c r="S157" s="361">
        <f t="shared" ref="S157:S162" si="65">SUM(D157:L157)</f>
        <v>-712513.67999999761</v>
      </c>
    </row>
    <row r="158" spans="1:38" ht="15.75" x14ac:dyDescent="0.25">
      <c r="A158">
        <v>154</v>
      </c>
      <c r="B158" s="367" t="s">
        <v>531</v>
      </c>
      <c r="C158" s="366" t="s">
        <v>530</v>
      </c>
      <c r="D158" s="363">
        <f t="shared" ref="D158:P158" si="66">D13+D25</f>
        <v>-251521.90000000116</v>
      </c>
      <c r="E158" s="363">
        <f t="shared" si="66"/>
        <v>475894.17999999912</v>
      </c>
      <c r="F158" s="363">
        <f t="shared" si="66"/>
        <v>279376.13999999996</v>
      </c>
      <c r="G158" s="363">
        <f t="shared" si="66"/>
        <v>215541.01999999967</v>
      </c>
      <c r="H158" s="363">
        <f t="shared" si="66"/>
        <v>-429104.81999999954</v>
      </c>
      <c r="I158" s="363">
        <f t="shared" si="66"/>
        <v>-28563.249999999702</v>
      </c>
      <c r="J158" s="363">
        <f t="shared" si="66"/>
        <v>-47380.860000000175</v>
      </c>
      <c r="K158" s="363">
        <f t="shared" si="66"/>
        <v>-287367.85000000009</v>
      </c>
      <c r="L158" s="363">
        <f t="shared" si="66"/>
        <v>45275.579999999842</v>
      </c>
      <c r="M158" s="363">
        <f t="shared" si="66"/>
        <v>-247854.96000000043</v>
      </c>
      <c r="N158" s="371">
        <f t="shared" si="66"/>
        <v>-2828932.4500000011</v>
      </c>
      <c r="O158" s="363">
        <f t="shared" si="66"/>
        <v>-353450.87999999989</v>
      </c>
      <c r="P158" s="363">
        <f t="shared" si="66"/>
        <v>-810428.94999999925</v>
      </c>
      <c r="S158" s="361">
        <f t="shared" si="65"/>
        <v>-27851.760000002047</v>
      </c>
    </row>
    <row r="159" spans="1:38" ht="15.75" x14ac:dyDescent="0.25">
      <c r="A159">
        <v>155</v>
      </c>
      <c r="B159" s="367" t="s">
        <v>529</v>
      </c>
      <c r="C159" s="366" t="s">
        <v>528</v>
      </c>
      <c r="D159" s="363">
        <f t="shared" ref="D159:P159" si="67">D38+D51</f>
        <v>45797.330000000016</v>
      </c>
      <c r="E159" s="363">
        <f t="shared" si="67"/>
        <v>-40367.109999999986</v>
      </c>
      <c r="F159" s="363">
        <f t="shared" si="67"/>
        <v>27926.630000000023</v>
      </c>
      <c r="G159" s="363">
        <f t="shared" si="67"/>
        <v>53571.05000000001</v>
      </c>
      <c r="H159" s="363">
        <f t="shared" si="67"/>
        <v>24565.649999999994</v>
      </c>
      <c r="I159" s="363">
        <f t="shared" si="67"/>
        <v>17190.789999999994</v>
      </c>
      <c r="J159" s="363">
        <f t="shared" si="67"/>
        <v>14410.529999999992</v>
      </c>
      <c r="K159" s="363">
        <f t="shared" si="67"/>
        <v>29318.810000000005</v>
      </c>
      <c r="L159" s="363">
        <f t="shared" si="67"/>
        <v>16748.040000000008</v>
      </c>
      <c r="M159" s="363">
        <f t="shared" si="67"/>
        <v>23403.219999999987</v>
      </c>
      <c r="N159" s="371">
        <f t="shared" si="67"/>
        <v>-259427.63999999998</v>
      </c>
      <c r="O159" s="363">
        <f t="shared" si="67"/>
        <v>11051.780000000013</v>
      </c>
      <c r="P159" s="363">
        <f t="shared" si="67"/>
        <v>24070.910000000011</v>
      </c>
      <c r="S159" s="361">
        <f t="shared" si="65"/>
        <v>189161.72000000003</v>
      </c>
    </row>
    <row r="160" spans="1:38" ht="15.75" x14ac:dyDescent="0.25">
      <c r="A160">
        <v>156</v>
      </c>
      <c r="B160" s="367" t="s">
        <v>527</v>
      </c>
      <c r="C160" s="366" t="s">
        <v>526</v>
      </c>
      <c r="D160" s="363">
        <f t="shared" ref="D160:P160" si="68">D63+D75+D90+D100</f>
        <v>-43080.769999999626</v>
      </c>
      <c r="E160" s="363">
        <f t="shared" si="68"/>
        <v>382570.29999999976</v>
      </c>
      <c r="F160" s="363">
        <f t="shared" si="68"/>
        <v>144979.74999999983</v>
      </c>
      <c r="G160" s="363">
        <f t="shared" si="68"/>
        <v>287767.70999999973</v>
      </c>
      <c r="H160" s="363">
        <f t="shared" si="68"/>
        <v>-136188.05999999997</v>
      </c>
      <c r="I160" s="363">
        <f t="shared" si="68"/>
        <v>108867.96999999978</v>
      </c>
      <c r="J160" s="363">
        <f t="shared" si="68"/>
        <v>12923.679999999929</v>
      </c>
      <c r="K160" s="363">
        <f t="shared" si="68"/>
        <v>-188923.66999999993</v>
      </c>
      <c r="L160" s="363">
        <f t="shared" si="68"/>
        <v>21273.359999999906</v>
      </c>
      <c r="M160" s="363">
        <f t="shared" si="68"/>
        <v>-79381.779999999897</v>
      </c>
      <c r="N160" s="371">
        <f t="shared" si="68"/>
        <v>-2841285.0500000017</v>
      </c>
      <c r="O160" s="363">
        <f t="shared" si="68"/>
        <v>-3394.8800000002811</v>
      </c>
      <c r="P160" s="363">
        <f t="shared" si="68"/>
        <v>-319170.54000000004</v>
      </c>
      <c r="S160" s="361">
        <f t="shared" si="65"/>
        <v>590190.26999999944</v>
      </c>
    </row>
    <row r="161" spans="1:19" ht="15.75" x14ac:dyDescent="0.25">
      <c r="A161">
        <v>157</v>
      </c>
      <c r="B161" s="367" t="s">
        <v>525</v>
      </c>
      <c r="C161" s="366" t="s">
        <v>524</v>
      </c>
      <c r="D161" s="363">
        <f t="shared" ref="D161:P161" si="69">D115</f>
        <v>-253.36</v>
      </c>
      <c r="E161" s="363">
        <f t="shared" si="69"/>
        <v>-523.33000000000004</v>
      </c>
      <c r="F161" s="363">
        <f t="shared" si="69"/>
        <v>-406.83</v>
      </c>
      <c r="G161" s="363">
        <f t="shared" si="69"/>
        <v>-304.64</v>
      </c>
      <c r="H161" s="363">
        <f t="shared" si="69"/>
        <v>-260.88</v>
      </c>
      <c r="I161" s="363">
        <f t="shared" si="69"/>
        <v>-179.28</v>
      </c>
      <c r="J161" s="363">
        <f t="shared" si="69"/>
        <v>-199.5</v>
      </c>
      <c r="K161" s="363">
        <f t="shared" si="69"/>
        <v>-97.34</v>
      </c>
      <c r="L161" s="363">
        <f t="shared" si="69"/>
        <v>-176.14</v>
      </c>
      <c r="M161" s="363">
        <f t="shared" si="69"/>
        <v>-353.52</v>
      </c>
      <c r="N161" s="371">
        <f t="shared" si="69"/>
        <v>3837.4000000000005</v>
      </c>
      <c r="O161" s="363">
        <f t="shared" si="69"/>
        <v>-296.77999999999997</v>
      </c>
      <c r="P161" s="363">
        <f t="shared" si="69"/>
        <v>-416.33</v>
      </c>
      <c r="S161" s="361">
        <f t="shared" si="65"/>
        <v>-2401.2999999999997</v>
      </c>
    </row>
    <row r="162" spans="1:19" ht="15.75" x14ac:dyDescent="0.25">
      <c r="A162">
        <v>158</v>
      </c>
      <c r="B162" s="370" t="s">
        <v>523</v>
      </c>
      <c r="C162" s="369" t="s">
        <v>522</v>
      </c>
      <c r="D162" s="362">
        <f t="shared" ref="D162:P162" si="70">D130+D145</f>
        <v>-5862.4400000000023</v>
      </c>
      <c r="E162" s="362">
        <f t="shared" si="70"/>
        <v>-6455.5700000000033</v>
      </c>
      <c r="F162" s="362">
        <f t="shared" si="70"/>
        <v>-3523.1200000000017</v>
      </c>
      <c r="G162" s="362">
        <f t="shared" si="70"/>
        <v>-4220.7599999999984</v>
      </c>
      <c r="H162" s="362">
        <f t="shared" si="70"/>
        <v>-5751.4900000000016</v>
      </c>
      <c r="I162" s="362">
        <f t="shared" si="70"/>
        <v>-4542.5599999999995</v>
      </c>
      <c r="J162" s="362">
        <f t="shared" si="70"/>
        <v>-3024.6999999999985</v>
      </c>
      <c r="K162" s="362">
        <f t="shared" si="70"/>
        <v>-3387.13</v>
      </c>
      <c r="L162" s="362">
        <f t="shared" si="70"/>
        <v>182.52000000000044</v>
      </c>
      <c r="M162" s="362">
        <f t="shared" si="70"/>
        <v>2147.2900000000009</v>
      </c>
      <c r="N162" s="368">
        <f t="shared" si="70"/>
        <v>25864.010000000006</v>
      </c>
      <c r="O162" s="362">
        <f t="shared" si="70"/>
        <v>-1467.9400000000005</v>
      </c>
      <c r="P162" s="362">
        <f t="shared" si="70"/>
        <v>-1862.3399999999983</v>
      </c>
      <c r="S162" s="361">
        <f t="shared" si="65"/>
        <v>-36585.25</v>
      </c>
    </row>
    <row r="163" spans="1:19" ht="16.5" thickBot="1" x14ac:dyDescent="0.3">
      <c r="A163">
        <v>159</v>
      </c>
      <c r="B163" s="367"/>
      <c r="C163" s="366"/>
      <c r="P163" s="365" t="s">
        <v>521</v>
      </c>
      <c r="R163" s="365" t="s">
        <v>520</v>
      </c>
    </row>
    <row r="164" spans="1:19" ht="15.75" x14ac:dyDescent="0.25">
      <c r="A164">
        <v>160</v>
      </c>
      <c r="P164" s="364">
        <v>43465</v>
      </c>
      <c r="R164" s="364">
        <v>43465</v>
      </c>
    </row>
    <row r="165" spans="1:19" x14ac:dyDescent="0.25">
      <c r="A165">
        <v>161</v>
      </c>
      <c r="P165" s="363">
        <v>1003283.4399999994</v>
      </c>
      <c r="R165" s="363">
        <f t="shared" ref="R165:R170" si="71">P157-P165</f>
        <v>104523.80999999994</v>
      </c>
    </row>
    <row r="166" spans="1:19" x14ac:dyDescent="0.25">
      <c r="A166">
        <v>162</v>
      </c>
      <c r="P166" s="363">
        <v>-745110.55999999866</v>
      </c>
      <c r="R166" s="363">
        <f t="shared" si="71"/>
        <v>-65318.390000000596</v>
      </c>
    </row>
    <row r="167" spans="1:19" x14ac:dyDescent="0.25">
      <c r="A167">
        <v>163</v>
      </c>
      <c r="D167" s="54"/>
      <c r="E167" s="54"/>
      <c r="F167" s="54"/>
      <c r="G167" s="54"/>
      <c r="H167" s="54"/>
      <c r="I167" s="54"/>
      <c r="J167" s="54"/>
      <c r="K167" s="54"/>
      <c r="L167" s="54"/>
      <c r="M167" s="54"/>
      <c r="P167" s="363">
        <v>24070.910000000011</v>
      </c>
      <c r="R167" s="363">
        <f t="shared" si="71"/>
        <v>0</v>
      </c>
    </row>
    <row r="168" spans="1:19" x14ac:dyDescent="0.25">
      <c r="A168">
        <v>164</v>
      </c>
      <c r="C168" s="361"/>
      <c r="E168" s="361"/>
      <c r="F168" s="361"/>
      <c r="G168" s="361"/>
      <c r="H168" s="361"/>
      <c r="I168" s="361"/>
      <c r="J168" s="361"/>
      <c r="K168" s="361"/>
      <c r="L168" s="361"/>
      <c r="M168" s="361"/>
      <c r="P168" s="363">
        <v>-279965.12000000087</v>
      </c>
      <c r="R168" s="363">
        <f t="shared" si="71"/>
        <v>-39205.419999999169</v>
      </c>
    </row>
    <row r="169" spans="1:19" x14ac:dyDescent="0.25">
      <c r="A169">
        <v>165</v>
      </c>
      <c r="P169" s="363">
        <v>-416.33</v>
      </c>
      <c r="R169" s="363">
        <f t="shared" si="71"/>
        <v>0</v>
      </c>
    </row>
    <row r="170" spans="1:19" x14ac:dyDescent="0.25">
      <c r="A170">
        <v>166</v>
      </c>
      <c r="D170" s="361"/>
      <c r="E170" s="361"/>
      <c r="F170" s="361"/>
      <c r="G170" s="361"/>
      <c r="H170" s="361"/>
      <c r="I170" s="361"/>
      <c r="J170" s="361"/>
      <c r="K170" s="361"/>
      <c r="L170" s="361"/>
      <c r="M170" s="361"/>
      <c r="P170" s="362">
        <v>-1862.3399999999983</v>
      </c>
      <c r="R170" s="362">
        <f t="shared" si="71"/>
        <v>0</v>
      </c>
    </row>
    <row r="171" spans="1:19" x14ac:dyDescent="0.25">
      <c r="A171">
        <v>167</v>
      </c>
    </row>
    <row r="172" spans="1:19" x14ac:dyDescent="0.25">
      <c r="E172" s="54"/>
      <c r="F172" s="54"/>
      <c r="G172" s="54"/>
      <c r="H172" s="54"/>
      <c r="I172" s="54"/>
      <c r="J172" s="54"/>
      <c r="K172" s="54"/>
      <c r="L172" s="54"/>
      <c r="M172" s="54"/>
    </row>
    <row r="173" spans="1:19" x14ac:dyDescent="0.25">
      <c r="D173" s="361"/>
      <c r="E173" s="361"/>
      <c r="F173" s="361"/>
      <c r="G173" s="361"/>
      <c r="H173" s="361"/>
      <c r="I173" s="361"/>
      <c r="J173" s="361"/>
      <c r="K173" s="361"/>
      <c r="L173" s="361"/>
      <c r="M173" s="361"/>
    </row>
    <row r="176" spans="1:19" x14ac:dyDescent="0.25">
      <c r="E176" s="361"/>
      <c r="F176" s="361"/>
      <c r="G176" s="361"/>
      <c r="H176" s="361"/>
      <c r="I176" s="361"/>
      <c r="J176" s="361"/>
      <c r="K176" s="361"/>
      <c r="L176" s="361"/>
      <c r="M176" s="361"/>
    </row>
  </sheetData>
  <mergeCells count="4">
    <mergeCell ref="B1:P1"/>
    <mergeCell ref="B2:P2"/>
    <mergeCell ref="B3:P3"/>
    <mergeCell ref="B155:B156"/>
  </mergeCells>
  <pageMargins left="0.7" right="0.7" top="0.75" bottom="0.75" header="0.3" footer="0.3"/>
  <pageSetup scale="55" fitToHeight="0" orientation="landscape" r:id="rId1"/>
  <headerFooter>
    <oddHeader>&amp;CCascade Natural Gas Corporation
WACAP2018
IDM WP-1.6&amp;RPage &amp;P of &amp;N</oddHeader>
    <oddFooter>&amp;L&amp;A</oddFooter>
  </headerFooter>
  <rowBreaks count="1" manualBreakCount="1">
    <brk id="79" max="3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766"/>
  <sheetViews>
    <sheetView zoomScale="60" zoomScaleNormal="60" workbookViewId="0">
      <selection activeCell="C64" sqref="C64"/>
    </sheetView>
  </sheetViews>
  <sheetFormatPr defaultColWidth="8.7109375" defaultRowHeight="15" x14ac:dyDescent="0.25"/>
  <cols>
    <col min="1" max="1" width="11.85546875" style="21" customWidth="1"/>
    <col min="2" max="2" width="63.28515625" style="19" customWidth="1"/>
    <col min="3" max="3" width="19" style="23" customWidth="1"/>
    <col min="4" max="4" width="14.5703125" style="23" customWidth="1"/>
    <col min="5" max="5" width="20.85546875" style="23" bestFit="1" customWidth="1"/>
    <col min="6" max="6" width="2.140625" style="274" customWidth="1"/>
    <col min="7" max="7" width="15.85546875" style="23" customWidth="1"/>
    <col min="8" max="8" width="13" style="23" bestFit="1" customWidth="1"/>
    <col min="9" max="9" width="17.140625" style="23" customWidth="1"/>
    <col min="10" max="10" width="2.140625" style="274" customWidth="1"/>
    <col min="11" max="11" width="17.5703125" style="23" customWidth="1"/>
    <col min="12" max="12" width="19.42578125" style="23" customWidth="1"/>
    <col min="13" max="13" width="20" style="23" customWidth="1"/>
    <col min="14" max="14" width="2.140625" style="274" customWidth="1"/>
    <col min="15" max="15" width="16.85546875" style="23" customWidth="1"/>
    <col min="16" max="16" width="15.85546875" style="23" customWidth="1"/>
    <col min="17" max="17" width="17.7109375" style="23" bestFit="1" customWidth="1"/>
    <col min="18" max="18" width="2.140625" style="274" customWidth="1"/>
    <col min="19" max="19" width="16.42578125" style="23" customWidth="1"/>
    <col min="20" max="20" width="12" style="23" bestFit="1" customWidth="1"/>
    <col min="21" max="21" width="17.85546875" style="23" customWidth="1"/>
    <col min="22" max="22" width="2.140625" style="274" customWidth="1"/>
    <col min="23" max="23" width="19.7109375" style="23" customWidth="1"/>
    <col min="24" max="24" width="19.140625" style="23" customWidth="1"/>
    <col min="25" max="25" width="19.85546875" style="23" customWidth="1"/>
    <col min="26" max="16384" width="8.7109375" style="19"/>
  </cols>
  <sheetData>
    <row r="1" spans="1:25" x14ac:dyDescent="0.25">
      <c r="A1" s="215"/>
      <c r="B1" s="24" t="s">
        <v>723</v>
      </c>
      <c r="C1" s="34"/>
      <c r="D1" s="34"/>
      <c r="E1" s="34"/>
      <c r="F1" s="270"/>
      <c r="G1" s="34"/>
      <c r="H1" s="34"/>
      <c r="I1" s="34"/>
      <c r="J1" s="270"/>
      <c r="K1" s="34"/>
      <c r="L1" s="34"/>
      <c r="M1" s="34"/>
      <c r="N1" s="270"/>
      <c r="O1" s="34"/>
      <c r="P1" s="34"/>
      <c r="Q1" s="34"/>
      <c r="R1" s="270"/>
      <c r="S1" s="34"/>
      <c r="T1" s="34"/>
      <c r="U1" s="34"/>
      <c r="V1" s="270"/>
      <c r="W1" s="34"/>
      <c r="X1" s="34"/>
      <c r="Y1" s="34"/>
    </row>
    <row r="2" spans="1:25" x14ac:dyDescent="0.25">
      <c r="B2" s="215" t="s">
        <v>651</v>
      </c>
    </row>
    <row r="3" spans="1:25" x14ac:dyDescent="0.25">
      <c r="C3" s="35" t="s">
        <v>7</v>
      </c>
      <c r="D3" s="36"/>
      <c r="E3" s="37"/>
      <c r="F3" s="271"/>
      <c r="G3" s="557" t="s">
        <v>393</v>
      </c>
      <c r="H3" s="557"/>
      <c r="I3" s="557"/>
      <c r="J3" s="271"/>
      <c r="K3" s="560" t="s">
        <v>392</v>
      </c>
      <c r="L3" s="560"/>
      <c r="M3" s="560"/>
      <c r="N3" s="271"/>
      <c r="O3" s="557" t="s">
        <v>397</v>
      </c>
      <c r="P3" s="557"/>
      <c r="Q3" s="557"/>
      <c r="R3" s="271"/>
      <c r="S3" s="557" t="s">
        <v>449</v>
      </c>
      <c r="T3" s="557"/>
      <c r="U3" s="557"/>
      <c r="V3" s="271"/>
      <c r="W3" s="558" t="s">
        <v>8</v>
      </c>
      <c r="X3" s="557"/>
      <c r="Y3" s="559"/>
    </row>
    <row r="4" spans="1:25" ht="52.5" customHeight="1" x14ac:dyDescent="0.25">
      <c r="A4" s="20"/>
      <c r="B4" s="20" t="s">
        <v>0</v>
      </c>
      <c r="C4" s="93" t="s">
        <v>6</v>
      </c>
      <c r="D4" s="93" t="s">
        <v>1</v>
      </c>
      <c r="E4" s="93" t="s">
        <v>410</v>
      </c>
      <c r="F4" s="272"/>
      <c r="G4" s="152" t="s">
        <v>361</v>
      </c>
      <c r="H4" s="153" t="s">
        <v>362</v>
      </c>
      <c r="I4" s="154" t="s">
        <v>363</v>
      </c>
      <c r="J4" s="272"/>
      <c r="K4" s="93" t="s">
        <v>390</v>
      </c>
      <c r="L4" s="93" t="s">
        <v>362</v>
      </c>
      <c r="M4" s="93" t="s">
        <v>389</v>
      </c>
      <c r="N4" s="272"/>
      <c r="O4" s="93" t="s">
        <v>361</v>
      </c>
      <c r="P4" s="93" t="s">
        <v>461</v>
      </c>
      <c r="Q4" s="93" t="s">
        <v>462</v>
      </c>
      <c r="R4" s="272"/>
      <c r="S4" s="216" t="s">
        <v>450</v>
      </c>
      <c r="T4" s="217" t="s">
        <v>362</v>
      </c>
      <c r="U4" s="153" t="s">
        <v>644</v>
      </c>
      <c r="V4" s="272"/>
      <c r="W4" s="93" t="s">
        <v>2</v>
      </c>
      <c r="X4" s="93" t="s">
        <v>394</v>
      </c>
      <c r="Y4" s="93" t="s">
        <v>365</v>
      </c>
    </row>
    <row r="5" spans="1:25" x14ac:dyDescent="0.25">
      <c r="B5" s="21" t="s">
        <v>3</v>
      </c>
      <c r="C5" s="21" t="s">
        <v>409</v>
      </c>
      <c r="D5" s="21" t="s">
        <v>4</v>
      </c>
      <c r="E5" s="21" t="s">
        <v>641</v>
      </c>
      <c r="F5" s="273"/>
      <c r="G5" s="21" t="s">
        <v>402</v>
      </c>
      <c r="H5" s="21" t="s">
        <v>403</v>
      </c>
      <c r="I5" s="21" t="s">
        <v>404</v>
      </c>
      <c r="J5" s="273"/>
      <c r="K5" s="21" t="s">
        <v>447</v>
      </c>
      <c r="L5" s="21" t="s">
        <v>5</v>
      </c>
      <c r="M5" s="21" t="s">
        <v>405</v>
      </c>
      <c r="N5" s="273"/>
      <c r="O5" s="21" t="s">
        <v>406</v>
      </c>
      <c r="P5" s="21" t="s">
        <v>649</v>
      </c>
      <c r="Q5" s="21" t="s">
        <v>648</v>
      </c>
      <c r="R5" s="273"/>
      <c r="S5" s="21" t="s">
        <v>518</v>
      </c>
      <c r="T5" s="21" t="s">
        <v>407</v>
      </c>
      <c r="U5" s="21" t="s">
        <v>647</v>
      </c>
      <c r="V5" s="273"/>
      <c r="W5" s="21" t="s">
        <v>408</v>
      </c>
      <c r="X5" s="21" t="s">
        <v>646</v>
      </c>
      <c r="Y5" s="21" t="s">
        <v>645</v>
      </c>
    </row>
    <row r="6" spans="1:25" x14ac:dyDescent="0.25">
      <c r="A6" s="21">
        <v>1</v>
      </c>
      <c r="B6" s="30" t="s">
        <v>138</v>
      </c>
      <c r="G6" s="23" t="s">
        <v>642</v>
      </c>
    </row>
    <row r="7" spans="1:25" x14ac:dyDescent="0.25">
      <c r="A7" s="21">
        <v>2</v>
      </c>
      <c r="B7" s="19" t="s">
        <v>231</v>
      </c>
      <c r="C7" s="41">
        <f>E7/D7</f>
        <v>5353</v>
      </c>
      <c r="D7" s="67">
        <v>14</v>
      </c>
      <c r="E7" s="42">
        <f>SUM('1501 Summary'!G6,'1501 Summary'!I6,'1501 Summary'!K6,'1501 Summary'!M6,'1501 Summary'!O6,'1501 Summary'!Q6,'1501 Summary'!S6,'1501 Summary'!U6)</f>
        <v>74942</v>
      </c>
      <c r="F7" s="275"/>
      <c r="G7" s="241">
        <f>-C7</f>
        <v>-5353</v>
      </c>
      <c r="H7" s="38">
        <v>14</v>
      </c>
      <c r="I7" s="38">
        <f>G7*H7</f>
        <v>-74942</v>
      </c>
      <c r="J7" s="275"/>
      <c r="K7" s="44">
        <f>C7+G7</f>
        <v>0</v>
      </c>
      <c r="L7" s="38">
        <f>H7</f>
        <v>14</v>
      </c>
      <c r="M7" s="38">
        <f>K7*L7</f>
        <v>0</v>
      </c>
      <c r="N7" s="275"/>
      <c r="O7" s="38"/>
      <c r="P7" s="38"/>
      <c r="Q7" s="38"/>
      <c r="R7" s="275"/>
      <c r="S7" s="86"/>
      <c r="T7" s="86"/>
      <c r="U7" s="86"/>
      <c r="V7" s="275"/>
      <c r="W7" s="45"/>
      <c r="X7" s="41"/>
      <c r="Y7" s="86"/>
    </row>
    <row r="8" spans="1:25" x14ac:dyDescent="0.25">
      <c r="A8" s="21">
        <v>3</v>
      </c>
      <c r="B8" s="19" t="s">
        <v>232</v>
      </c>
      <c r="C8" s="23">
        <v>0</v>
      </c>
      <c r="D8" s="67">
        <v>0</v>
      </c>
      <c r="E8" s="42">
        <f>SUM('1501 Summary'!W6:AC6)</f>
        <v>0</v>
      </c>
      <c r="F8" s="275"/>
      <c r="G8" s="241"/>
      <c r="H8" s="38"/>
      <c r="I8" s="38"/>
      <c r="J8" s="275"/>
      <c r="K8" s="44"/>
      <c r="L8" s="38"/>
      <c r="M8" s="38"/>
      <c r="N8" s="275"/>
      <c r="O8" s="38"/>
      <c r="P8" s="38"/>
      <c r="Q8" s="38"/>
      <c r="R8" s="275"/>
      <c r="S8" s="86"/>
      <c r="T8" s="86"/>
      <c r="U8" s="86"/>
      <c r="V8" s="275"/>
      <c r="W8" s="45"/>
      <c r="X8" s="41"/>
      <c r="Y8" s="86"/>
    </row>
    <row r="9" spans="1:25" x14ac:dyDescent="0.25">
      <c r="A9" s="21">
        <v>4</v>
      </c>
      <c r="B9" s="19" t="s">
        <v>366</v>
      </c>
      <c r="C9" s="41">
        <f t="shared" ref="C9" si="0">E9/D9</f>
        <v>370698.68234781665</v>
      </c>
      <c r="D9" s="81">
        <v>9.1829999999999995E-2</v>
      </c>
      <c r="E9" s="42">
        <f>SUM('1501 Summary'!G7:U7)</f>
        <v>34041.26</v>
      </c>
      <c r="F9" s="275"/>
      <c r="G9" s="241">
        <f t="shared" ref="G9" si="1">-C9</f>
        <v>-370698.68234781665</v>
      </c>
      <c r="H9" s="46">
        <v>9.1829999999999995E-2</v>
      </c>
      <c r="I9" s="38">
        <f t="shared" ref="I9" si="2">G9*H9</f>
        <v>-34041.26</v>
      </c>
      <c r="J9" s="275"/>
      <c r="K9" s="44">
        <f>E9+I9</f>
        <v>0</v>
      </c>
      <c r="L9" s="46">
        <f>H9</f>
        <v>9.1829999999999995E-2</v>
      </c>
      <c r="M9" s="39">
        <f t="shared" ref="M9" si="3">K9*L9</f>
        <v>0</v>
      </c>
      <c r="N9" s="275"/>
      <c r="O9" s="38"/>
      <c r="P9" s="38"/>
      <c r="Q9" s="38"/>
      <c r="R9" s="275"/>
      <c r="S9" s="86"/>
      <c r="T9" s="86"/>
      <c r="U9" s="86"/>
      <c r="V9" s="275"/>
      <c r="W9" s="45"/>
      <c r="X9" s="41"/>
      <c r="Y9" s="86"/>
    </row>
    <row r="10" spans="1:25" x14ac:dyDescent="0.25">
      <c r="A10" s="21">
        <v>5</v>
      </c>
      <c r="B10" s="19" t="s">
        <v>372</v>
      </c>
      <c r="C10" s="23">
        <v>0</v>
      </c>
      <c r="D10" s="67">
        <v>0</v>
      </c>
      <c r="E10" s="65">
        <f>SUM('1501 Summary'!W7:AC7)</f>
        <v>0</v>
      </c>
      <c r="F10" s="275"/>
      <c r="G10" s="38"/>
      <c r="H10" s="38"/>
      <c r="I10" s="38"/>
      <c r="J10" s="275"/>
      <c r="K10" s="38"/>
      <c r="L10" s="38"/>
      <c r="M10" s="38">
        <f>SUM(M7:M9)</f>
        <v>0</v>
      </c>
      <c r="N10" s="275"/>
      <c r="O10" s="38"/>
      <c r="P10" s="38"/>
      <c r="Q10" s="38"/>
      <c r="R10" s="275"/>
      <c r="S10" s="86"/>
      <c r="T10" s="86"/>
      <c r="U10" s="86"/>
      <c r="V10" s="275"/>
      <c r="W10" s="45"/>
      <c r="X10" s="41"/>
      <c r="Y10" s="86"/>
    </row>
    <row r="11" spans="1:25" x14ac:dyDescent="0.25">
      <c r="A11" s="21">
        <v>6</v>
      </c>
      <c r="B11" s="19" t="s">
        <v>10</v>
      </c>
      <c r="D11" s="67"/>
      <c r="E11" s="242">
        <f>SUM(E7:E10)</f>
        <v>108983.26000000001</v>
      </c>
      <c r="F11" s="276"/>
      <c r="G11" s="243"/>
      <c r="H11" s="243"/>
      <c r="I11" s="243"/>
      <c r="J11" s="276"/>
      <c r="K11" s="243"/>
      <c r="L11" s="243"/>
      <c r="M11" s="243"/>
      <c r="N11" s="276"/>
      <c r="O11" s="243"/>
      <c r="P11" s="243"/>
      <c r="R11" s="276"/>
      <c r="S11" s="83"/>
      <c r="T11" s="83"/>
      <c r="U11" s="83"/>
      <c r="V11" s="276"/>
      <c r="X11" s="45"/>
      <c r="Y11" s="83"/>
    </row>
    <row r="12" spans="1:25" x14ac:dyDescent="0.25">
      <c r="A12" s="21">
        <v>7</v>
      </c>
      <c r="E12" s="42"/>
    </row>
    <row r="13" spans="1:25" x14ac:dyDescent="0.25">
      <c r="A13" s="21">
        <v>8</v>
      </c>
      <c r="B13" s="19" t="s">
        <v>11</v>
      </c>
      <c r="E13" s="42">
        <f>'1501 Summary'!AD8</f>
        <v>169678.7</v>
      </c>
      <c r="F13" s="275"/>
      <c r="G13" s="38"/>
      <c r="H13" s="38"/>
      <c r="I13" s="38"/>
      <c r="J13" s="275"/>
      <c r="K13" s="38"/>
      <c r="L13" s="38"/>
      <c r="M13" s="38"/>
      <c r="N13" s="275"/>
      <c r="O13" s="38"/>
      <c r="P13" s="38"/>
      <c r="Q13" s="38"/>
      <c r="R13" s="275"/>
      <c r="V13" s="275"/>
    </row>
    <row r="14" spans="1:25" x14ac:dyDescent="0.25">
      <c r="A14" s="21">
        <v>9</v>
      </c>
      <c r="E14" s="42"/>
    </row>
    <row r="15" spans="1:25" x14ac:dyDescent="0.25">
      <c r="A15" s="21">
        <v>10</v>
      </c>
      <c r="B15" s="19" t="s">
        <v>12</v>
      </c>
      <c r="E15" s="42"/>
    </row>
    <row r="16" spans="1:25" x14ac:dyDescent="0.25">
      <c r="A16" s="21">
        <v>11</v>
      </c>
      <c r="B16" s="19" t="s">
        <v>139</v>
      </c>
      <c r="E16" s="42">
        <f>'1501 Summary'!AD9</f>
        <v>1160.7</v>
      </c>
      <c r="F16" s="277"/>
      <c r="G16" s="40"/>
      <c r="H16" s="40"/>
      <c r="I16" s="40"/>
      <c r="J16" s="277"/>
      <c r="K16" s="40"/>
      <c r="L16" s="40"/>
      <c r="M16" s="40"/>
      <c r="N16" s="277"/>
      <c r="O16" s="40"/>
      <c r="P16" s="40"/>
      <c r="Q16" s="40"/>
      <c r="R16" s="277"/>
      <c r="V16" s="277"/>
    </row>
    <row r="17" spans="1:25" x14ac:dyDescent="0.25">
      <c r="A17" s="21">
        <v>12</v>
      </c>
      <c r="B17" s="19" t="s">
        <v>140</v>
      </c>
      <c r="E17" s="42">
        <f>'1501 Summary'!AD10</f>
        <v>4745.21</v>
      </c>
      <c r="F17" s="277"/>
      <c r="G17" s="40"/>
      <c r="H17" s="40"/>
      <c r="I17" s="40"/>
      <c r="J17" s="277"/>
      <c r="K17" s="40"/>
      <c r="L17" s="40"/>
      <c r="M17" s="40"/>
      <c r="N17" s="277"/>
      <c r="O17" s="40"/>
      <c r="P17" s="40"/>
      <c r="Q17" s="40"/>
      <c r="R17" s="277"/>
      <c r="V17" s="277"/>
    </row>
    <row r="18" spans="1:25" x14ac:dyDescent="0.25">
      <c r="A18" s="21">
        <v>13</v>
      </c>
      <c r="B18" s="19" t="s">
        <v>141</v>
      </c>
      <c r="E18" s="42">
        <f>'1501 Summary'!AD11</f>
        <v>-596.07000000000016</v>
      </c>
      <c r="F18" s="277"/>
      <c r="G18" s="40"/>
      <c r="H18" s="40"/>
      <c r="I18" s="40"/>
      <c r="J18" s="277"/>
      <c r="K18" s="40"/>
      <c r="L18" s="40"/>
      <c r="M18" s="40"/>
      <c r="N18" s="277"/>
      <c r="O18" s="40"/>
      <c r="P18" s="40"/>
      <c r="Q18" s="40"/>
      <c r="R18" s="277"/>
      <c r="V18" s="277"/>
    </row>
    <row r="19" spans="1:25" x14ac:dyDescent="0.25">
      <c r="A19" s="21">
        <v>14</v>
      </c>
      <c r="B19" s="19" t="s">
        <v>142</v>
      </c>
      <c r="E19" s="42">
        <f>'1501 Summary'!AD12</f>
        <v>20652.61</v>
      </c>
      <c r="F19" s="277"/>
      <c r="G19" s="40"/>
      <c r="H19" s="40"/>
      <c r="I19" s="40"/>
      <c r="J19" s="277"/>
      <c r="K19" s="40"/>
      <c r="L19" s="40"/>
      <c r="M19" s="40"/>
      <c r="N19" s="277"/>
      <c r="O19" s="40"/>
      <c r="P19" s="40"/>
      <c r="Q19" s="40"/>
      <c r="R19" s="277"/>
      <c r="V19" s="277"/>
    </row>
    <row r="20" spans="1:25" x14ac:dyDescent="0.25">
      <c r="A20" s="21">
        <v>15</v>
      </c>
      <c r="B20" s="19" t="s">
        <v>143</v>
      </c>
      <c r="E20" s="42">
        <f>'1501 Summary'!AD13</f>
        <v>5059.8</v>
      </c>
      <c r="F20" s="277"/>
      <c r="G20" s="40"/>
      <c r="H20" s="40"/>
      <c r="I20" s="40"/>
      <c r="J20" s="277"/>
      <c r="K20" s="40"/>
      <c r="L20" s="40"/>
      <c r="M20" s="40"/>
      <c r="N20" s="277"/>
      <c r="O20" s="40"/>
      <c r="P20" s="40"/>
      <c r="Q20" s="40"/>
      <c r="R20" s="277"/>
      <c r="V20" s="277"/>
    </row>
    <row r="21" spans="1:25" x14ac:dyDescent="0.25">
      <c r="A21" s="21">
        <v>16</v>
      </c>
      <c r="B21" s="19" t="s">
        <v>144</v>
      </c>
      <c r="E21" s="42">
        <f>'1501 Summary'!AD14</f>
        <v>17768.269999999997</v>
      </c>
      <c r="F21" s="277"/>
      <c r="G21" s="40"/>
      <c r="H21" s="40"/>
      <c r="I21" s="40"/>
      <c r="J21" s="277"/>
      <c r="K21" s="40"/>
      <c r="L21" s="40"/>
      <c r="M21" s="40"/>
      <c r="N21" s="277"/>
      <c r="O21" s="40"/>
      <c r="P21" s="40"/>
      <c r="Q21" s="40"/>
      <c r="R21" s="277"/>
      <c r="V21" s="277"/>
    </row>
    <row r="22" spans="1:25" x14ac:dyDescent="0.25">
      <c r="A22" s="21">
        <v>17</v>
      </c>
      <c r="B22" s="19" t="s">
        <v>145</v>
      </c>
      <c r="E22" s="42">
        <f>'1501 Summary'!AD15</f>
        <v>9.2999999999999989</v>
      </c>
      <c r="F22" s="277"/>
      <c r="G22" s="40"/>
      <c r="H22" s="40"/>
      <c r="I22" s="40"/>
      <c r="J22" s="277"/>
      <c r="K22" s="40"/>
      <c r="L22" s="40"/>
      <c r="M22" s="40"/>
      <c r="N22" s="277"/>
      <c r="O22" s="40"/>
      <c r="P22" s="40"/>
      <c r="Q22" s="40"/>
      <c r="R22" s="277"/>
      <c r="V22" s="277"/>
    </row>
    <row r="23" spans="1:25" x14ac:dyDescent="0.25">
      <c r="A23" s="21">
        <v>18</v>
      </c>
      <c r="B23" s="18" t="s">
        <v>29</v>
      </c>
      <c r="E23" s="42">
        <f>'1501 Summary'!AD16</f>
        <v>-14</v>
      </c>
      <c r="F23" s="277"/>
      <c r="G23" s="40"/>
      <c r="H23" s="40"/>
      <c r="I23" s="40"/>
      <c r="J23" s="277"/>
      <c r="K23" s="40"/>
      <c r="L23" s="40"/>
      <c r="M23" s="40"/>
      <c r="N23" s="277"/>
      <c r="O23" s="40"/>
      <c r="P23" s="40"/>
      <c r="Q23" s="40"/>
      <c r="R23" s="277"/>
      <c r="V23" s="277"/>
    </row>
    <row r="24" spans="1:25" x14ac:dyDescent="0.25">
      <c r="A24" s="21">
        <v>19</v>
      </c>
      <c r="B24" s="18" t="s">
        <v>14</v>
      </c>
      <c r="E24" s="42">
        <f>'Rev Recon Summary'!R14</f>
        <v>0</v>
      </c>
      <c r="F24" s="278"/>
      <c r="G24" s="56"/>
      <c r="H24" s="56"/>
      <c r="I24" s="56"/>
      <c r="J24" s="278"/>
      <c r="K24" s="56"/>
      <c r="L24" s="56"/>
      <c r="M24" s="56"/>
      <c r="N24" s="278"/>
      <c r="O24" s="56"/>
      <c r="P24" s="56"/>
      <c r="Q24" s="56"/>
      <c r="R24" s="278"/>
      <c r="V24" s="278"/>
    </row>
    <row r="25" spans="1:25" x14ac:dyDescent="0.25">
      <c r="A25" s="21">
        <v>20</v>
      </c>
      <c r="B25" s="18" t="s">
        <v>15</v>
      </c>
      <c r="E25" s="42">
        <f>'Rev Recon Summary'!R15</f>
        <v>0</v>
      </c>
      <c r="F25" s="278"/>
      <c r="G25" s="56"/>
      <c r="H25" s="56"/>
      <c r="I25" s="56"/>
      <c r="J25" s="278"/>
      <c r="K25" s="56"/>
      <c r="L25" s="56"/>
      <c r="M25" s="56"/>
      <c r="N25" s="278"/>
      <c r="O25" s="56"/>
      <c r="P25" s="56"/>
      <c r="Q25" s="56"/>
      <c r="R25" s="278"/>
      <c r="V25" s="278"/>
    </row>
    <row r="26" spans="1:25" x14ac:dyDescent="0.25">
      <c r="A26" s="21">
        <v>21</v>
      </c>
      <c r="B26" s="18" t="s">
        <v>16</v>
      </c>
      <c r="E26" s="42">
        <f>'Rev Recon Summary'!R16</f>
        <v>-8304.49</v>
      </c>
      <c r="F26" s="278"/>
      <c r="G26" s="56"/>
      <c r="H26" s="56"/>
      <c r="I26" s="56"/>
      <c r="J26" s="278"/>
      <c r="K26" s="56"/>
      <c r="L26" s="56"/>
      <c r="M26" s="56"/>
      <c r="N26" s="278"/>
      <c r="O26" s="56"/>
      <c r="P26" s="56"/>
      <c r="Q26" s="56"/>
      <c r="R26" s="278"/>
      <c r="V26" s="278"/>
    </row>
    <row r="27" spans="1:25" x14ac:dyDescent="0.25">
      <c r="A27" s="21">
        <v>22</v>
      </c>
      <c r="B27" s="18" t="s">
        <v>17</v>
      </c>
      <c r="E27" s="42">
        <f>'Rev Recon Summary'!R17</f>
        <v>-510.78999999999996</v>
      </c>
      <c r="F27" s="278"/>
      <c r="G27" s="56"/>
      <c r="H27" s="56"/>
      <c r="I27" s="56"/>
      <c r="J27" s="278"/>
      <c r="K27" s="56"/>
      <c r="L27" s="56"/>
      <c r="M27" s="56"/>
      <c r="N27" s="278"/>
      <c r="O27" s="56"/>
      <c r="P27" s="56"/>
      <c r="Q27" s="56"/>
      <c r="R27" s="278"/>
      <c r="V27" s="278"/>
    </row>
    <row r="28" spans="1:25" x14ac:dyDescent="0.25">
      <c r="A28" s="21">
        <v>23</v>
      </c>
      <c r="B28" s="18" t="s">
        <v>18</v>
      </c>
      <c r="E28" s="42">
        <f>'Rev Recon Summary'!R18</f>
        <v>0</v>
      </c>
      <c r="F28" s="278"/>
      <c r="G28" s="56"/>
      <c r="H28" s="56"/>
      <c r="I28" s="56"/>
      <c r="J28" s="278"/>
      <c r="K28" s="56"/>
      <c r="L28" s="56"/>
      <c r="M28" s="56"/>
      <c r="N28" s="278"/>
      <c r="O28" s="56"/>
      <c r="P28" s="56"/>
      <c r="Q28" s="56"/>
      <c r="R28" s="278"/>
      <c r="V28" s="278"/>
    </row>
    <row r="29" spans="1:25" x14ac:dyDescent="0.25">
      <c r="A29" s="21">
        <v>24</v>
      </c>
      <c r="B29" s="18" t="s">
        <v>24</v>
      </c>
      <c r="E29" s="65">
        <f>'Rev Recon Summary'!R19</f>
        <v>12.540000000000003</v>
      </c>
      <c r="F29" s="278"/>
      <c r="G29" s="56"/>
      <c r="H29" s="56"/>
      <c r="I29" s="56"/>
      <c r="J29" s="278"/>
      <c r="K29" s="56"/>
      <c r="L29" s="56"/>
      <c r="M29" s="56"/>
      <c r="N29" s="278"/>
      <c r="O29" s="56"/>
      <c r="P29" s="56"/>
      <c r="Q29" s="56"/>
      <c r="R29" s="278"/>
      <c r="V29" s="278"/>
    </row>
    <row r="30" spans="1:25" x14ac:dyDescent="0.25">
      <c r="A30" s="21">
        <v>25</v>
      </c>
      <c r="B30" s="19" t="s">
        <v>19</v>
      </c>
      <c r="E30" s="42">
        <f>SUM(E16:E29)</f>
        <v>39983.08</v>
      </c>
      <c r="F30" s="277"/>
      <c r="G30" s="40"/>
      <c r="H30" s="40"/>
      <c r="I30" s="40"/>
      <c r="J30" s="277"/>
      <c r="K30" s="40"/>
      <c r="L30" s="40"/>
      <c r="M30" s="40"/>
      <c r="N30" s="277"/>
      <c r="O30" s="40"/>
      <c r="P30" s="40"/>
      <c r="Q30" s="40"/>
      <c r="R30" s="277"/>
      <c r="V30" s="277"/>
    </row>
    <row r="31" spans="1:25" x14ac:dyDescent="0.25">
      <c r="A31" s="21">
        <v>26</v>
      </c>
      <c r="E31" s="42"/>
    </row>
    <row r="32" spans="1:25" x14ac:dyDescent="0.25">
      <c r="A32" s="21">
        <v>27</v>
      </c>
      <c r="B32" s="104" t="str">
        <f>"Total "&amp;LEFT(B6,17)&amp;" Revenue"</f>
        <v>Total Rate Schedule 502 Revenue</v>
      </c>
      <c r="C32" s="39">
        <f>E32-'Rev Recon Summary'!R22</f>
        <v>0</v>
      </c>
      <c r="D32" s="105" t="s">
        <v>45</v>
      </c>
      <c r="E32" s="65">
        <f>SUM(E11,E13,E30)</f>
        <v>318645.04000000004</v>
      </c>
      <c r="F32" s="279"/>
      <c r="G32" s="39"/>
      <c r="H32" s="39"/>
      <c r="I32" s="39"/>
      <c r="J32" s="279"/>
      <c r="K32" s="39"/>
      <c r="L32" s="39"/>
      <c r="M32" s="39"/>
      <c r="N32" s="279"/>
      <c r="O32" s="39"/>
      <c r="P32" s="39"/>
      <c r="Q32" s="39"/>
      <c r="R32" s="279"/>
      <c r="S32" s="105"/>
      <c r="T32" s="105"/>
      <c r="U32" s="105"/>
      <c r="V32" s="279"/>
      <c r="W32" s="39"/>
      <c r="X32" s="39"/>
      <c r="Y32" s="105"/>
    </row>
    <row r="33" spans="1:25" x14ac:dyDescent="0.25">
      <c r="A33" s="21">
        <v>28</v>
      </c>
    </row>
    <row r="34" spans="1:25" x14ac:dyDescent="0.25">
      <c r="A34" s="21">
        <v>29</v>
      </c>
      <c r="B34" s="30" t="s">
        <v>94</v>
      </c>
      <c r="G34" s="66" t="s">
        <v>373</v>
      </c>
    </row>
    <row r="35" spans="1:25" x14ac:dyDescent="0.25">
      <c r="A35" s="21">
        <v>30</v>
      </c>
      <c r="B35" s="19" t="s">
        <v>292</v>
      </c>
      <c r="C35" s="41">
        <f>E35/D35</f>
        <v>1529646.875</v>
      </c>
      <c r="D35" s="38">
        <v>4</v>
      </c>
      <c r="E35" s="42">
        <f>SUM('1501 Summary'!G23,'1501 Summary'!I23,'1501 Summary'!K23,'1501 Summary'!M23,'1501 Summary'!O23,'1501 Summary'!Q23,'1501 Summary'!S23,'1501 Summary'!U23)</f>
        <v>6118587.5</v>
      </c>
      <c r="F35" s="275"/>
      <c r="G35" s="241">
        <f>-G7</f>
        <v>5353</v>
      </c>
      <c r="H35" s="38">
        <f>D35</f>
        <v>4</v>
      </c>
      <c r="I35" s="42">
        <f>H35*G35</f>
        <v>21412</v>
      </c>
      <c r="J35" s="275"/>
      <c r="K35" s="41">
        <f>C35+G35</f>
        <v>1534999.875</v>
      </c>
      <c r="L35" s="38"/>
      <c r="M35" s="42"/>
      <c r="N35" s="275"/>
      <c r="O35" s="41"/>
      <c r="P35" s="41"/>
      <c r="Q35" s="42"/>
      <c r="R35" s="275"/>
      <c r="V35" s="275"/>
      <c r="W35" s="44"/>
      <c r="X35" s="67"/>
    </row>
    <row r="36" spans="1:25" x14ac:dyDescent="0.25">
      <c r="A36" s="21">
        <v>31</v>
      </c>
      <c r="B36" s="19" t="s">
        <v>99</v>
      </c>
      <c r="C36" s="41">
        <f>E36/D36</f>
        <v>762757.74</v>
      </c>
      <c r="D36" s="38">
        <v>5</v>
      </c>
      <c r="E36" s="42">
        <f>SUM('1501 Summary'!W23,'1501 Summary'!Y23,'1501 Summary'!AA23,'1501 Summary'!AC23)</f>
        <v>3813788.7</v>
      </c>
      <c r="F36" s="275"/>
      <c r="G36" s="241"/>
      <c r="H36" s="38"/>
      <c r="I36" s="42"/>
      <c r="J36" s="275"/>
      <c r="K36" s="41">
        <f>C36+G36</f>
        <v>762757.74</v>
      </c>
      <c r="L36" s="38">
        <f>D36</f>
        <v>5</v>
      </c>
      <c r="M36" s="42">
        <f>L36*SUM(K36,K35)</f>
        <v>11488788.075000001</v>
      </c>
      <c r="N36" s="275"/>
      <c r="O36" s="41">
        <f>'End of Period Calculations'!AB105</f>
        <v>2301790.3200000003</v>
      </c>
      <c r="P36" s="42">
        <f>O36*L36</f>
        <v>11508951.600000001</v>
      </c>
      <c r="Q36" s="42">
        <f>P36-M36</f>
        <v>20163.525000000373</v>
      </c>
      <c r="R36" s="275"/>
      <c r="S36" s="86"/>
      <c r="T36" s="86"/>
      <c r="U36" s="86"/>
      <c r="V36" s="275"/>
      <c r="W36" s="48">
        <f>L36</f>
        <v>5</v>
      </c>
      <c r="X36" s="86">
        <f>W36*O36</f>
        <v>11508951.600000001</v>
      </c>
      <c r="Y36" s="86">
        <f>X36-P36</f>
        <v>0</v>
      </c>
    </row>
    <row r="37" spans="1:25" x14ac:dyDescent="0.25">
      <c r="A37" s="21">
        <v>32</v>
      </c>
      <c r="C37" s="41"/>
      <c r="D37" s="38"/>
      <c r="E37" s="42"/>
      <c r="F37" s="275"/>
      <c r="G37" s="241"/>
      <c r="H37" s="38"/>
      <c r="I37" s="42"/>
      <c r="J37" s="275"/>
      <c r="K37" s="41"/>
      <c r="L37" s="38"/>
      <c r="M37" s="38"/>
      <c r="N37" s="275"/>
      <c r="O37" s="42"/>
      <c r="P37" s="42"/>
      <c r="Q37" s="42"/>
      <c r="R37" s="275"/>
      <c r="S37" s="86"/>
      <c r="T37" s="86"/>
      <c r="U37" s="86"/>
      <c r="V37" s="275"/>
      <c r="W37" s="137"/>
      <c r="X37" s="67"/>
      <c r="Y37" s="86"/>
    </row>
    <row r="38" spans="1:25" x14ac:dyDescent="0.25">
      <c r="A38" s="21">
        <v>33</v>
      </c>
      <c r="B38" s="19" t="s">
        <v>293</v>
      </c>
      <c r="C38" s="41">
        <f t="shared" ref="C38:C39" si="4">E38/D38</f>
        <v>84153825.973409295</v>
      </c>
      <c r="D38" s="81">
        <v>0.29483999999999999</v>
      </c>
      <c r="E38" s="42">
        <f>SUM('1501 Summary'!G24:S24)</f>
        <v>24811914.049999997</v>
      </c>
      <c r="F38" s="275"/>
      <c r="G38" s="241">
        <f>-G9</f>
        <v>370698.68234781665</v>
      </c>
      <c r="H38" s="46">
        <v>0.29483999999999999</v>
      </c>
      <c r="I38" s="42">
        <f t="shared" ref="I38" si="5">H38*G38</f>
        <v>109296.79950343026</v>
      </c>
      <c r="J38" s="275"/>
      <c r="K38" s="41">
        <f>C38+G38</f>
        <v>84524524.655757114</v>
      </c>
      <c r="L38" s="46"/>
      <c r="M38" s="42"/>
      <c r="N38" s="275"/>
      <c r="O38" s="41"/>
      <c r="P38" s="41"/>
      <c r="Q38" s="42"/>
      <c r="R38" s="275"/>
      <c r="S38" s="86"/>
      <c r="T38" s="86"/>
      <c r="U38" s="86"/>
      <c r="V38" s="275"/>
      <c r="W38" s="44"/>
      <c r="X38" s="67"/>
      <c r="Y38" s="86"/>
    </row>
    <row r="39" spans="1:25" x14ac:dyDescent="0.25">
      <c r="A39" s="21">
        <v>34</v>
      </c>
      <c r="B39" s="19" t="s">
        <v>295</v>
      </c>
      <c r="C39" s="41">
        <f t="shared" si="4"/>
        <v>36966089.432089686</v>
      </c>
      <c r="D39" s="81">
        <v>0.27205000000000001</v>
      </c>
      <c r="E39" s="42">
        <f>SUM('1501 Summary'!U24:AC24)</f>
        <v>10056624.629999999</v>
      </c>
      <c r="F39" s="275"/>
      <c r="G39" s="241"/>
      <c r="H39" s="46"/>
      <c r="I39" s="38"/>
      <c r="J39" s="275"/>
      <c r="K39" s="41">
        <f t="shared" ref="K39" si="6">C39+G39</f>
        <v>36966089.432089686</v>
      </c>
      <c r="L39" s="46">
        <f>D39</f>
        <v>0.27205000000000001</v>
      </c>
      <c r="M39" s="42">
        <f>L39*SUM(K39,K38)</f>
        <v>33051521.562598724</v>
      </c>
      <c r="N39" s="275"/>
      <c r="O39" s="41"/>
      <c r="P39" s="41"/>
      <c r="Q39" s="42"/>
      <c r="R39" s="275"/>
      <c r="S39" s="41">
        <f>O44</f>
        <v>131567022.09012201</v>
      </c>
      <c r="T39" s="218">
        <v>1.341E-2</v>
      </c>
      <c r="U39" s="86">
        <f>T39*S39</f>
        <v>1764313.7662285361</v>
      </c>
      <c r="V39" s="275"/>
      <c r="W39" s="44"/>
      <c r="X39" s="67"/>
      <c r="Y39" s="86"/>
    </row>
    <row r="40" spans="1:25" x14ac:dyDescent="0.25">
      <c r="A40" s="21">
        <v>35</v>
      </c>
      <c r="B40" s="19" t="s">
        <v>10</v>
      </c>
      <c r="E40" s="43">
        <f>SUM(E35:E39)</f>
        <v>44800914.879999995</v>
      </c>
      <c r="F40" s="275"/>
      <c r="G40" s="38"/>
      <c r="H40" s="38"/>
      <c r="I40" s="38"/>
      <c r="J40" s="275"/>
      <c r="K40" s="41"/>
      <c r="L40" s="46"/>
      <c r="M40" s="42"/>
      <c r="N40" s="275"/>
      <c r="O40" s="42"/>
      <c r="P40" s="42"/>
      <c r="Q40" s="42"/>
      <c r="R40" s="275"/>
      <c r="S40" s="86"/>
      <c r="T40" s="86"/>
      <c r="U40" s="86"/>
      <c r="V40" s="275"/>
      <c r="W40" s="138"/>
      <c r="X40" s="67"/>
      <c r="Y40" s="86"/>
    </row>
    <row r="41" spans="1:25" ht="15.75" x14ac:dyDescent="0.25">
      <c r="A41" s="21">
        <v>36</v>
      </c>
      <c r="E41" s="42"/>
      <c r="L41" s="46"/>
      <c r="O41" s="42"/>
      <c r="P41" s="42"/>
      <c r="Q41" s="42"/>
      <c r="S41" s="86"/>
      <c r="T41" s="86"/>
      <c r="U41" s="86"/>
      <c r="W41" s="139"/>
      <c r="X41" s="67"/>
      <c r="Y41" s="86"/>
    </row>
    <row r="42" spans="1:25" ht="15.75" x14ac:dyDescent="0.25">
      <c r="A42" s="21">
        <v>37</v>
      </c>
      <c r="B42" s="19" t="s">
        <v>453</v>
      </c>
      <c r="E42" s="42"/>
      <c r="K42" s="45">
        <f>'Weather Normalization'!E16-SUM('Exh IDM-2 - Revenue Summary'!K38:K39)</f>
        <v>8595166.4899034202</v>
      </c>
      <c r="L42" s="46">
        <v>0.27205000000000001</v>
      </c>
      <c r="M42" s="135">
        <f>L42*K42</f>
        <v>2338315.0435782257</v>
      </c>
      <c r="O42" s="42"/>
      <c r="P42" s="42"/>
      <c r="Q42" s="42"/>
      <c r="S42" s="86"/>
      <c r="T42" s="86"/>
      <c r="U42" s="86"/>
      <c r="W42" s="139"/>
      <c r="X42" s="67"/>
      <c r="Y42" s="86"/>
    </row>
    <row r="43" spans="1:25" ht="15.75" x14ac:dyDescent="0.25">
      <c r="A43" s="21">
        <v>38</v>
      </c>
      <c r="E43" s="42"/>
      <c r="L43" s="46"/>
      <c r="M43" s="135"/>
      <c r="O43" s="42"/>
      <c r="P43" s="42"/>
      <c r="Q43" s="42"/>
      <c r="S43" s="86"/>
      <c r="T43" s="86"/>
      <c r="U43" s="86"/>
      <c r="W43" s="139"/>
      <c r="X43" s="67"/>
      <c r="Y43" s="86"/>
    </row>
    <row r="44" spans="1:25" x14ac:dyDescent="0.25">
      <c r="A44" s="21">
        <v>39</v>
      </c>
      <c r="B44" s="19" t="s">
        <v>11</v>
      </c>
      <c r="E44" s="42">
        <f>SUM('1501 Summary'!AD25)</f>
        <v>55203865.320000008</v>
      </c>
      <c r="F44" s="275"/>
      <c r="G44" s="38"/>
      <c r="H44" s="38"/>
      <c r="I44" s="38"/>
      <c r="J44" s="275"/>
      <c r="K44" s="41">
        <f>SUM(K38:K42)</f>
        <v>130085780.57775022</v>
      </c>
      <c r="L44" s="46">
        <v>0.27205000000000001</v>
      </c>
      <c r="M44" s="136">
        <f t="shared" ref="M44" si="7">L44*K44</f>
        <v>35389836.60617695</v>
      </c>
      <c r="N44" s="275"/>
      <c r="O44" s="41">
        <f>'End of Period Calculations'!AA105</f>
        <v>131567022.09012201</v>
      </c>
      <c r="P44" s="65">
        <f>O44*L44</f>
        <v>35792808.359617695</v>
      </c>
      <c r="Q44" s="65">
        <f t="shared" ref="Q44" si="8">P44-M44</f>
        <v>402971.75344074517</v>
      </c>
      <c r="R44" s="275"/>
      <c r="S44" s="86"/>
      <c r="T44" s="86"/>
      <c r="U44" s="86"/>
      <c r="V44" s="275"/>
      <c r="W44" s="360">
        <f>'Exh IDM-4 -Revenue Distribution'!F7</f>
        <v>0.32160327890882079</v>
      </c>
      <c r="X44" s="88">
        <f>W44*O44</f>
        <v>42312385.700452499</v>
      </c>
      <c r="Y44" s="88">
        <f>X44-P44</f>
        <v>6519577.3408348039</v>
      </c>
    </row>
    <row r="45" spans="1:25" x14ac:dyDescent="0.25">
      <c r="A45" s="21">
        <v>40</v>
      </c>
      <c r="E45" s="42"/>
      <c r="L45" s="46"/>
      <c r="M45" s="135">
        <f>SUM(M44,M36)</f>
        <v>46878624.681176953</v>
      </c>
      <c r="O45" s="42"/>
      <c r="P45" s="42">
        <f>SUM(P36,P44)</f>
        <v>47301759.959617697</v>
      </c>
      <c r="Q45" s="42">
        <f>P45-M45</f>
        <v>423135.27844074368</v>
      </c>
      <c r="S45" s="86"/>
      <c r="T45" s="86"/>
      <c r="U45" s="86"/>
      <c r="W45" s="138"/>
      <c r="X45" s="83">
        <f>SUM(X36:X44)</f>
        <v>53821337.300452501</v>
      </c>
      <c r="Y45" s="83">
        <f>SUM(Y36:Y44)</f>
        <v>6519577.3408348039</v>
      </c>
    </row>
    <row r="46" spans="1:25" x14ac:dyDescent="0.25">
      <c r="A46" s="21">
        <v>41</v>
      </c>
      <c r="B46" s="19" t="s">
        <v>12</v>
      </c>
      <c r="E46" s="42"/>
      <c r="L46" s="46"/>
      <c r="O46" s="42"/>
      <c r="P46" s="42"/>
      <c r="Q46" s="42"/>
      <c r="S46" s="86"/>
      <c r="T46" s="86"/>
      <c r="U46" s="86"/>
      <c r="Y46" s="86"/>
    </row>
    <row r="47" spans="1:25" x14ac:dyDescent="0.25">
      <c r="A47" s="21">
        <v>42</v>
      </c>
      <c r="B47" s="19" t="s">
        <v>139</v>
      </c>
      <c r="E47" s="42">
        <f>'1501 Summary'!AD26</f>
        <v>356004.39</v>
      </c>
      <c r="F47" s="275"/>
      <c r="G47" s="38"/>
      <c r="H47" s="38"/>
      <c r="I47" s="38"/>
      <c r="J47" s="275"/>
      <c r="K47" s="38"/>
      <c r="L47" s="46"/>
      <c r="M47" s="38"/>
      <c r="N47" s="275"/>
      <c r="O47" s="42"/>
      <c r="P47" s="42"/>
      <c r="Q47" s="42"/>
      <c r="R47" s="275"/>
      <c r="V47" s="275"/>
    </row>
    <row r="48" spans="1:25" x14ac:dyDescent="0.25">
      <c r="A48" s="21">
        <v>43</v>
      </c>
      <c r="B48" s="19" t="s">
        <v>140</v>
      </c>
      <c r="E48" s="42">
        <f>'1501 Summary'!AD27</f>
        <v>1439980.35</v>
      </c>
      <c r="F48" s="275"/>
      <c r="G48" s="38"/>
      <c r="H48" s="38"/>
      <c r="I48" s="38"/>
      <c r="J48" s="275"/>
      <c r="K48" s="38"/>
      <c r="L48" s="46"/>
      <c r="M48" s="38"/>
      <c r="N48" s="275"/>
      <c r="O48" s="42"/>
      <c r="P48" s="42"/>
      <c r="Q48" s="42"/>
      <c r="R48" s="275"/>
      <c r="V48" s="275"/>
    </row>
    <row r="49" spans="1:25" x14ac:dyDescent="0.25">
      <c r="A49" s="21">
        <v>44</v>
      </c>
      <c r="B49" s="19" t="s">
        <v>141</v>
      </c>
      <c r="E49" s="42">
        <f>'1501 Summary'!AD28</f>
        <v>-657529.92999999993</v>
      </c>
      <c r="F49" s="275"/>
      <c r="G49" s="38"/>
      <c r="H49" s="38"/>
      <c r="I49" s="38"/>
      <c r="J49" s="275"/>
      <c r="K49" s="38"/>
      <c r="L49" s="46"/>
      <c r="M49" s="38"/>
      <c r="N49" s="275"/>
      <c r="O49" s="42"/>
      <c r="P49" s="42"/>
      <c r="Q49" s="42"/>
      <c r="R49" s="275"/>
      <c r="V49" s="275"/>
    </row>
    <row r="50" spans="1:25" x14ac:dyDescent="0.25">
      <c r="A50" s="21">
        <v>45</v>
      </c>
      <c r="B50" s="19" t="s">
        <v>142</v>
      </c>
      <c r="E50" s="42">
        <f>'1501 Summary'!AD29</f>
        <v>5784748.9799999995</v>
      </c>
      <c r="F50" s="275"/>
      <c r="G50" s="38"/>
      <c r="H50" s="38"/>
      <c r="I50" s="38"/>
      <c r="J50" s="275"/>
      <c r="K50" s="38"/>
      <c r="L50" s="46"/>
      <c r="M50" s="38"/>
      <c r="N50" s="275"/>
      <c r="O50" s="42"/>
      <c r="P50" s="42"/>
      <c r="Q50" s="42"/>
      <c r="R50" s="275"/>
      <c r="V50" s="275"/>
    </row>
    <row r="51" spans="1:25" x14ac:dyDescent="0.25">
      <c r="A51" s="21">
        <v>46</v>
      </c>
      <c r="B51" s="19" t="s">
        <v>143</v>
      </c>
      <c r="E51" s="42">
        <f>'1501 Summary'!AD30</f>
        <v>1927959</v>
      </c>
      <c r="F51" s="275"/>
      <c r="G51" s="38"/>
      <c r="H51" s="38"/>
      <c r="I51" s="38"/>
      <c r="J51" s="275"/>
      <c r="K51" s="38"/>
      <c r="L51" s="46"/>
      <c r="M51" s="38"/>
      <c r="N51" s="275"/>
      <c r="O51" s="42"/>
      <c r="P51" s="42"/>
      <c r="Q51" s="42"/>
      <c r="R51" s="275"/>
      <c r="V51" s="275"/>
    </row>
    <row r="52" spans="1:25" x14ac:dyDescent="0.25">
      <c r="A52" s="21">
        <v>47</v>
      </c>
      <c r="B52" s="33" t="s">
        <v>224</v>
      </c>
      <c r="E52" s="42">
        <f>'1501 Summary'!AD31</f>
        <v>-241133.94</v>
      </c>
      <c r="F52" s="275"/>
      <c r="G52" s="38"/>
      <c r="H52" s="38"/>
      <c r="I52" s="38"/>
      <c r="J52" s="275"/>
      <c r="K52" s="38"/>
      <c r="L52" s="46"/>
      <c r="M52" s="38"/>
      <c r="N52" s="275"/>
      <c r="O52" s="42"/>
      <c r="P52" s="42"/>
      <c r="Q52" s="42"/>
      <c r="R52" s="275"/>
      <c r="V52" s="275"/>
    </row>
    <row r="53" spans="1:25" x14ac:dyDescent="0.25">
      <c r="A53" s="21">
        <v>48</v>
      </c>
      <c r="B53" s="33" t="s">
        <v>225</v>
      </c>
      <c r="E53" s="42">
        <f>'1501 Summary'!AD32</f>
        <v>-113445.92</v>
      </c>
      <c r="F53" s="275"/>
      <c r="G53" s="38"/>
      <c r="H53" s="38"/>
      <c r="I53" s="38"/>
      <c r="J53" s="275"/>
      <c r="K53" s="38"/>
      <c r="L53" s="46"/>
      <c r="M53" s="38"/>
      <c r="N53" s="275"/>
      <c r="O53" s="42"/>
      <c r="P53" s="42"/>
      <c r="Q53" s="42"/>
      <c r="R53" s="275"/>
      <c r="V53" s="275"/>
    </row>
    <row r="54" spans="1:25" x14ac:dyDescent="0.25">
      <c r="A54" s="21">
        <v>49</v>
      </c>
      <c r="B54" s="33" t="s">
        <v>226</v>
      </c>
      <c r="E54" s="42">
        <f>'1501 Summary'!AD33</f>
        <v>-214309.91999999998</v>
      </c>
      <c r="F54" s="275"/>
      <c r="G54" s="38"/>
      <c r="H54" s="38"/>
      <c r="I54" s="38"/>
      <c r="J54" s="275"/>
      <c r="K54" s="38"/>
      <c r="L54" s="46"/>
      <c r="M54" s="38"/>
      <c r="N54" s="275"/>
      <c r="O54" s="42"/>
      <c r="P54" s="42"/>
      <c r="Q54" s="42"/>
      <c r="R54" s="275"/>
      <c r="V54" s="275"/>
    </row>
    <row r="55" spans="1:25" x14ac:dyDescent="0.25">
      <c r="A55" s="21">
        <v>50</v>
      </c>
      <c r="B55" s="19" t="s">
        <v>144</v>
      </c>
      <c r="E55" s="42">
        <f>'1501 Summary'!AD34</f>
        <v>5133602.34</v>
      </c>
      <c r="F55" s="275"/>
      <c r="G55" s="38"/>
      <c r="H55" s="38"/>
      <c r="I55" s="38"/>
      <c r="J55" s="275"/>
      <c r="K55" s="38"/>
      <c r="L55" s="46"/>
      <c r="M55" s="38"/>
      <c r="N55" s="275"/>
      <c r="O55" s="42"/>
      <c r="P55" s="42"/>
      <c r="Q55" s="42"/>
      <c r="R55" s="275"/>
      <c r="S55" s="42"/>
      <c r="T55" s="42"/>
      <c r="U55" s="42"/>
      <c r="V55" s="275"/>
      <c r="Y55" s="42"/>
    </row>
    <row r="56" spans="1:25" x14ac:dyDescent="0.25">
      <c r="A56" s="21">
        <v>51</v>
      </c>
      <c r="B56" s="19" t="s">
        <v>146</v>
      </c>
      <c r="E56" s="42">
        <f>'1501 Summary'!AD35</f>
        <v>19177.96</v>
      </c>
      <c r="F56" s="275"/>
      <c r="G56" s="38"/>
      <c r="H56" s="38"/>
      <c r="I56" s="38"/>
      <c r="J56" s="275"/>
      <c r="K56" s="38"/>
      <c r="L56" s="46"/>
      <c r="M56" s="38"/>
      <c r="N56" s="275"/>
      <c r="O56" s="42"/>
      <c r="P56" s="42"/>
      <c r="Q56" s="42"/>
      <c r="R56" s="275"/>
      <c r="S56" s="42"/>
      <c r="T56" s="42"/>
      <c r="U56" s="42"/>
      <c r="V56" s="275"/>
      <c r="Y56" s="42"/>
    </row>
    <row r="57" spans="1:25" x14ac:dyDescent="0.25">
      <c r="A57" s="21">
        <v>52</v>
      </c>
      <c r="B57" s="19" t="s">
        <v>145</v>
      </c>
      <c r="E57" s="42">
        <f>'1501 Summary'!AD36</f>
        <v>2063.8199999999997</v>
      </c>
      <c r="F57" s="275"/>
      <c r="G57" s="38"/>
      <c r="H57" s="38"/>
      <c r="I57" s="38"/>
      <c r="J57" s="275"/>
      <c r="K57" s="38"/>
      <c r="L57" s="46"/>
      <c r="M57" s="38"/>
      <c r="N57" s="275"/>
      <c r="O57" s="42"/>
      <c r="P57" s="42"/>
      <c r="Q57" s="42"/>
      <c r="R57" s="275"/>
      <c r="S57" s="42"/>
      <c r="T57" s="42"/>
      <c r="U57" s="42"/>
      <c r="V57" s="275"/>
      <c r="Y57" s="42"/>
    </row>
    <row r="58" spans="1:25" x14ac:dyDescent="0.25">
      <c r="A58" s="21">
        <v>53</v>
      </c>
      <c r="B58" s="19" t="s">
        <v>147</v>
      </c>
      <c r="E58" s="42">
        <f>'1501 Summary'!AD37</f>
        <v>-759.84000000000015</v>
      </c>
      <c r="F58" s="275"/>
      <c r="G58" s="38"/>
      <c r="H58" s="38"/>
      <c r="I58" s="38"/>
      <c r="J58" s="275"/>
      <c r="K58" s="38"/>
      <c r="L58" s="46"/>
      <c r="M58" s="38"/>
      <c r="N58" s="275"/>
      <c r="O58" s="42"/>
      <c r="P58" s="42"/>
      <c r="Q58" s="42"/>
      <c r="R58" s="275"/>
      <c r="S58" s="42"/>
      <c r="T58" s="42"/>
      <c r="U58" s="42"/>
      <c r="V58" s="275"/>
      <c r="Y58" s="42"/>
    </row>
    <row r="59" spans="1:25" x14ac:dyDescent="0.25">
      <c r="A59" s="21">
        <v>54</v>
      </c>
      <c r="B59" s="19" t="s">
        <v>148</v>
      </c>
      <c r="E59" s="42">
        <f>'1501 Summary'!AD38</f>
        <v>19155.52</v>
      </c>
      <c r="F59" s="275"/>
      <c r="G59" s="38"/>
      <c r="H59" s="38"/>
      <c r="I59" s="38"/>
      <c r="J59" s="275"/>
      <c r="K59" s="38"/>
      <c r="L59" s="46"/>
      <c r="M59" s="38"/>
      <c r="N59" s="275"/>
      <c r="O59" s="42"/>
      <c r="P59" s="42"/>
      <c r="Q59" s="42"/>
      <c r="R59" s="275"/>
      <c r="S59" s="42"/>
      <c r="T59" s="42"/>
      <c r="U59" s="42"/>
      <c r="V59" s="275"/>
      <c r="Y59" s="42"/>
    </row>
    <row r="60" spans="1:25" x14ac:dyDescent="0.25">
      <c r="A60" s="21">
        <v>55</v>
      </c>
      <c r="B60" s="18" t="s">
        <v>24</v>
      </c>
      <c r="E60" s="42">
        <f>'1501 Summary'!AD39</f>
        <v>-1315.9500000000003</v>
      </c>
      <c r="F60" s="275"/>
      <c r="G60" s="38"/>
      <c r="H60" s="38"/>
      <c r="I60" s="38"/>
      <c r="J60" s="275"/>
      <c r="K60" s="38"/>
      <c r="L60" s="46"/>
      <c r="M60" s="38"/>
      <c r="N60" s="275"/>
      <c r="O60" s="42"/>
      <c r="P60" s="42"/>
      <c r="Q60" s="42"/>
      <c r="R60" s="275"/>
      <c r="S60" s="42"/>
      <c r="T60" s="42"/>
      <c r="U60" s="42"/>
      <c r="V60" s="275"/>
      <c r="Y60" s="42"/>
    </row>
    <row r="61" spans="1:25" x14ac:dyDescent="0.25">
      <c r="A61" s="21">
        <v>56</v>
      </c>
      <c r="B61" s="18" t="s">
        <v>14</v>
      </c>
      <c r="E61" s="42">
        <f>'Rev Recon Summary'!R34</f>
        <v>67372865.469999999</v>
      </c>
      <c r="F61" s="275"/>
      <c r="G61" s="38"/>
      <c r="H61" s="38"/>
      <c r="I61" s="38"/>
      <c r="J61" s="275"/>
      <c r="K61" s="38"/>
      <c r="L61" s="46"/>
      <c r="M61" s="38"/>
      <c r="N61" s="275"/>
      <c r="O61" s="42"/>
      <c r="P61" s="42"/>
      <c r="Q61" s="42"/>
      <c r="R61" s="275"/>
      <c r="S61" s="42"/>
      <c r="T61" s="42"/>
      <c r="U61" s="42"/>
      <c r="V61" s="275"/>
      <c r="Y61" s="42"/>
    </row>
    <row r="62" spans="1:25" x14ac:dyDescent="0.25">
      <c r="A62" s="21">
        <v>57</v>
      </c>
      <c r="B62" s="18" t="s">
        <v>15</v>
      </c>
      <c r="E62" s="42">
        <f>'Rev Recon Summary'!R35</f>
        <v>-70535939.950000003</v>
      </c>
      <c r="F62" s="275"/>
      <c r="G62" s="38"/>
      <c r="H62" s="38"/>
      <c r="I62" s="38"/>
      <c r="J62" s="275"/>
      <c r="K62" s="38"/>
      <c r="L62" s="46"/>
      <c r="M62" s="38"/>
      <c r="N62" s="275"/>
      <c r="O62" s="42"/>
      <c r="P62" s="42"/>
      <c r="Q62" s="42"/>
      <c r="R62" s="275"/>
      <c r="S62" s="42"/>
      <c r="T62" s="42"/>
      <c r="U62" s="42"/>
      <c r="V62" s="275"/>
      <c r="Y62" s="42"/>
    </row>
    <row r="63" spans="1:25" x14ac:dyDescent="0.25">
      <c r="A63" s="21">
        <v>58</v>
      </c>
      <c r="B63" s="18" t="s">
        <v>16</v>
      </c>
      <c r="E63" s="42">
        <f>'Rev Recon Summary'!R36</f>
        <v>1447891.04</v>
      </c>
      <c r="F63" s="275"/>
      <c r="G63" s="38"/>
      <c r="H63" s="38"/>
      <c r="I63" s="38"/>
      <c r="J63" s="275"/>
      <c r="K63" s="38"/>
      <c r="L63" s="46"/>
      <c r="M63" s="38"/>
      <c r="N63" s="275"/>
      <c r="O63" s="42"/>
      <c r="P63" s="42"/>
      <c r="Q63" s="42"/>
      <c r="R63" s="275"/>
      <c r="S63" s="42"/>
      <c r="T63" s="42"/>
      <c r="U63" s="42"/>
      <c r="V63" s="275"/>
      <c r="Y63" s="42"/>
    </row>
    <row r="64" spans="1:25" x14ac:dyDescent="0.25">
      <c r="A64" s="21">
        <v>59</v>
      </c>
      <c r="B64" s="18" t="s">
        <v>17</v>
      </c>
      <c r="E64" s="42">
        <f>'Rev Recon Summary'!R37</f>
        <v>325808.46999999997</v>
      </c>
      <c r="F64" s="275"/>
      <c r="G64" s="38"/>
      <c r="H64" s="38"/>
      <c r="I64" s="38"/>
      <c r="J64" s="275"/>
      <c r="K64" s="38"/>
      <c r="L64" s="46"/>
      <c r="M64" s="38"/>
      <c r="N64" s="275"/>
      <c r="O64" s="42"/>
      <c r="P64" s="42"/>
      <c r="Q64" s="42"/>
      <c r="R64" s="275"/>
      <c r="S64" s="42"/>
      <c r="T64" s="42"/>
      <c r="U64" s="42"/>
      <c r="V64" s="275"/>
      <c r="Y64" s="42"/>
    </row>
    <row r="65" spans="1:25" x14ac:dyDescent="0.25">
      <c r="A65" s="21">
        <v>60</v>
      </c>
      <c r="B65" s="18" t="s">
        <v>18</v>
      </c>
      <c r="E65" s="65">
        <f>'Rev Recon Summary'!R38</f>
        <v>0</v>
      </c>
      <c r="F65" s="275"/>
      <c r="G65" s="38"/>
      <c r="H65" s="38"/>
      <c r="I65" s="38"/>
      <c r="J65" s="275"/>
      <c r="K65" s="38"/>
      <c r="L65" s="46"/>
      <c r="M65" s="38"/>
      <c r="N65" s="275"/>
      <c r="O65" s="42"/>
      <c r="P65" s="42"/>
      <c r="Q65" s="42"/>
      <c r="R65" s="275"/>
      <c r="S65" s="42"/>
      <c r="T65" s="42"/>
      <c r="U65" s="42"/>
      <c r="V65" s="275"/>
      <c r="Y65" s="42"/>
    </row>
    <row r="66" spans="1:25" x14ac:dyDescent="0.25">
      <c r="A66" s="21">
        <v>61</v>
      </c>
      <c r="B66" s="19" t="s">
        <v>19</v>
      </c>
      <c r="E66" s="42">
        <f>SUM(E47:E65)</f>
        <v>12064821.889999995</v>
      </c>
      <c r="F66" s="275"/>
      <c r="G66" s="38"/>
      <c r="H66" s="38"/>
      <c r="I66" s="38"/>
      <c r="J66" s="275"/>
      <c r="K66" s="38"/>
      <c r="L66" s="46"/>
      <c r="M66" s="38"/>
      <c r="N66" s="275"/>
      <c r="O66" s="42"/>
      <c r="P66" s="42"/>
      <c r="Q66" s="42"/>
      <c r="R66" s="275"/>
      <c r="S66" s="42"/>
      <c r="T66" s="42"/>
      <c r="U66" s="42"/>
      <c r="V66" s="275"/>
      <c r="Y66" s="42"/>
    </row>
    <row r="67" spans="1:25" x14ac:dyDescent="0.25">
      <c r="A67" s="21">
        <v>62</v>
      </c>
      <c r="E67" s="42"/>
      <c r="L67" s="46"/>
      <c r="O67" s="42"/>
      <c r="P67" s="42"/>
      <c r="Q67" s="42"/>
    </row>
    <row r="68" spans="1:25" x14ac:dyDescent="0.25">
      <c r="A68" s="21">
        <v>63</v>
      </c>
      <c r="B68" s="104" t="str">
        <f>"Total "&amp;LEFT(B34,17)&amp;" Revenue"</f>
        <v>Total Rate Schedule 503 Revenue</v>
      </c>
      <c r="C68" s="39">
        <f>E68-'Rev Recon Summary'!R42</f>
        <v>9.9999904632568359E-3</v>
      </c>
      <c r="D68" s="105" t="s">
        <v>45</v>
      </c>
      <c r="E68" s="65">
        <f>SUM(E40,E44,E66)</f>
        <v>112069602.09</v>
      </c>
      <c r="F68" s="279"/>
      <c r="G68" s="39"/>
      <c r="H68" s="39"/>
      <c r="I68" s="39"/>
      <c r="J68" s="279"/>
      <c r="K68" s="39"/>
      <c r="L68" s="134"/>
      <c r="M68" s="39"/>
      <c r="N68" s="279"/>
      <c r="O68" s="65"/>
      <c r="P68" s="65"/>
      <c r="Q68" s="65"/>
      <c r="R68" s="279"/>
      <c r="S68" s="65"/>
      <c r="T68" s="65"/>
      <c r="U68" s="65"/>
      <c r="V68" s="279"/>
      <c r="W68" s="39"/>
      <c r="X68" s="39"/>
      <c r="Y68" s="65"/>
    </row>
    <row r="69" spans="1:25" x14ac:dyDescent="0.25">
      <c r="A69" s="21">
        <v>64</v>
      </c>
      <c r="B69" s="31"/>
      <c r="C69" s="56"/>
      <c r="D69" s="22"/>
      <c r="E69" s="44"/>
      <c r="F69" s="280"/>
      <c r="G69" s="44"/>
      <c r="H69" s="44"/>
      <c r="I69" s="44"/>
      <c r="J69" s="280"/>
      <c r="K69" s="44"/>
      <c r="L69" s="46"/>
      <c r="M69" s="44"/>
      <c r="N69" s="280"/>
      <c r="O69" s="42"/>
      <c r="P69" s="42"/>
      <c r="Q69" s="42"/>
      <c r="R69" s="280"/>
      <c r="V69" s="280"/>
    </row>
    <row r="70" spans="1:25" x14ac:dyDescent="0.25">
      <c r="A70" s="21">
        <v>65</v>
      </c>
      <c r="C70" s="56"/>
      <c r="L70" s="46"/>
      <c r="O70" s="42"/>
      <c r="P70" s="42"/>
      <c r="Q70" s="42"/>
    </row>
    <row r="71" spans="1:25" ht="30" x14ac:dyDescent="0.25">
      <c r="A71" s="21">
        <v>66</v>
      </c>
      <c r="B71" s="30" t="s">
        <v>95</v>
      </c>
      <c r="G71" s="244" t="s">
        <v>417</v>
      </c>
      <c r="L71" s="46"/>
      <c r="M71" s="42"/>
      <c r="O71" s="42"/>
      <c r="P71" s="42"/>
      <c r="Q71" s="42"/>
    </row>
    <row r="72" spans="1:25" x14ac:dyDescent="0.25">
      <c r="A72" s="21">
        <v>67</v>
      </c>
      <c r="B72" s="19" t="s">
        <v>292</v>
      </c>
      <c r="C72" s="41">
        <f>E72/D72</f>
        <v>184413</v>
      </c>
      <c r="D72" s="38">
        <v>10</v>
      </c>
      <c r="E72" s="42">
        <f>SUM('1501 Summary'!G46,'1501 Summary'!I46,'1501 Summary'!K46,'1501 Summary'!M46,'1501 Summary'!O46,'1501 Summary'!Q46,'1501 Summary'!S46)</f>
        <v>1844130</v>
      </c>
      <c r="F72" s="281"/>
      <c r="G72" s="241">
        <f>-G218-G187</f>
        <v>14</v>
      </c>
      <c r="H72" s="42">
        <f>D72</f>
        <v>10</v>
      </c>
      <c r="I72" s="42">
        <f>G72*H72</f>
        <v>140</v>
      </c>
      <c r="J72" s="281"/>
      <c r="K72" s="41">
        <f>C72+G72</f>
        <v>184427</v>
      </c>
      <c r="L72" s="38"/>
      <c r="M72" s="42"/>
      <c r="N72" s="281"/>
      <c r="O72" s="41"/>
      <c r="P72" s="41"/>
      <c r="Q72" s="42"/>
      <c r="R72" s="281"/>
      <c r="S72" s="86"/>
      <c r="T72" s="86"/>
      <c r="U72" s="86"/>
      <c r="V72" s="281"/>
      <c r="W72" s="41"/>
      <c r="X72" s="41"/>
      <c r="Y72" s="86"/>
    </row>
    <row r="73" spans="1:25" x14ac:dyDescent="0.25">
      <c r="A73" s="21">
        <v>68</v>
      </c>
      <c r="B73" s="19" t="s">
        <v>99</v>
      </c>
      <c r="C73" s="41">
        <f>E73/D73</f>
        <v>127485.35384615386</v>
      </c>
      <c r="D73" s="38">
        <v>13</v>
      </c>
      <c r="E73" s="42">
        <f>SUM('1501 Summary'!U46,'1501 Summary'!W46,'1501 Summary'!Y46,'1501 Summary'!AA46,'1501 Summary'!AC46)</f>
        <v>1657309.6</v>
      </c>
      <c r="F73" s="281"/>
      <c r="G73" s="42">
        <f>-G188</f>
        <v>4.7692307692307692</v>
      </c>
      <c r="H73" s="42">
        <f>D73</f>
        <v>13</v>
      </c>
      <c r="I73" s="42">
        <f>G73*H73</f>
        <v>62</v>
      </c>
      <c r="J73" s="281"/>
      <c r="K73" s="41">
        <f>C73+G73</f>
        <v>127490.12307692309</v>
      </c>
      <c r="L73" s="38">
        <f t="shared" ref="L73:L76" si="9">D73</f>
        <v>13</v>
      </c>
      <c r="M73" s="42">
        <f>L73*SUM(K73,K72)</f>
        <v>4054922.6</v>
      </c>
      <c r="N73" s="281"/>
      <c r="O73" s="41">
        <f>'End of Period Calculations'!AB106</f>
        <v>318952.9846153846</v>
      </c>
      <c r="P73" s="42">
        <f>O73*L73</f>
        <v>4146388.8</v>
      </c>
      <c r="Q73" s="42">
        <f t="shared" ref="Q73:Q82" si="10">P73-M73</f>
        <v>91466.199999999721</v>
      </c>
      <c r="R73" s="281"/>
      <c r="S73" s="86"/>
      <c r="T73" s="86"/>
      <c r="U73" s="86"/>
      <c r="V73" s="281"/>
      <c r="W73" s="67">
        <f>L73</f>
        <v>13</v>
      </c>
      <c r="X73" s="86">
        <f>W73*O73</f>
        <v>4146388.8</v>
      </c>
      <c r="Y73" s="86">
        <f>X73-P73</f>
        <v>0</v>
      </c>
    </row>
    <row r="74" spans="1:25" x14ac:dyDescent="0.25">
      <c r="A74" s="21">
        <v>69</v>
      </c>
      <c r="C74" s="41"/>
      <c r="D74" s="38"/>
      <c r="E74" s="42"/>
      <c r="F74" s="281"/>
      <c r="G74" s="42"/>
      <c r="H74" s="42"/>
      <c r="I74" s="42"/>
      <c r="J74" s="281"/>
      <c r="K74" s="42"/>
      <c r="L74" s="46"/>
      <c r="M74" s="42"/>
      <c r="N74" s="281"/>
      <c r="O74" s="41"/>
      <c r="P74" s="38"/>
      <c r="Q74" s="42"/>
      <c r="R74" s="281"/>
      <c r="S74" s="86"/>
      <c r="T74" s="86"/>
      <c r="U74" s="86"/>
      <c r="V74" s="281"/>
      <c r="W74" s="67"/>
      <c r="X74" s="86"/>
      <c r="Y74" s="86"/>
    </row>
    <row r="75" spans="1:25" x14ac:dyDescent="0.25">
      <c r="A75" s="21">
        <v>70</v>
      </c>
      <c r="B75" s="19" t="s">
        <v>293</v>
      </c>
      <c r="C75" s="41">
        <f>E75/D75</f>
        <v>59235943.636215866</v>
      </c>
      <c r="D75" s="81">
        <v>0.24607999999999999</v>
      </c>
      <c r="E75" s="42">
        <f>SUM('1501 Summary'!G47:S47)</f>
        <v>14576781.01</v>
      </c>
      <c r="F75" s="281"/>
      <c r="G75" s="241">
        <f>-G220-G189</f>
        <v>50465.901236221238</v>
      </c>
      <c r="H75" s="46">
        <f>D75</f>
        <v>0.24607999999999999</v>
      </c>
      <c r="I75" s="42">
        <f t="shared" ref="I75:I76" si="11">G75*H75</f>
        <v>12418.648976209322</v>
      </c>
      <c r="J75" s="281"/>
      <c r="K75" s="41">
        <f>C75+G75</f>
        <v>59286409.537452087</v>
      </c>
      <c r="L75" s="46"/>
      <c r="M75" s="42"/>
      <c r="N75" s="281"/>
      <c r="O75" s="41"/>
      <c r="P75" s="38"/>
      <c r="Q75" s="42"/>
      <c r="R75" s="281"/>
      <c r="S75" s="86"/>
      <c r="T75" s="86"/>
      <c r="U75" s="86"/>
      <c r="V75" s="281"/>
      <c r="W75" s="67"/>
      <c r="X75" s="86"/>
      <c r="Y75" s="86"/>
    </row>
    <row r="76" spans="1:25" x14ac:dyDescent="0.25">
      <c r="A76" s="21">
        <v>71</v>
      </c>
      <c r="B76" s="110" t="s">
        <v>294</v>
      </c>
      <c r="C76" s="41">
        <f>E76/D76</f>
        <v>27628821.234119788</v>
      </c>
      <c r="D76" s="81">
        <v>0.23141999999999999</v>
      </c>
      <c r="E76" s="42">
        <f>SUM('1501 Summary'!U47:AC47)</f>
        <v>6393861.8100000005</v>
      </c>
      <c r="F76" s="281"/>
      <c r="G76" s="41">
        <f>-G190</f>
        <v>6333.808659579985</v>
      </c>
      <c r="H76" s="46">
        <f>D76</f>
        <v>0.23141999999999999</v>
      </c>
      <c r="I76" s="42">
        <f t="shared" si="11"/>
        <v>1465.77</v>
      </c>
      <c r="J76" s="281"/>
      <c r="K76" s="41">
        <f t="shared" ref="K76:K118" si="12">C76+G76</f>
        <v>27635155.042779367</v>
      </c>
      <c r="L76" s="46">
        <f t="shared" si="9"/>
        <v>0.23141999999999999</v>
      </c>
      <c r="M76" s="42">
        <f>L76*SUM(K76,K75)</f>
        <v>20115388.475157164</v>
      </c>
      <c r="N76" s="281"/>
      <c r="Q76" s="42"/>
      <c r="R76" s="281"/>
      <c r="S76" s="41">
        <f>O81</f>
        <v>92551660.677303553</v>
      </c>
      <c r="T76" s="218">
        <v>9.0900000000000009E-3</v>
      </c>
      <c r="U76" s="86">
        <f>T76*S76</f>
        <v>841294.59555668943</v>
      </c>
      <c r="V76" s="281"/>
      <c r="X76" s="86"/>
      <c r="Y76" s="86"/>
    </row>
    <row r="77" spans="1:25" x14ac:dyDescent="0.25">
      <c r="A77" s="21">
        <v>72</v>
      </c>
      <c r="B77" s="19" t="s">
        <v>10</v>
      </c>
      <c r="E77" s="43">
        <f>SUM(E72:E76)</f>
        <v>24472082.420000002</v>
      </c>
      <c r="F77" s="281"/>
      <c r="G77" s="42"/>
      <c r="H77" s="42"/>
      <c r="I77" s="42"/>
      <c r="J77" s="281"/>
      <c r="K77" s="41"/>
      <c r="L77" s="46"/>
      <c r="M77" s="42"/>
      <c r="N77" s="281"/>
      <c r="Q77" s="42"/>
      <c r="R77" s="281"/>
      <c r="S77" s="86"/>
      <c r="T77" s="86"/>
      <c r="U77" s="86"/>
      <c r="V77" s="281"/>
      <c r="X77" s="86"/>
      <c r="Y77" s="86"/>
    </row>
    <row r="78" spans="1:25" ht="15.75" x14ac:dyDescent="0.25">
      <c r="A78" s="21">
        <v>73</v>
      </c>
      <c r="K78" s="41"/>
      <c r="L78" s="46"/>
      <c r="M78" s="42"/>
      <c r="O78" s="42"/>
      <c r="P78" s="42"/>
      <c r="Q78" s="42"/>
      <c r="S78" s="86"/>
      <c r="T78" s="86"/>
      <c r="U78" s="86"/>
      <c r="W78" s="139"/>
      <c r="X78" s="86"/>
      <c r="Y78" s="86"/>
    </row>
    <row r="79" spans="1:25" ht="15.75" x14ac:dyDescent="0.25">
      <c r="A79" s="21">
        <v>74</v>
      </c>
      <c r="B79" s="19" t="s">
        <v>453</v>
      </c>
      <c r="K79" s="41">
        <f>'Weather Normalization'!J16-SUM(K75:K76)</f>
        <v>4930664.9182767421</v>
      </c>
      <c r="L79" s="46">
        <v>0.23141999999999999</v>
      </c>
      <c r="M79" s="42">
        <f>K79*L79</f>
        <v>1141054.4753876035</v>
      </c>
      <c r="O79" s="42"/>
      <c r="P79" s="42"/>
      <c r="Q79" s="42"/>
      <c r="S79" s="86"/>
      <c r="T79" s="86"/>
      <c r="U79" s="86"/>
      <c r="W79" s="139"/>
      <c r="X79" s="86"/>
      <c r="Y79" s="86"/>
    </row>
    <row r="80" spans="1:25" ht="15.75" x14ac:dyDescent="0.25">
      <c r="A80" s="21">
        <v>75</v>
      </c>
      <c r="K80" s="41"/>
      <c r="L80" s="46"/>
      <c r="M80" s="42"/>
      <c r="O80" s="42"/>
      <c r="P80" s="42"/>
      <c r="Q80" s="42"/>
      <c r="S80" s="86"/>
      <c r="T80" s="86"/>
      <c r="U80" s="86"/>
      <c r="W80" s="139"/>
      <c r="X80" s="86"/>
      <c r="Y80" s="86"/>
    </row>
    <row r="81" spans="1:25" x14ac:dyDescent="0.25">
      <c r="A81" s="21">
        <v>76</v>
      </c>
      <c r="B81" s="19" t="s">
        <v>11</v>
      </c>
      <c r="E81" s="42">
        <f>'1501 Summary'!AD48</f>
        <v>39380975.519999988</v>
      </c>
      <c r="F81" s="281"/>
      <c r="G81" s="42"/>
      <c r="H81" s="42"/>
      <c r="I81" s="42"/>
      <c r="J81" s="281"/>
      <c r="K81" s="41">
        <f>SUM(K75:K80)</f>
        <v>91852229.4985082</v>
      </c>
      <c r="L81" s="46">
        <v>0.23141999999999999</v>
      </c>
      <c r="M81" s="65">
        <f t="shared" ref="M81" si="13">K81*L81</f>
        <v>21256442.950544767</v>
      </c>
      <c r="N81" s="281"/>
      <c r="O81" s="41">
        <f>'End of Period Calculations'!AA106</f>
        <v>92551660.677303553</v>
      </c>
      <c r="P81" s="65">
        <f>O81*L81</f>
        <v>21418305.313941587</v>
      </c>
      <c r="Q81" s="65">
        <f t="shared" si="10"/>
        <v>161862.36339681968</v>
      </c>
      <c r="R81" s="281"/>
      <c r="S81" s="86"/>
      <c r="T81" s="86"/>
      <c r="U81" s="86"/>
      <c r="V81" s="281"/>
      <c r="W81" s="218">
        <f>'Exh IDM-4 -Revenue Distribution'!F11</f>
        <v>0.27357261828737106</v>
      </c>
      <c r="X81" s="88">
        <f>W81*O81</f>
        <v>25319600.138334256</v>
      </c>
      <c r="Y81" s="88">
        <f t="shared" ref="Y81" si="14">X81-P81</f>
        <v>3901294.8243926689</v>
      </c>
    </row>
    <row r="82" spans="1:25" x14ac:dyDescent="0.25">
      <c r="A82" s="21">
        <v>77</v>
      </c>
      <c r="K82" s="41"/>
      <c r="L82" s="46"/>
      <c r="M82" s="42">
        <f>SUM(M81,M73)</f>
        <v>25311365.550544769</v>
      </c>
      <c r="O82" s="42"/>
      <c r="P82" s="42">
        <f>SUM(P73:P81)</f>
        <v>25564694.113941588</v>
      </c>
      <c r="Q82" s="42">
        <f t="shared" si="10"/>
        <v>253328.56339681894</v>
      </c>
      <c r="S82" s="86"/>
      <c r="T82" s="86"/>
      <c r="U82" s="86"/>
      <c r="W82" s="45"/>
      <c r="X82" s="83">
        <f>SUM(X73:X81)</f>
        <v>29465988.938334256</v>
      </c>
      <c r="Y82" s="83">
        <f>SUM(Y73:Y81)</f>
        <v>3901294.8243926689</v>
      </c>
    </row>
    <row r="83" spans="1:25" x14ac:dyDescent="0.25">
      <c r="A83" s="21">
        <v>78</v>
      </c>
      <c r="B83" s="19" t="s">
        <v>12</v>
      </c>
      <c r="K83" s="41"/>
      <c r="L83" s="46"/>
      <c r="M83" s="42"/>
      <c r="O83" s="42"/>
      <c r="P83" s="42"/>
      <c r="Q83" s="42"/>
      <c r="S83" s="86"/>
      <c r="T83" s="86"/>
      <c r="U83" s="86"/>
      <c r="Y83" s="86"/>
    </row>
    <row r="84" spans="1:25" x14ac:dyDescent="0.25">
      <c r="A84" s="21">
        <v>79</v>
      </c>
      <c r="B84" s="19" t="s">
        <v>139</v>
      </c>
      <c r="E84" s="42">
        <f>'1501 Summary'!AD49</f>
        <v>206086.08999999997</v>
      </c>
      <c r="F84" s="281"/>
      <c r="G84" s="42"/>
      <c r="H84" s="42"/>
      <c r="I84" s="42"/>
      <c r="J84" s="281"/>
      <c r="K84" s="41"/>
      <c r="L84" s="46"/>
      <c r="M84" s="42"/>
      <c r="N84" s="281"/>
      <c r="O84" s="42"/>
      <c r="P84" s="42"/>
      <c r="Q84" s="42"/>
      <c r="R84" s="281"/>
      <c r="V84" s="281"/>
      <c r="W84" s="1"/>
      <c r="X84" s="1"/>
    </row>
    <row r="85" spans="1:25" x14ac:dyDescent="0.25">
      <c r="A85" s="21">
        <v>80</v>
      </c>
      <c r="B85" s="19" t="s">
        <v>140</v>
      </c>
      <c r="E85" s="42">
        <f>'1501 Summary'!AD50</f>
        <v>747372.25</v>
      </c>
      <c r="F85" s="281"/>
      <c r="G85" s="42"/>
      <c r="H85" s="42"/>
      <c r="I85" s="42"/>
      <c r="J85" s="281"/>
      <c r="K85" s="41"/>
      <c r="L85" s="46"/>
      <c r="M85" s="42"/>
      <c r="N85" s="281"/>
      <c r="O85" s="42"/>
      <c r="P85" s="42"/>
      <c r="Q85" s="42"/>
      <c r="R85" s="281"/>
      <c r="V85" s="281"/>
      <c r="W85" s="1"/>
      <c r="X85" s="1"/>
    </row>
    <row r="86" spans="1:25" x14ac:dyDescent="0.25">
      <c r="A86" s="21">
        <v>81</v>
      </c>
      <c r="B86" s="19" t="s">
        <v>141</v>
      </c>
      <c r="E86" s="42">
        <f>'1501 Summary'!AD51</f>
        <v>-312199.78999999998</v>
      </c>
      <c r="F86" s="281"/>
      <c r="G86" s="42"/>
      <c r="H86" s="42"/>
      <c r="I86" s="42"/>
      <c r="J86" s="281"/>
      <c r="K86" s="41"/>
      <c r="L86" s="46"/>
      <c r="M86" s="42"/>
      <c r="N86" s="281"/>
      <c r="O86" s="42"/>
      <c r="P86" s="42"/>
      <c r="Q86" s="42"/>
      <c r="R86" s="281"/>
      <c r="V86" s="281"/>
      <c r="W86" s="1"/>
      <c r="X86" s="1"/>
    </row>
    <row r="87" spans="1:25" x14ac:dyDescent="0.25">
      <c r="A87" s="21">
        <v>82</v>
      </c>
      <c r="B87" s="19" t="s">
        <v>142</v>
      </c>
      <c r="E87" s="42">
        <f>'1501 Summary'!AD52</f>
        <v>4192484.3600000008</v>
      </c>
      <c r="F87" s="281"/>
      <c r="G87" s="42"/>
      <c r="H87" s="42"/>
      <c r="I87" s="42"/>
      <c r="J87" s="281"/>
      <c r="K87" s="41"/>
      <c r="L87" s="46"/>
      <c r="M87" s="42"/>
      <c r="N87" s="281"/>
      <c r="O87" s="42"/>
      <c r="P87" s="42"/>
      <c r="Q87" s="42"/>
      <c r="R87" s="281"/>
      <c r="V87" s="281"/>
      <c r="W87" s="1"/>
      <c r="X87" s="1"/>
    </row>
    <row r="88" spans="1:25" x14ac:dyDescent="0.25">
      <c r="A88" s="21">
        <v>83</v>
      </c>
      <c r="B88" s="19" t="s">
        <v>143</v>
      </c>
      <c r="E88" s="42">
        <f>'1501 Summary'!AD53</f>
        <v>1368809.9400000002</v>
      </c>
      <c r="F88" s="281"/>
      <c r="G88" s="42"/>
      <c r="H88" s="42"/>
      <c r="I88" s="42"/>
      <c r="J88" s="281"/>
      <c r="K88" s="41"/>
      <c r="L88" s="46"/>
      <c r="M88" s="42"/>
      <c r="N88" s="281"/>
      <c r="O88" s="42"/>
      <c r="P88" s="42"/>
      <c r="Q88" s="42"/>
      <c r="R88" s="281"/>
      <c r="V88" s="281"/>
      <c r="W88" s="1"/>
      <c r="X88" s="1"/>
    </row>
    <row r="89" spans="1:25" x14ac:dyDescent="0.25">
      <c r="A89" s="21">
        <v>84</v>
      </c>
      <c r="B89" s="33" t="s">
        <v>224</v>
      </c>
      <c r="E89" s="42">
        <f>'1501 Summary'!AD54</f>
        <v>-134711.19</v>
      </c>
      <c r="F89" s="281"/>
      <c r="G89" s="42"/>
      <c r="H89" s="42"/>
      <c r="I89" s="42"/>
      <c r="J89" s="281"/>
      <c r="K89" s="41"/>
      <c r="L89" s="46"/>
      <c r="M89" s="42"/>
      <c r="N89" s="281"/>
      <c r="O89" s="42"/>
      <c r="P89" s="42"/>
      <c r="Q89" s="42"/>
      <c r="R89" s="281"/>
      <c r="V89" s="281"/>
      <c r="W89" s="63"/>
      <c r="X89" s="63"/>
    </row>
    <row r="90" spans="1:25" x14ac:dyDescent="0.25">
      <c r="A90" s="21">
        <v>85</v>
      </c>
      <c r="B90" s="33" t="s">
        <v>225</v>
      </c>
      <c r="E90" s="42">
        <f>'1501 Summary'!AD55</f>
        <v>-63493.87</v>
      </c>
      <c r="F90" s="281"/>
      <c r="G90" s="42"/>
      <c r="H90" s="42"/>
      <c r="I90" s="42"/>
      <c r="J90" s="281"/>
      <c r="K90" s="41"/>
      <c r="L90" s="46"/>
      <c r="M90" s="42"/>
      <c r="N90" s="281"/>
      <c r="O90" s="42"/>
      <c r="P90" s="42"/>
      <c r="Q90" s="42"/>
      <c r="R90" s="281"/>
      <c r="V90" s="281"/>
      <c r="W90" s="63"/>
      <c r="X90" s="63"/>
    </row>
    <row r="91" spans="1:25" x14ac:dyDescent="0.25">
      <c r="A91" s="21">
        <v>86</v>
      </c>
      <c r="B91" s="33" t="s">
        <v>226</v>
      </c>
      <c r="E91" s="42">
        <f>'1501 Summary'!AD56</f>
        <v>-120412.86</v>
      </c>
      <c r="F91" s="281"/>
      <c r="G91" s="42"/>
      <c r="H91" s="42"/>
      <c r="I91" s="42"/>
      <c r="J91" s="281"/>
      <c r="K91" s="41"/>
      <c r="L91" s="46"/>
      <c r="M91" s="42"/>
      <c r="N91" s="281"/>
      <c r="O91" s="42"/>
      <c r="P91" s="42"/>
      <c r="Q91" s="42"/>
      <c r="R91" s="281"/>
      <c r="V91" s="281"/>
      <c r="W91" s="63"/>
      <c r="X91" s="63"/>
    </row>
    <row r="92" spans="1:25" x14ac:dyDescent="0.25">
      <c r="A92" s="21">
        <v>87</v>
      </c>
      <c r="B92" s="19" t="s">
        <v>144</v>
      </c>
      <c r="E92" s="42">
        <f>'1501 Summary'!AD57</f>
        <v>3762988.3</v>
      </c>
      <c r="F92" s="281"/>
      <c r="G92" s="42"/>
      <c r="H92" s="42"/>
      <c r="I92" s="42"/>
      <c r="J92" s="281"/>
      <c r="K92" s="41"/>
      <c r="L92" s="46"/>
      <c r="M92" s="42"/>
      <c r="N92" s="281"/>
      <c r="O92" s="42"/>
      <c r="P92" s="42"/>
      <c r="Q92" s="42"/>
      <c r="R92" s="281"/>
      <c r="S92" s="42"/>
      <c r="T92" s="42"/>
      <c r="U92" s="42"/>
      <c r="V92" s="281"/>
      <c r="W92" s="1"/>
      <c r="X92" s="1"/>
      <c r="Y92" s="42"/>
    </row>
    <row r="93" spans="1:25" x14ac:dyDescent="0.25">
      <c r="A93" s="21">
        <v>88</v>
      </c>
      <c r="B93" s="19" t="s">
        <v>149</v>
      </c>
      <c r="E93" s="42">
        <f>'1501 Summary'!AD58</f>
        <v>2036.6500000000003</v>
      </c>
      <c r="F93" s="281"/>
      <c r="G93" s="42"/>
      <c r="H93" s="42"/>
      <c r="I93" s="42"/>
      <c r="J93" s="281"/>
      <c r="K93" s="41"/>
      <c r="L93" s="46"/>
      <c r="M93" s="42"/>
      <c r="N93" s="281"/>
      <c r="O93" s="42"/>
      <c r="P93" s="42"/>
      <c r="Q93" s="42"/>
      <c r="R93" s="281"/>
      <c r="S93" s="42"/>
      <c r="T93" s="42"/>
      <c r="U93" s="42"/>
      <c r="V93" s="281"/>
      <c r="W93" s="1"/>
      <c r="X93" s="1"/>
      <c r="Y93" s="42"/>
    </row>
    <row r="94" spans="1:25" x14ac:dyDescent="0.25">
      <c r="A94" s="21">
        <v>89</v>
      </c>
      <c r="B94" s="19" t="s">
        <v>146</v>
      </c>
      <c r="E94" s="42">
        <f>'1501 Summary'!AD59</f>
        <v>79561.040000000008</v>
      </c>
      <c r="F94" s="281"/>
      <c r="G94" s="42"/>
      <c r="H94" s="42"/>
      <c r="I94" s="42"/>
      <c r="J94" s="281"/>
      <c r="K94" s="41"/>
      <c r="L94" s="46"/>
      <c r="M94" s="42"/>
      <c r="N94" s="281"/>
      <c r="O94" s="42"/>
      <c r="P94" s="42"/>
      <c r="Q94" s="42"/>
      <c r="R94" s="281"/>
      <c r="S94" s="42"/>
      <c r="T94" s="42"/>
      <c r="U94" s="42"/>
      <c r="V94" s="281"/>
      <c r="W94" s="1"/>
      <c r="X94" s="1"/>
      <c r="Y94" s="42"/>
    </row>
    <row r="95" spans="1:25" x14ac:dyDescent="0.25">
      <c r="A95" s="21">
        <v>90</v>
      </c>
      <c r="B95" s="19" t="s">
        <v>145</v>
      </c>
      <c r="E95" s="42">
        <f>'1501 Summary'!AD60</f>
        <v>926.25000000000011</v>
      </c>
      <c r="F95" s="281"/>
      <c r="G95" s="42"/>
      <c r="H95" s="42"/>
      <c r="I95" s="42"/>
      <c r="J95" s="281"/>
      <c r="K95" s="41"/>
      <c r="L95" s="46"/>
      <c r="M95" s="42"/>
      <c r="N95" s="281"/>
      <c r="O95" s="42"/>
      <c r="P95" s="42"/>
      <c r="Q95" s="42"/>
      <c r="R95" s="281"/>
      <c r="S95" s="42"/>
      <c r="T95" s="42"/>
      <c r="U95" s="42"/>
      <c r="V95" s="281"/>
      <c r="W95" s="1"/>
      <c r="X95" s="1"/>
      <c r="Y95" s="42"/>
    </row>
    <row r="96" spans="1:25" x14ac:dyDescent="0.25">
      <c r="A96" s="21">
        <v>91</v>
      </c>
      <c r="B96" s="19" t="s">
        <v>147</v>
      </c>
      <c r="E96" s="42">
        <f>'1501 Summary'!AD61</f>
        <v>-4945.08</v>
      </c>
      <c r="F96" s="281"/>
      <c r="G96" s="42"/>
      <c r="H96" s="42"/>
      <c r="I96" s="42"/>
      <c r="J96" s="281"/>
      <c r="K96" s="41"/>
      <c r="L96" s="46"/>
      <c r="M96" s="42"/>
      <c r="N96" s="281"/>
      <c r="O96" s="42"/>
      <c r="P96" s="42"/>
      <c r="Q96" s="42"/>
      <c r="R96" s="281"/>
      <c r="S96" s="42"/>
      <c r="T96" s="42"/>
      <c r="U96" s="42"/>
      <c r="V96" s="281"/>
      <c r="W96" s="1"/>
      <c r="X96" s="1"/>
      <c r="Y96" s="42"/>
    </row>
    <row r="97" spans="1:25" x14ac:dyDescent="0.25">
      <c r="A97" s="21">
        <v>92</v>
      </c>
      <c r="B97" s="19" t="s">
        <v>148</v>
      </c>
      <c r="E97" s="42">
        <f>'1501 Summary'!AD62</f>
        <v>35305.83</v>
      </c>
      <c r="F97" s="281"/>
      <c r="G97" s="42"/>
      <c r="H97" s="42"/>
      <c r="I97" s="42"/>
      <c r="J97" s="281"/>
      <c r="K97" s="41"/>
      <c r="L97" s="46"/>
      <c r="M97" s="42"/>
      <c r="N97" s="281"/>
      <c r="O97" s="42"/>
      <c r="P97" s="42"/>
      <c r="Q97" s="42"/>
      <c r="R97" s="281"/>
      <c r="S97" s="42"/>
      <c r="T97" s="42"/>
      <c r="U97" s="42"/>
      <c r="V97" s="281"/>
      <c r="W97" s="1"/>
      <c r="X97" s="1"/>
      <c r="Y97" s="42"/>
    </row>
    <row r="98" spans="1:25" x14ac:dyDescent="0.25">
      <c r="A98" s="21">
        <v>93</v>
      </c>
      <c r="B98" s="18" t="s">
        <v>29</v>
      </c>
      <c r="E98" s="42">
        <f>'1501 Summary'!AD63</f>
        <v>-159242.30000000002</v>
      </c>
      <c r="F98" s="281"/>
      <c r="G98" s="42"/>
      <c r="H98" s="42"/>
      <c r="I98" s="42"/>
      <c r="J98" s="281"/>
      <c r="K98" s="41"/>
      <c r="L98" s="46"/>
      <c r="M98" s="42"/>
      <c r="N98" s="281"/>
      <c r="O98" s="42"/>
      <c r="P98" s="42"/>
      <c r="Q98" s="42"/>
      <c r="R98" s="281"/>
      <c r="S98" s="42"/>
      <c r="T98" s="42"/>
      <c r="U98" s="42"/>
      <c r="V98" s="281"/>
      <c r="W98" s="1"/>
      <c r="X98" s="1"/>
      <c r="Y98" s="42"/>
    </row>
    <row r="99" spans="1:25" x14ac:dyDescent="0.25">
      <c r="A99" s="21">
        <v>94</v>
      </c>
      <c r="B99" s="18" t="s">
        <v>14</v>
      </c>
      <c r="E99" s="42">
        <f>'Rev Recon Summary'!R54</f>
        <v>48907467.429999992</v>
      </c>
      <c r="F99" s="281"/>
      <c r="G99" s="42"/>
      <c r="H99" s="42"/>
      <c r="I99" s="42"/>
      <c r="J99" s="281"/>
      <c r="K99" s="41"/>
      <c r="L99" s="46"/>
      <c r="M99" s="42"/>
      <c r="N99" s="281"/>
      <c r="O99" s="42"/>
      <c r="P99" s="42"/>
      <c r="Q99" s="42"/>
      <c r="R99" s="281"/>
      <c r="S99" s="42"/>
      <c r="T99" s="42"/>
      <c r="U99" s="42"/>
      <c r="V99" s="281"/>
      <c r="W99" s="6"/>
      <c r="X99" s="6"/>
      <c r="Y99" s="42"/>
    </row>
    <row r="100" spans="1:25" x14ac:dyDescent="0.25">
      <c r="A100" s="21">
        <v>95</v>
      </c>
      <c r="B100" s="18" t="s">
        <v>15</v>
      </c>
      <c r="E100" s="42">
        <f>'Rev Recon Summary'!R55</f>
        <v>-50844324.710000001</v>
      </c>
      <c r="F100" s="281"/>
      <c r="G100" s="42"/>
      <c r="H100" s="42"/>
      <c r="I100" s="42"/>
      <c r="J100" s="281"/>
      <c r="K100" s="41"/>
      <c r="L100" s="46"/>
      <c r="M100" s="42"/>
      <c r="N100" s="281"/>
      <c r="O100" s="42"/>
      <c r="P100" s="42"/>
      <c r="Q100" s="42"/>
      <c r="R100" s="281"/>
      <c r="S100" s="42"/>
      <c r="T100" s="42"/>
      <c r="U100" s="42"/>
      <c r="V100" s="281"/>
      <c r="W100" s="6"/>
      <c r="X100" s="6"/>
      <c r="Y100" s="42"/>
    </row>
    <row r="101" spans="1:25" x14ac:dyDescent="0.25">
      <c r="A101" s="21">
        <v>96</v>
      </c>
      <c r="B101" s="18" t="s">
        <v>16</v>
      </c>
      <c r="E101" s="42">
        <f>'Rev Recon Summary'!R56</f>
        <v>48789.159999999916</v>
      </c>
      <c r="F101" s="281"/>
      <c r="G101" s="42"/>
      <c r="H101" s="42"/>
      <c r="I101" s="42"/>
      <c r="J101" s="281"/>
      <c r="K101" s="41"/>
      <c r="L101" s="46"/>
      <c r="M101" s="42"/>
      <c r="N101" s="281"/>
      <c r="O101" s="42"/>
      <c r="P101" s="42"/>
      <c r="Q101" s="42"/>
      <c r="R101" s="281"/>
      <c r="S101" s="42"/>
      <c r="T101" s="42"/>
      <c r="U101" s="42"/>
      <c r="V101" s="281"/>
      <c r="W101" s="6"/>
      <c r="X101" s="6"/>
      <c r="Y101" s="42"/>
    </row>
    <row r="102" spans="1:25" x14ac:dyDescent="0.25">
      <c r="A102" s="21">
        <v>97</v>
      </c>
      <c r="B102" s="18" t="s">
        <v>17</v>
      </c>
      <c r="E102" s="42">
        <f>'Rev Recon Summary'!R57</f>
        <v>149412.33999999997</v>
      </c>
      <c r="F102" s="281"/>
      <c r="G102" s="42"/>
      <c r="H102" s="42"/>
      <c r="I102" s="42"/>
      <c r="J102" s="281"/>
      <c r="K102" s="41"/>
      <c r="L102" s="46"/>
      <c r="M102" s="42"/>
      <c r="N102" s="281"/>
      <c r="O102" s="42"/>
      <c r="P102" s="42"/>
      <c r="Q102" s="42"/>
      <c r="R102" s="281"/>
      <c r="S102" s="42"/>
      <c r="T102" s="42"/>
      <c r="U102" s="42"/>
      <c r="V102" s="281"/>
      <c r="W102" s="6"/>
      <c r="X102" s="6"/>
      <c r="Y102" s="42"/>
    </row>
    <row r="103" spans="1:25" x14ac:dyDescent="0.25">
      <c r="A103" s="21">
        <v>98</v>
      </c>
      <c r="B103" s="18" t="s">
        <v>18</v>
      </c>
      <c r="E103" s="42">
        <f>'Rev Recon Summary'!R58</f>
        <v>54452.09</v>
      </c>
      <c r="F103" s="281"/>
      <c r="G103" s="42"/>
      <c r="H103" s="42"/>
      <c r="I103" s="42"/>
      <c r="J103" s="281"/>
      <c r="K103" s="41"/>
      <c r="L103" s="46"/>
      <c r="M103" s="42"/>
      <c r="N103" s="281"/>
      <c r="O103" s="42"/>
      <c r="P103" s="42"/>
      <c r="Q103" s="42"/>
      <c r="R103" s="281"/>
      <c r="S103" s="42"/>
      <c r="T103" s="42"/>
      <c r="U103" s="42"/>
      <c r="V103" s="281"/>
      <c r="W103" s="6"/>
      <c r="X103" s="6"/>
      <c r="Y103" s="42"/>
    </row>
    <row r="104" spans="1:25" x14ac:dyDescent="0.25">
      <c r="A104" s="21">
        <v>99</v>
      </c>
      <c r="B104" s="77" t="s">
        <v>24</v>
      </c>
      <c r="E104" s="39">
        <f>'Rev Recon Summary'!R59</f>
        <v>-18.320000000000007</v>
      </c>
      <c r="F104" s="275"/>
      <c r="G104" s="38"/>
      <c r="H104" s="38"/>
      <c r="I104" s="38"/>
      <c r="J104" s="275"/>
      <c r="K104" s="41"/>
      <c r="L104" s="46"/>
      <c r="M104" s="42"/>
      <c r="N104" s="275"/>
      <c r="O104" s="42"/>
      <c r="P104" s="42"/>
      <c r="Q104" s="42"/>
      <c r="R104" s="275"/>
      <c r="S104" s="42"/>
      <c r="T104" s="42"/>
      <c r="U104" s="42"/>
      <c r="V104" s="275"/>
      <c r="W104" s="6"/>
      <c r="X104" s="6"/>
      <c r="Y104" s="42"/>
    </row>
    <row r="105" spans="1:25" x14ac:dyDescent="0.25">
      <c r="A105" s="21">
        <v>100</v>
      </c>
      <c r="B105" s="19" t="s">
        <v>93</v>
      </c>
      <c r="E105" s="42">
        <f>SUM(E84:E104)</f>
        <v>7916343.6099999882</v>
      </c>
      <c r="F105" s="281"/>
      <c r="G105" s="42"/>
      <c r="H105" s="42"/>
      <c r="I105" s="42"/>
      <c r="J105" s="281"/>
      <c r="K105" s="41"/>
      <c r="L105" s="46"/>
      <c r="M105" s="42"/>
      <c r="N105" s="281"/>
      <c r="O105" s="42"/>
      <c r="P105" s="42"/>
      <c r="Q105" s="42"/>
      <c r="R105" s="281"/>
      <c r="S105" s="42"/>
      <c r="T105" s="42"/>
      <c r="U105" s="42"/>
      <c r="V105" s="281"/>
      <c r="W105" s="6"/>
      <c r="X105" s="6"/>
      <c r="Y105" s="42"/>
    </row>
    <row r="106" spans="1:25" x14ac:dyDescent="0.25">
      <c r="A106" s="21">
        <v>101</v>
      </c>
      <c r="E106" s="42"/>
      <c r="F106" s="281"/>
      <c r="G106" s="42"/>
      <c r="H106" s="42"/>
      <c r="I106" s="42"/>
      <c r="J106" s="281"/>
      <c r="K106" s="41"/>
      <c r="L106" s="46"/>
      <c r="M106" s="42"/>
      <c r="N106" s="281"/>
      <c r="O106" s="42"/>
      <c r="P106" s="42"/>
      <c r="Q106" s="42"/>
      <c r="R106" s="281"/>
      <c r="S106" s="42"/>
      <c r="T106" s="42"/>
      <c r="U106" s="42"/>
      <c r="V106" s="281"/>
      <c r="Y106" s="42"/>
    </row>
    <row r="107" spans="1:25" x14ac:dyDescent="0.25">
      <c r="A107" s="21">
        <v>102</v>
      </c>
      <c r="B107" s="104" t="str">
        <f>"Total "&amp;LEFT(B71,17)&amp;" Revenue"</f>
        <v>Total Rate Schedule 504 Revenue</v>
      </c>
      <c r="C107" s="39">
        <f>E107-'Rev Recon Summary'!R62</f>
        <v>0</v>
      </c>
      <c r="D107" s="105" t="s">
        <v>45</v>
      </c>
      <c r="E107" s="65">
        <f>SUM(E77,E81,E105)</f>
        <v>71769401.549999982</v>
      </c>
      <c r="F107" s="282"/>
      <c r="G107" s="65">
        <f>E107-'Rev Recon Summary'!R62</f>
        <v>0</v>
      </c>
      <c r="H107" s="65"/>
      <c r="I107" s="65"/>
      <c r="J107" s="282"/>
      <c r="K107" s="101"/>
      <c r="L107" s="134"/>
      <c r="M107" s="65"/>
      <c r="N107" s="282"/>
      <c r="O107" s="65"/>
      <c r="P107" s="65"/>
      <c r="Q107" s="65"/>
      <c r="R107" s="282"/>
      <c r="S107" s="65"/>
      <c r="T107" s="65"/>
      <c r="U107" s="65"/>
      <c r="V107" s="282"/>
      <c r="W107" s="71"/>
      <c r="X107" s="71"/>
      <c r="Y107" s="65"/>
    </row>
    <row r="108" spans="1:25" x14ac:dyDescent="0.25">
      <c r="A108" s="21">
        <v>103</v>
      </c>
      <c r="B108" s="31"/>
      <c r="D108" s="22"/>
      <c r="E108" s="44"/>
      <c r="F108" s="280"/>
      <c r="G108" s="44"/>
      <c r="H108" s="44"/>
      <c r="I108" s="44"/>
      <c r="J108" s="280"/>
      <c r="K108" s="41"/>
      <c r="L108" s="46"/>
      <c r="M108" s="42"/>
      <c r="N108" s="280"/>
      <c r="O108" s="42"/>
      <c r="P108" s="42"/>
      <c r="Q108" s="42"/>
      <c r="R108" s="280"/>
      <c r="V108" s="280"/>
    </row>
    <row r="109" spans="1:25" x14ac:dyDescent="0.25">
      <c r="A109" s="21">
        <v>104</v>
      </c>
      <c r="K109" s="41"/>
      <c r="L109" s="46"/>
      <c r="M109" s="42"/>
      <c r="O109" s="42"/>
      <c r="P109" s="42"/>
      <c r="Q109" s="42"/>
    </row>
    <row r="110" spans="1:25" x14ac:dyDescent="0.25">
      <c r="A110" s="21">
        <v>105</v>
      </c>
      <c r="B110" s="30" t="s">
        <v>96</v>
      </c>
      <c r="G110" s="23" t="s">
        <v>420</v>
      </c>
      <c r="K110" s="41"/>
      <c r="L110" s="46"/>
      <c r="M110" s="42"/>
      <c r="O110" s="42"/>
      <c r="P110" s="42"/>
      <c r="Q110" s="42"/>
    </row>
    <row r="111" spans="1:25" x14ac:dyDescent="0.25">
      <c r="A111" s="21">
        <v>106</v>
      </c>
      <c r="B111" s="19" t="s">
        <v>292</v>
      </c>
      <c r="C111" s="41">
        <f>E111/D111</f>
        <v>3296</v>
      </c>
      <c r="D111" s="67">
        <v>48</v>
      </c>
      <c r="E111" s="245">
        <f>SUM('1501 Summary'!G70,'1501 Summary'!I70,'1501 Summary'!K70,'1501 Summary'!M70,'1501 Summary'!O70,'1501 Summary'!Q70,'1501 Summary'!S70)</f>
        <v>158208</v>
      </c>
      <c r="F111" s="283"/>
      <c r="G111" s="246">
        <f>-G244</f>
        <v>7</v>
      </c>
      <c r="H111" s="127">
        <f>D111</f>
        <v>48</v>
      </c>
      <c r="I111" s="143">
        <f>H111*G111</f>
        <v>336</v>
      </c>
      <c r="J111" s="283"/>
      <c r="K111" s="41">
        <f>C111+G111</f>
        <v>3303</v>
      </c>
      <c r="L111" s="38"/>
      <c r="M111" s="42"/>
      <c r="N111" s="283"/>
      <c r="O111" s="241"/>
      <c r="P111" s="241"/>
      <c r="Q111" s="42"/>
      <c r="R111" s="283"/>
      <c r="S111" s="86"/>
      <c r="T111" s="86"/>
      <c r="U111" s="86"/>
      <c r="V111" s="283"/>
      <c r="W111" s="41"/>
      <c r="X111" s="41"/>
      <c r="Y111" s="86"/>
    </row>
    <row r="112" spans="1:25" x14ac:dyDescent="0.25">
      <c r="A112" s="21">
        <v>107</v>
      </c>
      <c r="B112" s="19" t="s">
        <v>99</v>
      </c>
      <c r="C112" s="41">
        <f>E112/D112</f>
        <v>2310.3000000000002</v>
      </c>
      <c r="D112" s="38">
        <v>60</v>
      </c>
      <c r="E112" s="42">
        <f>SUM('1501 Summary'!U70,'1501 Summary'!W70,'1501 Summary'!Y70,'1501 Summary'!AA70,'1501 Summary'!AC70)</f>
        <v>138618</v>
      </c>
      <c r="F112" s="281"/>
      <c r="G112" s="41">
        <f>-G245</f>
        <v>4.8</v>
      </c>
      <c r="H112" s="127">
        <f t="shared" ref="H112:H118" si="15">D112</f>
        <v>60</v>
      </c>
      <c r="I112" s="143">
        <f t="shared" ref="I112:I118" si="16">H112*G112</f>
        <v>288</v>
      </c>
      <c r="J112" s="281"/>
      <c r="K112" s="41">
        <f t="shared" si="12"/>
        <v>2315.1000000000004</v>
      </c>
      <c r="L112" s="38">
        <f t="shared" ref="L112:L156" si="17">D112</f>
        <v>60</v>
      </c>
      <c r="M112" s="42">
        <f>L112*SUM(K112,K111)</f>
        <v>337086</v>
      </c>
      <c r="N112" s="281"/>
      <c r="O112" s="41">
        <f>'End of Period Calculations'!AB108</f>
        <v>5760</v>
      </c>
      <c r="P112" s="42">
        <f>O112*L112</f>
        <v>345600</v>
      </c>
      <c r="Q112" s="42">
        <f t="shared" ref="Q112:Q157" si="18">P112-M112</f>
        <v>8514</v>
      </c>
      <c r="R112" s="281"/>
      <c r="S112" s="86"/>
      <c r="T112" s="86"/>
      <c r="U112" s="86"/>
      <c r="V112" s="281"/>
      <c r="W112" s="67">
        <f>L112</f>
        <v>60</v>
      </c>
      <c r="X112" s="86">
        <f>W112*O112</f>
        <v>345600</v>
      </c>
      <c r="Y112" s="86">
        <f>X112-P112</f>
        <v>0</v>
      </c>
    </row>
    <row r="113" spans="1:25" x14ac:dyDescent="0.25">
      <c r="A113" s="21">
        <v>108</v>
      </c>
      <c r="B113" s="19" t="s">
        <v>296</v>
      </c>
      <c r="C113" s="41">
        <f t="shared" ref="C113:C118" si="19">E113/D113</f>
        <v>1072907.764156451</v>
      </c>
      <c r="D113" s="81">
        <v>0.18842999999999999</v>
      </c>
      <c r="E113" s="42">
        <f>SUM('1501 Summary'!G71,'1501 Summary'!I71,'1501 Summary'!K71,'1501 Summary'!M71,'1501 Summary'!O71,'1501 Summary'!Q71,'1501 Summary'!S71)</f>
        <v>202168.01000000004</v>
      </c>
      <c r="F113" s="281"/>
      <c r="G113" s="41">
        <f>-G246</f>
        <v>1135.0634187762037</v>
      </c>
      <c r="H113" s="248">
        <f t="shared" si="15"/>
        <v>0.18842999999999999</v>
      </c>
      <c r="I113" s="143">
        <f t="shared" si="16"/>
        <v>213.88000000000005</v>
      </c>
      <c r="J113" s="281"/>
      <c r="K113" s="41">
        <f t="shared" si="12"/>
        <v>1074042.8275752272</v>
      </c>
      <c r="L113" s="46"/>
      <c r="M113" s="42"/>
      <c r="N113" s="281"/>
      <c r="O113" s="42"/>
      <c r="P113" s="42"/>
      <c r="Q113" s="42"/>
      <c r="R113" s="281"/>
      <c r="S113" s="86"/>
      <c r="T113" s="86"/>
      <c r="U113" s="86"/>
      <c r="V113" s="281"/>
      <c r="W113" s="41"/>
      <c r="X113" s="86"/>
      <c r="Y113" s="86"/>
    </row>
    <row r="114" spans="1:25" x14ac:dyDescent="0.25">
      <c r="A114" s="21">
        <v>109</v>
      </c>
      <c r="B114" s="19" t="s">
        <v>297</v>
      </c>
      <c r="C114" s="41">
        <f t="shared" si="19"/>
        <v>3517606.326194399</v>
      </c>
      <c r="D114" s="81">
        <v>0.15175</v>
      </c>
      <c r="E114" s="42">
        <f>SUM('1501 Summary'!G72,'1501 Summary'!I72,'1501 Summary'!K72,'1501 Summary'!M72,'1501 Summary'!O72,'1501 Summary'!Q72,'1501 Summary'!S72)</f>
        <v>533796.76</v>
      </c>
      <c r="F114" s="281"/>
      <c r="G114" s="41">
        <f>-G248</f>
        <v>766.98517298187812</v>
      </c>
      <c r="H114" s="248">
        <f t="shared" si="15"/>
        <v>0.15175</v>
      </c>
      <c r="I114" s="143">
        <f t="shared" si="16"/>
        <v>116.39</v>
      </c>
      <c r="J114" s="281"/>
      <c r="K114" s="41">
        <f t="shared" si="12"/>
        <v>3518373.3113673809</v>
      </c>
      <c r="L114" s="46"/>
      <c r="M114" s="42"/>
      <c r="N114" s="281"/>
      <c r="O114" s="42"/>
      <c r="P114" s="42"/>
      <c r="Q114" s="42"/>
      <c r="R114" s="281"/>
      <c r="S114" s="86"/>
      <c r="T114" s="86"/>
      <c r="U114" s="86"/>
      <c r="V114" s="281"/>
      <c r="W114" s="41"/>
      <c r="X114" s="86"/>
      <c r="Y114" s="86"/>
    </row>
    <row r="115" spans="1:25" x14ac:dyDescent="0.25">
      <c r="A115" s="21">
        <v>110</v>
      </c>
      <c r="B115" s="19" t="s">
        <v>298</v>
      </c>
      <c r="C115" s="41">
        <f t="shared" si="19"/>
        <v>2693790.2188782496</v>
      </c>
      <c r="D115" s="81">
        <v>0.1462</v>
      </c>
      <c r="E115" s="42">
        <f>SUM('1501 Summary'!G73,'1501 Summary'!I73,'1501 Summary'!K73,'1501 Summary'!M73,'1501 Summary'!O73,'1501 Summary'!Q73,'1501 Summary'!S73)</f>
        <v>393832.13000000006</v>
      </c>
      <c r="F115" s="281"/>
      <c r="G115" s="41"/>
      <c r="H115" s="248">
        <f t="shared" si="15"/>
        <v>0.1462</v>
      </c>
      <c r="I115" s="143">
        <f t="shared" si="16"/>
        <v>0</v>
      </c>
      <c r="J115" s="281"/>
      <c r="K115" s="41">
        <f t="shared" si="12"/>
        <v>2693790.2188782496</v>
      </c>
      <c r="L115" s="46"/>
      <c r="M115" s="42"/>
      <c r="N115" s="281"/>
      <c r="O115" s="42"/>
      <c r="P115" s="42"/>
      <c r="Q115" s="42"/>
      <c r="R115" s="281"/>
      <c r="S115" s="86"/>
      <c r="T115" s="86"/>
      <c r="U115" s="86"/>
      <c r="V115" s="281"/>
      <c r="W115" s="41"/>
      <c r="X115" s="86"/>
      <c r="Y115" s="86"/>
    </row>
    <row r="116" spans="1:25" x14ac:dyDescent="0.25">
      <c r="A116" s="21">
        <v>111</v>
      </c>
      <c r="B116" s="19" t="s">
        <v>299</v>
      </c>
      <c r="C116" s="41">
        <f t="shared" si="19"/>
        <v>637311.8032603215</v>
      </c>
      <c r="D116" s="81">
        <v>0.17851</v>
      </c>
      <c r="E116" s="42">
        <f>SUM('1501 Summary'!U71,'1501 Summary'!W71,'1501 Summary'!Y71,'1501 Summary'!AA71,'1501 Summary'!AC71)</f>
        <v>113766.53</v>
      </c>
      <c r="F116" s="281"/>
      <c r="G116" s="41">
        <f>-G247</f>
        <v>631.05708363677104</v>
      </c>
      <c r="H116" s="248">
        <f t="shared" si="15"/>
        <v>0.17851</v>
      </c>
      <c r="I116" s="143">
        <f t="shared" si="16"/>
        <v>112.65</v>
      </c>
      <c r="J116" s="281"/>
      <c r="K116" s="41">
        <f t="shared" si="12"/>
        <v>637942.86034395825</v>
      </c>
      <c r="L116" s="46">
        <f t="shared" si="17"/>
        <v>0.17851</v>
      </c>
      <c r="M116" s="42">
        <f>L116*SUM(K116,K113)</f>
        <v>305606.56515045383</v>
      </c>
      <c r="N116" s="281"/>
      <c r="O116" s="241">
        <f>'End of Period Calculations'!AA108</f>
        <v>1733986.7760029139</v>
      </c>
      <c r="P116" s="42">
        <f>O116*L116</f>
        <v>309533.97938428016</v>
      </c>
      <c r="Q116" s="42">
        <f t="shared" si="18"/>
        <v>3927.4142338263337</v>
      </c>
      <c r="R116" s="281"/>
      <c r="S116" s="41">
        <f>O116</f>
        <v>1733986.7760029139</v>
      </c>
      <c r="T116" s="218">
        <v>6.8399999999999997E-3</v>
      </c>
      <c r="U116" s="86">
        <f>T116*S116</f>
        <v>11860.469547859931</v>
      </c>
      <c r="V116" s="281"/>
      <c r="W116" s="218">
        <f>'Exh IDM-4 -Revenue Distribution'!F15</f>
        <v>0.21102518403974857</v>
      </c>
      <c r="X116" s="86">
        <f>W116*O116</f>
        <v>365914.87852850521</v>
      </c>
      <c r="Y116" s="86">
        <f>X116-P116</f>
        <v>56380.899144225055</v>
      </c>
    </row>
    <row r="117" spans="1:25" x14ac:dyDescent="0.25">
      <c r="A117" s="21">
        <v>112</v>
      </c>
      <c r="B117" s="19" t="s">
        <v>300</v>
      </c>
      <c r="C117" s="41">
        <f t="shared" si="19"/>
        <v>2042063.0836273085</v>
      </c>
      <c r="D117" s="81">
        <v>0.14457</v>
      </c>
      <c r="E117" s="42">
        <f>SUM('1501 Summary'!U72,'1501 Summary'!W72,'1501 Summary'!Y72,'1501 Summary'!AA72,'1501 Summary'!AC72)</f>
        <v>295221.06</v>
      </c>
      <c r="F117" s="281"/>
      <c r="G117" s="41">
        <f>-G249</f>
        <v>0</v>
      </c>
      <c r="H117" s="248">
        <f t="shared" si="15"/>
        <v>0.14457</v>
      </c>
      <c r="I117" s="143">
        <f t="shared" si="16"/>
        <v>0</v>
      </c>
      <c r="J117" s="281"/>
      <c r="K117" s="41">
        <f t="shared" si="12"/>
        <v>2042063.0836273085</v>
      </c>
      <c r="L117" s="46">
        <f t="shared" si="17"/>
        <v>0.14457</v>
      </c>
      <c r="M117" s="42">
        <f>L117*SUM(K117,K114)</f>
        <v>803872.28962438228</v>
      </c>
      <c r="N117" s="281"/>
      <c r="O117" s="241">
        <f>'End of Period Calculations'!AA109</f>
        <v>5632622.0203854125</v>
      </c>
      <c r="P117" s="42">
        <f>O117*L117</f>
        <v>814308.16548711911</v>
      </c>
      <c r="Q117" s="42">
        <f t="shared" si="18"/>
        <v>10435.875862736837</v>
      </c>
      <c r="R117" s="281"/>
      <c r="S117" s="41">
        <f>O117</f>
        <v>5632622.0203854125</v>
      </c>
      <c r="T117" s="218">
        <v>6.8399999999999997E-3</v>
      </c>
      <c r="U117" s="86">
        <f t="shared" ref="U117:U118" si="20">T117*S117</f>
        <v>38527.13461943622</v>
      </c>
      <c r="V117" s="281"/>
      <c r="W117" s="218">
        <f>'Exh IDM-4 -Revenue Distribution'!F16</f>
        <v>0.17090309146057056</v>
      </c>
      <c r="X117" s="86">
        <f t="shared" ref="X117:X118" si="21">W117*O117</f>
        <v>962632.51631275192</v>
      </c>
      <c r="Y117" s="86">
        <f t="shared" ref="Y117:Y118" si="22">X117-P117</f>
        <v>148324.35082563281</v>
      </c>
    </row>
    <row r="118" spans="1:25" x14ac:dyDescent="0.25">
      <c r="A118" s="21">
        <v>113</v>
      </c>
      <c r="B118" s="110" t="s">
        <v>301</v>
      </c>
      <c r="C118" s="41">
        <f t="shared" si="19"/>
        <v>2028587.3493975902</v>
      </c>
      <c r="D118" s="81">
        <v>0.13944000000000001</v>
      </c>
      <c r="E118" s="42">
        <f>SUM('1501 Summary'!U73,'1501 Summary'!W73,'1501 Summary'!Y73,'1501 Summary'!AA73,'1501 Summary'!AC73)</f>
        <v>282866.21999999997</v>
      </c>
      <c r="F118" s="281"/>
      <c r="G118" s="41">
        <f>-G250</f>
        <v>0</v>
      </c>
      <c r="H118" s="248">
        <f t="shared" si="15"/>
        <v>0.13944000000000001</v>
      </c>
      <c r="I118" s="143">
        <f t="shared" si="16"/>
        <v>0</v>
      </c>
      <c r="J118" s="281"/>
      <c r="K118" s="41">
        <f t="shared" si="12"/>
        <v>2028587.3493975902</v>
      </c>
      <c r="L118" s="46">
        <f t="shared" si="17"/>
        <v>0.13944000000000001</v>
      </c>
      <c r="M118" s="65">
        <f>L118*SUM(K115,K118)</f>
        <v>658488.3281203832</v>
      </c>
      <c r="N118" s="281"/>
      <c r="O118" s="241">
        <f>'End of Period Calculations'!AA110</f>
        <v>4781351.3038846143</v>
      </c>
      <c r="P118" s="65">
        <f>O118*L118</f>
        <v>666711.62581367069</v>
      </c>
      <c r="Q118" s="65">
        <f t="shared" si="18"/>
        <v>8223.2976932874881</v>
      </c>
      <c r="R118" s="281"/>
      <c r="S118" s="41">
        <f>O118</f>
        <v>4781351.3038846143</v>
      </c>
      <c r="T118" s="218">
        <v>6.8399999999999997E-3</v>
      </c>
      <c r="U118" s="88">
        <f t="shared" si="20"/>
        <v>32704.44291857076</v>
      </c>
      <c r="V118" s="281"/>
      <c r="W118" s="218">
        <f>'Exh IDM-4 -Revenue Distribution'!F17</f>
        <v>0.16483867381380618</v>
      </c>
      <c r="X118" s="88">
        <f t="shared" si="21"/>
        <v>788151.60797025275</v>
      </c>
      <c r="Y118" s="88">
        <f t="shared" si="22"/>
        <v>121439.98215658206</v>
      </c>
    </row>
    <row r="119" spans="1:25" x14ac:dyDescent="0.25">
      <c r="A119" s="21">
        <v>114</v>
      </c>
      <c r="B119" s="19" t="s">
        <v>10</v>
      </c>
      <c r="E119" s="43">
        <f>SUM(E111:E118)</f>
        <v>2118476.71</v>
      </c>
      <c r="F119" s="281"/>
      <c r="G119" s="42"/>
      <c r="H119" s="42"/>
      <c r="I119" s="42"/>
      <c r="J119" s="281"/>
      <c r="K119" s="41"/>
      <c r="L119" s="46"/>
      <c r="M119" s="42">
        <f>SUM(M112:M118)</f>
        <v>2105053.182895219</v>
      </c>
      <c r="N119" s="281"/>
      <c r="O119" s="42"/>
      <c r="P119" s="42">
        <f>SUM(P112:P118)</f>
        <v>2136153.7706850702</v>
      </c>
      <c r="Q119" s="42">
        <f t="shared" si="18"/>
        <v>31100.587789851241</v>
      </c>
      <c r="R119" s="281"/>
      <c r="S119" s="86"/>
      <c r="T119" s="86"/>
      <c r="U119" s="86">
        <f>SUM(U116:U118)</f>
        <v>83092.047085866914</v>
      </c>
      <c r="V119" s="281"/>
      <c r="W119" s="67"/>
      <c r="X119" s="86">
        <f>SUM(X112:X118)</f>
        <v>2462299.0028115097</v>
      </c>
      <c r="Y119" s="86">
        <f>SUM(Y112:Y118)</f>
        <v>326145.23212643992</v>
      </c>
    </row>
    <row r="120" spans="1:25" x14ac:dyDescent="0.25">
      <c r="A120" s="21">
        <v>115</v>
      </c>
      <c r="K120" s="41"/>
      <c r="L120" s="46"/>
      <c r="M120" s="42"/>
      <c r="O120" s="42"/>
      <c r="P120" s="42"/>
      <c r="Q120" s="42"/>
    </row>
    <row r="121" spans="1:25" x14ac:dyDescent="0.25">
      <c r="A121" s="21">
        <v>116</v>
      </c>
      <c r="B121" s="19" t="s">
        <v>11</v>
      </c>
      <c r="E121" s="42">
        <f>SUM('1501 Summary'!AD74)</f>
        <v>5279787.7600000007</v>
      </c>
      <c r="F121" s="281"/>
      <c r="G121" s="42"/>
      <c r="H121" s="42"/>
      <c r="I121" s="42"/>
      <c r="J121" s="281"/>
      <c r="K121" s="41"/>
      <c r="L121" s="46"/>
      <c r="M121" s="42"/>
      <c r="N121" s="281"/>
      <c r="O121" s="42"/>
      <c r="P121" s="42"/>
      <c r="Q121" s="42"/>
      <c r="R121" s="281"/>
      <c r="V121" s="281"/>
    </row>
    <row r="122" spans="1:25" x14ac:dyDescent="0.25">
      <c r="A122" s="21">
        <v>117</v>
      </c>
      <c r="K122" s="41"/>
      <c r="L122" s="46"/>
      <c r="M122" s="42"/>
      <c r="O122" s="42"/>
      <c r="P122" s="42"/>
      <c r="Q122" s="42"/>
    </row>
    <row r="123" spans="1:25" x14ac:dyDescent="0.25">
      <c r="A123" s="21">
        <v>118</v>
      </c>
      <c r="B123" s="66" t="s">
        <v>12</v>
      </c>
      <c r="K123" s="41"/>
      <c r="L123" s="46"/>
      <c r="M123" s="42"/>
      <c r="O123" s="42"/>
      <c r="P123" s="42"/>
      <c r="Q123" s="42"/>
    </row>
    <row r="124" spans="1:25" x14ac:dyDescent="0.25">
      <c r="A124" s="21">
        <v>119</v>
      </c>
      <c r="B124" s="66" t="s">
        <v>139</v>
      </c>
      <c r="E124" s="42">
        <f>'1501 Summary'!AD75</f>
        <v>17569.919999999998</v>
      </c>
      <c r="F124" s="281"/>
      <c r="G124" s="42"/>
      <c r="H124" s="42"/>
      <c r="I124" s="42"/>
      <c r="J124" s="281"/>
      <c r="K124" s="41"/>
      <c r="L124" s="46"/>
      <c r="M124" s="42"/>
      <c r="N124" s="281"/>
      <c r="O124" s="42"/>
      <c r="P124" s="42"/>
      <c r="Q124" s="42"/>
      <c r="R124" s="281"/>
      <c r="S124" s="19"/>
      <c r="T124" s="19"/>
      <c r="U124" s="19"/>
      <c r="V124" s="281"/>
      <c r="Y124" s="19"/>
    </row>
    <row r="125" spans="1:25" x14ac:dyDescent="0.25">
      <c r="A125" s="21">
        <v>120</v>
      </c>
      <c r="B125" s="66" t="s">
        <v>140</v>
      </c>
      <c r="E125" s="42">
        <f>'1501 Summary'!AD76</f>
        <v>79367.409999999989</v>
      </c>
      <c r="F125" s="281"/>
      <c r="G125" s="42"/>
      <c r="H125" s="42"/>
      <c r="I125" s="42"/>
      <c r="J125" s="281"/>
      <c r="K125" s="41"/>
      <c r="L125" s="46"/>
      <c r="M125" s="42"/>
      <c r="N125" s="281"/>
      <c r="O125" s="42"/>
      <c r="P125" s="42"/>
      <c r="Q125" s="42"/>
      <c r="R125" s="281"/>
      <c r="S125" s="19"/>
      <c r="T125" s="19"/>
      <c r="U125" s="19"/>
      <c r="V125" s="281"/>
      <c r="Y125" s="19"/>
    </row>
    <row r="126" spans="1:25" x14ac:dyDescent="0.25">
      <c r="A126" s="21">
        <v>121</v>
      </c>
      <c r="B126" s="66" t="s">
        <v>141</v>
      </c>
      <c r="E126" s="42">
        <f>'1501 Summary'!AD77</f>
        <v>88127.34</v>
      </c>
      <c r="F126" s="281"/>
      <c r="G126" s="42"/>
      <c r="H126" s="42"/>
      <c r="I126" s="42"/>
      <c r="J126" s="281"/>
      <c r="K126" s="41"/>
      <c r="L126" s="46"/>
      <c r="M126" s="42"/>
      <c r="N126" s="281"/>
      <c r="O126" s="42"/>
      <c r="P126" s="42"/>
      <c r="Q126" s="42"/>
      <c r="R126" s="281"/>
      <c r="S126" s="19"/>
      <c r="T126" s="19"/>
      <c r="U126" s="19"/>
      <c r="V126" s="281"/>
      <c r="Y126" s="19"/>
    </row>
    <row r="127" spans="1:25" x14ac:dyDescent="0.25">
      <c r="A127" s="21">
        <v>122</v>
      </c>
      <c r="B127" s="66" t="s">
        <v>142</v>
      </c>
      <c r="E127" s="42">
        <f>'1501 Summary'!AD78</f>
        <v>585373.43999999994</v>
      </c>
      <c r="F127" s="281"/>
      <c r="G127" s="42"/>
      <c r="H127" s="42"/>
      <c r="I127" s="42"/>
      <c r="J127" s="281"/>
      <c r="K127" s="41"/>
      <c r="L127" s="46"/>
      <c r="M127" s="42"/>
      <c r="N127" s="281"/>
      <c r="O127" s="42"/>
      <c r="P127" s="42"/>
      <c r="Q127" s="42"/>
      <c r="R127" s="281"/>
      <c r="S127" s="19"/>
      <c r="T127" s="19"/>
      <c r="U127" s="19"/>
      <c r="V127" s="281"/>
      <c r="Y127" s="19"/>
    </row>
    <row r="128" spans="1:25" x14ac:dyDescent="0.25">
      <c r="A128" s="21">
        <v>123</v>
      </c>
      <c r="B128" s="66" t="s">
        <v>143</v>
      </c>
      <c r="E128" s="42">
        <f>'1501 Summary'!AD79</f>
        <v>187362.7</v>
      </c>
      <c r="F128" s="281"/>
      <c r="G128" s="42"/>
      <c r="H128" s="42"/>
      <c r="I128" s="42"/>
      <c r="J128" s="281"/>
      <c r="K128" s="41"/>
      <c r="L128" s="46"/>
      <c r="M128" s="42"/>
      <c r="N128" s="281"/>
      <c r="O128" s="42"/>
      <c r="P128" s="42"/>
      <c r="Q128" s="42"/>
      <c r="R128" s="281"/>
      <c r="S128" s="19"/>
      <c r="T128" s="19"/>
      <c r="U128" s="19"/>
      <c r="V128" s="281"/>
      <c r="Y128" s="19"/>
    </row>
    <row r="129" spans="1:25" x14ac:dyDescent="0.25">
      <c r="A129" s="21">
        <v>124</v>
      </c>
      <c r="B129" s="249" t="s">
        <v>224</v>
      </c>
      <c r="E129" s="42">
        <f>'1501 Summary'!AD80</f>
        <v>-14061.28</v>
      </c>
      <c r="F129" s="281"/>
      <c r="G129" s="42"/>
      <c r="H129" s="42"/>
      <c r="I129" s="42"/>
      <c r="J129" s="281"/>
      <c r="K129" s="41"/>
      <c r="L129" s="46"/>
      <c r="M129" s="42"/>
      <c r="N129" s="281"/>
      <c r="O129" s="42"/>
      <c r="P129" s="42"/>
      <c r="Q129" s="42"/>
      <c r="R129" s="281"/>
      <c r="S129" s="63"/>
      <c r="T129" s="63"/>
      <c r="U129" s="63"/>
      <c r="V129" s="281"/>
      <c r="Y129" s="63"/>
    </row>
    <row r="130" spans="1:25" x14ac:dyDescent="0.25">
      <c r="A130" s="21">
        <v>125</v>
      </c>
      <c r="B130" s="249" t="s">
        <v>225</v>
      </c>
      <c r="E130" s="42">
        <f>'1501 Summary'!AD81</f>
        <v>-6661.7800000000007</v>
      </c>
      <c r="F130" s="281"/>
      <c r="G130" s="42"/>
      <c r="H130" s="42"/>
      <c r="I130" s="42"/>
      <c r="J130" s="281"/>
      <c r="K130" s="41"/>
      <c r="L130" s="46"/>
      <c r="M130" s="42"/>
      <c r="N130" s="281"/>
      <c r="O130" s="42"/>
      <c r="P130" s="42"/>
      <c r="Q130" s="42"/>
      <c r="R130" s="281"/>
      <c r="S130" s="63"/>
      <c r="T130" s="63"/>
      <c r="U130" s="63"/>
      <c r="V130" s="281"/>
      <c r="Y130" s="63"/>
    </row>
    <row r="131" spans="1:25" x14ac:dyDescent="0.25">
      <c r="A131" s="21">
        <v>126</v>
      </c>
      <c r="B131" s="249" t="s">
        <v>226</v>
      </c>
      <c r="E131" s="42">
        <f>'1501 Summary'!AD82</f>
        <v>-12729.11</v>
      </c>
      <c r="F131" s="281"/>
      <c r="G131" s="42"/>
      <c r="H131" s="42"/>
      <c r="I131" s="42"/>
      <c r="J131" s="281"/>
      <c r="K131" s="41"/>
      <c r="L131" s="46"/>
      <c r="M131" s="42"/>
      <c r="N131" s="281"/>
      <c r="O131" s="42"/>
      <c r="P131" s="42"/>
      <c r="Q131" s="42"/>
      <c r="R131" s="281"/>
      <c r="S131" s="63"/>
      <c r="T131" s="63"/>
      <c r="U131" s="63"/>
      <c r="V131" s="281"/>
      <c r="Y131" s="63"/>
    </row>
    <row r="132" spans="1:25" x14ac:dyDescent="0.25">
      <c r="A132" s="21">
        <v>127</v>
      </c>
      <c r="B132" s="66" t="s">
        <v>144</v>
      </c>
      <c r="E132" s="42">
        <f>'1501 Summary'!AD83</f>
        <v>320657.73</v>
      </c>
      <c r="F132" s="281"/>
      <c r="G132" s="42"/>
      <c r="H132" s="42"/>
      <c r="I132" s="42"/>
      <c r="J132" s="281"/>
      <c r="K132" s="41"/>
      <c r="L132" s="46"/>
      <c r="M132" s="42"/>
      <c r="N132" s="281"/>
      <c r="O132" s="42"/>
      <c r="P132" s="42"/>
      <c r="Q132" s="42"/>
      <c r="R132" s="281"/>
      <c r="S132" s="19"/>
      <c r="T132" s="19"/>
      <c r="U132" s="19"/>
      <c r="V132" s="281"/>
      <c r="Y132" s="19"/>
    </row>
    <row r="133" spans="1:25" x14ac:dyDescent="0.25">
      <c r="A133" s="21">
        <v>128</v>
      </c>
      <c r="B133" s="66" t="s">
        <v>149</v>
      </c>
      <c r="E133" s="42">
        <f>'1501 Summary'!AD84</f>
        <v>1924.3999999999999</v>
      </c>
      <c r="F133" s="281"/>
      <c r="G133" s="42"/>
      <c r="H133" s="42"/>
      <c r="I133" s="42"/>
      <c r="J133" s="281"/>
      <c r="K133" s="41"/>
      <c r="L133" s="46"/>
      <c r="M133" s="42"/>
      <c r="N133" s="281"/>
      <c r="O133" s="42"/>
      <c r="P133" s="42"/>
      <c r="Q133" s="42"/>
      <c r="R133" s="281"/>
      <c r="S133" s="19"/>
      <c r="T133" s="19"/>
      <c r="U133" s="19"/>
      <c r="V133" s="281"/>
      <c r="Y133" s="19"/>
    </row>
    <row r="134" spans="1:25" x14ac:dyDescent="0.25">
      <c r="A134" s="21">
        <v>129</v>
      </c>
      <c r="B134" s="66" t="s">
        <v>150</v>
      </c>
      <c r="E134" s="42">
        <f>'1501 Summary'!AD85</f>
        <v>1200</v>
      </c>
      <c r="F134" s="281"/>
      <c r="G134" s="42"/>
      <c r="H134" s="42"/>
      <c r="I134" s="42"/>
      <c r="J134" s="281"/>
      <c r="K134" s="41"/>
      <c r="L134" s="46"/>
      <c r="M134" s="42"/>
      <c r="N134" s="281"/>
      <c r="O134" s="42"/>
      <c r="P134" s="42"/>
      <c r="Q134" s="42"/>
      <c r="R134" s="281"/>
      <c r="S134" s="19"/>
      <c r="T134" s="19"/>
      <c r="U134" s="19"/>
      <c r="V134" s="281"/>
      <c r="Y134" s="19"/>
    </row>
    <row r="135" spans="1:25" x14ac:dyDescent="0.25">
      <c r="A135" s="21">
        <v>130</v>
      </c>
      <c r="B135" s="66" t="s">
        <v>146</v>
      </c>
      <c r="E135" s="42">
        <f>'1501 Summary'!AD86</f>
        <v>1322.7000000000003</v>
      </c>
      <c r="F135" s="281"/>
      <c r="G135" s="42"/>
      <c r="H135" s="42"/>
      <c r="I135" s="42"/>
      <c r="J135" s="281"/>
      <c r="K135" s="41"/>
      <c r="L135" s="46"/>
      <c r="M135" s="42"/>
      <c r="N135" s="281"/>
      <c r="O135" s="42"/>
      <c r="P135" s="42"/>
      <c r="Q135" s="42"/>
      <c r="R135" s="281"/>
      <c r="S135" s="19"/>
      <c r="T135" s="19"/>
      <c r="U135" s="19"/>
      <c r="V135" s="281"/>
      <c r="Y135" s="19"/>
    </row>
    <row r="136" spans="1:25" x14ac:dyDescent="0.25">
      <c r="A136" s="21">
        <v>131</v>
      </c>
      <c r="B136" s="66" t="s">
        <v>145</v>
      </c>
      <c r="E136" s="42">
        <f>'1501 Summary'!AD87</f>
        <v>451.84</v>
      </c>
      <c r="F136" s="281"/>
      <c r="G136" s="42"/>
      <c r="H136" s="42"/>
      <c r="I136" s="42"/>
      <c r="J136" s="281"/>
      <c r="K136" s="41"/>
      <c r="L136" s="46"/>
      <c r="M136" s="42"/>
      <c r="N136" s="281"/>
      <c r="O136" s="42"/>
      <c r="P136" s="42"/>
      <c r="Q136" s="42"/>
      <c r="R136" s="281"/>
      <c r="S136" s="19"/>
      <c r="T136" s="19"/>
      <c r="U136" s="19"/>
      <c r="V136" s="281"/>
      <c r="Y136" s="19"/>
    </row>
    <row r="137" spans="1:25" x14ac:dyDescent="0.25">
      <c r="A137" s="21">
        <v>132</v>
      </c>
      <c r="B137" s="66" t="s">
        <v>148</v>
      </c>
      <c r="E137" s="42">
        <f>'1501 Summary'!AD88</f>
        <v>10065.25</v>
      </c>
      <c r="F137" s="281"/>
      <c r="G137" s="42"/>
      <c r="H137" s="42"/>
      <c r="I137" s="42"/>
      <c r="J137" s="281"/>
      <c r="K137" s="41"/>
      <c r="L137" s="46"/>
      <c r="M137" s="42"/>
      <c r="N137" s="281"/>
      <c r="O137" s="42"/>
      <c r="P137" s="42"/>
      <c r="Q137" s="42"/>
      <c r="R137" s="281"/>
      <c r="S137" s="19"/>
      <c r="T137" s="19"/>
      <c r="U137" s="19"/>
      <c r="V137" s="281"/>
      <c r="Y137" s="19"/>
    </row>
    <row r="138" spans="1:25" x14ac:dyDescent="0.25">
      <c r="A138" s="21">
        <v>133</v>
      </c>
      <c r="B138" s="66" t="s">
        <v>24</v>
      </c>
      <c r="E138" s="42">
        <f>'1501 Summary'!AD89</f>
        <v>-2551.6</v>
      </c>
      <c r="F138" s="281"/>
      <c r="G138" s="42"/>
      <c r="H138" s="42"/>
      <c r="I138" s="42"/>
      <c r="J138" s="281"/>
      <c r="K138" s="41"/>
      <c r="L138" s="46"/>
      <c r="M138" s="42"/>
      <c r="N138" s="281"/>
      <c r="O138" s="42"/>
      <c r="P138" s="42"/>
      <c r="Q138" s="42"/>
      <c r="R138" s="281"/>
      <c r="S138" s="19"/>
      <c r="T138" s="19"/>
      <c r="U138" s="19"/>
      <c r="V138" s="281"/>
      <c r="Y138" s="19"/>
    </row>
    <row r="139" spans="1:25" x14ac:dyDescent="0.25">
      <c r="A139" s="21">
        <v>134</v>
      </c>
      <c r="B139" s="18" t="s">
        <v>14</v>
      </c>
      <c r="E139" s="42">
        <f>'Rev Recon Summary'!R74</f>
        <v>0</v>
      </c>
      <c r="F139" s="281"/>
      <c r="G139" s="42"/>
      <c r="H139" s="42"/>
      <c r="I139" s="42"/>
      <c r="J139" s="281"/>
      <c r="K139" s="41"/>
      <c r="L139" s="46"/>
      <c r="M139" s="42"/>
      <c r="N139" s="281"/>
      <c r="O139" s="42"/>
      <c r="P139" s="42"/>
      <c r="Q139" s="42"/>
      <c r="R139" s="281"/>
      <c r="S139" s="19"/>
      <c r="T139" s="19"/>
      <c r="U139" s="19"/>
      <c r="V139" s="281"/>
      <c r="Y139" s="19"/>
    </row>
    <row r="140" spans="1:25" x14ac:dyDescent="0.25">
      <c r="A140" s="21">
        <v>135</v>
      </c>
      <c r="B140" s="18" t="s">
        <v>15</v>
      </c>
      <c r="E140" s="42">
        <f>'Rev Recon Summary'!R75</f>
        <v>0</v>
      </c>
      <c r="F140" s="281"/>
      <c r="G140" s="42"/>
      <c r="H140" s="42"/>
      <c r="I140" s="42"/>
      <c r="J140" s="281"/>
      <c r="K140" s="41"/>
      <c r="L140" s="46"/>
      <c r="M140" s="42"/>
      <c r="N140" s="281"/>
      <c r="O140" s="42"/>
      <c r="P140" s="42"/>
      <c r="Q140" s="42"/>
      <c r="R140" s="281"/>
      <c r="S140" s="19"/>
      <c r="T140" s="19"/>
      <c r="U140" s="19"/>
      <c r="V140" s="281"/>
      <c r="Y140" s="19"/>
    </row>
    <row r="141" spans="1:25" x14ac:dyDescent="0.25">
      <c r="A141" s="21">
        <v>136</v>
      </c>
      <c r="B141" s="18" t="s">
        <v>16</v>
      </c>
      <c r="E141" s="42">
        <f>'Rev Recon Summary'!R76</f>
        <v>-6964.5699999999961</v>
      </c>
      <c r="F141" s="281"/>
      <c r="G141" s="42"/>
      <c r="H141" s="42"/>
      <c r="I141" s="42"/>
      <c r="J141" s="281"/>
      <c r="K141" s="41"/>
      <c r="L141" s="46"/>
      <c r="M141" s="42"/>
      <c r="N141" s="281"/>
      <c r="O141" s="42"/>
      <c r="P141" s="42"/>
      <c r="Q141" s="42"/>
      <c r="R141" s="281"/>
      <c r="S141" s="19"/>
      <c r="T141" s="19"/>
      <c r="U141" s="19"/>
      <c r="V141" s="281"/>
      <c r="Y141" s="19"/>
    </row>
    <row r="142" spans="1:25" x14ac:dyDescent="0.25">
      <c r="A142" s="21">
        <v>137</v>
      </c>
      <c r="B142" s="18" t="s">
        <v>17</v>
      </c>
      <c r="E142" s="42">
        <f>'Rev Recon Summary'!R77</f>
        <v>-104031</v>
      </c>
      <c r="F142" s="281"/>
      <c r="G142" s="42"/>
      <c r="H142" s="42"/>
      <c r="I142" s="42"/>
      <c r="J142" s="281"/>
      <c r="K142" s="41"/>
      <c r="L142" s="46"/>
      <c r="M142" s="42"/>
      <c r="N142" s="281"/>
      <c r="O142" s="42"/>
      <c r="P142" s="42"/>
      <c r="Q142" s="42"/>
      <c r="R142" s="281"/>
      <c r="S142" s="19"/>
      <c r="T142" s="19"/>
      <c r="U142" s="19"/>
      <c r="V142" s="281"/>
      <c r="Y142" s="19"/>
    </row>
    <row r="143" spans="1:25" x14ac:dyDescent="0.25">
      <c r="A143" s="21">
        <v>138</v>
      </c>
      <c r="B143" s="18" t="s">
        <v>18</v>
      </c>
      <c r="E143" s="65">
        <f>'Rev Recon Summary'!R78</f>
        <v>0</v>
      </c>
      <c r="F143" s="281"/>
      <c r="G143" s="42"/>
      <c r="H143" s="42"/>
      <c r="I143" s="42"/>
      <c r="J143" s="281"/>
      <c r="K143" s="41"/>
      <c r="L143" s="46"/>
      <c r="M143" s="42"/>
      <c r="N143" s="281"/>
      <c r="O143" s="42"/>
      <c r="P143" s="42"/>
      <c r="Q143" s="42"/>
      <c r="R143" s="281"/>
      <c r="S143" s="42"/>
      <c r="T143" s="42"/>
      <c r="U143" s="42"/>
      <c r="V143" s="281"/>
      <c r="Y143" s="42"/>
    </row>
    <row r="144" spans="1:25" x14ac:dyDescent="0.25">
      <c r="A144" s="21">
        <v>139</v>
      </c>
      <c r="B144" s="19" t="s">
        <v>93</v>
      </c>
      <c r="E144" s="42">
        <f>SUM(E124:E143)</f>
        <v>1146423.3899999994</v>
      </c>
      <c r="F144" s="281"/>
      <c r="G144" s="42"/>
      <c r="H144" s="42"/>
      <c r="I144" s="42"/>
      <c r="J144" s="281"/>
      <c r="K144" s="41"/>
      <c r="L144" s="46"/>
      <c r="M144" s="42"/>
      <c r="N144" s="281"/>
      <c r="O144" s="42"/>
      <c r="P144" s="42"/>
      <c r="Q144" s="42"/>
      <c r="R144" s="281"/>
      <c r="S144" s="42"/>
      <c r="T144" s="42"/>
      <c r="U144" s="42"/>
      <c r="V144" s="281"/>
      <c r="Y144" s="42"/>
    </row>
    <row r="145" spans="1:25" x14ac:dyDescent="0.25">
      <c r="A145" s="21">
        <v>140</v>
      </c>
      <c r="B145" s="31" t="str">
        <f>"Total "&amp;LEFT(B110,17)&amp;" Revenue"</f>
        <v>Total Rate Schedule 505 Revenue</v>
      </c>
      <c r="E145" s="42"/>
      <c r="F145" s="281"/>
      <c r="G145" s="42"/>
      <c r="H145" s="42"/>
      <c r="I145" s="42"/>
      <c r="J145" s="281"/>
      <c r="K145" s="41"/>
      <c r="L145" s="46"/>
      <c r="M145" s="42"/>
      <c r="N145" s="281"/>
      <c r="O145" s="42"/>
      <c r="P145" s="42"/>
      <c r="Q145" s="42"/>
      <c r="R145" s="281"/>
      <c r="S145" s="42"/>
      <c r="T145" s="42"/>
      <c r="U145" s="42"/>
      <c r="V145" s="281"/>
      <c r="Y145" s="42"/>
    </row>
    <row r="146" spans="1:25" x14ac:dyDescent="0.25">
      <c r="A146" s="21">
        <v>141</v>
      </c>
      <c r="B146" s="104"/>
      <c r="C146" s="39">
        <f>E146-'Rev Recon Summary'!R82</f>
        <v>0</v>
      </c>
      <c r="D146" s="106" t="s">
        <v>45</v>
      </c>
      <c r="E146" s="107">
        <f>SUM(E119,E121,E144)</f>
        <v>8544687.8599999994</v>
      </c>
      <c r="F146" s="284"/>
      <c r="G146" s="107"/>
      <c r="H146" s="107"/>
      <c r="I146" s="107"/>
      <c r="J146" s="284"/>
      <c r="K146" s="101"/>
      <c r="L146" s="134"/>
      <c r="M146" s="65"/>
      <c r="N146" s="284"/>
      <c r="O146" s="65"/>
      <c r="P146" s="65"/>
      <c r="Q146" s="65"/>
      <c r="R146" s="284"/>
      <c r="S146" s="105"/>
      <c r="T146" s="105"/>
      <c r="U146" s="105"/>
      <c r="V146" s="284"/>
      <c r="W146" s="39"/>
      <c r="X146" s="39"/>
      <c r="Y146" s="105"/>
    </row>
    <row r="147" spans="1:25" x14ac:dyDescent="0.25">
      <c r="A147" s="21">
        <v>142</v>
      </c>
      <c r="K147" s="41"/>
      <c r="L147" s="46"/>
      <c r="M147" s="42"/>
      <c r="O147" s="42"/>
      <c r="P147" s="42"/>
      <c r="Q147" s="42"/>
    </row>
    <row r="148" spans="1:25" x14ac:dyDescent="0.25">
      <c r="A148" s="21">
        <v>143</v>
      </c>
      <c r="B148" s="30" t="s">
        <v>97</v>
      </c>
      <c r="K148" s="41"/>
      <c r="L148" s="46"/>
      <c r="M148" s="42"/>
      <c r="O148" s="42"/>
      <c r="P148" s="42"/>
      <c r="Q148" s="42"/>
    </row>
    <row r="149" spans="1:25" x14ac:dyDescent="0.25">
      <c r="A149" s="21">
        <v>144</v>
      </c>
      <c r="B149" s="19" t="s">
        <v>292</v>
      </c>
      <c r="C149" s="41">
        <f>E149/D149</f>
        <v>603</v>
      </c>
      <c r="D149" s="67">
        <v>100</v>
      </c>
      <c r="E149" s="86">
        <f>SUM('1501 Summary'!G96,'1501 Summary'!I96,'1501 Summary'!K96,'1501 Summary'!M96,'1501 Summary'!O96,'1501 Summary'!Q96,'1501 Summary'!S96)</f>
        <v>60300</v>
      </c>
      <c r="F149" s="285"/>
      <c r="G149" s="67"/>
      <c r="H149" s="67"/>
      <c r="I149" s="67"/>
      <c r="J149" s="285"/>
      <c r="K149" s="41">
        <f t="shared" ref="K149:K190" si="23">C149+G149</f>
        <v>603</v>
      </c>
      <c r="L149" s="38"/>
      <c r="M149" s="42"/>
      <c r="N149" s="285"/>
      <c r="O149" s="42"/>
      <c r="P149" s="42"/>
      <c r="Q149" s="42"/>
      <c r="R149" s="285"/>
      <c r="S149" s="86"/>
      <c r="T149" s="86"/>
      <c r="U149" s="86"/>
      <c r="V149" s="285"/>
      <c r="W149" s="41"/>
      <c r="X149" s="41"/>
      <c r="Y149" s="86"/>
    </row>
    <row r="150" spans="1:25" x14ac:dyDescent="0.25">
      <c r="A150" s="21">
        <v>145</v>
      </c>
      <c r="B150" s="19" t="s">
        <v>232</v>
      </c>
      <c r="C150" s="41">
        <f>E150/D150</f>
        <v>423.18</v>
      </c>
      <c r="D150" s="38">
        <v>125</v>
      </c>
      <c r="E150" s="86">
        <f>SUM('1501 Summary'!U96,'1501 Summary'!W96,'1501 Summary'!Y96,'1501 Summary'!AA96,'1501 Summary'!AC96)</f>
        <v>52897.5</v>
      </c>
      <c r="F150" s="285"/>
      <c r="G150" s="67"/>
      <c r="H150" s="67"/>
      <c r="I150" s="67"/>
      <c r="J150" s="285"/>
      <c r="K150" s="41">
        <f t="shared" si="23"/>
        <v>423.18</v>
      </c>
      <c r="L150" s="38">
        <f t="shared" si="17"/>
        <v>125</v>
      </c>
      <c r="M150" s="42">
        <f>L150*SUM(K150,K149)</f>
        <v>128272.50000000001</v>
      </c>
      <c r="N150" s="285"/>
      <c r="O150" s="41">
        <f>'End of Period Calculations'!AB113</f>
        <v>1032</v>
      </c>
      <c r="P150" s="67">
        <f>O150*L150</f>
        <v>129000</v>
      </c>
      <c r="Q150" s="42">
        <f t="shared" si="18"/>
        <v>727.49999999998545</v>
      </c>
      <c r="R150" s="285"/>
      <c r="S150" s="86"/>
      <c r="T150" s="86"/>
      <c r="U150" s="86"/>
      <c r="V150" s="285"/>
      <c r="W150" s="67">
        <f>L150</f>
        <v>125</v>
      </c>
      <c r="X150" s="86">
        <f>W150*O150</f>
        <v>129000</v>
      </c>
      <c r="Y150" s="86">
        <f>X150-P150</f>
        <v>0</v>
      </c>
    </row>
    <row r="151" spans="1:25" x14ac:dyDescent="0.25">
      <c r="A151" s="21">
        <v>146</v>
      </c>
      <c r="B151" s="19" t="s">
        <v>302</v>
      </c>
      <c r="C151" s="41">
        <f t="shared" ref="C151:C156" si="24">E151/D151</f>
        <v>5709350.7482809769</v>
      </c>
      <c r="D151" s="81">
        <v>0.14834</v>
      </c>
      <c r="E151" s="86">
        <f>SUM('1501 Summary'!G97,'1501 Summary'!I97,'1501 Summary'!K97,'1501 Summary'!M97,'1501 Summary'!O97,'1501 Summary'!Q97,'1501 Summary'!S97)</f>
        <v>846925.09000000008</v>
      </c>
      <c r="F151" s="285"/>
      <c r="G151" s="67"/>
      <c r="H151" s="67"/>
      <c r="I151" s="67"/>
      <c r="J151" s="285"/>
      <c r="K151" s="41">
        <f t="shared" si="23"/>
        <v>5709350.7482809769</v>
      </c>
      <c r="L151" s="46"/>
      <c r="M151" s="42"/>
      <c r="N151" s="285"/>
      <c r="O151" s="67"/>
      <c r="P151" s="67"/>
      <c r="Q151" s="42"/>
      <c r="R151" s="285"/>
      <c r="S151" s="86"/>
      <c r="T151" s="86"/>
      <c r="U151" s="86"/>
      <c r="V151" s="285"/>
      <c r="W151" s="41"/>
      <c r="X151" s="86"/>
      <c r="Y151" s="86"/>
    </row>
    <row r="152" spans="1:25" x14ac:dyDescent="0.25">
      <c r="A152" s="21">
        <v>147</v>
      </c>
      <c r="B152" s="19" t="s">
        <v>303</v>
      </c>
      <c r="C152" s="41">
        <f t="shared" si="24"/>
        <v>2763232.2266489598</v>
      </c>
      <c r="D152" s="81">
        <v>0.11294999999999999</v>
      </c>
      <c r="E152" s="86">
        <f>SUM('1501 Summary'!G98,'1501 Summary'!I98,'1501 Summary'!K98,'1501 Summary'!M98,'1501 Summary'!O98,'1501 Summary'!Q98,'1501 Summary'!S98)</f>
        <v>312107.08</v>
      </c>
      <c r="F152" s="285"/>
      <c r="G152" s="67"/>
      <c r="H152" s="67"/>
      <c r="I152" s="67"/>
      <c r="J152" s="285"/>
      <c r="K152" s="41">
        <f t="shared" si="23"/>
        <v>2763232.2266489598</v>
      </c>
      <c r="L152" s="46"/>
      <c r="M152" s="42"/>
      <c r="N152" s="285"/>
      <c r="O152" s="67"/>
      <c r="P152" s="67"/>
      <c r="Q152" s="42"/>
      <c r="R152" s="285"/>
      <c r="S152" s="86"/>
      <c r="T152" s="86"/>
      <c r="U152" s="86"/>
      <c r="V152" s="285"/>
      <c r="W152" s="41"/>
      <c r="X152" s="86"/>
      <c r="Y152" s="86"/>
    </row>
    <row r="153" spans="1:25" x14ac:dyDescent="0.25">
      <c r="A153" s="21">
        <v>148</v>
      </c>
      <c r="B153" s="19" t="s">
        <v>304</v>
      </c>
      <c r="C153" s="41">
        <f t="shared" si="24"/>
        <v>505392.36521054717</v>
      </c>
      <c r="D153" s="81">
        <v>2.5409999999999999E-2</v>
      </c>
      <c r="E153" s="86">
        <f>SUM('1501 Summary'!G99,'1501 Summary'!I99,'1501 Summary'!K99,'1501 Summary'!M99,'1501 Summary'!O99,'1501 Summary'!Q99,'1501 Summary'!S99)</f>
        <v>12842.020000000002</v>
      </c>
      <c r="F153" s="285"/>
      <c r="G153" s="67"/>
      <c r="H153" s="67"/>
      <c r="I153" s="67"/>
      <c r="J153" s="285"/>
      <c r="K153" s="41">
        <f t="shared" si="23"/>
        <v>505392.36521054717</v>
      </c>
      <c r="L153" s="46"/>
      <c r="M153" s="42"/>
      <c r="N153" s="285"/>
      <c r="O153" s="67"/>
      <c r="P153" s="67"/>
      <c r="Q153" s="42"/>
      <c r="R153" s="285"/>
      <c r="S153" s="86"/>
      <c r="T153" s="86"/>
      <c r="U153" s="86"/>
      <c r="V153" s="285"/>
      <c r="W153" s="41"/>
      <c r="X153" s="86"/>
      <c r="Y153" s="86"/>
    </row>
    <row r="154" spans="1:25" x14ac:dyDescent="0.25">
      <c r="A154" s="21">
        <v>149</v>
      </c>
      <c r="B154" s="19" t="s">
        <v>305</v>
      </c>
      <c r="C154" s="41">
        <f t="shared" si="24"/>
        <v>3049425.1919050938</v>
      </c>
      <c r="D154" s="81">
        <v>0.14330000000000001</v>
      </c>
      <c r="E154" s="86">
        <f>SUM('1501 Summary'!U97,'1501 Summary'!W97,'1501 Summary'!Y97,'1501 Summary'!AA97,'1501 Summary'!AC97)</f>
        <v>436982.63</v>
      </c>
      <c r="F154" s="285"/>
      <c r="G154" s="67"/>
      <c r="H154" s="67"/>
      <c r="I154" s="67"/>
      <c r="J154" s="285"/>
      <c r="K154" s="41">
        <f t="shared" si="23"/>
        <v>3049425.1919050938</v>
      </c>
      <c r="L154" s="46">
        <f t="shared" si="17"/>
        <v>0.14330000000000001</v>
      </c>
      <c r="M154" s="42">
        <f>L154*SUM(K154,K151)</f>
        <v>1255132.5922286639</v>
      </c>
      <c r="N154" s="285"/>
      <c r="O154" s="41">
        <f>'End of Period Calculations'!AA113</f>
        <v>8739570.5516426321</v>
      </c>
      <c r="P154" s="86">
        <f>O154*L154</f>
        <v>1252380.4600503892</v>
      </c>
      <c r="Q154" s="42">
        <f t="shared" si="18"/>
        <v>-2752.1321782746818</v>
      </c>
      <c r="R154" s="285"/>
      <c r="S154" s="41">
        <f>O154</f>
        <v>8739570.5516426321</v>
      </c>
      <c r="T154" s="218">
        <v>4.7299999999999998E-3</v>
      </c>
      <c r="U154" s="86">
        <f>T154*S154</f>
        <v>41338.168709269652</v>
      </c>
      <c r="V154" s="285"/>
      <c r="W154" s="218">
        <f>'Exh IDM-4 -Revenue Distribution'!F21</f>
        <v>0.16940176389499734</v>
      </c>
      <c r="X154" s="86">
        <f>W154*O154</f>
        <v>1480498.6671330368</v>
      </c>
      <c r="Y154" s="86">
        <f>X154-P154</f>
        <v>228118.2070826476</v>
      </c>
    </row>
    <row r="155" spans="1:25" x14ac:dyDescent="0.25">
      <c r="A155" s="21">
        <v>150</v>
      </c>
      <c r="B155" s="19" t="s">
        <v>306</v>
      </c>
      <c r="C155" s="41">
        <f t="shared" si="24"/>
        <v>1763019.8470502552</v>
      </c>
      <c r="D155" s="81">
        <v>0.10983999999999999</v>
      </c>
      <c r="E155" s="86">
        <f>SUM('1501 Summary'!U98,'1501 Summary'!W98,'1501 Summary'!Y98,'1501 Summary'!AA98,'1501 Summary'!AC98)</f>
        <v>193650.1</v>
      </c>
      <c r="F155" s="285"/>
      <c r="G155" s="67"/>
      <c r="H155" s="67"/>
      <c r="I155" s="67"/>
      <c r="J155" s="285"/>
      <c r="K155" s="41">
        <f t="shared" si="23"/>
        <v>1763019.8470502552</v>
      </c>
      <c r="L155" s="46">
        <f t="shared" si="17"/>
        <v>0.10983999999999999</v>
      </c>
      <c r="M155" s="42">
        <f>L155*SUM(K155,K152)</f>
        <v>497163.52777512179</v>
      </c>
      <c r="N155" s="285"/>
      <c r="O155" s="41">
        <f>'End of Period Calculations'!AA114</f>
        <v>4503350.1030213647</v>
      </c>
      <c r="P155" s="86">
        <f>O155*L155</f>
        <v>494647.97531586664</v>
      </c>
      <c r="Q155" s="42">
        <f t="shared" si="18"/>
        <v>-2515.5524592551519</v>
      </c>
      <c r="R155" s="285"/>
      <c r="S155" s="41">
        <f>O155</f>
        <v>4503350.1030213647</v>
      </c>
      <c r="T155" s="218">
        <v>4.7299999999999998E-3</v>
      </c>
      <c r="U155" s="86">
        <f t="shared" ref="U155:U156" si="25">T155*S155</f>
        <v>21300.845987291053</v>
      </c>
      <c r="V155" s="285"/>
      <c r="W155" s="218">
        <f>'Exh IDM-4 -Revenue Distribution'!F22</f>
        <v>0.12984710220674461</v>
      </c>
      <c r="X155" s="86">
        <f t="shared" ref="X155:X156" si="26">W155*O155</f>
        <v>584746.96109976899</v>
      </c>
      <c r="Y155" s="86">
        <f t="shared" ref="Y155:Y156" si="27">X155-P155</f>
        <v>90098.985783902346</v>
      </c>
    </row>
    <row r="156" spans="1:25" x14ac:dyDescent="0.25">
      <c r="A156" s="21">
        <v>151</v>
      </c>
      <c r="B156" s="110" t="s">
        <v>307</v>
      </c>
      <c r="C156" s="41">
        <f t="shared" si="24"/>
        <v>265227.02104097453</v>
      </c>
      <c r="D156" s="81">
        <v>2.7089999999999999E-2</v>
      </c>
      <c r="E156" s="86">
        <f>SUM('1501 Summary'!U99,'1501 Summary'!W99,'1501 Summary'!Y99,'1501 Summary'!AA99,'1501 Summary'!AC99)</f>
        <v>7185</v>
      </c>
      <c r="F156" s="285"/>
      <c r="G156" s="67"/>
      <c r="H156" s="67"/>
      <c r="I156" s="67"/>
      <c r="J156" s="285"/>
      <c r="K156" s="41">
        <f t="shared" si="23"/>
        <v>265227.02104097453</v>
      </c>
      <c r="L156" s="46">
        <f t="shared" si="17"/>
        <v>2.7089999999999999E-2</v>
      </c>
      <c r="M156" s="65">
        <f>L156*SUM(K156,K153)</f>
        <v>20876.079173553724</v>
      </c>
      <c r="N156" s="285"/>
      <c r="O156" s="41">
        <f>'End of Period Calculations'!AA115</f>
        <v>771997.67252671276</v>
      </c>
      <c r="P156" s="88">
        <f>O156*L156</f>
        <v>20913.416948748647</v>
      </c>
      <c r="Q156" s="65">
        <f t="shared" si="18"/>
        <v>37.33777519492287</v>
      </c>
      <c r="R156" s="285"/>
      <c r="S156" s="41">
        <f>O156</f>
        <v>771997.67252671276</v>
      </c>
      <c r="T156" s="218">
        <v>4.7299999999999998E-3</v>
      </c>
      <c r="U156" s="88">
        <f t="shared" si="25"/>
        <v>3651.5489910513511</v>
      </c>
      <c r="V156" s="285"/>
      <c r="W156" s="218">
        <f>'Exh IDM-4 -Revenue Distribution'!F23</f>
        <v>3.2024380906597885E-2</v>
      </c>
      <c r="X156" s="88">
        <f t="shared" si="26"/>
        <v>24722.747524002469</v>
      </c>
      <c r="Y156" s="88">
        <f t="shared" si="27"/>
        <v>3809.3305752538217</v>
      </c>
    </row>
    <row r="157" spans="1:25" x14ac:dyDescent="0.25">
      <c r="A157" s="21">
        <v>152</v>
      </c>
      <c r="B157" s="19" t="s">
        <v>10</v>
      </c>
      <c r="E157" s="87">
        <f>SUM(E149:E156)</f>
        <v>1922889.4200000004</v>
      </c>
      <c r="F157" s="285"/>
      <c r="G157" s="67"/>
      <c r="H157" s="67"/>
      <c r="I157" s="67"/>
      <c r="J157" s="285"/>
      <c r="K157" s="41"/>
      <c r="L157" s="46"/>
      <c r="M157" s="42">
        <f>SUM(M150:M156)</f>
        <v>1901444.6991773394</v>
      </c>
      <c r="N157" s="285"/>
      <c r="O157" s="67"/>
      <c r="P157" s="86">
        <f>SUM(P150:P156)</f>
        <v>1896941.8523150044</v>
      </c>
      <c r="Q157" s="42">
        <f t="shared" si="18"/>
        <v>-4502.8468623349909</v>
      </c>
      <c r="R157" s="285"/>
      <c r="S157" s="42"/>
      <c r="T157" s="42"/>
      <c r="U157" s="42">
        <f>SUM(U154:U156)</f>
        <v>66290.563687612055</v>
      </c>
      <c r="V157" s="285"/>
      <c r="X157" s="83">
        <f>SUM(X150:X156)</f>
        <v>2218968.3757568086</v>
      </c>
      <c r="Y157" s="83">
        <f>SUM(Y154:Y156)</f>
        <v>322026.52344180376</v>
      </c>
    </row>
    <row r="158" spans="1:25" x14ac:dyDescent="0.25">
      <c r="A158" s="21">
        <v>153</v>
      </c>
      <c r="K158" s="41"/>
      <c r="L158" s="46"/>
      <c r="M158" s="38"/>
      <c r="O158" s="42"/>
      <c r="P158" s="42"/>
      <c r="Q158" s="42"/>
    </row>
    <row r="159" spans="1:25" x14ac:dyDescent="0.25">
      <c r="A159" s="21">
        <v>154</v>
      </c>
      <c r="B159" s="19" t="s">
        <v>11</v>
      </c>
      <c r="E159" s="42">
        <f>'1501 Summary'!AD100</f>
        <v>6192611.0199999996</v>
      </c>
      <c r="F159" s="275"/>
      <c r="G159" s="38"/>
      <c r="H159" s="38"/>
      <c r="I159" s="38"/>
      <c r="J159" s="275"/>
      <c r="K159" s="41"/>
      <c r="L159" s="46"/>
      <c r="M159" s="38"/>
      <c r="N159" s="275"/>
      <c r="O159" s="42"/>
      <c r="P159" s="42"/>
      <c r="Q159" s="42"/>
      <c r="R159" s="275"/>
      <c r="V159" s="275"/>
    </row>
    <row r="160" spans="1:25" x14ac:dyDescent="0.25">
      <c r="A160" s="21">
        <v>155</v>
      </c>
      <c r="E160" s="42"/>
      <c r="K160" s="41"/>
      <c r="L160" s="46"/>
      <c r="M160" s="38"/>
      <c r="O160" s="42"/>
      <c r="P160" s="42"/>
      <c r="Q160" s="42"/>
    </row>
    <row r="161" spans="1:24" x14ac:dyDescent="0.25">
      <c r="A161" s="21">
        <v>156</v>
      </c>
      <c r="B161" s="19" t="s">
        <v>12</v>
      </c>
      <c r="E161" s="42"/>
      <c r="K161" s="41"/>
      <c r="L161" s="46"/>
      <c r="M161" s="38"/>
      <c r="O161" s="42"/>
      <c r="P161" s="42"/>
      <c r="Q161" s="42"/>
      <c r="X161" s="83"/>
    </row>
    <row r="162" spans="1:24" x14ac:dyDescent="0.25">
      <c r="A162" s="21">
        <v>157</v>
      </c>
      <c r="B162" s="19" t="s">
        <v>139</v>
      </c>
      <c r="E162" s="42">
        <f>'1501 Summary'!AD101</f>
        <v>17524.760000000002</v>
      </c>
      <c r="F162" s="275"/>
      <c r="G162" s="38"/>
      <c r="H162" s="38"/>
      <c r="I162" s="38"/>
      <c r="J162" s="275"/>
      <c r="K162" s="41"/>
      <c r="L162" s="46"/>
      <c r="M162" s="38"/>
      <c r="N162" s="275"/>
      <c r="O162" s="42"/>
      <c r="P162" s="42"/>
      <c r="Q162" s="42"/>
      <c r="R162" s="275"/>
      <c r="V162" s="275"/>
    </row>
    <row r="163" spans="1:24" x14ac:dyDescent="0.25">
      <c r="A163" s="21">
        <v>158</v>
      </c>
      <c r="B163" s="19" t="s">
        <v>140</v>
      </c>
      <c r="E163" s="42">
        <f>'1501 Summary'!AD102</f>
        <v>66152.149999999994</v>
      </c>
      <c r="F163" s="275"/>
      <c r="G163" s="38"/>
      <c r="H163" s="38"/>
      <c r="I163" s="38"/>
      <c r="J163" s="275"/>
      <c r="K163" s="41"/>
      <c r="L163" s="46"/>
      <c r="M163" s="38"/>
      <c r="N163" s="275"/>
      <c r="O163" s="42"/>
      <c r="P163" s="42"/>
      <c r="Q163" s="42"/>
      <c r="R163" s="275"/>
      <c r="V163" s="275"/>
    </row>
    <row r="164" spans="1:24" x14ac:dyDescent="0.25">
      <c r="A164" s="21">
        <v>159</v>
      </c>
      <c r="B164" s="19" t="s">
        <v>141</v>
      </c>
      <c r="E164" s="42">
        <f>'1501 Summary'!AD103</f>
        <v>-320711.76</v>
      </c>
      <c r="F164" s="275"/>
      <c r="G164" s="38"/>
      <c r="H164" s="38"/>
      <c r="I164" s="38"/>
      <c r="J164" s="275"/>
      <c r="K164" s="41"/>
      <c r="L164" s="46"/>
      <c r="M164" s="38"/>
      <c r="N164" s="275"/>
      <c r="O164" s="42"/>
      <c r="P164" s="42"/>
      <c r="Q164" s="42"/>
      <c r="R164" s="275"/>
      <c r="V164" s="275"/>
    </row>
    <row r="165" spans="1:24" x14ac:dyDescent="0.25">
      <c r="A165" s="21">
        <v>160</v>
      </c>
      <c r="B165" s="19" t="s">
        <v>142</v>
      </c>
      <c r="E165" s="42">
        <f>'1501 Summary'!AD104</f>
        <v>684452.58</v>
      </c>
      <c r="F165" s="275"/>
      <c r="G165" s="38"/>
      <c r="H165" s="38"/>
      <c r="I165" s="38"/>
      <c r="J165" s="275"/>
      <c r="K165" s="41"/>
      <c r="L165" s="46"/>
      <c r="M165" s="38"/>
      <c r="N165" s="275"/>
      <c r="O165" s="42"/>
      <c r="P165" s="42"/>
      <c r="Q165" s="42"/>
      <c r="R165" s="275"/>
      <c r="V165" s="275"/>
    </row>
    <row r="166" spans="1:24" x14ac:dyDescent="0.25">
      <c r="A166" s="21">
        <v>161</v>
      </c>
      <c r="B166" s="19" t="s">
        <v>143</v>
      </c>
      <c r="E166" s="42">
        <f>'1501 Summary'!AD105</f>
        <v>219993.3</v>
      </c>
      <c r="F166" s="275"/>
      <c r="G166" s="38"/>
      <c r="H166" s="38"/>
      <c r="I166" s="38"/>
      <c r="J166" s="275"/>
      <c r="K166" s="41"/>
      <c r="L166" s="46"/>
      <c r="M166" s="38"/>
      <c r="N166" s="275"/>
      <c r="O166" s="42"/>
      <c r="P166" s="42"/>
      <c r="Q166" s="42"/>
      <c r="R166" s="275"/>
      <c r="V166" s="275"/>
    </row>
    <row r="167" spans="1:24" x14ac:dyDescent="0.25">
      <c r="A167" s="21">
        <v>162</v>
      </c>
      <c r="B167" s="63" t="s">
        <v>224</v>
      </c>
      <c r="E167" s="42">
        <f>'1501 Summary'!AD106</f>
        <v>-12521.880000000001</v>
      </c>
      <c r="F167" s="275"/>
      <c r="G167" s="38"/>
      <c r="H167" s="38"/>
      <c r="I167" s="38"/>
      <c r="J167" s="275"/>
      <c r="K167" s="41"/>
      <c r="L167" s="46"/>
      <c r="M167" s="38"/>
      <c r="N167" s="275"/>
      <c r="O167" s="42"/>
      <c r="P167" s="42"/>
      <c r="Q167" s="42"/>
      <c r="R167" s="275"/>
      <c r="V167" s="275"/>
    </row>
    <row r="168" spans="1:24" x14ac:dyDescent="0.25">
      <c r="A168" s="21">
        <v>163</v>
      </c>
      <c r="B168" s="63" t="s">
        <v>225</v>
      </c>
      <c r="E168" s="42">
        <f>'1501 Summary'!AD107</f>
        <v>-5901.2999999999993</v>
      </c>
      <c r="F168" s="275"/>
      <c r="G168" s="38"/>
      <c r="H168" s="38"/>
      <c r="I168" s="38"/>
      <c r="J168" s="275"/>
      <c r="K168" s="41"/>
      <c r="L168" s="46"/>
      <c r="M168" s="38"/>
      <c r="N168" s="275"/>
      <c r="O168" s="42"/>
      <c r="P168" s="42"/>
      <c r="Q168" s="42"/>
      <c r="R168" s="275"/>
      <c r="V168" s="275"/>
    </row>
    <row r="169" spans="1:24" x14ac:dyDescent="0.25">
      <c r="A169" s="21">
        <v>164</v>
      </c>
      <c r="B169" s="63" t="s">
        <v>226</v>
      </c>
      <c r="E169" s="42">
        <f>'1501 Summary'!AD108</f>
        <v>-11256.060000000001</v>
      </c>
      <c r="F169" s="275"/>
      <c r="G169" s="38"/>
      <c r="H169" s="38"/>
      <c r="I169" s="38"/>
      <c r="J169" s="275"/>
      <c r="K169" s="41"/>
      <c r="L169" s="46"/>
      <c r="M169" s="38"/>
      <c r="N169" s="275"/>
      <c r="O169" s="42"/>
      <c r="P169" s="42"/>
      <c r="Q169" s="42"/>
      <c r="R169" s="275"/>
      <c r="V169" s="275"/>
    </row>
    <row r="170" spans="1:24" x14ac:dyDescent="0.25">
      <c r="A170" s="21">
        <v>165</v>
      </c>
      <c r="B170" s="19" t="s">
        <v>144</v>
      </c>
      <c r="E170" s="42">
        <f>'1501 Summary'!AD109</f>
        <v>341467.59</v>
      </c>
      <c r="F170" s="275"/>
      <c r="G170" s="38"/>
      <c r="H170" s="38"/>
      <c r="I170" s="38"/>
      <c r="J170" s="275"/>
      <c r="K170" s="41"/>
      <c r="L170" s="46"/>
      <c r="M170" s="38"/>
      <c r="N170" s="275"/>
      <c r="O170" s="42"/>
      <c r="P170" s="42"/>
      <c r="Q170" s="42"/>
      <c r="R170" s="275"/>
      <c r="V170" s="275"/>
    </row>
    <row r="171" spans="1:24" x14ac:dyDescent="0.25">
      <c r="A171" s="21">
        <v>166</v>
      </c>
      <c r="B171" s="19" t="s">
        <v>149</v>
      </c>
      <c r="E171" s="42">
        <f>'1501 Summary'!AD110</f>
        <v>6653.9399999999987</v>
      </c>
      <c r="F171" s="275"/>
      <c r="G171" s="38"/>
      <c r="H171" s="38"/>
      <c r="I171" s="38"/>
      <c r="J171" s="275"/>
      <c r="K171" s="41"/>
      <c r="L171" s="46"/>
      <c r="M171" s="38"/>
      <c r="N171" s="275"/>
      <c r="O171" s="42"/>
      <c r="P171" s="42"/>
      <c r="Q171" s="42"/>
      <c r="R171" s="275"/>
      <c r="V171" s="275"/>
    </row>
    <row r="172" spans="1:24" x14ac:dyDescent="0.25">
      <c r="A172" s="21">
        <v>167</v>
      </c>
      <c r="B172" s="19" t="s">
        <v>148</v>
      </c>
      <c r="E172" s="42">
        <f>'1501 Summary'!AD111</f>
        <v>3127.9100000000003</v>
      </c>
      <c r="F172" s="275"/>
      <c r="G172" s="38"/>
      <c r="H172" s="38"/>
      <c r="I172" s="38"/>
      <c r="J172" s="275"/>
      <c r="K172" s="41"/>
      <c r="L172" s="46"/>
      <c r="M172" s="38"/>
      <c r="N172" s="275"/>
      <c r="O172" s="42"/>
      <c r="P172" s="42"/>
      <c r="Q172" s="42"/>
      <c r="R172" s="275"/>
      <c r="V172" s="275"/>
    </row>
    <row r="173" spans="1:24" x14ac:dyDescent="0.25">
      <c r="A173" s="21">
        <v>168</v>
      </c>
      <c r="B173" s="19" t="s">
        <v>24</v>
      </c>
      <c r="E173" s="42">
        <f>'1501 Summary'!AD112</f>
        <v>-242.01</v>
      </c>
      <c r="F173" s="275"/>
      <c r="G173" s="38"/>
      <c r="H173" s="38"/>
      <c r="I173" s="38"/>
      <c r="J173" s="275"/>
      <c r="K173" s="41"/>
      <c r="L173" s="46"/>
      <c r="M173" s="38"/>
      <c r="N173" s="275"/>
      <c r="O173" s="42"/>
      <c r="P173" s="42"/>
      <c r="Q173" s="42"/>
      <c r="R173" s="275"/>
      <c r="V173" s="275"/>
    </row>
    <row r="174" spans="1:24" x14ac:dyDescent="0.25">
      <c r="A174" s="21">
        <v>169</v>
      </c>
      <c r="B174" s="19" t="s">
        <v>146</v>
      </c>
      <c r="E174" s="42">
        <f>'1501 Summary'!AD113</f>
        <v>12874.150000000001</v>
      </c>
      <c r="F174" s="275"/>
      <c r="G174" s="38"/>
      <c r="H174" s="38"/>
      <c r="I174" s="38"/>
      <c r="J174" s="275"/>
      <c r="K174" s="41"/>
      <c r="L174" s="46"/>
      <c r="M174" s="38"/>
      <c r="N174" s="275"/>
      <c r="O174" s="42"/>
      <c r="P174" s="42"/>
      <c r="Q174" s="42"/>
      <c r="R174" s="275"/>
      <c r="V174" s="275"/>
    </row>
    <row r="175" spans="1:24" x14ac:dyDescent="0.25">
      <c r="A175" s="21">
        <v>170</v>
      </c>
      <c r="B175" s="19" t="s">
        <v>147</v>
      </c>
      <c r="E175" s="42">
        <f>'1501 Summary'!AD114</f>
        <v>-13893.21</v>
      </c>
      <c r="F175" s="275"/>
      <c r="G175" s="38"/>
      <c r="H175" s="38"/>
      <c r="I175" s="38"/>
      <c r="J175" s="275"/>
      <c r="K175" s="41"/>
      <c r="L175" s="46"/>
      <c r="M175" s="38"/>
      <c r="N175" s="275"/>
      <c r="O175" s="42"/>
      <c r="P175" s="42"/>
      <c r="Q175" s="42"/>
      <c r="R175" s="275"/>
      <c r="V175" s="275"/>
    </row>
    <row r="176" spans="1:24" x14ac:dyDescent="0.25">
      <c r="A176" s="21">
        <v>171</v>
      </c>
      <c r="B176" s="18" t="s">
        <v>14</v>
      </c>
      <c r="E176" s="42">
        <f>'Rev Recon Summary'!R94</f>
        <v>0</v>
      </c>
      <c r="F176" s="275"/>
      <c r="G176" s="38"/>
      <c r="H176" s="38"/>
      <c r="I176" s="38"/>
      <c r="J176" s="275"/>
      <c r="K176" s="41"/>
      <c r="L176" s="46"/>
      <c r="M176" s="38"/>
      <c r="N176" s="275"/>
      <c r="O176" s="42"/>
      <c r="P176" s="42"/>
      <c r="Q176" s="42"/>
      <c r="R176" s="275"/>
      <c r="V176" s="275"/>
    </row>
    <row r="177" spans="1:25" x14ac:dyDescent="0.25">
      <c r="A177" s="21">
        <v>172</v>
      </c>
      <c r="B177" s="18" t="s">
        <v>15</v>
      </c>
      <c r="E177" s="42">
        <f>'Rev Recon Summary'!R95</f>
        <v>0</v>
      </c>
      <c r="F177" s="275"/>
      <c r="G177" s="38"/>
      <c r="H177" s="38"/>
      <c r="I177" s="38"/>
      <c r="J177" s="275"/>
      <c r="K177" s="41"/>
      <c r="L177" s="46"/>
      <c r="M177" s="38"/>
      <c r="N177" s="275"/>
      <c r="O177" s="42"/>
      <c r="P177" s="42"/>
      <c r="Q177" s="42"/>
      <c r="R177" s="275"/>
      <c r="S177" s="42"/>
      <c r="T177" s="42"/>
      <c r="U177" s="42"/>
      <c r="V177" s="275"/>
      <c r="Y177" s="42"/>
    </row>
    <row r="178" spans="1:25" x14ac:dyDescent="0.25">
      <c r="A178" s="21">
        <v>173</v>
      </c>
      <c r="B178" s="18" t="s">
        <v>16</v>
      </c>
      <c r="E178" s="42">
        <f>'Rev Recon Summary'!R96</f>
        <v>-470919.58999999997</v>
      </c>
      <c r="F178" s="275"/>
      <c r="G178" s="38"/>
      <c r="H178" s="38"/>
      <c r="I178" s="38"/>
      <c r="J178" s="275"/>
      <c r="K178" s="41"/>
      <c r="L178" s="46"/>
      <c r="M178" s="38"/>
      <c r="N178" s="275"/>
      <c r="O178" s="42"/>
      <c r="P178" s="42"/>
      <c r="Q178" s="42"/>
      <c r="R178" s="275"/>
      <c r="S178" s="42"/>
      <c r="T178" s="42"/>
      <c r="U178" s="42"/>
      <c r="V178" s="275"/>
      <c r="Y178" s="42"/>
    </row>
    <row r="179" spans="1:25" x14ac:dyDescent="0.25">
      <c r="A179" s="21">
        <v>174</v>
      </c>
      <c r="B179" s="18" t="s">
        <v>17</v>
      </c>
      <c r="E179" s="42">
        <f>'Rev Recon Summary'!R97</f>
        <v>282007</v>
      </c>
      <c r="F179" s="275"/>
      <c r="G179" s="38"/>
      <c r="H179" s="38"/>
      <c r="I179" s="38"/>
      <c r="J179" s="275"/>
      <c r="K179" s="41"/>
      <c r="L179" s="46"/>
      <c r="M179" s="38"/>
      <c r="N179" s="275"/>
      <c r="O179" s="42"/>
      <c r="P179" s="42"/>
      <c r="Q179" s="42"/>
      <c r="R179" s="275"/>
      <c r="S179" s="42"/>
      <c r="T179" s="42"/>
      <c r="U179" s="42"/>
      <c r="V179" s="275"/>
      <c r="Y179" s="42"/>
    </row>
    <row r="180" spans="1:25" x14ac:dyDescent="0.25">
      <c r="A180" s="21">
        <v>175</v>
      </c>
      <c r="B180" s="18" t="s">
        <v>18</v>
      </c>
      <c r="E180" s="42">
        <f>'Rev Recon Summary'!R98</f>
        <v>0</v>
      </c>
      <c r="F180" s="275"/>
      <c r="G180" s="38"/>
      <c r="H180" s="38"/>
      <c r="I180" s="38"/>
      <c r="J180" s="275"/>
      <c r="K180" s="41"/>
      <c r="L180" s="46"/>
      <c r="M180" s="38"/>
      <c r="N180" s="275"/>
      <c r="O180" s="42"/>
      <c r="P180" s="42"/>
      <c r="Q180" s="42"/>
      <c r="R180" s="275"/>
      <c r="S180" s="42"/>
      <c r="T180" s="42"/>
      <c r="U180" s="42"/>
      <c r="V180" s="275"/>
      <c r="Y180" s="42"/>
    </row>
    <row r="181" spans="1:25" x14ac:dyDescent="0.25">
      <c r="A181" s="21">
        <v>176</v>
      </c>
      <c r="B181" s="18" t="s">
        <v>93</v>
      </c>
      <c r="E181" s="43">
        <f>SUM(E162:E180)</f>
        <v>798807.57</v>
      </c>
      <c r="F181" s="275"/>
      <c r="G181" s="38"/>
      <c r="H181" s="38"/>
      <c r="I181" s="38"/>
      <c r="J181" s="275"/>
      <c r="K181" s="41"/>
      <c r="L181" s="46"/>
      <c r="M181" s="38"/>
      <c r="N181" s="275"/>
      <c r="O181" s="42"/>
      <c r="P181" s="42"/>
      <c r="Q181" s="42"/>
      <c r="R181" s="275"/>
      <c r="S181" s="42"/>
      <c r="T181" s="42"/>
      <c r="U181" s="42"/>
      <c r="V181" s="275"/>
      <c r="Y181" s="42"/>
    </row>
    <row r="182" spans="1:25" x14ac:dyDescent="0.25">
      <c r="A182" s="21">
        <v>177</v>
      </c>
      <c r="B182" s="19" t="s">
        <v>93</v>
      </c>
      <c r="E182" s="143"/>
      <c r="F182" s="286"/>
      <c r="G182" s="19"/>
      <c r="H182" s="19"/>
      <c r="I182" s="19"/>
      <c r="J182" s="286"/>
      <c r="K182" s="41"/>
      <c r="L182" s="46"/>
      <c r="M182" s="38"/>
      <c r="N182" s="286"/>
      <c r="O182" s="42"/>
      <c r="P182" s="42"/>
      <c r="Q182" s="42"/>
      <c r="R182" s="286"/>
      <c r="S182" s="42"/>
      <c r="T182" s="42"/>
      <c r="U182" s="42"/>
      <c r="V182" s="286"/>
      <c r="Y182" s="42"/>
    </row>
    <row r="183" spans="1:25" x14ac:dyDescent="0.25">
      <c r="A183" s="21">
        <v>178</v>
      </c>
      <c r="E183" s="42"/>
      <c r="F183" s="281"/>
      <c r="G183" s="42"/>
      <c r="H183" s="42"/>
      <c r="I183" s="42"/>
      <c r="J183" s="281"/>
      <c r="K183" s="41"/>
      <c r="L183" s="46"/>
      <c r="M183" s="38"/>
      <c r="N183" s="281"/>
      <c r="O183" s="42"/>
      <c r="P183" s="42"/>
      <c r="Q183" s="42"/>
      <c r="R183" s="281"/>
      <c r="S183" s="42"/>
      <c r="T183" s="42"/>
      <c r="U183" s="42"/>
      <c r="V183" s="281"/>
      <c r="Y183" s="42"/>
    </row>
    <row r="184" spans="1:25" x14ac:dyDescent="0.25">
      <c r="A184" s="21">
        <v>179</v>
      </c>
      <c r="B184" s="104" t="s">
        <v>219</v>
      </c>
      <c r="C184" s="39">
        <f>E184-'Rev Recon Summary'!R102</f>
        <v>0</v>
      </c>
      <c r="D184" s="105" t="s">
        <v>45</v>
      </c>
      <c r="E184" s="65">
        <f>SUM(E157,E159,E181)</f>
        <v>8914308.0099999998</v>
      </c>
      <c r="F184" s="279"/>
      <c r="G184" s="39"/>
      <c r="H184" s="39"/>
      <c r="I184" s="39"/>
      <c r="J184" s="279"/>
      <c r="K184" s="101"/>
      <c r="L184" s="134"/>
      <c r="M184" s="39"/>
      <c r="N184" s="279"/>
      <c r="O184" s="65"/>
      <c r="P184" s="65"/>
      <c r="Q184" s="65"/>
      <c r="R184" s="279"/>
      <c r="S184" s="65"/>
      <c r="T184" s="65"/>
      <c r="U184" s="65"/>
      <c r="V184" s="279"/>
      <c r="W184" s="71"/>
      <c r="X184" s="71"/>
      <c r="Y184" s="65"/>
    </row>
    <row r="185" spans="1:25" x14ac:dyDescent="0.25">
      <c r="A185" s="21">
        <v>180</v>
      </c>
      <c r="E185" s="42"/>
      <c r="F185" s="281"/>
      <c r="G185" s="42"/>
      <c r="H185" s="42"/>
      <c r="I185" s="42"/>
      <c r="J185" s="281"/>
      <c r="K185" s="41"/>
      <c r="L185" s="46"/>
      <c r="M185" s="38"/>
      <c r="N185" s="281"/>
      <c r="O185" s="42"/>
      <c r="P185" s="42"/>
      <c r="Q185" s="42"/>
      <c r="R185" s="281"/>
      <c r="S185" s="42"/>
      <c r="T185" s="42"/>
      <c r="U185" s="42"/>
      <c r="V185" s="281"/>
      <c r="Y185" s="42"/>
    </row>
    <row r="186" spans="1:25" x14ac:dyDescent="0.25">
      <c r="A186" s="21">
        <v>181</v>
      </c>
      <c r="B186" s="30" t="s">
        <v>204</v>
      </c>
      <c r="E186" s="42"/>
      <c r="F186" s="281"/>
      <c r="G186" s="42" t="s">
        <v>418</v>
      </c>
      <c r="H186" s="42"/>
      <c r="I186" s="42"/>
      <c r="J186" s="281"/>
      <c r="K186" s="41"/>
      <c r="L186" s="46"/>
      <c r="M186" s="38"/>
      <c r="N186" s="281"/>
      <c r="O186" s="42"/>
      <c r="P186" s="42"/>
      <c r="Q186" s="42"/>
      <c r="R186" s="281"/>
      <c r="S186" s="42"/>
      <c r="T186" s="42"/>
      <c r="U186" s="42"/>
      <c r="V186" s="281"/>
      <c r="Y186" s="42"/>
    </row>
    <row r="187" spans="1:25" x14ac:dyDescent="0.25">
      <c r="A187" s="21">
        <v>182</v>
      </c>
      <c r="B187" s="19" t="s">
        <v>308</v>
      </c>
      <c r="C187" s="174">
        <f>E187/D187</f>
        <v>7</v>
      </c>
      <c r="D187" s="38">
        <v>10</v>
      </c>
      <c r="E187" s="42">
        <f>SUM('1501 Summary'!G121,'1501 Summary'!I121,'1501 Summary'!K121,'1501 Summary'!M121,'1501 Summary'!O121,'1501 Summary'!Q121,'1501 Summary'!S121)</f>
        <v>70</v>
      </c>
      <c r="F187" s="275"/>
      <c r="G187" s="241">
        <f>-C187</f>
        <v>-7</v>
      </c>
      <c r="H187" s="38">
        <f>D187</f>
        <v>10</v>
      </c>
      <c r="I187" s="42">
        <f>H187*G187</f>
        <v>-70</v>
      </c>
      <c r="J187" s="275"/>
      <c r="K187" s="41">
        <f t="shared" si="23"/>
        <v>0</v>
      </c>
      <c r="L187" s="38">
        <f t="shared" ref="L187:L220" si="28">D187</f>
        <v>10</v>
      </c>
      <c r="M187" s="42">
        <f t="shared" ref="M187:M190" si="29">L187*K187</f>
        <v>0</v>
      </c>
      <c r="N187" s="275"/>
      <c r="O187" s="42"/>
      <c r="P187" s="42"/>
      <c r="Q187" s="42"/>
      <c r="R187" s="275"/>
      <c r="S187" s="86"/>
      <c r="T187" s="86"/>
      <c r="U187" s="86"/>
      <c r="V187" s="275"/>
      <c r="W187" s="41"/>
      <c r="X187" s="41"/>
      <c r="Y187" s="86"/>
    </row>
    <row r="188" spans="1:25" x14ac:dyDescent="0.25">
      <c r="A188" s="21">
        <v>183</v>
      </c>
      <c r="B188" s="19" t="s">
        <v>309</v>
      </c>
      <c r="C188" s="174">
        <f>E188/D188</f>
        <v>4.7692307692307692</v>
      </c>
      <c r="D188" s="38">
        <v>13</v>
      </c>
      <c r="E188" s="42">
        <f>SUM('1501 Summary'!U121,'1501 Summary'!W121,'1501 Summary'!Y121,'1501 Summary'!AA121,'1501 Summary'!AC121)</f>
        <v>62</v>
      </c>
      <c r="F188" s="275"/>
      <c r="G188" s="241">
        <f t="shared" ref="G188:G190" si="30">-C188</f>
        <v>-4.7692307692307692</v>
      </c>
      <c r="H188" s="38">
        <f t="shared" ref="H188:H190" si="31">D188</f>
        <v>13</v>
      </c>
      <c r="I188" s="42">
        <f t="shared" ref="I188:I190" si="32">H188*G188</f>
        <v>-62</v>
      </c>
      <c r="J188" s="275"/>
      <c r="K188" s="41">
        <f t="shared" si="23"/>
        <v>0</v>
      </c>
      <c r="L188" s="38">
        <f t="shared" si="28"/>
        <v>13</v>
      </c>
      <c r="M188" s="42">
        <f t="shared" si="29"/>
        <v>0</v>
      </c>
      <c r="N188" s="275"/>
      <c r="O188" s="42"/>
      <c r="P188" s="42"/>
      <c r="Q188" s="42"/>
      <c r="R188" s="275"/>
      <c r="S188" s="86"/>
      <c r="T188" s="86"/>
      <c r="U188" s="86"/>
      <c r="V188" s="275"/>
      <c r="W188" s="41"/>
      <c r="X188" s="41"/>
      <c r="Y188" s="86"/>
    </row>
    <row r="189" spans="1:25" x14ac:dyDescent="0.25">
      <c r="A189" s="21">
        <v>184</v>
      </c>
      <c r="B189" s="19" t="s">
        <v>334</v>
      </c>
      <c r="C189" s="174">
        <f t="shared" ref="C189:C190" si="33">E189/D189</f>
        <v>21186.9310793238</v>
      </c>
      <c r="D189" s="81">
        <v>0.24607999999999999</v>
      </c>
      <c r="E189" s="42">
        <f>SUM('1501 Summary'!G122:S122)</f>
        <v>5213.68</v>
      </c>
      <c r="F189" s="275"/>
      <c r="G189" s="241">
        <f t="shared" si="30"/>
        <v>-21186.9310793238</v>
      </c>
      <c r="H189" s="46">
        <f t="shared" si="31"/>
        <v>0.24607999999999999</v>
      </c>
      <c r="I189" s="42">
        <f t="shared" si="32"/>
        <v>-5213.68</v>
      </c>
      <c r="J189" s="275"/>
      <c r="K189" s="41">
        <f t="shared" si="23"/>
        <v>0</v>
      </c>
      <c r="L189" s="46">
        <f t="shared" si="28"/>
        <v>0.24607999999999999</v>
      </c>
      <c r="M189" s="42">
        <f t="shared" si="29"/>
        <v>0</v>
      </c>
      <c r="N189" s="275"/>
      <c r="O189" s="42"/>
      <c r="P189" s="42"/>
      <c r="Q189" s="42"/>
      <c r="R189" s="275"/>
      <c r="S189" s="86"/>
      <c r="T189" s="86"/>
      <c r="U189" s="86"/>
      <c r="V189" s="275"/>
      <c r="W189" s="41"/>
      <c r="X189" s="41"/>
      <c r="Y189" s="86"/>
    </row>
    <row r="190" spans="1:25" x14ac:dyDescent="0.25">
      <c r="A190" s="21">
        <v>185</v>
      </c>
      <c r="B190" s="19" t="s">
        <v>335</v>
      </c>
      <c r="C190" s="174">
        <f t="shared" si="33"/>
        <v>6333.808659579985</v>
      </c>
      <c r="D190" s="81">
        <v>0.23141999999999999</v>
      </c>
      <c r="E190" s="65">
        <f>SUM('1501 Summary'!U122:AC122)</f>
        <v>1465.77</v>
      </c>
      <c r="F190" s="275"/>
      <c r="G190" s="241">
        <f t="shared" si="30"/>
        <v>-6333.808659579985</v>
      </c>
      <c r="H190" s="46">
        <f t="shared" si="31"/>
        <v>0.23141999999999999</v>
      </c>
      <c r="I190" s="65">
        <f t="shared" si="32"/>
        <v>-1465.77</v>
      </c>
      <c r="J190" s="275"/>
      <c r="K190" s="41">
        <f t="shared" si="23"/>
        <v>0</v>
      </c>
      <c r="L190" s="46">
        <f t="shared" si="28"/>
        <v>0.23141999999999999</v>
      </c>
      <c r="M190" s="65">
        <f t="shared" si="29"/>
        <v>0</v>
      </c>
      <c r="N190" s="275"/>
      <c r="O190" s="42"/>
      <c r="P190" s="42"/>
      <c r="Q190" s="42"/>
      <c r="R190" s="275"/>
      <c r="S190" s="86"/>
      <c r="T190" s="86"/>
      <c r="U190" s="86"/>
      <c r="V190" s="275"/>
      <c r="W190" s="41"/>
      <c r="X190" s="41"/>
      <c r="Y190" s="86"/>
    </row>
    <row r="191" spans="1:25" x14ac:dyDescent="0.25">
      <c r="A191" s="21">
        <v>186</v>
      </c>
      <c r="E191" s="42">
        <f>SUM(E187:E190)</f>
        <v>6811.4500000000007</v>
      </c>
      <c r="F191" s="275"/>
      <c r="G191" s="38"/>
      <c r="H191" s="38"/>
      <c r="I191" s="42">
        <f>SUM(I187:I190)</f>
        <v>-6811.4500000000007</v>
      </c>
      <c r="J191" s="275"/>
      <c r="K191" s="41"/>
      <c r="L191" s="46"/>
      <c r="M191" s="42">
        <f>SUM(M187:M190)</f>
        <v>0</v>
      </c>
      <c r="N191" s="275"/>
      <c r="O191" s="42"/>
      <c r="P191" s="42"/>
      <c r="Q191" s="42"/>
      <c r="R191" s="275"/>
      <c r="S191" s="86"/>
      <c r="T191" s="86"/>
      <c r="U191" s="86"/>
      <c r="V191" s="275"/>
      <c r="Y191" s="86"/>
    </row>
    <row r="192" spans="1:25" x14ac:dyDescent="0.25">
      <c r="A192" s="21">
        <v>187</v>
      </c>
      <c r="E192" s="42"/>
      <c r="F192" s="281"/>
      <c r="G192" s="42"/>
      <c r="H192" s="42"/>
      <c r="I192" s="42"/>
      <c r="J192" s="281"/>
      <c r="K192" s="41"/>
      <c r="L192" s="46"/>
      <c r="M192" s="42"/>
      <c r="N192" s="281"/>
      <c r="O192" s="42"/>
      <c r="P192" s="42"/>
      <c r="Q192" s="42"/>
      <c r="R192" s="281"/>
      <c r="S192" s="42"/>
      <c r="T192" s="42"/>
      <c r="U192" s="42"/>
      <c r="V192" s="281"/>
      <c r="Y192" s="42"/>
    </row>
    <row r="193" spans="1:25" x14ac:dyDescent="0.25">
      <c r="A193" s="21">
        <v>188</v>
      </c>
      <c r="B193" s="19" t="s">
        <v>11</v>
      </c>
      <c r="E193" s="42">
        <f>'1501 Summary'!AD123</f>
        <v>12508.099999999999</v>
      </c>
      <c r="F193" s="281"/>
      <c r="G193" s="42"/>
      <c r="H193" s="42"/>
      <c r="I193" s="42"/>
      <c r="J193" s="281"/>
      <c r="K193" s="41"/>
      <c r="L193" s="46"/>
      <c r="M193" s="42"/>
      <c r="N193" s="281"/>
      <c r="O193" s="42"/>
      <c r="P193" s="42"/>
      <c r="Q193" s="42"/>
      <c r="R193" s="281"/>
      <c r="S193" s="42"/>
      <c r="T193" s="42"/>
      <c r="U193" s="42"/>
      <c r="V193" s="281"/>
      <c r="Y193" s="42"/>
    </row>
    <row r="194" spans="1:25" x14ac:dyDescent="0.25">
      <c r="A194" s="21">
        <v>189</v>
      </c>
      <c r="E194" s="42"/>
      <c r="F194" s="281"/>
      <c r="G194" s="42"/>
      <c r="H194" s="42"/>
      <c r="I194" s="42"/>
      <c r="J194" s="281"/>
      <c r="K194" s="41"/>
      <c r="L194" s="46"/>
      <c r="M194" s="42"/>
      <c r="N194" s="281"/>
      <c r="O194" s="42"/>
      <c r="P194" s="42"/>
      <c r="Q194" s="42"/>
      <c r="R194" s="281"/>
      <c r="S194" s="42"/>
      <c r="T194" s="42"/>
      <c r="U194" s="42"/>
      <c r="V194" s="281"/>
      <c r="Y194" s="42"/>
    </row>
    <row r="195" spans="1:25" x14ac:dyDescent="0.25">
      <c r="A195" s="21">
        <v>190</v>
      </c>
      <c r="B195" s="19" t="s">
        <v>139</v>
      </c>
      <c r="E195" s="42">
        <f>'1501 Summary'!AD124</f>
        <v>64.929999999999978</v>
      </c>
      <c r="F195" s="275"/>
      <c r="G195" s="38"/>
      <c r="H195" s="38"/>
      <c r="I195" s="38"/>
      <c r="J195" s="275"/>
      <c r="K195" s="41"/>
      <c r="L195" s="46"/>
      <c r="M195" s="42"/>
      <c r="N195" s="275"/>
      <c r="O195" s="42"/>
      <c r="P195" s="42"/>
      <c r="Q195" s="42"/>
      <c r="R195" s="275"/>
      <c r="S195" s="19"/>
      <c r="T195" s="19"/>
      <c r="U195" s="19"/>
      <c r="V195" s="275"/>
      <c r="Y195" s="19"/>
    </row>
    <row r="196" spans="1:25" x14ac:dyDescent="0.25">
      <c r="A196" s="21">
        <v>191</v>
      </c>
      <c r="B196" s="19" t="s">
        <v>140</v>
      </c>
      <c r="E196" s="42">
        <f>'1501 Summary'!AD125</f>
        <v>244.42000000000002</v>
      </c>
      <c r="F196" s="275"/>
      <c r="G196" s="38"/>
      <c r="H196" s="38"/>
      <c r="I196" s="38"/>
      <c r="J196" s="275"/>
      <c r="K196" s="41"/>
      <c r="L196" s="46"/>
      <c r="M196" s="42"/>
      <c r="N196" s="275"/>
      <c r="O196" s="42"/>
      <c r="P196" s="42"/>
      <c r="Q196" s="42"/>
      <c r="R196" s="275"/>
      <c r="S196" s="18"/>
      <c r="T196" s="18"/>
      <c r="U196" s="18"/>
      <c r="V196" s="275"/>
      <c r="Y196" s="18"/>
    </row>
    <row r="197" spans="1:25" x14ac:dyDescent="0.25">
      <c r="A197" s="21">
        <v>192</v>
      </c>
      <c r="B197" s="19" t="s">
        <v>141</v>
      </c>
      <c r="E197" s="42">
        <f>'1501 Summary'!AD126</f>
        <v>-75.17</v>
      </c>
      <c r="F197" s="275"/>
      <c r="G197" s="38"/>
      <c r="H197" s="38"/>
      <c r="I197" s="38"/>
      <c r="J197" s="275"/>
      <c r="K197" s="41"/>
      <c r="L197" s="46"/>
      <c r="M197" s="42"/>
      <c r="N197" s="275"/>
      <c r="O197" s="42"/>
      <c r="P197" s="42"/>
      <c r="Q197" s="42"/>
      <c r="R197" s="275"/>
      <c r="S197" s="18"/>
      <c r="T197" s="18"/>
      <c r="U197" s="18"/>
      <c r="V197" s="275"/>
      <c r="Y197" s="18"/>
    </row>
    <row r="198" spans="1:25" x14ac:dyDescent="0.25">
      <c r="A198" s="21">
        <v>193</v>
      </c>
      <c r="B198" s="19" t="s">
        <v>142</v>
      </c>
      <c r="E198" s="42">
        <f>'1501 Summary'!AD127</f>
        <v>1366.5700000000002</v>
      </c>
      <c r="F198" s="275"/>
      <c r="G198" s="38"/>
      <c r="H198" s="38"/>
      <c r="I198" s="38"/>
      <c r="J198" s="275"/>
      <c r="K198" s="41"/>
      <c r="L198" s="46"/>
      <c r="M198" s="42"/>
      <c r="N198" s="275"/>
      <c r="O198" s="42"/>
      <c r="P198" s="42"/>
      <c r="Q198" s="42"/>
      <c r="R198" s="275"/>
      <c r="S198" s="18"/>
      <c r="T198" s="18"/>
      <c r="U198" s="18"/>
      <c r="V198" s="275"/>
      <c r="Y198" s="18"/>
    </row>
    <row r="199" spans="1:25" x14ac:dyDescent="0.25">
      <c r="A199" s="21">
        <v>194</v>
      </c>
      <c r="B199" s="19" t="s">
        <v>143</v>
      </c>
      <c r="E199" s="42">
        <f>'1501 Summary'!AD128</f>
        <v>423.67000000000007</v>
      </c>
      <c r="F199" s="275"/>
      <c r="G199" s="38"/>
      <c r="H199" s="38"/>
      <c r="I199" s="38"/>
      <c r="J199" s="275"/>
      <c r="K199" s="41"/>
      <c r="L199" s="46"/>
      <c r="M199" s="42"/>
      <c r="N199" s="275"/>
      <c r="O199" s="42"/>
      <c r="P199" s="42"/>
      <c r="Q199" s="42"/>
      <c r="R199" s="275"/>
      <c r="S199" s="18"/>
      <c r="T199" s="18"/>
      <c r="U199" s="18"/>
      <c r="V199" s="275"/>
      <c r="Y199" s="18"/>
    </row>
    <row r="200" spans="1:25" x14ac:dyDescent="0.25">
      <c r="A200" s="21">
        <v>195</v>
      </c>
      <c r="B200" s="103" t="s">
        <v>224</v>
      </c>
      <c r="E200" s="42">
        <f>'1501 Summary'!AD129</f>
        <v>-32.700000000000003</v>
      </c>
      <c r="F200" s="275"/>
      <c r="G200" s="38"/>
      <c r="H200" s="38"/>
      <c r="I200" s="38"/>
      <c r="J200" s="275"/>
      <c r="K200" s="41"/>
      <c r="L200" s="46"/>
      <c r="M200" s="42"/>
      <c r="N200" s="275"/>
      <c r="O200" s="42"/>
      <c r="P200" s="42"/>
      <c r="Q200" s="42"/>
      <c r="R200" s="275"/>
      <c r="S200" s="99"/>
      <c r="T200" s="99"/>
      <c r="U200" s="99"/>
      <c r="V200" s="275"/>
      <c r="Y200" s="99"/>
    </row>
    <row r="201" spans="1:25" x14ac:dyDescent="0.25">
      <c r="A201" s="21">
        <v>196</v>
      </c>
      <c r="B201" s="103" t="s">
        <v>225</v>
      </c>
      <c r="E201" s="42">
        <f>'1501 Summary'!AD130</f>
        <v>-15.39</v>
      </c>
      <c r="F201" s="275"/>
      <c r="G201" s="38"/>
      <c r="H201" s="38"/>
      <c r="I201" s="38"/>
      <c r="J201" s="275"/>
      <c r="K201" s="41"/>
      <c r="L201" s="46"/>
      <c r="M201" s="42"/>
      <c r="N201" s="275"/>
      <c r="O201" s="42"/>
      <c r="P201" s="42"/>
      <c r="Q201" s="42"/>
      <c r="R201" s="275"/>
      <c r="S201" s="99"/>
      <c r="T201" s="99"/>
      <c r="U201" s="99"/>
      <c r="V201" s="275"/>
      <c r="Y201" s="99"/>
    </row>
    <row r="202" spans="1:25" x14ac:dyDescent="0.25">
      <c r="A202" s="21">
        <v>197</v>
      </c>
      <c r="B202" s="103" t="s">
        <v>226</v>
      </c>
      <c r="E202" s="42">
        <f>'1501 Summary'!AD131</f>
        <v>-29.09</v>
      </c>
      <c r="F202" s="275"/>
      <c r="G202" s="38"/>
      <c r="H202" s="38"/>
      <c r="I202" s="38"/>
      <c r="J202" s="275"/>
      <c r="K202" s="41"/>
      <c r="L202" s="46"/>
      <c r="M202" s="42"/>
      <c r="N202" s="275"/>
      <c r="O202" s="42"/>
      <c r="P202" s="42"/>
      <c r="Q202" s="42"/>
      <c r="R202" s="275"/>
      <c r="S202" s="99"/>
      <c r="T202" s="99"/>
      <c r="U202" s="99"/>
      <c r="V202" s="275"/>
      <c r="Y202" s="99"/>
    </row>
    <row r="203" spans="1:25" x14ac:dyDescent="0.25">
      <c r="A203" s="21">
        <v>198</v>
      </c>
      <c r="B203" s="19" t="s">
        <v>144</v>
      </c>
      <c r="E203" s="42">
        <f>'1501 Summary'!AD132</f>
        <v>1275.9899999999998</v>
      </c>
      <c r="F203" s="275"/>
      <c r="G203" s="38"/>
      <c r="H203" s="38"/>
      <c r="I203" s="38"/>
      <c r="J203" s="275"/>
      <c r="K203" s="41"/>
      <c r="L203" s="46"/>
      <c r="M203" s="42"/>
      <c r="N203" s="275"/>
      <c r="O203" s="42"/>
      <c r="P203" s="42"/>
      <c r="Q203" s="42"/>
      <c r="R203" s="275"/>
      <c r="S203" s="18"/>
      <c r="T203" s="18"/>
      <c r="U203" s="18"/>
      <c r="V203" s="275"/>
      <c r="Y203" s="18"/>
    </row>
    <row r="204" spans="1:25" x14ac:dyDescent="0.25">
      <c r="A204" s="21">
        <v>199</v>
      </c>
      <c r="B204" s="19" t="s">
        <v>24</v>
      </c>
      <c r="E204" s="42"/>
      <c r="F204" s="275"/>
      <c r="G204" s="38"/>
      <c r="H204" s="38"/>
      <c r="I204" s="38"/>
      <c r="J204" s="275"/>
      <c r="K204" s="41"/>
      <c r="L204" s="46"/>
      <c r="M204" s="42"/>
      <c r="N204" s="275"/>
      <c r="O204" s="42"/>
      <c r="P204" s="42"/>
      <c r="Q204" s="42"/>
      <c r="R204" s="275"/>
      <c r="S204" s="103"/>
      <c r="T204" s="103"/>
      <c r="U204" s="103"/>
      <c r="V204" s="275"/>
      <c r="Y204" s="103"/>
    </row>
    <row r="205" spans="1:25" x14ac:dyDescent="0.25">
      <c r="A205" s="21">
        <v>200</v>
      </c>
      <c r="B205" s="19" t="s">
        <v>14</v>
      </c>
      <c r="E205" s="42">
        <f>'Rev Recon Summary'!R114</f>
        <v>0</v>
      </c>
      <c r="F205" s="275"/>
      <c r="G205" s="38"/>
      <c r="H205" s="38"/>
      <c r="I205" s="38"/>
      <c r="J205" s="275"/>
      <c r="K205" s="41"/>
      <c r="L205" s="46"/>
      <c r="M205" s="42"/>
      <c r="N205" s="275"/>
      <c r="O205" s="42"/>
      <c r="P205" s="42"/>
      <c r="Q205" s="42"/>
      <c r="R205" s="275"/>
      <c r="S205" s="103"/>
      <c r="T205" s="103"/>
      <c r="U205" s="103"/>
      <c r="V205" s="275"/>
      <c r="Y205" s="103"/>
    </row>
    <row r="206" spans="1:25" x14ac:dyDescent="0.25">
      <c r="A206" s="21">
        <v>201</v>
      </c>
      <c r="B206" s="19" t="s">
        <v>15</v>
      </c>
      <c r="E206" s="42">
        <f>'Rev Recon Summary'!R115</f>
        <v>0</v>
      </c>
      <c r="F206" s="275"/>
      <c r="G206" s="38"/>
      <c r="H206" s="38"/>
      <c r="I206" s="38"/>
      <c r="J206" s="275"/>
      <c r="K206" s="41"/>
      <c r="L206" s="46"/>
      <c r="M206" s="42"/>
      <c r="N206" s="275"/>
      <c r="O206" s="42"/>
      <c r="P206" s="42"/>
      <c r="Q206" s="42"/>
      <c r="R206" s="275"/>
      <c r="S206" s="19"/>
      <c r="T206" s="19"/>
      <c r="U206" s="19"/>
      <c r="V206" s="275"/>
      <c r="Y206" s="19"/>
    </row>
    <row r="207" spans="1:25" x14ac:dyDescent="0.25">
      <c r="A207" s="21">
        <v>202</v>
      </c>
      <c r="B207" s="19" t="s">
        <v>16</v>
      </c>
      <c r="E207" s="42">
        <f>'Rev Recon Summary'!R116</f>
        <v>-7035.6900000000014</v>
      </c>
      <c r="F207" s="275"/>
      <c r="G207" s="38"/>
      <c r="H207" s="38"/>
      <c r="I207" s="38"/>
      <c r="J207" s="275"/>
      <c r="K207" s="41"/>
      <c r="L207" s="46"/>
      <c r="M207" s="42"/>
      <c r="N207" s="275"/>
      <c r="O207" s="42"/>
      <c r="P207" s="42"/>
      <c r="Q207" s="42"/>
      <c r="R207" s="275"/>
      <c r="S207" s="42"/>
      <c r="T207" s="42"/>
      <c r="U207" s="42"/>
      <c r="V207" s="275"/>
      <c r="Y207" s="42"/>
    </row>
    <row r="208" spans="1:25" x14ac:dyDescent="0.25">
      <c r="A208" s="21">
        <v>203</v>
      </c>
      <c r="B208" s="19" t="s">
        <v>17</v>
      </c>
      <c r="E208" s="42">
        <f>'Rev Recon Summary'!R117</f>
        <v>182.12</v>
      </c>
      <c r="F208" s="275"/>
      <c r="G208" s="38"/>
      <c r="H208" s="38"/>
      <c r="I208" s="38"/>
      <c r="J208" s="275"/>
      <c r="K208" s="41"/>
      <c r="L208" s="46"/>
      <c r="M208" s="42"/>
      <c r="N208" s="275"/>
      <c r="O208" s="42"/>
      <c r="P208" s="42"/>
      <c r="Q208" s="42"/>
      <c r="R208" s="275"/>
      <c r="S208" s="42"/>
      <c r="T208" s="42"/>
      <c r="U208" s="42"/>
      <c r="V208" s="275"/>
      <c r="Y208" s="42"/>
    </row>
    <row r="209" spans="1:25" x14ac:dyDescent="0.25">
      <c r="A209" s="21">
        <v>204</v>
      </c>
      <c r="B209" s="19" t="s">
        <v>18</v>
      </c>
      <c r="E209" s="42">
        <f>'Rev Recon Summary'!R118</f>
        <v>0</v>
      </c>
      <c r="F209" s="275"/>
      <c r="G209" s="38"/>
      <c r="H209" s="38"/>
      <c r="I209" s="38"/>
      <c r="J209" s="275"/>
      <c r="K209" s="41"/>
      <c r="L209" s="46"/>
      <c r="M209" s="42"/>
      <c r="N209" s="275"/>
      <c r="O209" s="42"/>
      <c r="P209" s="42"/>
      <c r="Q209" s="42"/>
      <c r="R209" s="275"/>
      <c r="S209" s="42"/>
      <c r="T209" s="42"/>
      <c r="U209" s="42"/>
      <c r="V209" s="275"/>
      <c r="Y209" s="42"/>
    </row>
    <row r="210" spans="1:25" x14ac:dyDescent="0.25">
      <c r="A210" s="21">
        <v>205</v>
      </c>
      <c r="B210" s="6" t="s">
        <v>13</v>
      </c>
      <c r="E210" s="42">
        <f>'Rev Recon Summary'!R119</f>
        <v>0</v>
      </c>
      <c r="F210" s="275"/>
      <c r="G210" s="38"/>
      <c r="H210" s="38"/>
      <c r="I210" s="38"/>
      <c r="J210" s="275"/>
      <c r="K210" s="41"/>
      <c r="L210" s="46"/>
      <c r="M210" s="42"/>
      <c r="N210" s="275"/>
      <c r="O210" s="42"/>
      <c r="P210" s="42"/>
      <c r="Q210" s="42"/>
      <c r="R210" s="275"/>
      <c r="S210" s="42"/>
      <c r="T210" s="42"/>
      <c r="U210" s="42"/>
      <c r="V210" s="275"/>
      <c r="Y210" s="42"/>
    </row>
    <row r="211" spans="1:25" x14ac:dyDescent="0.25">
      <c r="A211" s="21">
        <v>206</v>
      </c>
      <c r="B211" s="6" t="s">
        <v>55</v>
      </c>
      <c r="E211" s="42">
        <f>'Rev Recon Summary'!R120</f>
        <v>-22477.849999999995</v>
      </c>
      <c r="F211" s="275"/>
      <c r="G211" s="38"/>
      <c r="H211" s="38"/>
      <c r="I211" s="38"/>
      <c r="J211" s="275"/>
      <c r="K211" s="41"/>
      <c r="L211" s="46"/>
      <c r="M211" s="42"/>
      <c r="N211" s="275"/>
      <c r="O211" s="42"/>
      <c r="P211" s="42"/>
      <c r="Q211" s="42"/>
      <c r="R211" s="275"/>
      <c r="S211" s="42"/>
      <c r="T211" s="42"/>
      <c r="U211" s="42"/>
      <c r="V211" s="275"/>
      <c r="Y211" s="42"/>
    </row>
    <row r="212" spans="1:25" x14ac:dyDescent="0.25">
      <c r="A212" s="21">
        <v>207</v>
      </c>
      <c r="B212" s="6" t="s">
        <v>56</v>
      </c>
      <c r="E212" s="65">
        <f>'Rev Recon Summary'!R121</f>
        <v>23650.450000000004</v>
      </c>
      <c r="F212" s="275"/>
      <c r="G212" s="38"/>
      <c r="H212" s="38"/>
      <c r="I212" s="38"/>
      <c r="J212" s="275"/>
      <c r="K212" s="41"/>
      <c r="L212" s="46"/>
      <c r="M212" s="42"/>
      <c r="N212" s="275"/>
      <c r="O212" s="42"/>
      <c r="P212" s="42"/>
      <c r="Q212" s="42"/>
      <c r="R212" s="275"/>
      <c r="S212" s="42"/>
      <c r="T212" s="42"/>
      <c r="U212" s="42"/>
      <c r="V212" s="275"/>
      <c r="Y212" s="42"/>
    </row>
    <row r="213" spans="1:25" x14ac:dyDescent="0.25">
      <c r="A213" s="21">
        <v>208</v>
      </c>
      <c r="B213" s="19" t="s">
        <v>93</v>
      </c>
      <c r="E213" s="42">
        <f>SUM(E195:E212)</f>
        <v>-2457.7399999999907</v>
      </c>
      <c r="F213" s="275"/>
      <c r="G213" s="38"/>
      <c r="H213" s="38"/>
      <c r="I213" s="38"/>
      <c r="J213" s="275"/>
      <c r="K213" s="41"/>
      <c r="L213" s="46"/>
      <c r="M213" s="42"/>
      <c r="N213" s="275"/>
      <c r="O213" s="42"/>
      <c r="P213" s="42"/>
      <c r="Q213" s="42"/>
      <c r="R213" s="275"/>
      <c r="S213" s="42"/>
      <c r="T213" s="42"/>
      <c r="U213" s="42"/>
      <c r="V213" s="275"/>
      <c r="Y213" s="42"/>
    </row>
    <row r="214" spans="1:25" x14ac:dyDescent="0.25">
      <c r="A214" s="21">
        <v>209</v>
      </c>
      <c r="E214" s="42"/>
      <c r="F214" s="275"/>
      <c r="G214" s="38"/>
      <c r="H214" s="38"/>
      <c r="I214" s="38"/>
      <c r="J214" s="275"/>
      <c r="K214" s="41"/>
      <c r="L214" s="46"/>
      <c r="M214" s="42"/>
      <c r="N214" s="275"/>
      <c r="O214" s="42"/>
      <c r="P214" s="42"/>
      <c r="Q214" s="42"/>
      <c r="R214" s="275"/>
      <c r="S214" s="42"/>
      <c r="T214" s="42"/>
      <c r="U214" s="42"/>
      <c r="V214" s="275"/>
      <c r="Y214" s="42"/>
    </row>
    <row r="215" spans="1:25" x14ac:dyDescent="0.25">
      <c r="A215" s="21">
        <v>210</v>
      </c>
      <c r="B215" s="104" t="s">
        <v>220</v>
      </c>
      <c r="C215" s="39">
        <f>E215-'Rev Recon Summary'!R122</f>
        <v>0</v>
      </c>
      <c r="D215" s="105" t="s">
        <v>45</v>
      </c>
      <c r="E215" s="65">
        <f>SUM(E191,E193,E213)</f>
        <v>16861.810000000009</v>
      </c>
      <c r="F215" s="279"/>
      <c r="G215" s="39"/>
      <c r="H215" s="39"/>
      <c r="I215" s="39"/>
      <c r="J215" s="279"/>
      <c r="K215" s="101"/>
      <c r="L215" s="134"/>
      <c r="M215" s="65"/>
      <c r="N215" s="279"/>
      <c r="O215" s="65"/>
      <c r="P215" s="65"/>
      <c r="Q215" s="65"/>
      <c r="R215" s="279"/>
      <c r="S215" s="65"/>
      <c r="T215" s="65"/>
      <c r="U215" s="65"/>
      <c r="V215" s="279"/>
      <c r="W215" s="78"/>
      <c r="X215" s="78"/>
      <c r="Y215" s="65"/>
    </row>
    <row r="216" spans="1:25" x14ac:dyDescent="0.25">
      <c r="A216" s="21">
        <v>211</v>
      </c>
      <c r="E216" s="42"/>
      <c r="F216" s="281"/>
      <c r="G216" s="42"/>
      <c r="H216" s="42"/>
      <c r="I216" s="42"/>
      <c r="J216" s="281"/>
      <c r="K216" s="41"/>
      <c r="L216" s="46"/>
      <c r="M216" s="42"/>
      <c r="N216" s="281"/>
      <c r="O216" s="42"/>
      <c r="P216" s="42"/>
      <c r="Q216" s="42"/>
      <c r="R216" s="281"/>
      <c r="V216" s="281"/>
    </row>
    <row r="217" spans="1:25" x14ac:dyDescent="0.25">
      <c r="A217" s="21">
        <v>212</v>
      </c>
      <c r="B217" s="30" t="s">
        <v>151</v>
      </c>
      <c r="E217" s="42"/>
      <c r="F217" s="281"/>
      <c r="G217" s="42" t="s">
        <v>643</v>
      </c>
      <c r="H217" s="42"/>
      <c r="I217" s="42"/>
      <c r="J217" s="281"/>
      <c r="K217" s="41"/>
      <c r="L217" s="46"/>
      <c r="M217" s="42"/>
      <c r="N217" s="281"/>
      <c r="O217" s="42"/>
      <c r="P217" s="42"/>
      <c r="Q217" s="42"/>
      <c r="R217" s="281"/>
      <c r="S217" s="42"/>
      <c r="T217" s="42"/>
      <c r="U217" s="42"/>
      <c r="V217" s="281"/>
      <c r="Y217" s="42"/>
    </row>
    <row r="218" spans="1:25" x14ac:dyDescent="0.25">
      <c r="A218" s="21">
        <v>213</v>
      </c>
      <c r="B218" s="19" t="s">
        <v>310</v>
      </c>
      <c r="C218" s="41">
        <f>E218/D218</f>
        <v>7</v>
      </c>
      <c r="D218" s="127">
        <v>14</v>
      </c>
      <c r="E218" s="42">
        <f>SUM('1501 Summary'!G139,'1501 Summary'!I139,'1501 Summary'!K139,'1501 Summary'!M139,'1501 Summary'!O139,'1501 Summary'!Q139,'1501 Summary'!S139)</f>
        <v>98</v>
      </c>
      <c r="F218" s="275"/>
      <c r="G218" s="241">
        <f>-C218</f>
        <v>-7</v>
      </c>
      <c r="H218" s="67">
        <f>D218</f>
        <v>14</v>
      </c>
      <c r="I218" s="42">
        <f>H218*G218</f>
        <v>-98</v>
      </c>
      <c r="J218" s="275"/>
      <c r="K218" s="41">
        <f t="shared" ref="K218:K248" si="34">C218+G218</f>
        <v>0</v>
      </c>
      <c r="L218" s="38">
        <f t="shared" si="28"/>
        <v>14</v>
      </c>
      <c r="M218" s="42">
        <f t="shared" ref="M218:M220" si="35">L218*K218</f>
        <v>0</v>
      </c>
      <c r="N218" s="275"/>
      <c r="O218" s="42"/>
      <c r="P218" s="42"/>
      <c r="Q218" s="42"/>
      <c r="R218" s="275"/>
      <c r="S218" s="86"/>
      <c r="T218" s="86"/>
      <c r="U218" s="86"/>
      <c r="V218" s="275"/>
      <c r="W218" s="41"/>
      <c r="X218" s="41"/>
      <c r="Y218" s="86"/>
    </row>
    <row r="219" spans="1:25" x14ac:dyDescent="0.25">
      <c r="A219" s="21">
        <v>214</v>
      </c>
      <c r="B219" s="19" t="s">
        <v>311</v>
      </c>
      <c r="C219" s="41">
        <v>0</v>
      </c>
      <c r="D219" s="23">
        <v>0</v>
      </c>
      <c r="E219" s="42">
        <f>SUM('1501 Summary'!U139:AC139)</f>
        <v>0</v>
      </c>
      <c r="F219" s="275"/>
      <c r="G219" s="38"/>
      <c r="H219" s="46"/>
      <c r="I219" s="42"/>
      <c r="J219" s="275"/>
      <c r="K219" s="41">
        <f t="shared" si="34"/>
        <v>0</v>
      </c>
      <c r="L219" s="38">
        <f t="shared" si="28"/>
        <v>0</v>
      </c>
      <c r="M219" s="42">
        <f t="shared" si="35"/>
        <v>0</v>
      </c>
      <c r="N219" s="275"/>
      <c r="O219" s="42"/>
      <c r="P219" s="42"/>
      <c r="Q219" s="42"/>
      <c r="R219" s="275"/>
      <c r="S219" s="86"/>
      <c r="T219" s="86"/>
      <c r="U219" s="86"/>
      <c r="V219" s="275"/>
      <c r="W219" s="41"/>
      <c r="X219" s="41"/>
      <c r="Y219" s="86"/>
    </row>
    <row r="220" spans="1:25" x14ac:dyDescent="0.25">
      <c r="A220" s="21">
        <v>215</v>
      </c>
      <c r="B220" s="19" t="s">
        <v>312</v>
      </c>
      <c r="C220" s="41">
        <f t="shared" ref="C220" si="36">E220/D220</f>
        <v>29278.970156897438</v>
      </c>
      <c r="D220" s="81">
        <v>0.21479000000000001</v>
      </c>
      <c r="E220" s="42">
        <f>SUM('1501 Summary'!G140:S140)</f>
        <v>6288.8300000000008</v>
      </c>
      <c r="F220" s="275"/>
      <c r="G220" s="241">
        <f t="shared" ref="G220" si="37">-C220</f>
        <v>-29278.970156897438</v>
      </c>
      <c r="H220" s="46">
        <f>D220</f>
        <v>0.21479000000000001</v>
      </c>
      <c r="I220" s="42">
        <f t="shared" ref="I220" si="38">H220*G220</f>
        <v>-6288.8300000000008</v>
      </c>
      <c r="J220" s="275"/>
      <c r="K220" s="41">
        <f t="shared" si="34"/>
        <v>0</v>
      </c>
      <c r="L220" s="46">
        <f t="shared" si="28"/>
        <v>0.21479000000000001</v>
      </c>
      <c r="M220" s="65">
        <f t="shared" si="35"/>
        <v>0</v>
      </c>
      <c r="N220" s="275"/>
      <c r="O220" s="42"/>
      <c r="P220" s="42"/>
      <c r="Q220" s="42"/>
      <c r="R220" s="275"/>
      <c r="S220" s="86"/>
      <c r="T220" s="86"/>
      <c r="U220" s="86"/>
      <c r="V220" s="275"/>
      <c r="W220" s="41"/>
      <c r="X220" s="41"/>
      <c r="Y220" s="86"/>
    </row>
    <row r="221" spans="1:25" x14ac:dyDescent="0.25">
      <c r="A221" s="21">
        <v>216</v>
      </c>
      <c r="B221" s="110" t="s">
        <v>294</v>
      </c>
      <c r="C221" s="41">
        <v>0</v>
      </c>
      <c r="D221" s="23">
        <v>0</v>
      </c>
      <c r="E221" s="65">
        <f>SUM('1501 Summary'!U140:AC140)</f>
        <v>0</v>
      </c>
      <c r="F221" s="275"/>
      <c r="G221" s="38"/>
      <c r="H221" s="46"/>
      <c r="I221" s="65"/>
      <c r="J221" s="275"/>
      <c r="K221" s="41"/>
      <c r="L221" s="46"/>
      <c r="M221" s="42">
        <f>SUM(M218:M220)</f>
        <v>0</v>
      </c>
      <c r="N221" s="275"/>
      <c r="O221" s="42"/>
      <c r="P221" s="42"/>
      <c r="Q221" s="42"/>
      <c r="R221" s="275"/>
      <c r="S221" s="86"/>
      <c r="T221" s="86"/>
      <c r="U221" s="86"/>
      <c r="V221" s="275"/>
      <c r="W221" s="41"/>
      <c r="X221" s="41"/>
      <c r="Y221" s="86"/>
    </row>
    <row r="222" spans="1:25" x14ac:dyDescent="0.25">
      <c r="A222" s="21">
        <v>217</v>
      </c>
      <c r="B222" s="19" t="s">
        <v>10</v>
      </c>
      <c r="E222" s="42">
        <f>SUM(E218:E221)</f>
        <v>6386.8300000000008</v>
      </c>
      <c r="F222" s="275"/>
      <c r="G222" s="38"/>
      <c r="H222" s="38"/>
      <c r="I222" s="42">
        <f>SUM(I218:I220)</f>
        <v>-6386.8300000000008</v>
      </c>
      <c r="J222" s="275"/>
      <c r="K222" s="41"/>
      <c r="L222" s="46"/>
      <c r="M222" s="42"/>
      <c r="N222" s="275"/>
      <c r="O222" s="42"/>
      <c r="P222" s="42"/>
      <c r="Q222" s="42"/>
      <c r="R222" s="275"/>
      <c r="S222" s="83"/>
      <c r="T222" s="83"/>
      <c r="U222" s="83"/>
      <c r="V222" s="275"/>
      <c r="Y222" s="83"/>
    </row>
    <row r="223" spans="1:25" x14ac:dyDescent="0.25">
      <c r="A223" s="21">
        <v>218</v>
      </c>
      <c r="E223" s="42"/>
      <c r="F223" s="275"/>
      <c r="G223" s="38"/>
      <c r="H223" s="38"/>
      <c r="I223" s="38"/>
      <c r="J223" s="275"/>
      <c r="K223" s="41"/>
      <c r="L223" s="46"/>
      <c r="M223" s="42"/>
      <c r="N223" s="275"/>
      <c r="O223" s="42"/>
      <c r="P223" s="42"/>
      <c r="Q223" s="42"/>
      <c r="R223" s="275"/>
      <c r="V223" s="275"/>
    </row>
    <row r="224" spans="1:25" x14ac:dyDescent="0.25">
      <c r="A224" s="21">
        <v>219</v>
      </c>
      <c r="B224" s="19" t="s">
        <v>11</v>
      </c>
      <c r="E224" s="42">
        <f>'1501 Summary'!AD141</f>
        <v>13401.580000000002</v>
      </c>
      <c r="F224" s="275"/>
      <c r="G224" s="38"/>
      <c r="H224" s="38"/>
      <c r="I224" s="38"/>
      <c r="J224" s="275"/>
      <c r="K224" s="41"/>
      <c r="L224" s="46"/>
      <c r="M224" s="42"/>
      <c r="N224" s="275"/>
      <c r="O224" s="42"/>
      <c r="P224" s="42"/>
      <c r="Q224" s="42"/>
      <c r="R224" s="275"/>
      <c r="V224" s="275"/>
    </row>
    <row r="225" spans="1:25" x14ac:dyDescent="0.25">
      <c r="A225" s="21">
        <v>220</v>
      </c>
      <c r="E225" s="42"/>
      <c r="F225" s="275"/>
      <c r="G225" s="38"/>
      <c r="H225" s="38"/>
      <c r="I225" s="38"/>
      <c r="J225" s="275"/>
      <c r="K225" s="41"/>
      <c r="L225" s="46"/>
      <c r="M225" s="42"/>
      <c r="N225" s="275"/>
      <c r="O225" s="42"/>
      <c r="P225" s="42"/>
      <c r="Q225" s="42"/>
      <c r="R225" s="275"/>
      <c r="V225" s="275"/>
    </row>
    <row r="226" spans="1:25" x14ac:dyDescent="0.25">
      <c r="A226" s="21">
        <v>221</v>
      </c>
      <c r="B226" s="19" t="s">
        <v>12</v>
      </c>
      <c r="E226" s="42"/>
      <c r="F226" s="275"/>
      <c r="G226" s="38"/>
      <c r="H226" s="38"/>
      <c r="I226" s="38"/>
      <c r="J226" s="275"/>
      <c r="K226" s="41"/>
      <c r="L226" s="46"/>
      <c r="M226" s="42"/>
      <c r="N226" s="275"/>
      <c r="O226" s="42"/>
      <c r="P226" s="42"/>
      <c r="Q226" s="42"/>
      <c r="R226" s="275"/>
      <c r="V226" s="275"/>
    </row>
    <row r="227" spans="1:25" x14ac:dyDescent="0.25">
      <c r="A227" s="21">
        <v>222</v>
      </c>
      <c r="B227" s="18" t="s">
        <v>139</v>
      </c>
      <c r="E227" s="42">
        <f>'1501 Summary'!AD142</f>
        <v>52.989999999999995</v>
      </c>
      <c r="F227" s="275"/>
      <c r="G227" s="38"/>
      <c r="H227" s="38"/>
      <c r="I227" s="38"/>
      <c r="J227" s="275"/>
      <c r="K227" s="41"/>
      <c r="L227" s="46"/>
      <c r="M227" s="42"/>
      <c r="N227" s="275"/>
      <c r="O227" s="42"/>
      <c r="P227" s="42"/>
      <c r="Q227" s="42"/>
      <c r="R227" s="275"/>
      <c r="S227" s="42"/>
      <c r="T227" s="42"/>
      <c r="U227" s="42"/>
      <c r="V227" s="275"/>
      <c r="W227" s="19"/>
      <c r="X227" s="19"/>
      <c r="Y227" s="42"/>
    </row>
    <row r="228" spans="1:25" x14ac:dyDescent="0.25">
      <c r="A228" s="21">
        <v>223</v>
      </c>
      <c r="B228" s="18" t="s">
        <v>140</v>
      </c>
      <c r="E228" s="42">
        <f>'1501 Summary'!AD143</f>
        <v>226.03000000000003</v>
      </c>
      <c r="F228" s="275"/>
      <c r="G228" s="38"/>
      <c r="H228" s="38"/>
      <c r="I228" s="38"/>
      <c r="J228" s="275"/>
      <c r="K228" s="41"/>
      <c r="L228" s="46"/>
      <c r="M228" s="42"/>
      <c r="N228" s="275"/>
      <c r="O228" s="42"/>
      <c r="P228" s="42"/>
      <c r="Q228" s="42"/>
      <c r="R228" s="275"/>
      <c r="S228" s="42"/>
      <c r="T228" s="42"/>
      <c r="U228" s="42"/>
      <c r="V228" s="275"/>
      <c r="W228" s="19"/>
      <c r="X228" s="19"/>
      <c r="Y228" s="42"/>
    </row>
    <row r="229" spans="1:25" x14ac:dyDescent="0.25">
      <c r="A229" s="21">
        <v>224</v>
      </c>
      <c r="B229" s="18" t="s">
        <v>141</v>
      </c>
      <c r="E229" s="42">
        <f>'1501 Summary'!AD144</f>
        <v>11.71</v>
      </c>
      <c r="F229" s="275"/>
      <c r="G229" s="38"/>
      <c r="H229" s="38"/>
      <c r="I229" s="38"/>
      <c r="J229" s="275"/>
      <c r="K229" s="41"/>
      <c r="L229" s="46"/>
      <c r="M229" s="42"/>
      <c r="N229" s="275"/>
      <c r="O229" s="42"/>
      <c r="P229" s="42"/>
      <c r="Q229" s="42"/>
      <c r="R229" s="275"/>
      <c r="S229" s="42"/>
      <c r="T229" s="42"/>
      <c r="U229" s="42"/>
      <c r="V229" s="275"/>
      <c r="W229" s="19"/>
      <c r="X229" s="19"/>
      <c r="Y229" s="42"/>
    </row>
    <row r="230" spans="1:25" x14ac:dyDescent="0.25">
      <c r="A230" s="21">
        <v>225</v>
      </c>
      <c r="B230" s="18" t="s">
        <v>142</v>
      </c>
      <c r="E230" s="42">
        <f>'1501 Summary'!AD145</f>
        <v>1631.12</v>
      </c>
      <c r="F230" s="275"/>
      <c r="G230" s="38"/>
      <c r="H230" s="38"/>
      <c r="I230" s="38"/>
      <c r="J230" s="275"/>
      <c r="K230" s="41"/>
      <c r="L230" s="46"/>
      <c r="M230" s="42"/>
      <c r="N230" s="275"/>
      <c r="O230" s="42"/>
      <c r="P230" s="42"/>
      <c r="Q230" s="42"/>
      <c r="R230" s="275"/>
      <c r="V230" s="275"/>
      <c r="W230" s="19"/>
      <c r="X230" s="19"/>
    </row>
    <row r="231" spans="1:25" x14ac:dyDescent="0.25">
      <c r="A231" s="21">
        <v>226</v>
      </c>
      <c r="B231" s="18" t="s">
        <v>143</v>
      </c>
      <c r="E231" s="42">
        <f>'1501 Summary'!AD146</f>
        <v>399.65999999999997</v>
      </c>
      <c r="F231" s="275"/>
      <c r="G231" s="38"/>
      <c r="H231" s="38"/>
      <c r="I231" s="38"/>
      <c r="J231" s="275"/>
      <c r="K231" s="41"/>
      <c r="L231" s="46"/>
      <c r="M231" s="42"/>
      <c r="N231" s="275"/>
      <c r="O231" s="42"/>
      <c r="P231" s="42"/>
      <c r="Q231" s="42"/>
      <c r="R231" s="275"/>
      <c r="S231" s="42"/>
      <c r="T231" s="42"/>
      <c r="U231" s="42"/>
      <c r="V231" s="275"/>
      <c r="W231" s="19"/>
      <c r="X231" s="19"/>
      <c r="Y231" s="42"/>
    </row>
    <row r="232" spans="1:25" x14ac:dyDescent="0.25">
      <c r="A232" s="21">
        <v>227</v>
      </c>
      <c r="B232" s="18" t="s">
        <v>144</v>
      </c>
      <c r="D232" s="22"/>
      <c r="E232" s="42">
        <f>'1501 Summary'!AD147</f>
        <v>1326.6</v>
      </c>
      <c r="F232" s="275"/>
      <c r="G232" s="38"/>
      <c r="H232" s="38"/>
      <c r="I232" s="38"/>
      <c r="J232" s="275"/>
      <c r="K232" s="41"/>
      <c r="L232" s="46"/>
      <c r="M232" s="42"/>
      <c r="N232" s="275"/>
      <c r="O232" s="42"/>
      <c r="P232" s="42"/>
      <c r="Q232" s="42"/>
      <c r="R232" s="275"/>
      <c r="V232" s="275"/>
      <c r="W232" s="19"/>
      <c r="X232" s="19"/>
    </row>
    <row r="233" spans="1:25" x14ac:dyDescent="0.25">
      <c r="A233" s="21">
        <v>228</v>
      </c>
      <c r="B233" s="18" t="s">
        <v>24</v>
      </c>
      <c r="D233" s="22"/>
      <c r="E233" s="144"/>
      <c r="F233" s="287"/>
      <c r="G233" s="48"/>
      <c r="H233" s="48"/>
      <c r="I233" s="48"/>
      <c r="J233" s="287"/>
      <c r="K233" s="41"/>
      <c r="L233" s="46"/>
      <c r="M233" s="42"/>
      <c r="N233" s="287"/>
      <c r="O233" s="42"/>
      <c r="P233" s="42"/>
      <c r="Q233" s="42"/>
      <c r="R233" s="287"/>
      <c r="V233" s="287"/>
    </row>
    <row r="234" spans="1:25" x14ac:dyDescent="0.25">
      <c r="A234" s="21">
        <v>229</v>
      </c>
      <c r="B234" s="18" t="s">
        <v>14</v>
      </c>
      <c r="D234" s="22"/>
      <c r="E234" s="144">
        <f>'Rev Recon Summary'!R134</f>
        <v>0</v>
      </c>
      <c r="F234" s="287"/>
      <c r="G234" s="48"/>
      <c r="H234" s="48"/>
      <c r="I234" s="48"/>
      <c r="J234" s="287"/>
      <c r="K234" s="41"/>
      <c r="L234" s="46"/>
      <c r="M234" s="42"/>
      <c r="N234" s="287"/>
      <c r="O234" s="42"/>
      <c r="P234" s="42"/>
      <c r="Q234" s="42"/>
      <c r="R234" s="287"/>
      <c r="V234" s="287"/>
    </row>
    <row r="235" spans="1:25" x14ac:dyDescent="0.25">
      <c r="A235" s="21">
        <v>230</v>
      </c>
      <c r="B235" s="18" t="s">
        <v>15</v>
      </c>
      <c r="D235" s="22"/>
      <c r="E235" s="144">
        <f>'Rev Recon Summary'!R135</f>
        <v>0</v>
      </c>
      <c r="F235" s="287"/>
      <c r="G235" s="48"/>
      <c r="H235" s="48"/>
      <c r="I235" s="48"/>
      <c r="J235" s="287"/>
      <c r="K235" s="41"/>
      <c r="L235" s="46"/>
      <c r="M235" s="42"/>
      <c r="N235" s="287"/>
      <c r="O235" s="42"/>
      <c r="P235" s="42"/>
      <c r="Q235" s="42"/>
      <c r="R235" s="287"/>
      <c r="V235" s="287"/>
    </row>
    <row r="236" spans="1:25" x14ac:dyDescent="0.25">
      <c r="A236" s="21">
        <v>231</v>
      </c>
      <c r="B236" s="18" t="s">
        <v>16</v>
      </c>
      <c r="D236" s="22"/>
      <c r="E236" s="144">
        <f>'Rev Recon Summary'!R136</f>
        <v>-480.90999999999997</v>
      </c>
      <c r="F236" s="287"/>
      <c r="G236" s="48"/>
      <c r="H236" s="48"/>
      <c r="I236" s="48"/>
      <c r="J236" s="287"/>
      <c r="K236" s="41"/>
      <c r="L236" s="46"/>
      <c r="M236" s="42"/>
      <c r="N236" s="287"/>
      <c r="O236" s="42"/>
      <c r="P236" s="42"/>
      <c r="Q236" s="42"/>
      <c r="R236" s="287"/>
      <c r="V236" s="287"/>
    </row>
    <row r="237" spans="1:25" x14ac:dyDescent="0.25">
      <c r="A237" s="21">
        <v>232</v>
      </c>
      <c r="B237" s="18" t="s">
        <v>17</v>
      </c>
      <c r="D237" s="22"/>
      <c r="E237" s="144">
        <f>'Rev Recon Summary'!R137</f>
        <v>-62.379999999999995</v>
      </c>
      <c r="F237" s="287"/>
      <c r="G237" s="48"/>
      <c r="H237" s="48"/>
      <c r="I237" s="48"/>
      <c r="J237" s="287"/>
      <c r="K237" s="41"/>
      <c r="L237" s="46"/>
      <c r="M237" s="42"/>
      <c r="N237" s="287"/>
      <c r="O237" s="42"/>
      <c r="P237" s="42"/>
      <c r="Q237" s="42"/>
      <c r="R237" s="287"/>
      <c r="V237" s="287"/>
    </row>
    <row r="238" spans="1:25" x14ac:dyDescent="0.25">
      <c r="A238" s="21">
        <v>233</v>
      </c>
      <c r="B238" s="18" t="s">
        <v>18</v>
      </c>
      <c r="D238" s="22"/>
      <c r="E238" s="107">
        <f>'Rev Recon Summary'!R138</f>
        <v>0</v>
      </c>
      <c r="F238" s="287"/>
      <c r="G238" s="48"/>
      <c r="H238" s="48"/>
      <c r="I238" s="48"/>
      <c r="J238" s="287"/>
      <c r="K238" s="41"/>
      <c r="L238" s="46"/>
      <c r="M238" s="42"/>
      <c r="N238" s="287"/>
      <c r="O238" s="42"/>
      <c r="P238" s="42"/>
      <c r="Q238" s="42"/>
      <c r="R238" s="287"/>
      <c r="V238" s="287"/>
    </row>
    <row r="239" spans="1:25" x14ac:dyDescent="0.25">
      <c r="A239" s="21">
        <v>234</v>
      </c>
      <c r="B239" s="19" t="s">
        <v>93</v>
      </c>
      <c r="D239" s="22"/>
      <c r="E239" s="144">
        <f>SUM(E227:E238)</f>
        <v>3104.8199999999997</v>
      </c>
      <c r="F239" s="287"/>
      <c r="G239" s="48"/>
      <c r="H239" s="48"/>
      <c r="I239" s="48"/>
      <c r="J239" s="287"/>
      <c r="K239" s="41"/>
      <c r="L239" s="46"/>
      <c r="M239" s="42"/>
      <c r="N239" s="287"/>
      <c r="O239" s="42"/>
      <c r="P239" s="42"/>
      <c r="Q239" s="42"/>
      <c r="R239" s="287"/>
      <c r="V239" s="287"/>
    </row>
    <row r="240" spans="1:25" x14ac:dyDescent="0.25">
      <c r="A240" s="21">
        <v>235</v>
      </c>
      <c r="E240" s="42"/>
      <c r="F240" s="275"/>
      <c r="G240" s="38"/>
      <c r="H240" s="38"/>
      <c r="I240" s="38"/>
      <c r="J240" s="275"/>
      <c r="K240" s="41"/>
      <c r="L240" s="46"/>
      <c r="M240" s="42"/>
      <c r="N240" s="275"/>
      <c r="O240" s="42"/>
      <c r="P240" s="42"/>
      <c r="Q240" s="42"/>
      <c r="R240" s="275"/>
      <c r="V240" s="275"/>
    </row>
    <row r="241" spans="1:25" x14ac:dyDescent="0.25">
      <c r="A241" s="21">
        <v>236</v>
      </c>
      <c r="B241" s="108" t="s">
        <v>233</v>
      </c>
      <c r="C241" s="39">
        <f>E241-'Rev Recon Summary'!R142</f>
        <v>0</v>
      </c>
      <c r="D241" s="105" t="s">
        <v>45</v>
      </c>
      <c r="E241" s="65">
        <f>SUM(E222,E224,E239)</f>
        <v>22893.230000000003</v>
      </c>
      <c r="F241" s="279"/>
      <c r="G241" s="39"/>
      <c r="H241" s="39"/>
      <c r="I241" s="39"/>
      <c r="J241" s="279"/>
      <c r="K241" s="101"/>
      <c r="L241" s="134"/>
      <c r="M241" s="65"/>
      <c r="N241" s="279"/>
      <c r="O241" s="65"/>
      <c r="P241" s="65"/>
      <c r="Q241" s="65"/>
      <c r="R241" s="279"/>
      <c r="S241" s="105"/>
      <c r="T241" s="105"/>
      <c r="U241" s="105"/>
      <c r="V241" s="279"/>
      <c r="W241" s="39"/>
      <c r="X241" s="39"/>
      <c r="Y241" s="105"/>
    </row>
    <row r="242" spans="1:25" x14ac:dyDescent="0.25">
      <c r="A242" s="21">
        <v>237</v>
      </c>
      <c r="K242" s="41"/>
      <c r="L242" s="46"/>
      <c r="M242" s="42"/>
      <c r="O242" s="42"/>
      <c r="P242" s="42"/>
      <c r="Q242" s="42"/>
    </row>
    <row r="243" spans="1:25" x14ac:dyDescent="0.25">
      <c r="A243" s="21">
        <v>238</v>
      </c>
      <c r="B243" s="30" t="s">
        <v>207</v>
      </c>
      <c r="G243" s="23" t="s">
        <v>419</v>
      </c>
      <c r="K243" s="41"/>
      <c r="L243" s="46"/>
      <c r="M243" s="42"/>
      <c r="O243" s="42"/>
      <c r="P243" s="42"/>
      <c r="Q243" s="42"/>
    </row>
    <row r="244" spans="1:25" x14ac:dyDescent="0.25">
      <c r="A244" s="21">
        <v>239</v>
      </c>
      <c r="B244" s="19" t="s">
        <v>310</v>
      </c>
      <c r="C244" s="174">
        <f>E244/D244</f>
        <v>7</v>
      </c>
      <c r="D244" s="67">
        <v>48</v>
      </c>
      <c r="E244" s="135">
        <f>SUM('1501 Summary'!G154,'1501 Summary'!I154,'1501 Summary'!K154,'1501 Summary'!M154,'1501 Summary'!O154,'1501 Summary'!Q154,'1501 Summary'!S154)</f>
        <v>336</v>
      </c>
      <c r="F244" s="288"/>
      <c r="G244" s="241">
        <f>-C244</f>
        <v>-7</v>
      </c>
      <c r="H244" s="69">
        <f>D244</f>
        <v>48</v>
      </c>
      <c r="I244" s="42">
        <f>G244*H244</f>
        <v>-336</v>
      </c>
      <c r="J244" s="288"/>
      <c r="K244" s="41">
        <f t="shared" si="34"/>
        <v>0</v>
      </c>
      <c r="L244" s="46">
        <f t="shared" ref="L244:L282" si="39">D244</f>
        <v>48</v>
      </c>
      <c r="M244" s="42">
        <f t="shared" ref="M244:M249" si="40">L244*K244</f>
        <v>0</v>
      </c>
      <c r="N244" s="288"/>
      <c r="O244" s="42"/>
      <c r="P244" s="42"/>
      <c r="Q244" s="42"/>
      <c r="R244" s="288"/>
      <c r="S244" s="86"/>
      <c r="T244" s="86"/>
      <c r="U244" s="86"/>
      <c r="V244" s="288"/>
      <c r="W244" s="41"/>
      <c r="X244" s="41"/>
      <c r="Y244" s="86"/>
    </row>
    <row r="245" spans="1:25" x14ac:dyDescent="0.25">
      <c r="A245" s="21">
        <v>240</v>
      </c>
      <c r="B245" s="19" t="s">
        <v>311</v>
      </c>
      <c r="C245" s="174">
        <f>E245/D245</f>
        <v>4.8</v>
      </c>
      <c r="D245" s="38">
        <v>60</v>
      </c>
      <c r="E245" s="135">
        <f>SUM('1501 Summary'!U154,'1501 Summary'!W154,'1501 Summary'!Y154,'1501 Summary'!AA154,'1501 Summary'!AC154)</f>
        <v>288</v>
      </c>
      <c r="F245" s="288"/>
      <c r="G245" s="241">
        <f t="shared" ref="G245:G249" si="41">-C245</f>
        <v>-4.8</v>
      </c>
      <c r="H245" s="69">
        <f t="shared" ref="H245:H249" si="42">D245</f>
        <v>60</v>
      </c>
      <c r="I245" s="42">
        <f t="shared" ref="I245:I249" si="43">G245*H245</f>
        <v>-288</v>
      </c>
      <c r="J245" s="288"/>
      <c r="K245" s="41">
        <f t="shared" si="34"/>
        <v>0</v>
      </c>
      <c r="L245" s="46">
        <f t="shared" si="39"/>
        <v>60</v>
      </c>
      <c r="M245" s="42">
        <f t="shared" si="40"/>
        <v>0</v>
      </c>
      <c r="N245" s="288"/>
      <c r="O245" s="42"/>
      <c r="P245" s="42"/>
      <c r="Q245" s="42"/>
      <c r="R245" s="288"/>
      <c r="S245" s="86"/>
      <c r="T245" s="86"/>
      <c r="U245" s="86"/>
      <c r="V245" s="288"/>
      <c r="W245" s="41"/>
      <c r="X245" s="41"/>
      <c r="Y245" s="86"/>
    </row>
    <row r="246" spans="1:25" x14ac:dyDescent="0.25">
      <c r="A246" s="21">
        <v>241</v>
      </c>
      <c r="B246" s="19" t="s">
        <v>313</v>
      </c>
      <c r="C246" s="174">
        <f>E246/D246</f>
        <v>1135.0634187762037</v>
      </c>
      <c r="D246" s="81">
        <v>0.18842999999999999</v>
      </c>
      <c r="E246" s="135">
        <f>SUM('1501 Summary'!G155,'1501 Summary'!I155,'1501 Summary'!K155,'1501 Summary'!M155,'1501 Summary'!O155,'1501 Summary'!Q155,'1501 Summary'!S155)</f>
        <v>213.88000000000002</v>
      </c>
      <c r="F246" s="288"/>
      <c r="G246" s="241">
        <f t="shared" si="41"/>
        <v>-1135.0634187762037</v>
      </c>
      <c r="H246" s="250">
        <f t="shared" si="42"/>
        <v>0.18842999999999999</v>
      </c>
      <c r="I246" s="42">
        <f t="shared" si="43"/>
        <v>-213.88000000000005</v>
      </c>
      <c r="J246" s="288"/>
      <c r="K246" s="41">
        <f t="shared" si="34"/>
        <v>0</v>
      </c>
      <c r="L246" s="46">
        <f t="shared" si="39"/>
        <v>0.18842999999999999</v>
      </c>
      <c r="M246" s="42">
        <f t="shared" si="40"/>
        <v>0</v>
      </c>
      <c r="N246" s="288"/>
      <c r="O246" s="42"/>
      <c r="P246" s="42"/>
      <c r="Q246" s="42"/>
      <c r="R246" s="288"/>
      <c r="S246" s="86"/>
      <c r="T246" s="86"/>
      <c r="U246" s="86"/>
      <c r="V246" s="288"/>
      <c r="W246" s="41"/>
      <c r="X246" s="41"/>
      <c r="Y246" s="86"/>
    </row>
    <row r="247" spans="1:25" x14ac:dyDescent="0.25">
      <c r="A247" s="21">
        <v>242</v>
      </c>
      <c r="B247" s="19" t="s">
        <v>314</v>
      </c>
      <c r="C247" s="174">
        <f>E247/D247</f>
        <v>631.05708363677104</v>
      </c>
      <c r="D247" s="81">
        <v>0.17851</v>
      </c>
      <c r="E247" s="135">
        <f>SUM('1501 Summary'!U155,'1501 Summary'!W155,'1501 Summary'!Y155,'1501 Summary'!AA155,'1501 Summary'!AC155)</f>
        <v>112.65</v>
      </c>
      <c r="F247" s="289"/>
      <c r="G247" s="241">
        <f t="shared" si="41"/>
        <v>-631.05708363677104</v>
      </c>
      <c r="H247" s="250">
        <f t="shared" si="42"/>
        <v>0.17851</v>
      </c>
      <c r="I247" s="42">
        <f t="shared" si="43"/>
        <v>-112.65</v>
      </c>
      <c r="J247" s="289"/>
      <c r="K247" s="41">
        <f t="shared" si="34"/>
        <v>0</v>
      </c>
      <c r="L247" s="46">
        <f t="shared" si="39"/>
        <v>0.17851</v>
      </c>
      <c r="M247" s="42">
        <f t="shared" si="40"/>
        <v>0</v>
      </c>
      <c r="N247" s="289"/>
      <c r="O247" s="42"/>
      <c r="P247" s="42"/>
      <c r="Q247" s="42"/>
      <c r="R247" s="289"/>
      <c r="S247" s="86"/>
      <c r="T247" s="86"/>
      <c r="U247" s="86"/>
      <c r="V247" s="289"/>
      <c r="W247" s="41"/>
      <c r="X247" s="41"/>
      <c r="Y247" s="86"/>
    </row>
    <row r="248" spans="1:25" x14ac:dyDescent="0.25">
      <c r="A248" s="21">
        <v>243</v>
      </c>
      <c r="B248" s="19" t="s">
        <v>315</v>
      </c>
      <c r="C248" s="174">
        <f>E248/D248</f>
        <v>766.98517298187812</v>
      </c>
      <c r="D248" s="81">
        <v>0.15175</v>
      </c>
      <c r="E248" s="135">
        <f>SUM('1501 Summary'!G156,'1501 Summary'!I156,'1501 Summary'!K156,'1501 Summary'!M156,'1501 Summary'!O156,'1501 Summary'!Q156,'1501 Summary'!S156)</f>
        <v>116.39</v>
      </c>
      <c r="G248" s="241">
        <f t="shared" si="41"/>
        <v>-766.98517298187812</v>
      </c>
      <c r="H248" s="250">
        <f t="shared" si="42"/>
        <v>0.15175</v>
      </c>
      <c r="I248" s="42">
        <f t="shared" si="43"/>
        <v>-116.39</v>
      </c>
      <c r="K248" s="41">
        <f t="shared" si="34"/>
        <v>0</v>
      </c>
      <c r="L248" s="46">
        <f t="shared" si="39"/>
        <v>0.15175</v>
      </c>
      <c r="M248" s="42">
        <f t="shared" si="40"/>
        <v>0</v>
      </c>
      <c r="O248" s="42"/>
      <c r="P248" s="42"/>
      <c r="Q248" s="42"/>
      <c r="S248" s="86"/>
      <c r="T248" s="86"/>
      <c r="U248" s="86"/>
      <c r="W248" s="41"/>
      <c r="X248" s="41"/>
      <c r="Y248" s="86"/>
    </row>
    <row r="249" spans="1:25" x14ac:dyDescent="0.25">
      <c r="A249" s="21">
        <v>244</v>
      </c>
      <c r="B249" s="110" t="s">
        <v>316</v>
      </c>
      <c r="C249" s="174">
        <f t="shared" ref="C249" si="44">E249/D249</f>
        <v>0</v>
      </c>
      <c r="D249" s="81">
        <v>0.14457</v>
      </c>
      <c r="E249" s="136">
        <f>SUM('1501 Summary'!W156,'1501 Summary'!Y156,'1501 Summary'!AA156,'1501 Summary'!AC156)</f>
        <v>0</v>
      </c>
      <c r="F249" s="289"/>
      <c r="G249" s="241">
        <f t="shared" si="41"/>
        <v>0</v>
      </c>
      <c r="H249" s="250">
        <f t="shared" si="42"/>
        <v>0.14457</v>
      </c>
      <c r="I249" s="65">
        <f t="shared" si="43"/>
        <v>0</v>
      </c>
      <c r="J249" s="289"/>
      <c r="K249" s="41"/>
      <c r="L249" s="46">
        <f t="shared" si="39"/>
        <v>0.14457</v>
      </c>
      <c r="M249" s="65">
        <f t="shared" si="40"/>
        <v>0</v>
      </c>
      <c r="N249" s="289"/>
      <c r="O249" s="42"/>
      <c r="P249" s="42"/>
      <c r="Q249" s="42"/>
      <c r="R249" s="289"/>
      <c r="S249" s="86"/>
      <c r="T249" s="86"/>
      <c r="U249" s="86"/>
      <c r="V249" s="289"/>
      <c r="W249" s="41"/>
      <c r="X249" s="41"/>
      <c r="Y249" s="86"/>
    </row>
    <row r="250" spans="1:25" x14ac:dyDescent="0.25">
      <c r="A250" s="21">
        <v>245</v>
      </c>
      <c r="B250" s="19" t="s">
        <v>10</v>
      </c>
      <c r="E250" s="135">
        <f>SUM(E244:E249)</f>
        <v>1066.92</v>
      </c>
      <c r="F250" s="289"/>
      <c r="G250" s="70"/>
      <c r="H250" s="70"/>
      <c r="I250" s="241">
        <f>SUM(I244:I249)</f>
        <v>-1066.92</v>
      </c>
      <c r="J250" s="289"/>
      <c r="K250" s="41"/>
      <c r="L250" s="46"/>
      <c r="M250" s="42">
        <f>SUM(M244:M249)</f>
        <v>0</v>
      </c>
      <c r="N250" s="289"/>
      <c r="O250" s="42"/>
      <c r="P250" s="42"/>
      <c r="Q250" s="42"/>
      <c r="R250" s="289"/>
      <c r="S250" s="83"/>
      <c r="T250" s="83"/>
      <c r="U250" s="83"/>
      <c r="V250" s="289"/>
      <c r="Y250" s="83"/>
    </row>
    <row r="251" spans="1:25" x14ac:dyDescent="0.25">
      <c r="A251" s="21">
        <v>246</v>
      </c>
      <c r="E251" s="84"/>
      <c r="F251" s="289"/>
      <c r="G251" s="70"/>
      <c r="H251" s="70"/>
      <c r="I251" s="70"/>
      <c r="J251" s="289"/>
      <c r="K251" s="41"/>
      <c r="L251" s="46"/>
      <c r="M251" s="42"/>
      <c r="N251" s="289"/>
      <c r="O251" s="42"/>
      <c r="P251" s="42"/>
      <c r="Q251" s="42"/>
      <c r="R251" s="289"/>
      <c r="V251" s="289"/>
    </row>
    <row r="252" spans="1:25" x14ac:dyDescent="0.25">
      <c r="A252" s="21">
        <v>247</v>
      </c>
      <c r="B252" s="19" t="s">
        <v>11</v>
      </c>
      <c r="E252" s="84">
        <f>'1501 Summary'!AD157</f>
        <v>1124.7799999999997</v>
      </c>
      <c r="F252" s="277"/>
      <c r="G252" s="40"/>
      <c r="H252" s="40"/>
      <c r="I252" s="40"/>
      <c r="J252" s="277"/>
      <c r="K252" s="41"/>
      <c r="L252" s="46"/>
      <c r="M252" s="42"/>
      <c r="N252" s="277"/>
      <c r="O252" s="42"/>
      <c r="P252" s="42"/>
      <c r="Q252" s="42"/>
      <c r="R252" s="277"/>
      <c r="V252" s="277"/>
    </row>
    <row r="253" spans="1:25" x14ac:dyDescent="0.25">
      <c r="A253" s="21">
        <v>248</v>
      </c>
      <c r="E253" s="84"/>
      <c r="K253" s="41"/>
      <c r="L253" s="46"/>
      <c r="M253" s="42"/>
      <c r="O253" s="42"/>
      <c r="P253" s="42"/>
      <c r="Q253" s="42"/>
    </row>
    <row r="254" spans="1:25" x14ac:dyDescent="0.25">
      <c r="A254" s="21">
        <v>249</v>
      </c>
      <c r="B254" s="19" t="s">
        <v>12</v>
      </c>
      <c r="E254" s="84"/>
      <c r="K254" s="41"/>
      <c r="L254" s="46"/>
      <c r="M254" s="42"/>
      <c r="O254" s="42"/>
      <c r="P254" s="42"/>
      <c r="Q254" s="42"/>
    </row>
    <row r="255" spans="1:25" x14ac:dyDescent="0.25">
      <c r="A255" s="21">
        <v>250</v>
      </c>
      <c r="B255" s="19" t="s">
        <v>139</v>
      </c>
      <c r="E255" s="84">
        <f>'1501 Summary'!AD158</f>
        <v>3.6799999999999993</v>
      </c>
      <c r="F255" s="277"/>
      <c r="G255" s="40"/>
      <c r="H255" s="40"/>
      <c r="I255" s="40"/>
      <c r="J255" s="277"/>
      <c r="K255" s="41"/>
      <c r="L255" s="46"/>
      <c r="M255" s="42"/>
      <c r="N255" s="277"/>
      <c r="O255" s="42"/>
      <c r="P255" s="42"/>
      <c r="Q255" s="42"/>
      <c r="R255" s="277"/>
      <c r="V255" s="277"/>
      <c r="W255" s="18"/>
      <c r="X255" s="18"/>
    </row>
    <row r="256" spans="1:25" x14ac:dyDescent="0.25">
      <c r="A256" s="21">
        <v>251</v>
      </c>
      <c r="B256" s="19" t="s">
        <v>140</v>
      </c>
      <c r="E256" s="84">
        <f>'1501 Summary'!AD159</f>
        <v>16.93</v>
      </c>
      <c r="F256" s="277"/>
      <c r="G256" s="40"/>
      <c r="H256" s="40"/>
      <c r="I256" s="40"/>
      <c r="J256" s="277"/>
      <c r="K256" s="41"/>
      <c r="L256" s="46"/>
      <c r="M256" s="42"/>
      <c r="N256" s="277"/>
      <c r="O256" s="42"/>
      <c r="P256" s="42"/>
      <c r="Q256" s="42"/>
      <c r="R256" s="277"/>
      <c r="V256" s="277"/>
      <c r="W256" s="18"/>
      <c r="X256" s="18"/>
    </row>
    <row r="257" spans="1:24" x14ac:dyDescent="0.25">
      <c r="A257" s="21">
        <v>252</v>
      </c>
      <c r="B257" s="19" t="s">
        <v>141</v>
      </c>
      <c r="E257" s="84">
        <f>'1501 Summary'!AD160</f>
        <v>20.080000000000002</v>
      </c>
      <c r="F257" s="277"/>
      <c r="G257" s="40"/>
      <c r="H257" s="40"/>
      <c r="I257" s="40"/>
      <c r="J257" s="277"/>
      <c r="K257" s="41"/>
      <c r="L257" s="46"/>
      <c r="M257" s="42"/>
      <c r="N257" s="277"/>
      <c r="O257" s="42"/>
      <c r="P257" s="42"/>
      <c r="Q257" s="42"/>
      <c r="R257" s="277"/>
      <c r="V257" s="277"/>
      <c r="W257" s="18"/>
      <c r="X257" s="18"/>
    </row>
    <row r="258" spans="1:24" x14ac:dyDescent="0.25">
      <c r="A258" s="21">
        <v>253</v>
      </c>
      <c r="B258" s="19" t="s">
        <v>142</v>
      </c>
      <c r="E258" s="84">
        <f>'1501 Summary'!AD161</f>
        <v>138.08000000000001</v>
      </c>
      <c r="F258" s="277"/>
      <c r="G258" s="40"/>
      <c r="H258" s="40"/>
      <c r="I258" s="40"/>
      <c r="J258" s="277"/>
      <c r="K258" s="41"/>
      <c r="L258" s="46"/>
      <c r="M258" s="42"/>
      <c r="N258" s="277"/>
      <c r="O258" s="42"/>
      <c r="P258" s="42"/>
      <c r="Q258" s="42"/>
      <c r="R258" s="277"/>
      <c r="V258" s="277"/>
      <c r="W258" s="18"/>
      <c r="X258" s="18"/>
    </row>
    <row r="259" spans="1:24" x14ac:dyDescent="0.25">
      <c r="A259" s="21">
        <v>254</v>
      </c>
      <c r="B259" s="19" t="s">
        <v>143</v>
      </c>
      <c r="E259" s="84">
        <f>'1501 Summary'!AD162</f>
        <v>35.46</v>
      </c>
      <c r="F259" s="277"/>
      <c r="G259" s="40"/>
      <c r="H259" s="40"/>
      <c r="I259" s="40"/>
      <c r="J259" s="277"/>
      <c r="K259" s="41"/>
      <c r="L259" s="46"/>
      <c r="M259" s="42"/>
      <c r="N259" s="277"/>
      <c r="O259" s="42"/>
      <c r="P259" s="42"/>
      <c r="Q259" s="42"/>
      <c r="R259" s="277"/>
      <c r="V259" s="277"/>
      <c r="W259" s="18"/>
      <c r="X259" s="18"/>
    </row>
    <row r="260" spans="1:24" ht="26.25" customHeight="1" x14ac:dyDescent="0.25">
      <c r="A260" s="21">
        <v>255</v>
      </c>
      <c r="B260" s="99" t="s">
        <v>224</v>
      </c>
      <c r="E260" s="84">
        <f>'1501 Summary'!AD163</f>
        <v>-2.0099999999999998</v>
      </c>
      <c r="F260" s="277"/>
      <c r="G260" s="40"/>
      <c r="H260" s="40"/>
      <c r="I260" s="40"/>
      <c r="J260" s="277"/>
      <c r="K260" s="41"/>
      <c r="L260" s="46"/>
      <c r="M260" s="42"/>
      <c r="N260" s="277"/>
      <c r="O260" s="42"/>
      <c r="P260" s="42"/>
      <c r="Q260" s="42"/>
      <c r="R260" s="277"/>
      <c r="V260" s="277"/>
      <c r="W260" s="99"/>
      <c r="X260" s="99"/>
    </row>
    <row r="261" spans="1:24" ht="30" customHeight="1" x14ac:dyDescent="0.25">
      <c r="A261" s="21">
        <v>256</v>
      </c>
      <c r="B261" s="99" t="s">
        <v>225</v>
      </c>
      <c r="E261" s="84">
        <f>'1501 Summary'!AD164</f>
        <v>-0.95000000000000007</v>
      </c>
      <c r="F261" s="277"/>
      <c r="G261" s="40"/>
      <c r="H261" s="40"/>
      <c r="I261" s="40"/>
      <c r="J261" s="277"/>
      <c r="K261" s="41"/>
      <c r="L261" s="46"/>
      <c r="M261" s="42"/>
      <c r="N261" s="277"/>
      <c r="O261" s="42"/>
      <c r="P261" s="42"/>
      <c r="Q261" s="42"/>
      <c r="R261" s="277"/>
      <c r="V261" s="277"/>
      <c r="W261" s="99"/>
      <c r="X261" s="99"/>
    </row>
    <row r="262" spans="1:24" ht="29.25" customHeight="1" x14ac:dyDescent="0.25">
      <c r="A262" s="21">
        <v>257</v>
      </c>
      <c r="B262" s="99" t="s">
        <v>226</v>
      </c>
      <c r="E262" s="84">
        <f>'1501 Summary'!AD165</f>
        <v>-1.8800000000000001</v>
      </c>
      <c r="F262" s="277"/>
      <c r="G262" s="40"/>
      <c r="H262" s="40"/>
      <c r="I262" s="40"/>
      <c r="J262" s="277"/>
      <c r="K262" s="41"/>
      <c r="L262" s="46"/>
      <c r="M262" s="42"/>
      <c r="N262" s="277"/>
      <c r="O262" s="42"/>
      <c r="P262" s="42"/>
      <c r="Q262" s="42"/>
      <c r="R262" s="277"/>
      <c r="V262" s="277"/>
      <c r="W262" s="99"/>
      <c r="X262" s="99"/>
    </row>
    <row r="263" spans="1:24" x14ac:dyDescent="0.25">
      <c r="A263" s="21">
        <v>258</v>
      </c>
      <c r="B263" s="19" t="s">
        <v>24</v>
      </c>
      <c r="E263" s="84"/>
      <c r="K263" s="41"/>
      <c r="L263" s="46"/>
      <c r="M263" s="42"/>
      <c r="O263" s="42"/>
      <c r="P263" s="42"/>
      <c r="Q263" s="42"/>
      <c r="W263" s="19"/>
      <c r="X263" s="19"/>
    </row>
    <row r="264" spans="1:24" x14ac:dyDescent="0.25">
      <c r="A264" s="21">
        <v>259</v>
      </c>
      <c r="B264" s="19" t="s">
        <v>14</v>
      </c>
      <c r="E264" s="84">
        <f>'Rev Recon Summary'!R154</f>
        <v>0</v>
      </c>
      <c r="F264" s="278"/>
      <c r="G264" s="56"/>
      <c r="H264" s="56"/>
      <c r="I264" s="56"/>
      <c r="J264" s="278"/>
      <c r="K264" s="41"/>
      <c r="L264" s="46"/>
      <c r="M264" s="42"/>
      <c r="N264" s="278"/>
      <c r="O264" s="42"/>
      <c r="P264" s="42"/>
      <c r="Q264" s="42"/>
      <c r="R264" s="278"/>
      <c r="V264" s="278"/>
      <c r="W264" s="19"/>
      <c r="X264" s="19"/>
    </row>
    <row r="265" spans="1:24" x14ac:dyDescent="0.25">
      <c r="A265" s="21">
        <v>260</v>
      </c>
      <c r="B265" s="19" t="s">
        <v>15</v>
      </c>
      <c r="E265" s="84">
        <f>'Rev Recon Summary'!R155</f>
        <v>0</v>
      </c>
      <c r="F265" s="278"/>
      <c r="G265" s="56"/>
      <c r="H265" s="56"/>
      <c r="I265" s="56"/>
      <c r="J265" s="278"/>
      <c r="K265" s="41"/>
      <c r="L265" s="46"/>
      <c r="M265" s="42"/>
      <c r="N265" s="278"/>
      <c r="O265" s="42"/>
      <c r="P265" s="42"/>
      <c r="Q265" s="42"/>
      <c r="R265" s="278"/>
      <c r="V265" s="278"/>
      <c r="W265" s="19"/>
      <c r="X265" s="19"/>
    </row>
    <row r="266" spans="1:24" x14ac:dyDescent="0.25">
      <c r="A266" s="21">
        <v>261</v>
      </c>
      <c r="B266" s="19" t="s">
        <v>16</v>
      </c>
      <c r="E266" s="84">
        <f>'Rev Recon Summary'!R156</f>
        <v>3467.9299999999994</v>
      </c>
      <c r="F266" s="278"/>
      <c r="G266" s="56"/>
      <c r="H266" s="56"/>
      <c r="I266" s="56"/>
      <c r="J266" s="278"/>
      <c r="K266" s="41"/>
      <c r="L266" s="46"/>
      <c r="M266" s="42"/>
      <c r="N266" s="278"/>
      <c r="O266" s="42"/>
      <c r="P266" s="42"/>
      <c r="Q266" s="42"/>
      <c r="R266" s="278"/>
      <c r="V266" s="278"/>
    </row>
    <row r="267" spans="1:24" x14ac:dyDescent="0.25">
      <c r="A267" s="21">
        <v>262</v>
      </c>
      <c r="B267" s="19" t="s">
        <v>17</v>
      </c>
      <c r="E267" s="84">
        <f>'Rev Recon Summary'!R157</f>
        <v>-20.490000000000002</v>
      </c>
      <c r="F267" s="278"/>
      <c r="G267" s="56"/>
      <c r="H267" s="56"/>
      <c r="I267" s="56"/>
      <c r="J267" s="278"/>
      <c r="K267" s="41"/>
      <c r="L267" s="46"/>
      <c r="M267" s="42"/>
      <c r="N267" s="278"/>
      <c r="O267" s="42"/>
      <c r="P267" s="42"/>
      <c r="Q267" s="42"/>
      <c r="R267" s="278"/>
      <c r="V267" s="278"/>
    </row>
    <row r="268" spans="1:24" x14ac:dyDescent="0.25">
      <c r="A268" s="21">
        <v>263</v>
      </c>
      <c r="B268" s="19" t="s">
        <v>18</v>
      </c>
      <c r="E268" s="84">
        <f>'Rev Recon Summary'!R158</f>
        <v>32814.57</v>
      </c>
      <c r="F268" s="278"/>
      <c r="G268" s="56"/>
      <c r="H268" s="56"/>
      <c r="I268" s="56"/>
      <c r="J268" s="278"/>
      <c r="K268" s="41"/>
      <c r="L268" s="46"/>
      <c r="M268" s="42"/>
      <c r="N268" s="278"/>
      <c r="O268" s="42"/>
      <c r="P268" s="42"/>
      <c r="Q268" s="42"/>
      <c r="R268" s="278"/>
      <c r="V268" s="278"/>
    </row>
    <row r="269" spans="1:24" x14ac:dyDescent="0.25">
      <c r="A269" s="21">
        <v>264</v>
      </c>
      <c r="B269" s="19" t="s">
        <v>234</v>
      </c>
      <c r="E269" s="84">
        <f>'Rev Recon Summary'!R159</f>
        <v>28.96</v>
      </c>
      <c r="F269" s="278"/>
      <c r="G269" s="56"/>
      <c r="H269" s="56"/>
      <c r="I269" s="56"/>
      <c r="J269" s="278"/>
      <c r="K269" s="41"/>
      <c r="L269" s="46"/>
      <c r="M269" s="42"/>
      <c r="N269" s="278"/>
      <c r="O269" s="42"/>
      <c r="P269" s="42"/>
      <c r="Q269" s="42"/>
      <c r="R269" s="278"/>
      <c r="V269" s="278"/>
    </row>
    <row r="270" spans="1:24" x14ac:dyDescent="0.25">
      <c r="A270" s="21">
        <v>265</v>
      </c>
      <c r="B270" s="6" t="s">
        <v>55</v>
      </c>
      <c r="E270" s="84">
        <f>'Rev Recon Summary'!R160</f>
        <v>-2397.4100000000003</v>
      </c>
      <c r="F270" s="278"/>
      <c r="G270" s="56"/>
      <c r="H270" s="56"/>
      <c r="I270" s="56"/>
      <c r="J270" s="278"/>
      <c r="K270" s="41"/>
      <c r="L270" s="46"/>
      <c r="M270" s="42"/>
      <c r="N270" s="278"/>
      <c r="O270" s="42"/>
      <c r="P270" s="42"/>
      <c r="Q270" s="42"/>
      <c r="R270" s="278"/>
      <c r="V270" s="278"/>
    </row>
    <row r="271" spans="1:24" x14ac:dyDescent="0.25">
      <c r="A271" s="21">
        <v>266</v>
      </c>
      <c r="B271" s="6" t="s">
        <v>56</v>
      </c>
      <c r="E271" s="145">
        <f>'Rev Recon Summary'!R161</f>
        <v>2160.0800000000004</v>
      </c>
      <c r="F271" s="278"/>
      <c r="G271" s="56"/>
      <c r="H271" s="56"/>
      <c r="I271" s="56"/>
      <c r="J271" s="278"/>
      <c r="K271" s="41"/>
      <c r="L271" s="46"/>
      <c r="M271" s="42"/>
      <c r="N271" s="278"/>
      <c r="O271" s="42"/>
      <c r="P271" s="42"/>
      <c r="Q271" s="42"/>
      <c r="R271" s="278"/>
      <c r="V271" s="278"/>
    </row>
    <row r="272" spans="1:24" x14ac:dyDescent="0.25">
      <c r="A272" s="21">
        <v>267</v>
      </c>
      <c r="B272" s="19" t="s">
        <v>93</v>
      </c>
      <c r="E272" s="84">
        <f>SUM(E255:E271)</f>
        <v>36263.03</v>
      </c>
      <c r="F272" s="277"/>
      <c r="G272" s="40"/>
      <c r="H272" s="40"/>
      <c r="I272" s="40"/>
      <c r="J272" s="277"/>
      <c r="K272" s="41"/>
      <c r="L272" s="46"/>
      <c r="M272" s="42"/>
      <c r="N272" s="277"/>
      <c r="O272" s="42"/>
      <c r="P272" s="42"/>
      <c r="Q272" s="42"/>
      <c r="R272" s="277"/>
      <c r="V272" s="277"/>
      <c r="W272" s="72"/>
      <c r="X272" s="72"/>
    </row>
    <row r="273" spans="1:25" x14ac:dyDescent="0.25">
      <c r="A273" s="21">
        <v>268</v>
      </c>
      <c r="E273" s="84"/>
      <c r="F273" s="277"/>
      <c r="G273" s="40"/>
      <c r="H273" s="40"/>
      <c r="I273" s="40"/>
      <c r="J273" s="277"/>
      <c r="K273" s="41"/>
      <c r="L273" s="46"/>
      <c r="M273" s="42"/>
      <c r="N273" s="277"/>
      <c r="O273" s="42"/>
      <c r="P273" s="42"/>
      <c r="Q273" s="42"/>
      <c r="R273" s="277"/>
      <c r="V273" s="277"/>
      <c r="W273" s="72"/>
      <c r="X273" s="72"/>
    </row>
    <row r="274" spans="1:25" x14ac:dyDescent="0.25">
      <c r="A274" s="21">
        <v>269</v>
      </c>
      <c r="B274" s="104" t="s">
        <v>221</v>
      </c>
      <c r="C274" s="71">
        <f>E274-'Rev Recon Summary'!R162</f>
        <v>0</v>
      </c>
      <c r="D274" s="105" t="s">
        <v>45</v>
      </c>
      <c r="E274" s="145">
        <f>SUM(E272,E252,E250)</f>
        <v>38454.729999999996</v>
      </c>
      <c r="F274" s="290"/>
      <c r="G274" s="78"/>
      <c r="H274" s="78"/>
      <c r="I274" s="78"/>
      <c r="J274" s="290"/>
      <c r="K274" s="101"/>
      <c r="L274" s="134"/>
      <c r="M274" s="65"/>
      <c r="N274" s="290"/>
      <c r="O274" s="65"/>
      <c r="P274" s="65"/>
      <c r="Q274" s="65"/>
      <c r="R274" s="290"/>
      <c r="S274" s="105"/>
      <c r="T274" s="105"/>
      <c r="U274" s="105"/>
      <c r="V274" s="290"/>
      <c r="W274" s="78"/>
      <c r="X274" s="78"/>
      <c r="Y274" s="105"/>
    </row>
    <row r="275" spans="1:25" x14ac:dyDescent="0.25">
      <c r="A275" s="21">
        <v>270</v>
      </c>
      <c r="K275" s="41"/>
      <c r="L275" s="46"/>
      <c r="M275" s="42"/>
      <c r="O275" s="42"/>
      <c r="P275" s="42"/>
      <c r="Q275" s="42"/>
    </row>
    <row r="276" spans="1:25" x14ac:dyDescent="0.25">
      <c r="A276" s="21">
        <v>271</v>
      </c>
      <c r="B276" s="30" t="s">
        <v>98</v>
      </c>
      <c r="G276" s="66" t="s">
        <v>391</v>
      </c>
      <c r="K276" s="41"/>
      <c r="L276" s="46"/>
      <c r="M276" s="42"/>
      <c r="O276" s="42"/>
      <c r="P276" s="42"/>
      <c r="Q276" s="42"/>
    </row>
    <row r="277" spans="1:25" x14ac:dyDescent="0.25">
      <c r="A277" s="21">
        <v>272</v>
      </c>
      <c r="B277" s="19" t="s">
        <v>319</v>
      </c>
      <c r="C277" s="251">
        <f>E277/D277</f>
        <v>56</v>
      </c>
      <c r="D277" s="67">
        <v>130</v>
      </c>
      <c r="E277" s="84">
        <f>SUM('1501 Summary'!G172,'1501 Summary'!I172,'1501 Summary'!K172,'1501 Summary'!M172,'1501 Summary'!O172,'1501 Summary'!Q172,'1501 Summary'!S172,'1501 Summary'!U172)</f>
        <v>7280</v>
      </c>
      <c r="F277" s="288"/>
      <c r="G277" s="241">
        <f>-G312</f>
        <v>16</v>
      </c>
      <c r="H277" s="69">
        <f>D277</f>
        <v>130</v>
      </c>
      <c r="I277" s="84">
        <f>H277*G277</f>
        <v>2080</v>
      </c>
      <c r="J277" s="288"/>
      <c r="K277" s="41">
        <f t="shared" ref="K277:K317" si="45">C277+G277</f>
        <v>72</v>
      </c>
      <c r="L277" s="38"/>
      <c r="M277" s="42"/>
      <c r="N277" s="288"/>
      <c r="O277" s="69"/>
      <c r="P277" s="69"/>
      <c r="Q277" s="42"/>
      <c r="R277" s="288"/>
      <c r="S277" s="86"/>
      <c r="T277" s="86"/>
      <c r="U277" s="86"/>
      <c r="V277" s="288"/>
      <c r="W277" s="41"/>
      <c r="X277" s="41"/>
      <c r="Y277" s="86"/>
    </row>
    <row r="278" spans="1:25" x14ac:dyDescent="0.25">
      <c r="A278" s="21">
        <v>273</v>
      </c>
      <c r="B278" s="19" t="s">
        <v>320</v>
      </c>
      <c r="C278" s="251">
        <f t="shared" ref="C278:C282" si="46">E278/D278</f>
        <v>32</v>
      </c>
      <c r="D278" s="38">
        <v>163</v>
      </c>
      <c r="E278" s="84">
        <f>SUM('1501 Summary'!W172,'1501 Summary'!Y172,'1501 Summary'!AA172,'1501 Summary'!AC172)</f>
        <v>5216</v>
      </c>
      <c r="F278" s="281"/>
      <c r="G278" s="241"/>
      <c r="H278" s="69"/>
      <c r="I278" s="84"/>
      <c r="J278" s="281"/>
      <c r="K278" s="41">
        <f t="shared" si="45"/>
        <v>32</v>
      </c>
      <c r="L278" s="38">
        <f t="shared" si="39"/>
        <v>163</v>
      </c>
      <c r="M278" s="42">
        <f>L278*SUM(K278,K277)</f>
        <v>16952</v>
      </c>
      <c r="N278" s="281"/>
      <c r="O278" s="41">
        <f>'End of Period Calculations'!AB118</f>
        <v>96</v>
      </c>
      <c r="P278" s="42">
        <f>O278*L278</f>
        <v>15648</v>
      </c>
      <c r="Q278" s="42">
        <f t="shared" ref="Q278:Q283" si="47">P278-M278</f>
        <v>-1304</v>
      </c>
      <c r="R278" s="281"/>
      <c r="S278" s="86"/>
      <c r="T278" s="86"/>
      <c r="U278" s="86"/>
      <c r="V278" s="281"/>
      <c r="W278" s="67">
        <f>L278</f>
        <v>163</v>
      </c>
      <c r="X278" s="86">
        <f>W278*O278</f>
        <v>15648</v>
      </c>
      <c r="Y278" s="86">
        <f>X278-P278</f>
        <v>0</v>
      </c>
    </row>
    <row r="279" spans="1:25" x14ac:dyDescent="0.25">
      <c r="A279" s="21">
        <v>274</v>
      </c>
      <c r="B279" s="19" t="s">
        <v>317</v>
      </c>
      <c r="C279" s="41">
        <f t="shared" si="46"/>
        <v>674640.83566136286</v>
      </c>
      <c r="D279" s="81">
        <v>8.233E-2</v>
      </c>
      <c r="E279" s="84">
        <f>SUM('1501 Summary'!G173,'1501 Summary'!I173,'1501 Summary'!K173,'1501 Summary'!M173,'1501 Summary'!O173,'1501 Summary'!Q173,'1501 Summary'!S173)</f>
        <v>55543.18</v>
      </c>
      <c r="F279" s="281"/>
      <c r="G279" s="241">
        <f>-G314-G315</f>
        <v>109320.86402965453</v>
      </c>
      <c r="H279" s="250">
        <f t="shared" ref="H279" si="48">D279</f>
        <v>8.233E-2</v>
      </c>
      <c r="I279" s="84">
        <f t="shared" ref="I279" si="49">H279*G279</f>
        <v>9000.3867355614584</v>
      </c>
      <c r="J279" s="281"/>
      <c r="K279" s="41">
        <f t="shared" si="45"/>
        <v>783961.69969101739</v>
      </c>
      <c r="L279" s="46"/>
      <c r="M279" s="42"/>
      <c r="N279" s="281"/>
      <c r="O279" s="42"/>
      <c r="P279" s="42"/>
      <c r="Q279" s="42"/>
      <c r="R279" s="281"/>
      <c r="S279" s="86"/>
      <c r="T279" s="86"/>
      <c r="U279" s="86"/>
      <c r="V279" s="281"/>
      <c r="W279" s="41"/>
      <c r="X279" s="86"/>
      <c r="Y279" s="86"/>
    </row>
    <row r="280" spans="1:25" x14ac:dyDescent="0.25">
      <c r="A280" s="21">
        <v>275</v>
      </c>
      <c r="B280" s="19" t="s">
        <v>318</v>
      </c>
      <c r="C280" s="41">
        <f t="shared" si="46"/>
        <v>674277.21012883168</v>
      </c>
      <c r="D280" s="81">
        <v>2.2509999999999999E-2</v>
      </c>
      <c r="E280" s="84">
        <f>SUM('1501 Summary'!G174,'1501 Summary'!I174,'1501 Summary'!K174,'1501 Summary'!M174,'1501 Summary'!O174,'1501 Summary'!Q174,'1501 Summary'!S174)</f>
        <v>15177.98</v>
      </c>
      <c r="F280" s="281"/>
      <c r="G280" s="241"/>
      <c r="H280" s="250"/>
      <c r="I280" s="69"/>
      <c r="J280" s="281"/>
      <c r="K280" s="41">
        <f t="shared" si="45"/>
        <v>674277.21012883168</v>
      </c>
      <c r="L280" s="46"/>
      <c r="M280" s="42"/>
      <c r="N280" s="281"/>
      <c r="O280" s="42"/>
      <c r="P280" s="42"/>
      <c r="Q280" s="42"/>
      <c r="R280" s="281"/>
      <c r="S280" s="86"/>
      <c r="T280" s="86"/>
      <c r="U280" s="86"/>
      <c r="V280" s="281"/>
      <c r="W280" s="41"/>
      <c r="X280" s="86"/>
      <c r="Y280" s="86"/>
    </row>
    <row r="281" spans="1:25" x14ac:dyDescent="0.25">
      <c r="A281" s="21">
        <v>276</v>
      </c>
      <c r="B281" s="19" t="s">
        <v>321</v>
      </c>
      <c r="C281" s="41">
        <f t="shared" si="46"/>
        <v>473492.33692210255</v>
      </c>
      <c r="D281" s="81">
        <v>7.8950000000000006E-2</v>
      </c>
      <c r="E281" s="84">
        <f>SUM('1501 Summary'!U173,'1501 Summary'!W173,'1501 Summary'!Y173,'1501 Summary'!AA173,'1501 Summary'!AC173)</f>
        <v>37382.22</v>
      </c>
      <c r="F281" s="281"/>
      <c r="G281" s="241"/>
      <c r="H281" s="69"/>
      <c r="I281" s="42"/>
      <c r="J281" s="281"/>
      <c r="K281" s="41">
        <f t="shared" si="45"/>
        <v>473492.33692210255</v>
      </c>
      <c r="L281" s="46">
        <f t="shared" si="39"/>
        <v>7.8950000000000006E-2</v>
      </c>
      <c r="M281" s="42">
        <f>L281*SUM(K281,K279)</f>
        <v>99275.996190605831</v>
      </c>
      <c r="N281" s="281"/>
      <c r="O281" s="41">
        <f>'End of Period Calculations'!AA118</f>
        <v>1159981.0421854148</v>
      </c>
      <c r="P281" s="42">
        <f>O281*L281</f>
        <v>91580.503280538513</v>
      </c>
      <c r="Q281" s="42">
        <f t="shared" si="47"/>
        <v>-7695.492910067318</v>
      </c>
      <c r="R281" s="281"/>
      <c r="S281" s="41">
        <f>O281</f>
        <v>1159981.0421854148</v>
      </c>
      <c r="T281" s="218">
        <v>3.3999999999999998E-3</v>
      </c>
      <c r="U281" s="86">
        <f>T281*S281</f>
        <v>3943.9355434304102</v>
      </c>
      <c r="V281" s="281"/>
      <c r="W281" s="218">
        <f>'Exh IDM-4 -Revenue Distribution'!F27</f>
        <v>9.3330560080321284E-2</v>
      </c>
      <c r="X281" s="86">
        <f t="shared" ref="X281:X282" si="50">W281*O281</f>
        <v>108261.68034971955</v>
      </c>
      <c r="Y281" s="86">
        <f>X281-P281</f>
        <v>16681.177069181038</v>
      </c>
    </row>
    <row r="282" spans="1:25" x14ac:dyDescent="0.25">
      <c r="A282" s="21">
        <v>277</v>
      </c>
      <c r="B282" s="110" t="s">
        <v>322</v>
      </c>
      <c r="C282" s="41">
        <f t="shared" si="46"/>
        <v>269737.98932384345</v>
      </c>
      <c r="D282" s="81">
        <v>2.248E-2</v>
      </c>
      <c r="E282" s="84">
        <f>SUM('1501 Summary'!U174,'1501 Summary'!W174,'1501 Summary'!Y174,'1501 Summary'!AA174,'1501 Summary'!AC174)</f>
        <v>6063.7100000000009</v>
      </c>
      <c r="F282" s="281"/>
      <c r="G282" s="241"/>
      <c r="H282" s="69"/>
      <c r="I282" s="42"/>
      <c r="J282" s="281"/>
      <c r="K282" s="41">
        <f t="shared" si="45"/>
        <v>269737.98932384345</v>
      </c>
      <c r="L282" s="46">
        <f t="shared" si="39"/>
        <v>2.248E-2</v>
      </c>
      <c r="M282" s="65">
        <f>L282*SUM(K282,K280)</f>
        <v>21221.46168369614</v>
      </c>
      <c r="N282" s="281"/>
      <c r="O282" s="41">
        <f>'End of Period Calculations'!AA119</f>
        <v>866598.96930392005</v>
      </c>
      <c r="P282" s="65">
        <f>O282*L282</f>
        <v>19481.144829952122</v>
      </c>
      <c r="Q282" s="65">
        <f t="shared" si="47"/>
        <v>-1740.3168537440179</v>
      </c>
      <c r="R282" s="281"/>
      <c r="S282" s="41">
        <f>O282</f>
        <v>866598.96930392005</v>
      </c>
      <c r="T282" s="218">
        <v>3.3999999999999998E-3</v>
      </c>
      <c r="U282" s="88">
        <f>T282*S282</f>
        <v>2946.4364956333279</v>
      </c>
      <c r="V282" s="281"/>
      <c r="W282" s="218">
        <f>'Exh IDM-4 -Revenue Distribution'!F28</f>
        <v>2.6574680058335937E-2</v>
      </c>
      <c r="X282" s="88">
        <f t="shared" si="50"/>
        <v>23029.59034813536</v>
      </c>
      <c r="Y282" s="88">
        <f>X282-P282</f>
        <v>3548.4455181832382</v>
      </c>
    </row>
    <row r="283" spans="1:25" x14ac:dyDescent="0.25">
      <c r="A283" s="21">
        <v>278</v>
      </c>
      <c r="B283" s="19" t="s">
        <v>10</v>
      </c>
      <c r="E283" s="252">
        <f>SUM(E277:E282)</f>
        <v>126663.09</v>
      </c>
      <c r="F283" s="281"/>
      <c r="G283" s="42"/>
      <c r="H283" s="42"/>
      <c r="I283" s="42"/>
      <c r="J283" s="281"/>
      <c r="K283" s="41"/>
      <c r="L283" s="46"/>
      <c r="M283" s="42">
        <f>SUM(M277:M282)</f>
        <v>137449.45787430197</v>
      </c>
      <c r="N283" s="281"/>
      <c r="O283" s="42"/>
      <c r="P283" s="42">
        <f>SUM(P278:P282)</f>
        <v>126709.64811049064</v>
      </c>
      <c r="Q283" s="42">
        <f t="shared" si="47"/>
        <v>-10739.809763811325</v>
      </c>
      <c r="R283" s="281"/>
      <c r="S283" s="86"/>
      <c r="T283" s="86"/>
      <c r="U283" s="86">
        <f>SUM(U281:U282)</f>
        <v>6890.3720390637382</v>
      </c>
      <c r="V283" s="281"/>
      <c r="X283" s="86">
        <f>SUM(X278:X282)</f>
        <v>146939.27069785492</v>
      </c>
      <c r="Y283" s="86">
        <f>SUM(Y278:Y282)</f>
        <v>20229.622587364276</v>
      </c>
    </row>
    <row r="284" spans="1:25" x14ac:dyDescent="0.25">
      <c r="A284" s="21">
        <v>279</v>
      </c>
      <c r="E284" s="84"/>
      <c r="K284" s="41"/>
      <c r="L284" s="46"/>
      <c r="M284" s="42"/>
      <c r="O284" s="42"/>
      <c r="P284" s="42"/>
      <c r="Q284" s="42"/>
    </row>
    <row r="285" spans="1:25" x14ac:dyDescent="0.25">
      <c r="A285" s="21">
        <v>280</v>
      </c>
      <c r="B285" s="19" t="s">
        <v>11</v>
      </c>
      <c r="E285" s="84">
        <f>'1501 Summary'!AD175</f>
        <v>895841.48</v>
      </c>
      <c r="F285" s="281"/>
      <c r="G285" s="42"/>
      <c r="H285" s="42"/>
      <c r="I285" s="42"/>
      <c r="J285" s="281"/>
      <c r="K285" s="41"/>
      <c r="L285" s="46"/>
      <c r="M285" s="42"/>
      <c r="N285" s="281"/>
      <c r="O285" s="42"/>
      <c r="P285" s="42"/>
      <c r="Q285" s="42"/>
      <c r="R285" s="281"/>
      <c r="V285" s="281"/>
    </row>
    <row r="286" spans="1:25" x14ac:dyDescent="0.25">
      <c r="A286" s="21">
        <v>281</v>
      </c>
      <c r="E286" s="84"/>
      <c r="K286" s="41"/>
      <c r="L286" s="46"/>
      <c r="M286" s="42"/>
      <c r="O286" s="42"/>
      <c r="P286" s="42"/>
      <c r="Q286" s="42"/>
    </row>
    <row r="287" spans="1:25" x14ac:dyDescent="0.25">
      <c r="A287" s="21">
        <v>282</v>
      </c>
      <c r="B287" s="19" t="s">
        <v>12</v>
      </c>
      <c r="E287" s="84"/>
      <c r="K287" s="41"/>
      <c r="L287" s="46"/>
      <c r="M287" s="42"/>
      <c r="O287" s="42"/>
      <c r="P287" s="42"/>
      <c r="Q287" s="42"/>
    </row>
    <row r="288" spans="1:25" x14ac:dyDescent="0.25">
      <c r="A288" s="21">
        <v>283</v>
      </c>
      <c r="B288" s="19" t="s">
        <v>139</v>
      </c>
      <c r="E288" s="84">
        <f>'1501 Summary'!AD176</f>
        <v>918.83</v>
      </c>
      <c r="F288" s="281"/>
      <c r="G288" s="42"/>
      <c r="H288" s="42"/>
      <c r="I288" s="42"/>
      <c r="J288" s="281"/>
      <c r="K288" s="41"/>
      <c r="L288" s="46"/>
      <c r="M288" s="42"/>
      <c r="N288" s="281"/>
      <c r="O288" s="42"/>
      <c r="P288" s="42"/>
      <c r="Q288" s="42"/>
      <c r="R288" s="281"/>
      <c r="V288" s="281"/>
      <c r="W288" s="19"/>
      <c r="X288" s="19"/>
    </row>
    <row r="289" spans="1:24" x14ac:dyDescent="0.25">
      <c r="A289" s="21">
        <v>284</v>
      </c>
      <c r="B289" s="19" t="s">
        <v>140</v>
      </c>
      <c r="E289" s="84">
        <f>'1501 Summary'!AD177</f>
        <v>4509.8</v>
      </c>
      <c r="F289" s="281"/>
      <c r="G289" s="42"/>
      <c r="H289" s="42"/>
      <c r="I289" s="42"/>
      <c r="J289" s="281"/>
      <c r="K289" s="41"/>
      <c r="L289" s="46"/>
      <c r="M289" s="42"/>
      <c r="N289" s="281"/>
      <c r="O289" s="42"/>
      <c r="P289" s="42"/>
      <c r="Q289" s="42"/>
      <c r="R289" s="281"/>
      <c r="V289" s="281"/>
      <c r="W289" s="19"/>
      <c r="X289" s="19"/>
    </row>
    <row r="290" spans="1:24" x14ac:dyDescent="0.25">
      <c r="A290" s="21">
        <v>285</v>
      </c>
      <c r="B290" s="19" t="s">
        <v>141</v>
      </c>
      <c r="E290" s="84">
        <f>'1501 Summary'!AD178</f>
        <v>-5323.8099999999995</v>
      </c>
      <c r="F290" s="281"/>
      <c r="G290" s="42"/>
      <c r="H290" s="42"/>
      <c r="I290" s="42"/>
      <c r="J290" s="281"/>
      <c r="K290" s="41"/>
      <c r="L290" s="46"/>
      <c r="M290" s="42"/>
      <c r="N290" s="281"/>
      <c r="O290" s="42"/>
      <c r="P290" s="42"/>
      <c r="Q290" s="42"/>
      <c r="R290" s="281"/>
      <c r="V290" s="281"/>
      <c r="W290" s="19"/>
      <c r="X290" s="19"/>
    </row>
    <row r="291" spans="1:24" x14ac:dyDescent="0.25">
      <c r="A291" s="21">
        <v>286</v>
      </c>
      <c r="B291" s="19" t="s">
        <v>142</v>
      </c>
      <c r="E291" s="84">
        <f>'1501 Summary'!AD179</f>
        <v>105896.05000000002</v>
      </c>
      <c r="F291" s="281"/>
      <c r="G291" s="42"/>
      <c r="H291" s="42"/>
      <c r="I291" s="42"/>
      <c r="J291" s="281"/>
      <c r="K291" s="41"/>
      <c r="L291" s="46"/>
      <c r="M291" s="42"/>
      <c r="N291" s="281"/>
      <c r="O291" s="42"/>
      <c r="P291" s="42"/>
      <c r="Q291" s="42"/>
      <c r="R291" s="281"/>
      <c r="V291" s="281"/>
      <c r="W291" s="19"/>
      <c r="X291" s="19"/>
    </row>
    <row r="292" spans="1:24" x14ac:dyDescent="0.25">
      <c r="A292" s="21">
        <v>287</v>
      </c>
      <c r="B292" s="19" t="s">
        <v>143</v>
      </c>
      <c r="E292" s="84">
        <f>'1501 Summary'!AD180</f>
        <v>31528.810000000005</v>
      </c>
      <c r="F292" s="281"/>
      <c r="G292" s="42"/>
      <c r="H292" s="42"/>
      <c r="I292" s="42"/>
      <c r="J292" s="281"/>
      <c r="K292" s="41"/>
      <c r="L292" s="46"/>
      <c r="M292" s="42"/>
      <c r="N292" s="281"/>
      <c r="O292" s="42"/>
      <c r="P292" s="42"/>
      <c r="Q292" s="42"/>
      <c r="R292" s="281"/>
      <c r="V292" s="281"/>
      <c r="W292" s="19"/>
      <c r="X292" s="19"/>
    </row>
    <row r="293" spans="1:24" x14ac:dyDescent="0.25">
      <c r="A293" s="21">
        <v>288</v>
      </c>
      <c r="B293" s="19" t="s">
        <v>224</v>
      </c>
      <c r="E293" s="84">
        <f>'1501 Summary'!AD181</f>
        <v>-624.14</v>
      </c>
      <c r="F293" s="281"/>
      <c r="G293" s="42"/>
      <c r="H293" s="42"/>
      <c r="I293" s="42"/>
      <c r="J293" s="281"/>
      <c r="K293" s="41"/>
      <c r="L293" s="46"/>
      <c r="M293" s="42"/>
      <c r="N293" s="281"/>
      <c r="O293" s="42"/>
      <c r="P293" s="42"/>
      <c r="Q293" s="42"/>
      <c r="R293" s="281"/>
      <c r="V293" s="281"/>
      <c r="W293" s="19"/>
      <c r="X293" s="19"/>
    </row>
    <row r="294" spans="1:24" x14ac:dyDescent="0.25">
      <c r="A294" s="21">
        <v>289</v>
      </c>
      <c r="B294" s="19" t="s">
        <v>225</v>
      </c>
      <c r="E294" s="84">
        <f>'1501 Summary'!AD182</f>
        <v>-295.16000000000003</v>
      </c>
      <c r="F294" s="281"/>
      <c r="G294" s="42"/>
      <c r="H294" s="42"/>
      <c r="I294" s="42"/>
      <c r="J294" s="281"/>
      <c r="K294" s="41"/>
      <c r="L294" s="46"/>
      <c r="M294" s="42"/>
      <c r="N294" s="281"/>
      <c r="O294" s="42"/>
      <c r="P294" s="42"/>
      <c r="Q294" s="42"/>
      <c r="R294" s="281"/>
      <c r="V294" s="281"/>
      <c r="W294" s="19"/>
      <c r="X294" s="19"/>
    </row>
    <row r="295" spans="1:24" x14ac:dyDescent="0.25">
      <c r="A295" s="21">
        <v>290</v>
      </c>
      <c r="B295" s="19" t="s">
        <v>226</v>
      </c>
      <c r="E295" s="84">
        <f>'1501 Summary'!AD183</f>
        <v>-564.70999999999992</v>
      </c>
      <c r="F295" s="281"/>
      <c r="G295" s="42"/>
      <c r="H295" s="42"/>
      <c r="I295" s="42"/>
      <c r="J295" s="281"/>
      <c r="K295" s="41"/>
      <c r="L295" s="46"/>
      <c r="M295" s="42"/>
      <c r="N295" s="281"/>
      <c r="O295" s="42"/>
      <c r="P295" s="42"/>
      <c r="Q295" s="42"/>
      <c r="R295" s="281"/>
      <c r="V295" s="281"/>
      <c r="W295" s="19"/>
      <c r="X295" s="19"/>
    </row>
    <row r="296" spans="1:24" x14ac:dyDescent="0.25">
      <c r="A296" s="21">
        <v>291</v>
      </c>
      <c r="B296" s="19" t="s">
        <v>144</v>
      </c>
      <c r="E296" s="84">
        <f>'1501 Summary'!AD184</f>
        <v>15082.04</v>
      </c>
      <c r="F296" s="281"/>
      <c r="G296" s="42"/>
      <c r="H296" s="42"/>
      <c r="I296" s="42"/>
      <c r="J296" s="281"/>
      <c r="K296" s="41"/>
      <c r="L296" s="46"/>
      <c r="M296" s="42"/>
      <c r="N296" s="281"/>
      <c r="O296" s="42"/>
      <c r="P296" s="42"/>
      <c r="Q296" s="42"/>
      <c r="R296" s="281"/>
      <c r="V296" s="281"/>
      <c r="W296" s="19"/>
      <c r="X296" s="19"/>
    </row>
    <row r="297" spans="1:24" x14ac:dyDescent="0.25">
      <c r="A297" s="21">
        <v>292</v>
      </c>
      <c r="B297" s="18" t="s">
        <v>148</v>
      </c>
      <c r="E297" s="84">
        <f>'1501 Summary'!AD185</f>
        <v>779.11</v>
      </c>
      <c r="F297" s="281"/>
      <c r="G297" s="42"/>
      <c r="H297" s="42"/>
      <c r="I297" s="42"/>
      <c r="J297" s="281"/>
      <c r="K297" s="41"/>
      <c r="L297" s="46"/>
      <c r="M297" s="42"/>
      <c r="N297" s="281"/>
      <c r="O297" s="42"/>
      <c r="P297" s="42"/>
      <c r="Q297" s="42"/>
      <c r="R297" s="281"/>
      <c r="V297" s="281"/>
      <c r="W297" s="19"/>
      <c r="X297" s="19"/>
    </row>
    <row r="298" spans="1:24" x14ac:dyDescent="0.25">
      <c r="A298" s="21">
        <v>293</v>
      </c>
      <c r="B298" s="18" t="s">
        <v>14</v>
      </c>
      <c r="C298" s="18"/>
      <c r="E298" s="84">
        <f>'Rev Recon Summary'!R174</f>
        <v>0</v>
      </c>
      <c r="F298" s="281"/>
      <c r="G298" s="42"/>
      <c r="H298" s="42"/>
      <c r="I298" s="42"/>
      <c r="J298" s="281"/>
      <c r="K298" s="41"/>
      <c r="L298" s="46"/>
      <c r="M298" s="42"/>
      <c r="N298" s="281"/>
      <c r="O298" s="42"/>
      <c r="P298" s="42"/>
      <c r="Q298" s="42"/>
      <c r="R298" s="281"/>
      <c r="V298" s="281"/>
      <c r="W298" s="19"/>
      <c r="X298" s="19"/>
    </row>
    <row r="299" spans="1:24" x14ac:dyDescent="0.25">
      <c r="A299" s="21">
        <v>294</v>
      </c>
      <c r="B299" s="18" t="s">
        <v>15</v>
      </c>
      <c r="E299" s="84">
        <f>'Rev Recon Summary'!R175</f>
        <v>0</v>
      </c>
      <c r="F299" s="281"/>
      <c r="G299" s="42"/>
      <c r="H299" s="42"/>
      <c r="I299" s="42"/>
      <c r="J299" s="281"/>
      <c r="K299" s="41"/>
      <c r="L299" s="46"/>
      <c r="M299" s="42"/>
      <c r="N299" s="281"/>
      <c r="O299" s="42"/>
      <c r="P299" s="42"/>
      <c r="Q299" s="42"/>
      <c r="R299" s="281"/>
      <c r="V299" s="281"/>
      <c r="W299" s="19"/>
      <c r="X299" s="19"/>
    </row>
    <row r="300" spans="1:24" x14ac:dyDescent="0.25">
      <c r="A300" s="21">
        <v>295</v>
      </c>
      <c r="B300" s="18" t="s">
        <v>16</v>
      </c>
      <c r="E300" s="84">
        <f>'Rev Recon Summary'!R176</f>
        <v>33486.609999999993</v>
      </c>
      <c r="F300" s="281"/>
      <c r="G300" s="42"/>
      <c r="H300" s="42"/>
      <c r="I300" s="42"/>
      <c r="J300" s="281"/>
      <c r="K300" s="41"/>
      <c r="L300" s="46"/>
      <c r="M300" s="42"/>
      <c r="N300" s="281"/>
      <c r="O300" s="42"/>
      <c r="P300" s="42"/>
      <c r="Q300" s="42"/>
      <c r="R300" s="281"/>
      <c r="V300" s="281"/>
      <c r="W300" s="19"/>
      <c r="X300" s="19"/>
    </row>
    <row r="301" spans="1:24" x14ac:dyDescent="0.25">
      <c r="A301" s="21">
        <v>296</v>
      </c>
      <c r="B301" s="18" t="s">
        <v>17</v>
      </c>
      <c r="E301" s="84">
        <f>'Rev Recon Summary'!R177</f>
        <v>1619.06</v>
      </c>
      <c r="F301" s="281"/>
      <c r="G301" s="42"/>
      <c r="H301" s="42"/>
      <c r="I301" s="42"/>
      <c r="J301" s="281"/>
      <c r="K301" s="41"/>
      <c r="L301" s="46"/>
      <c r="M301" s="42"/>
      <c r="N301" s="281"/>
      <c r="O301" s="42"/>
      <c r="P301" s="42"/>
      <c r="Q301" s="42"/>
      <c r="R301" s="281"/>
      <c r="V301" s="281"/>
      <c r="W301" s="19"/>
      <c r="X301" s="19"/>
    </row>
    <row r="302" spans="1:24" x14ac:dyDescent="0.25">
      <c r="A302" s="21">
        <v>297</v>
      </c>
      <c r="B302" s="18" t="s">
        <v>18</v>
      </c>
      <c r="E302" s="84">
        <f>'Rev Recon Summary'!R178</f>
        <v>0</v>
      </c>
      <c r="F302" s="281"/>
      <c r="G302" s="42"/>
      <c r="H302" s="42"/>
      <c r="I302" s="42"/>
      <c r="J302" s="281"/>
      <c r="K302" s="41"/>
      <c r="L302" s="46"/>
      <c r="M302" s="42"/>
      <c r="N302" s="281"/>
      <c r="O302" s="42"/>
      <c r="P302" s="42"/>
      <c r="Q302" s="42"/>
      <c r="R302" s="281"/>
      <c r="V302" s="281"/>
      <c r="W302" s="19"/>
      <c r="X302" s="19"/>
    </row>
    <row r="303" spans="1:24" x14ac:dyDescent="0.25">
      <c r="A303" s="21">
        <v>298</v>
      </c>
      <c r="B303" s="18" t="s">
        <v>24</v>
      </c>
      <c r="E303" s="84">
        <f>'Rev Recon Summary'!R179</f>
        <v>0</v>
      </c>
      <c r="F303" s="281"/>
      <c r="G303" s="42"/>
      <c r="H303" s="42"/>
      <c r="I303" s="42"/>
      <c r="J303" s="281"/>
      <c r="K303" s="41"/>
      <c r="L303" s="46"/>
      <c r="M303" s="42"/>
      <c r="N303" s="281"/>
      <c r="O303" s="42"/>
      <c r="P303" s="42"/>
      <c r="Q303" s="42"/>
      <c r="R303" s="281"/>
      <c r="V303" s="281"/>
      <c r="W303" s="19"/>
      <c r="X303" s="19"/>
    </row>
    <row r="304" spans="1:24" x14ac:dyDescent="0.25">
      <c r="A304" s="21">
        <v>299</v>
      </c>
      <c r="B304" s="6" t="s">
        <v>55</v>
      </c>
      <c r="E304" s="84">
        <f>'Rev Recon Summary'!R180</f>
        <v>-1173492.5599999998</v>
      </c>
      <c r="F304" s="281"/>
      <c r="G304" s="42"/>
      <c r="H304" s="42"/>
      <c r="I304" s="42"/>
      <c r="J304" s="281"/>
      <c r="K304" s="41"/>
      <c r="L304" s="46"/>
      <c r="M304" s="42"/>
      <c r="N304" s="281"/>
      <c r="O304" s="42"/>
      <c r="P304" s="42"/>
      <c r="Q304" s="42"/>
      <c r="R304" s="281"/>
      <c r="V304" s="281"/>
      <c r="W304" s="19"/>
      <c r="X304" s="19"/>
    </row>
    <row r="305" spans="1:25" x14ac:dyDescent="0.25">
      <c r="A305" s="21">
        <v>300</v>
      </c>
      <c r="B305" s="6" t="s">
        <v>56</v>
      </c>
      <c r="E305" s="145">
        <f>'Rev Recon Summary'!R181</f>
        <v>1172380.0200000003</v>
      </c>
      <c r="F305" s="281"/>
      <c r="G305" s="42"/>
      <c r="H305" s="42"/>
      <c r="I305" s="42"/>
      <c r="J305" s="281"/>
      <c r="K305" s="41"/>
      <c r="L305" s="46"/>
      <c r="M305" s="42"/>
      <c r="N305" s="281"/>
      <c r="O305" s="42"/>
      <c r="P305" s="42"/>
      <c r="Q305" s="42"/>
      <c r="R305" s="281"/>
      <c r="V305" s="281"/>
      <c r="W305" s="19"/>
      <c r="X305" s="19"/>
    </row>
    <row r="306" spans="1:25" x14ac:dyDescent="0.25">
      <c r="A306" s="21">
        <v>301</v>
      </c>
      <c r="B306" s="18" t="s">
        <v>93</v>
      </c>
      <c r="E306" s="84">
        <f>SUM(E288:E305)</f>
        <v>185899.95000000042</v>
      </c>
      <c r="F306" s="281"/>
      <c r="G306" s="42"/>
      <c r="H306" s="42"/>
      <c r="I306" s="42"/>
      <c r="J306" s="281"/>
      <c r="K306" s="41"/>
      <c r="L306" s="46"/>
      <c r="M306" s="42"/>
      <c r="N306" s="281"/>
      <c r="O306" s="42"/>
      <c r="P306" s="42"/>
      <c r="Q306" s="42"/>
      <c r="R306" s="281"/>
      <c r="V306" s="281"/>
      <c r="W306" s="18"/>
      <c r="X306" s="18"/>
    </row>
    <row r="307" spans="1:25" x14ac:dyDescent="0.25">
      <c r="A307" s="21">
        <v>302</v>
      </c>
      <c r="B307" s="18"/>
      <c r="E307" s="84"/>
      <c r="F307" s="281"/>
      <c r="G307" s="42"/>
      <c r="H307" s="42"/>
      <c r="I307" s="42"/>
      <c r="J307" s="281"/>
      <c r="K307" s="41"/>
      <c r="L307" s="46"/>
      <c r="M307" s="42"/>
      <c r="N307" s="281"/>
      <c r="O307" s="42"/>
      <c r="P307" s="42"/>
      <c r="Q307" s="42"/>
      <c r="R307" s="281"/>
      <c r="V307" s="281"/>
      <c r="W307" s="18"/>
      <c r="X307" s="18"/>
    </row>
    <row r="308" spans="1:25" x14ac:dyDescent="0.25">
      <c r="A308" s="21">
        <v>303</v>
      </c>
      <c r="B308" s="104" t="str">
        <f>"Total "&amp;LEFT(B276,17)&amp;" Revenue"</f>
        <v>Total Rate Schedule 570 Revenue</v>
      </c>
      <c r="C308" s="71">
        <f>E308-'Rev Recon Summary'!R182</f>
        <v>0</v>
      </c>
      <c r="D308" s="106" t="s">
        <v>45</v>
      </c>
      <c r="E308" s="145">
        <f>SUM(E283,E285,E306)</f>
        <v>1208404.5200000005</v>
      </c>
      <c r="F308" s="279"/>
      <c r="G308" s="39"/>
      <c r="H308" s="39"/>
      <c r="I308" s="39"/>
      <c r="J308" s="279"/>
      <c r="K308" s="101"/>
      <c r="L308" s="134"/>
      <c r="M308" s="65"/>
      <c r="N308" s="279"/>
      <c r="O308" s="65"/>
      <c r="P308" s="65"/>
      <c r="Q308" s="65"/>
      <c r="R308" s="279"/>
      <c r="S308" s="65"/>
      <c r="T308" s="65"/>
      <c r="U308" s="65"/>
      <c r="V308" s="279"/>
      <c r="W308" s="39"/>
      <c r="X308" s="39"/>
      <c r="Y308" s="65"/>
    </row>
    <row r="309" spans="1:25" x14ac:dyDescent="0.25">
      <c r="A309" s="21">
        <v>304</v>
      </c>
      <c r="B309" s="31"/>
      <c r="D309" s="19"/>
      <c r="E309" s="44"/>
      <c r="F309" s="280"/>
      <c r="G309" s="44"/>
      <c r="H309" s="44"/>
      <c r="I309" s="44"/>
      <c r="J309" s="280"/>
      <c r="K309" s="41"/>
      <c r="L309" s="46"/>
      <c r="M309" s="42"/>
      <c r="N309" s="280"/>
      <c r="O309" s="42"/>
      <c r="P309" s="42"/>
      <c r="Q309" s="42"/>
      <c r="R309" s="280"/>
      <c r="V309" s="280"/>
    </row>
    <row r="310" spans="1:25" x14ac:dyDescent="0.25">
      <c r="A310" s="21">
        <v>305</v>
      </c>
      <c r="B310" s="31"/>
      <c r="D310" s="22"/>
      <c r="E310" s="44"/>
      <c r="F310" s="280"/>
      <c r="G310" s="44"/>
      <c r="H310" s="44"/>
      <c r="I310" s="44"/>
      <c r="J310" s="280"/>
      <c r="K310" s="41"/>
      <c r="L310" s="46"/>
      <c r="M310" s="42"/>
      <c r="N310" s="280"/>
      <c r="O310" s="42"/>
      <c r="P310" s="42"/>
      <c r="Q310" s="42"/>
      <c r="R310" s="280"/>
      <c r="V310" s="280"/>
    </row>
    <row r="311" spans="1:25" x14ac:dyDescent="0.25">
      <c r="A311" s="21">
        <v>306</v>
      </c>
      <c r="B311" s="30" t="s">
        <v>152</v>
      </c>
      <c r="D311" s="22"/>
      <c r="E311" s="44"/>
      <c r="F311" s="280"/>
      <c r="G311" s="44" t="s">
        <v>364</v>
      </c>
      <c r="H311" s="44"/>
      <c r="I311" s="44"/>
      <c r="J311" s="280"/>
      <c r="K311" s="41"/>
      <c r="L311" s="46"/>
      <c r="M311" s="42"/>
      <c r="N311" s="280"/>
      <c r="O311" s="42"/>
      <c r="P311" s="42"/>
      <c r="Q311" s="42"/>
      <c r="R311" s="280"/>
      <c r="V311" s="280"/>
    </row>
    <row r="312" spans="1:25" x14ac:dyDescent="0.25">
      <c r="A312" s="21">
        <v>307</v>
      </c>
      <c r="B312" s="19" t="s">
        <v>231</v>
      </c>
      <c r="C312" s="174">
        <f>E312/D312</f>
        <v>16</v>
      </c>
      <c r="D312" s="127">
        <v>130</v>
      </c>
      <c r="E312" s="41">
        <f>SUM('1501 Summary'!G192,'1501 Summary'!I192,'1501 Summary'!K192,'1501 Summary'!M192,'1501 Summary'!O192,'1501 Summary'!Q192,'1501 Summary'!S192,'1501 Summary'!U192)</f>
        <v>2080</v>
      </c>
      <c r="F312" s="280"/>
      <c r="G312" s="100">
        <f>-C312</f>
        <v>-16</v>
      </c>
      <c r="H312" s="44">
        <v>130</v>
      </c>
      <c r="I312" s="41">
        <f>H312*G312</f>
        <v>-2080</v>
      </c>
      <c r="J312" s="280"/>
      <c r="K312" s="41">
        <f t="shared" si="45"/>
        <v>0</v>
      </c>
      <c r="L312" s="38">
        <f t="shared" ref="L312:L357" si="51">D312</f>
        <v>130</v>
      </c>
      <c r="M312" s="42">
        <f t="shared" ref="M312:M317" si="52">L312*K312</f>
        <v>0</v>
      </c>
      <c r="N312" s="280"/>
      <c r="O312" s="42"/>
      <c r="P312" s="42"/>
      <c r="Q312" s="42"/>
      <c r="R312" s="280"/>
      <c r="S312" s="82"/>
      <c r="T312" s="82"/>
      <c r="U312" s="82"/>
      <c r="V312" s="280"/>
      <c r="W312" s="174"/>
      <c r="X312" s="174"/>
      <c r="Y312" s="82"/>
    </row>
    <row r="313" spans="1:25" x14ac:dyDescent="0.25">
      <c r="A313" s="21">
        <v>308</v>
      </c>
      <c r="B313" s="19" t="s">
        <v>99</v>
      </c>
      <c r="C313" s="174">
        <v>0</v>
      </c>
      <c r="D313" s="23">
        <v>0</v>
      </c>
      <c r="E313" s="41">
        <f>SUM('1501 Summary'!W192:AC192)</f>
        <v>0</v>
      </c>
      <c r="F313" s="280"/>
      <c r="G313" s="100">
        <f t="shared" ref="G313:G317" si="53">-C313</f>
        <v>0</v>
      </c>
      <c r="H313" s="44">
        <v>0</v>
      </c>
      <c r="I313" s="41">
        <f t="shared" ref="I313:I317" si="54">H313*G313</f>
        <v>0</v>
      </c>
      <c r="J313" s="280"/>
      <c r="K313" s="41">
        <f t="shared" si="45"/>
        <v>0</v>
      </c>
      <c r="L313" s="38">
        <f t="shared" si="51"/>
        <v>0</v>
      </c>
      <c r="M313" s="42">
        <f t="shared" si="52"/>
        <v>0</v>
      </c>
      <c r="N313" s="280"/>
      <c r="O313" s="42"/>
      <c r="P313" s="42"/>
      <c r="Q313" s="42"/>
      <c r="R313" s="280"/>
      <c r="S313" s="82"/>
      <c r="T313" s="82"/>
      <c r="U313" s="82"/>
      <c r="V313" s="280"/>
      <c r="W313" s="174"/>
      <c r="X313" s="174"/>
      <c r="Y313" s="82"/>
    </row>
    <row r="314" spans="1:25" x14ac:dyDescent="0.25">
      <c r="A314" s="21">
        <v>309</v>
      </c>
      <c r="B314" s="19" t="s">
        <v>153</v>
      </c>
      <c r="C314" s="174">
        <f t="shared" ref="C314:C315" si="55">E314/D314</f>
        <v>63334.006345543705</v>
      </c>
      <c r="D314" s="81">
        <v>0.10401000000000001</v>
      </c>
      <c r="E314" s="41">
        <f>SUM('1501 Summary'!G193,'1501 Summary'!I193,'1501 Summary'!K193,'1501 Summary'!M193,'1501 Summary'!O193,'1501 Summary'!Q193,'1501 Summary'!S193,'1501 Summary'!U193)</f>
        <v>6587.3700000000008</v>
      </c>
      <c r="F314" s="280"/>
      <c r="G314" s="100">
        <f t="shared" si="53"/>
        <v>-63334.006345543705</v>
      </c>
      <c r="H314" s="253">
        <v>0.10401000000000001</v>
      </c>
      <c r="I314" s="41">
        <f t="shared" si="54"/>
        <v>-6587.3700000000008</v>
      </c>
      <c r="J314" s="280"/>
      <c r="K314" s="41">
        <f t="shared" si="45"/>
        <v>0</v>
      </c>
      <c r="L314" s="46">
        <f t="shared" si="51"/>
        <v>0.10401000000000001</v>
      </c>
      <c r="M314" s="42">
        <f t="shared" si="52"/>
        <v>0</v>
      </c>
      <c r="N314" s="280"/>
      <c r="O314" s="42"/>
      <c r="P314" s="42"/>
      <c r="Q314" s="42"/>
      <c r="R314" s="280"/>
      <c r="S314" s="82"/>
      <c r="T314" s="82"/>
      <c r="U314" s="82"/>
      <c r="V314" s="280"/>
      <c r="W314" s="174"/>
      <c r="X314" s="174"/>
      <c r="Y314" s="82"/>
    </row>
    <row r="315" spans="1:25" x14ac:dyDescent="0.25">
      <c r="A315" s="21">
        <v>310</v>
      </c>
      <c r="B315" s="19" t="s">
        <v>154</v>
      </c>
      <c r="C315" s="174">
        <f t="shared" si="55"/>
        <v>45986.85768411083</v>
      </c>
      <c r="D315" s="81">
        <v>8.4459999999999993E-2</v>
      </c>
      <c r="E315" s="41">
        <f>SUM('1501 Summary'!G194,'1501 Summary'!I194,'1501 Summary'!K194,'1501 Summary'!M194,'1501 Summary'!O194,'1501 Summary'!Q194,'1501 Summary'!S194,'1501 Summary'!U194)</f>
        <v>3884.05</v>
      </c>
      <c r="F315" s="280"/>
      <c r="G315" s="100">
        <f t="shared" si="53"/>
        <v>-45986.85768411083</v>
      </c>
      <c r="H315" s="254">
        <v>8.4459999999999993E-2</v>
      </c>
      <c r="I315" s="41">
        <f t="shared" si="54"/>
        <v>-3884.05</v>
      </c>
      <c r="J315" s="280"/>
      <c r="K315" s="41">
        <f t="shared" si="45"/>
        <v>0</v>
      </c>
      <c r="L315" s="46">
        <f t="shared" si="51"/>
        <v>8.4459999999999993E-2</v>
      </c>
      <c r="M315" s="42">
        <f t="shared" si="52"/>
        <v>0</v>
      </c>
      <c r="N315" s="280"/>
      <c r="O315" s="42"/>
      <c r="P315" s="42"/>
      <c r="Q315" s="42"/>
      <c r="R315" s="280"/>
      <c r="S315" s="82"/>
      <c r="T315" s="82"/>
      <c r="U315" s="82"/>
      <c r="V315" s="280"/>
      <c r="W315" s="174"/>
      <c r="X315" s="174"/>
      <c r="Y315" s="82"/>
    </row>
    <row r="316" spans="1:25" x14ac:dyDescent="0.25">
      <c r="A316" s="21">
        <v>311</v>
      </c>
      <c r="B316" s="19" t="s">
        <v>323</v>
      </c>
      <c r="C316" s="174">
        <v>0</v>
      </c>
      <c r="D316" s="23">
        <v>0</v>
      </c>
      <c r="E316" s="41">
        <f>SUM('1501 Summary'!W193:AC193)</f>
        <v>0</v>
      </c>
      <c r="F316" s="280"/>
      <c r="G316" s="100">
        <f t="shared" si="53"/>
        <v>0</v>
      </c>
      <c r="H316" s="44">
        <v>0</v>
      </c>
      <c r="I316" s="41">
        <f t="shared" si="54"/>
        <v>0</v>
      </c>
      <c r="J316" s="280"/>
      <c r="K316" s="41">
        <f t="shared" si="45"/>
        <v>0</v>
      </c>
      <c r="L316" s="46">
        <f t="shared" si="51"/>
        <v>0</v>
      </c>
      <c r="M316" s="42">
        <f t="shared" si="52"/>
        <v>0</v>
      </c>
      <c r="N316" s="280"/>
      <c r="O316" s="42"/>
      <c r="P316" s="42"/>
      <c r="Q316" s="42"/>
      <c r="R316" s="280"/>
      <c r="S316" s="82"/>
      <c r="T316" s="82"/>
      <c r="U316" s="82"/>
      <c r="V316" s="280"/>
      <c r="W316" s="174"/>
      <c r="X316" s="174"/>
      <c r="Y316" s="82"/>
    </row>
    <row r="317" spans="1:25" x14ac:dyDescent="0.25">
      <c r="A317" s="21">
        <v>312</v>
      </c>
      <c r="B317" s="110" t="s">
        <v>301</v>
      </c>
      <c r="C317" s="174">
        <v>0</v>
      </c>
      <c r="D317" s="23">
        <v>0</v>
      </c>
      <c r="E317" s="101">
        <f>SUM('1501 Summary'!W194:AC194)</f>
        <v>0</v>
      </c>
      <c r="F317" s="280"/>
      <c r="G317" s="100">
        <f t="shared" si="53"/>
        <v>0</v>
      </c>
      <c r="H317" s="44">
        <v>0</v>
      </c>
      <c r="I317" s="101">
        <f t="shared" si="54"/>
        <v>0</v>
      </c>
      <c r="J317" s="280"/>
      <c r="K317" s="41">
        <f t="shared" si="45"/>
        <v>0</v>
      </c>
      <c r="L317" s="46">
        <f t="shared" si="51"/>
        <v>0</v>
      </c>
      <c r="M317" s="65">
        <f t="shared" si="52"/>
        <v>0</v>
      </c>
      <c r="N317" s="280"/>
      <c r="O317" s="42"/>
      <c r="P317" s="42"/>
      <c r="Q317" s="42"/>
      <c r="R317" s="280"/>
      <c r="S317" s="82"/>
      <c r="T317" s="82"/>
      <c r="U317" s="82"/>
      <c r="V317" s="280"/>
      <c r="W317" s="174"/>
      <c r="X317" s="174"/>
      <c r="Y317" s="82"/>
    </row>
    <row r="318" spans="1:25" x14ac:dyDescent="0.25">
      <c r="A318" s="21">
        <v>313</v>
      </c>
      <c r="B318" s="19" t="s">
        <v>10</v>
      </c>
      <c r="D318" s="22"/>
      <c r="E318" s="41">
        <f>SUM(E312:E317)</f>
        <v>12551.420000000002</v>
      </c>
      <c r="F318" s="280"/>
      <c r="G318" s="255"/>
      <c r="H318" s="44"/>
      <c r="I318" s="41">
        <f>SUM(I312:I317)</f>
        <v>-12551.420000000002</v>
      </c>
      <c r="J318" s="280"/>
      <c r="K318" s="41"/>
      <c r="L318" s="46"/>
      <c r="M318" s="42">
        <f>SUM(M312:M317)</f>
        <v>0</v>
      </c>
      <c r="N318" s="280"/>
      <c r="O318" s="42"/>
      <c r="P318" s="42"/>
      <c r="Q318" s="42"/>
      <c r="R318" s="280"/>
      <c r="S318" s="82"/>
      <c r="T318" s="82"/>
      <c r="U318" s="82"/>
      <c r="V318" s="280"/>
      <c r="Y318" s="82"/>
    </row>
    <row r="319" spans="1:25" x14ac:dyDescent="0.25">
      <c r="A319" s="21">
        <v>314</v>
      </c>
      <c r="D319" s="22"/>
      <c r="E319" s="41"/>
      <c r="F319" s="280"/>
      <c r="G319" s="44"/>
      <c r="H319" s="44"/>
      <c r="I319" s="44"/>
      <c r="J319" s="280"/>
      <c r="K319" s="41"/>
      <c r="L319" s="46"/>
      <c r="M319" s="38"/>
      <c r="N319" s="280"/>
      <c r="O319" s="42"/>
      <c r="P319" s="42"/>
      <c r="Q319" s="42"/>
      <c r="R319" s="280"/>
      <c r="V319" s="280"/>
    </row>
    <row r="320" spans="1:25" x14ac:dyDescent="0.25">
      <c r="A320" s="21">
        <v>315</v>
      </c>
      <c r="B320" s="19" t="s">
        <v>11</v>
      </c>
      <c r="D320" s="22"/>
      <c r="E320" s="41">
        <f>'1501 Summary'!AD195</f>
        <v>47190.600000000006</v>
      </c>
      <c r="F320" s="291"/>
      <c r="G320" s="73"/>
      <c r="H320" s="73"/>
      <c r="I320" s="73"/>
      <c r="J320" s="291"/>
      <c r="K320" s="41"/>
      <c r="L320" s="46"/>
      <c r="M320" s="38"/>
      <c r="N320" s="291"/>
      <c r="O320" s="42"/>
      <c r="P320" s="42"/>
      <c r="Q320" s="42"/>
      <c r="R320" s="291"/>
      <c r="V320" s="291"/>
    </row>
    <row r="321" spans="1:25" x14ac:dyDescent="0.25">
      <c r="A321" s="21">
        <v>316</v>
      </c>
      <c r="D321" s="22"/>
      <c r="E321" s="41"/>
      <c r="F321" s="280"/>
      <c r="G321" s="44"/>
      <c r="H321" s="44"/>
      <c r="I321" s="44"/>
      <c r="J321" s="280"/>
      <c r="K321" s="41"/>
      <c r="L321" s="46"/>
      <c r="M321" s="38"/>
      <c r="N321" s="280"/>
      <c r="O321" s="42"/>
      <c r="P321" s="42"/>
      <c r="Q321" s="42"/>
      <c r="R321" s="280"/>
      <c r="V321" s="280"/>
    </row>
    <row r="322" spans="1:25" x14ac:dyDescent="0.25">
      <c r="A322" s="21">
        <v>317</v>
      </c>
      <c r="B322" s="19" t="s">
        <v>12</v>
      </c>
      <c r="D322" s="22"/>
      <c r="E322" s="41"/>
      <c r="F322" s="280"/>
      <c r="G322" s="44"/>
      <c r="H322" s="44"/>
      <c r="I322" s="44"/>
      <c r="J322" s="280"/>
      <c r="K322" s="41"/>
      <c r="L322" s="46"/>
      <c r="M322" s="38"/>
      <c r="N322" s="280"/>
      <c r="O322" s="42"/>
      <c r="P322" s="42"/>
      <c r="Q322" s="42"/>
      <c r="R322" s="280"/>
      <c r="V322" s="280"/>
    </row>
    <row r="323" spans="1:25" x14ac:dyDescent="0.25">
      <c r="A323" s="21">
        <v>318</v>
      </c>
      <c r="B323" s="66" t="s">
        <v>139</v>
      </c>
      <c r="D323" s="22"/>
      <c r="E323" s="41">
        <f>'1501 Summary'!AD196</f>
        <v>98.38000000000001</v>
      </c>
      <c r="F323" s="291"/>
      <c r="G323" s="73"/>
      <c r="H323" s="73"/>
      <c r="I323" s="73"/>
      <c r="J323" s="291"/>
      <c r="K323" s="41"/>
      <c r="L323" s="46"/>
      <c r="M323" s="38"/>
      <c r="N323" s="291"/>
      <c r="O323" s="42"/>
      <c r="P323" s="42"/>
      <c r="Q323" s="42"/>
      <c r="R323" s="291"/>
      <c r="S323" s="19"/>
      <c r="T323" s="19"/>
      <c r="U323" s="19"/>
      <c r="V323" s="291"/>
      <c r="Y323" s="19"/>
    </row>
    <row r="324" spans="1:25" x14ac:dyDescent="0.25">
      <c r="A324" s="21">
        <v>319</v>
      </c>
      <c r="B324" s="66" t="s">
        <v>140</v>
      </c>
      <c r="D324" s="22"/>
      <c r="E324" s="41">
        <f>'1501 Summary'!AD197</f>
        <v>251.43000000000004</v>
      </c>
      <c r="F324" s="291"/>
      <c r="G324" s="73"/>
      <c r="H324" s="73"/>
      <c r="I324" s="73"/>
      <c r="J324" s="291"/>
      <c r="K324" s="41"/>
      <c r="L324" s="46"/>
      <c r="M324" s="38"/>
      <c r="N324" s="291"/>
      <c r="O324" s="42"/>
      <c r="P324" s="42"/>
      <c r="Q324" s="42"/>
      <c r="R324" s="291"/>
      <c r="S324" s="19"/>
      <c r="T324" s="19"/>
      <c r="U324" s="19"/>
      <c r="V324" s="291"/>
      <c r="Y324" s="19"/>
    </row>
    <row r="325" spans="1:25" x14ac:dyDescent="0.25">
      <c r="A325" s="21">
        <v>320</v>
      </c>
      <c r="B325" s="66" t="s">
        <v>141</v>
      </c>
      <c r="D325" s="22"/>
      <c r="E325" s="41">
        <f>'1501 Summary'!AD198</f>
        <v>-113.68</v>
      </c>
      <c r="F325" s="291"/>
      <c r="G325" s="73"/>
      <c r="H325" s="73"/>
      <c r="I325" s="73"/>
      <c r="J325" s="291"/>
      <c r="K325" s="41"/>
      <c r="L325" s="46"/>
      <c r="M325" s="38"/>
      <c r="N325" s="291"/>
      <c r="O325" s="42"/>
      <c r="P325" s="42"/>
      <c r="Q325" s="42"/>
      <c r="R325" s="291"/>
      <c r="S325" s="19"/>
      <c r="T325" s="19"/>
      <c r="U325" s="19"/>
      <c r="V325" s="291"/>
      <c r="Y325" s="19"/>
    </row>
    <row r="326" spans="1:25" x14ac:dyDescent="0.25">
      <c r="A326" s="21">
        <v>321</v>
      </c>
      <c r="B326" s="66" t="s">
        <v>142</v>
      </c>
      <c r="D326" s="22"/>
      <c r="E326" s="41">
        <f>'1501 Summary'!AD199</f>
        <v>6090.26</v>
      </c>
      <c r="F326" s="291"/>
      <c r="G326" s="73"/>
      <c r="H326" s="73"/>
      <c r="I326" s="73"/>
      <c r="J326" s="291"/>
      <c r="K326" s="41"/>
      <c r="L326" s="46"/>
      <c r="M326" s="38"/>
      <c r="N326" s="291"/>
      <c r="O326" s="42"/>
      <c r="P326" s="42"/>
      <c r="Q326" s="42"/>
      <c r="R326" s="291"/>
      <c r="S326" s="19"/>
      <c r="T326" s="19"/>
      <c r="U326" s="19"/>
      <c r="V326" s="291"/>
      <c r="Y326" s="19"/>
    </row>
    <row r="327" spans="1:25" x14ac:dyDescent="0.25">
      <c r="A327" s="21">
        <v>322</v>
      </c>
      <c r="B327" s="66" t="s">
        <v>143</v>
      </c>
      <c r="D327" s="22"/>
      <c r="E327" s="41">
        <f>'1501 Summary'!AD200</f>
        <v>1492.25</v>
      </c>
      <c r="F327" s="291"/>
      <c r="G327" s="73"/>
      <c r="H327" s="73"/>
      <c r="I327" s="73"/>
      <c r="J327" s="291"/>
      <c r="K327" s="41"/>
      <c r="L327" s="46"/>
      <c r="M327" s="38"/>
      <c r="N327" s="291"/>
      <c r="O327" s="42"/>
      <c r="P327" s="42"/>
      <c r="Q327" s="42"/>
      <c r="R327" s="291"/>
      <c r="S327" s="19"/>
      <c r="T327" s="19"/>
      <c r="U327" s="19"/>
      <c r="V327" s="291"/>
      <c r="Y327" s="19"/>
    </row>
    <row r="328" spans="1:25" x14ac:dyDescent="0.25">
      <c r="A328" s="21">
        <v>323</v>
      </c>
      <c r="B328" s="66" t="s">
        <v>144</v>
      </c>
      <c r="D328" s="22"/>
      <c r="E328" s="41">
        <f>'1501 Summary'!AD201</f>
        <v>2657.4600000000005</v>
      </c>
      <c r="F328" s="291"/>
      <c r="G328" s="73"/>
      <c r="H328" s="73"/>
      <c r="I328" s="73"/>
      <c r="J328" s="291"/>
      <c r="K328" s="41"/>
      <c r="L328" s="46"/>
      <c r="M328" s="38"/>
      <c r="N328" s="291"/>
      <c r="O328" s="42"/>
      <c r="P328" s="42"/>
      <c r="Q328" s="42"/>
      <c r="R328" s="291"/>
      <c r="S328" s="19"/>
      <c r="T328" s="19"/>
      <c r="U328" s="19"/>
      <c r="V328" s="291"/>
      <c r="Y328" s="19"/>
    </row>
    <row r="329" spans="1:25" x14ac:dyDescent="0.25">
      <c r="A329" s="21">
        <v>324</v>
      </c>
      <c r="B329" s="18" t="s">
        <v>24</v>
      </c>
      <c r="D329" s="22"/>
      <c r="E329" s="41"/>
      <c r="F329" s="280"/>
      <c r="G329" s="44"/>
      <c r="H329" s="44"/>
      <c r="I329" s="44"/>
      <c r="J329" s="280"/>
      <c r="K329" s="41"/>
      <c r="L329" s="46"/>
      <c r="M329" s="38"/>
      <c r="N329" s="280"/>
      <c r="O329" s="42"/>
      <c r="P329" s="42"/>
      <c r="Q329" s="42"/>
      <c r="R329" s="280"/>
      <c r="S329" s="19"/>
      <c r="T329" s="19"/>
      <c r="U329" s="19"/>
      <c r="V329" s="280"/>
      <c r="Y329" s="19"/>
    </row>
    <row r="330" spans="1:25" x14ac:dyDescent="0.25">
      <c r="A330" s="21">
        <v>325</v>
      </c>
      <c r="B330" s="18" t="s">
        <v>14</v>
      </c>
      <c r="D330" s="22"/>
      <c r="E330" s="41">
        <f>'Rev Recon Summary'!R194</f>
        <v>0</v>
      </c>
      <c r="F330" s="280"/>
      <c r="G330" s="44"/>
      <c r="H330" s="44"/>
      <c r="I330" s="44"/>
      <c r="J330" s="280"/>
      <c r="K330" s="41"/>
      <c r="L330" s="46"/>
      <c r="M330" s="38"/>
      <c r="N330" s="280"/>
      <c r="O330" s="42"/>
      <c r="P330" s="42"/>
      <c r="Q330" s="42"/>
      <c r="R330" s="280"/>
      <c r="S330" s="19"/>
      <c r="T330" s="19"/>
      <c r="U330" s="19"/>
      <c r="V330" s="280"/>
      <c r="Y330" s="19"/>
    </row>
    <row r="331" spans="1:25" x14ac:dyDescent="0.25">
      <c r="A331" s="21">
        <v>326</v>
      </c>
      <c r="B331" s="18" t="s">
        <v>15</v>
      </c>
      <c r="D331" s="22"/>
      <c r="E331" s="41">
        <f>'Rev Recon Summary'!R195</f>
        <v>0</v>
      </c>
      <c r="F331" s="280"/>
      <c r="G331" s="44"/>
      <c r="H331" s="44"/>
      <c r="I331" s="44"/>
      <c r="J331" s="280"/>
      <c r="K331" s="41"/>
      <c r="L331" s="46"/>
      <c r="M331" s="38"/>
      <c r="N331" s="280"/>
      <c r="O331" s="42"/>
      <c r="P331" s="42"/>
      <c r="Q331" s="42"/>
      <c r="R331" s="280"/>
      <c r="V331" s="280"/>
    </row>
    <row r="332" spans="1:25" x14ac:dyDescent="0.25">
      <c r="A332" s="21">
        <v>327</v>
      </c>
      <c r="B332" s="18" t="s">
        <v>16</v>
      </c>
      <c r="D332" s="22"/>
      <c r="E332" s="41">
        <f>'Rev Recon Summary'!R196</f>
        <v>4281.63</v>
      </c>
      <c r="F332" s="280"/>
      <c r="G332" s="44"/>
      <c r="H332" s="44"/>
      <c r="I332" s="44"/>
      <c r="J332" s="280"/>
      <c r="K332" s="41"/>
      <c r="L332" s="46"/>
      <c r="M332" s="38"/>
      <c r="N332" s="280"/>
      <c r="O332" s="42"/>
      <c r="P332" s="42"/>
      <c r="Q332" s="42"/>
      <c r="R332" s="280"/>
      <c r="V332" s="280"/>
    </row>
    <row r="333" spans="1:25" x14ac:dyDescent="0.25">
      <c r="A333" s="21">
        <v>328</v>
      </c>
      <c r="B333" s="18" t="s">
        <v>17</v>
      </c>
      <c r="D333" s="22"/>
      <c r="E333" s="41">
        <f>'Rev Recon Summary'!R197</f>
        <v>-1.6000000000000014</v>
      </c>
      <c r="F333" s="280"/>
      <c r="G333" s="44"/>
      <c r="H333" s="44"/>
      <c r="I333" s="44"/>
      <c r="J333" s="280"/>
      <c r="K333" s="41"/>
      <c r="L333" s="46"/>
      <c r="M333" s="38"/>
      <c r="N333" s="280"/>
      <c r="O333" s="42"/>
      <c r="P333" s="42"/>
      <c r="Q333" s="42"/>
      <c r="R333" s="280"/>
      <c r="V333" s="280"/>
    </row>
    <row r="334" spans="1:25" x14ac:dyDescent="0.25">
      <c r="A334" s="21">
        <v>329</v>
      </c>
      <c r="B334" s="18" t="s">
        <v>18</v>
      </c>
      <c r="D334" s="22"/>
      <c r="E334" s="41">
        <f>'Rev Recon Summary'!R198</f>
        <v>0</v>
      </c>
      <c r="F334" s="280"/>
      <c r="G334" s="44"/>
      <c r="H334" s="44"/>
      <c r="I334" s="44"/>
      <c r="J334" s="280"/>
      <c r="K334" s="41"/>
      <c r="L334" s="46"/>
      <c r="M334" s="38"/>
      <c r="N334" s="280"/>
      <c r="O334" s="42"/>
      <c r="P334" s="42"/>
      <c r="Q334" s="42"/>
      <c r="R334" s="280"/>
      <c r="V334" s="280"/>
    </row>
    <row r="335" spans="1:25" x14ac:dyDescent="0.25">
      <c r="A335" s="21">
        <v>330</v>
      </c>
      <c r="B335" s="6" t="s">
        <v>13</v>
      </c>
      <c r="D335" s="22"/>
      <c r="E335" s="41">
        <f>'Rev Recon Summary'!R199</f>
        <v>0</v>
      </c>
      <c r="F335" s="280"/>
      <c r="G335" s="44"/>
      <c r="H335" s="44"/>
      <c r="I335" s="44"/>
      <c r="J335" s="280"/>
      <c r="K335" s="41"/>
      <c r="L335" s="46"/>
      <c r="M335" s="38"/>
      <c r="N335" s="280"/>
      <c r="O335" s="42"/>
      <c r="P335" s="42"/>
      <c r="Q335" s="42"/>
      <c r="R335" s="280"/>
      <c r="V335" s="280"/>
    </row>
    <row r="336" spans="1:25" x14ac:dyDescent="0.25">
      <c r="A336" s="21">
        <v>331</v>
      </c>
      <c r="B336" s="6" t="s">
        <v>55</v>
      </c>
      <c r="D336" s="22"/>
      <c r="E336" s="41">
        <f>'Rev Recon Summary'!R200</f>
        <v>-67005.069999999992</v>
      </c>
      <c r="F336" s="280"/>
      <c r="G336" s="44"/>
      <c r="H336" s="44"/>
      <c r="I336" s="44"/>
      <c r="J336" s="280"/>
      <c r="K336" s="41"/>
      <c r="L336" s="46"/>
      <c r="M336" s="38"/>
      <c r="N336" s="280"/>
      <c r="O336" s="42"/>
      <c r="P336" s="42"/>
      <c r="Q336" s="42"/>
      <c r="R336" s="280"/>
      <c r="V336" s="280"/>
    </row>
    <row r="337" spans="1:25" x14ac:dyDescent="0.25">
      <c r="A337" s="21">
        <v>332</v>
      </c>
      <c r="B337" s="6" t="s">
        <v>56</v>
      </c>
      <c r="D337" s="22"/>
      <c r="E337" s="101">
        <f>'Rev Recon Summary'!R201</f>
        <v>55044.399999999994</v>
      </c>
      <c r="F337" s="280"/>
      <c r="G337" s="44"/>
      <c r="H337" s="44"/>
      <c r="I337" s="44"/>
      <c r="J337" s="280"/>
      <c r="K337" s="41"/>
      <c r="L337" s="46"/>
      <c r="M337" s="38"/>
      <c r="N337" s="280"/>
      <c r="O337" s="42"/>
      <c r="P337" s="42"/>
      <c r="Q337" s="42"/>
      <c r="R337" s="280"/>
      <c r="V337" s="280"/>
    </row>
    <row r="338" spans="1:25" x14ac:dyDescent="0.25">
      <c r="A338" s="21">
        <v>333</v>
      </c>
      <c r="B338" s="18" t="s">
        <v>93</v>
      </c>
      <c r="D338" s="22"/>
      <c r="E338" s="41">
        <f>SUM(E323:E337)</f>
        <v>2795.4599999999991</v>
      </c>
      <c r="F338" s="291"/>
      <c r="G338" s="73"/>
      <c r="H338" s="73"/>
      <c r="I338" s="73"/>
      <c r="J338" s="291"/>
      <c r="K338" s="41"/>
      <c r="L338" s="46"/>
      <c r="M338" s="38"/>
      <c r="N338" s="291"/>
      <c r="O338" s="42"/>
      <c r="P338" s="42"/>
      <c r="Q338" s="42"/>
      <c r="R338" s="291"/>
      <c r="V338" s="291"/>
    </row>
    <row r="339" spans="1:25" x14ac:dyDescent="0.25">
      <c r="A339" s="21">
        <v>334</v>
      </c>
      <c r="D339" s="22"/>
      <c r="E339" s="41"/>
      <c r="F339" s="280"/>
      <c r="G339" s="44"/>
      <c r="H339" s="44"/>
      <c r="I339" s="44"/>
      <c r="J339" s="280"/>
      <c r="K339" s="41"/>
      <c r="L339" s="46"/>
      <c r="M339" s="38"/>
      <c r="N339" s="280"/>
      <c r="O339" s="42"/>
      <c r="P339" s="42"/>
      <c r="Q339" s="42"/>
      <c r="R339" s="280"/>
      <c r="V339" s="280"/>
    </row>
    <row r="340" spans="1:25" x14ac:dyDescent="0.25">
      <c r="A340" s="21">
        <v>335</v>
      </c>
      <c r="B340" s="104" t="str">
        <f>"Total "&amp;LEFT(B311,17)&amp;" Revenue"</f>
        <v>Total Rate Schedule 577 Revenue</v>
      </c>
      <c r="C340" s="71">
        <f>E340-'Rev Recon Summary'!R202</f>
        <v>0</v>
      </c>
      <c r="D340" s="105" t="s">
        <v>45</v>
      </c>
      <c r="E340" s="101">
        <f>SUM(E318,E320,E338)</f>
        <v>62537.48</v>
      </c>
      <c r="F340" s="292"/>
      <c r="G340" s="68"/>
      <c r="H340" s="68"/>
      <c r="I340" s="68"/>
      <c r="J340" s="292"/>
      <c r="K340" s="101"/>
      <c r="L340" s="134"/>
      <c r="M340" s="39"/>
      <c r="N340" s="292"/>
      <c r="O340" s="65"/>
      <c r="P340" s="65"/>
      <c r="Q340" s="65"/>
      <c r="R340" s="292"/>
      <c r="S340" s="105"/>
      <c r="T340" s="105"/>
      <c r="U340" s="105"/>
      <c r="V340" s="292"/>
      <c r="W340" s="71"/>
      <c r="X340" s="71"/>
      <c r="Y340" s="105"/>
    </row>
    <row r="341" spans="1:25" x14ac:dyDescent="0.25">
      <c r="A341" s="21">
        <v>336</v>
      </c>
      <c r="B341" s="31"/>
      <c r="D341" s="22"/>
      <c r="E341" s="44"/>
      <c r="F341" s="280"/>
      <c r="G341" s="44"/>
      <c r="H341" s="44"/>
      <c r="I341" s="44"/>
      <c r="J341" s="280"/>
      <c r="K341" s="41"/>
      <c r="L341" s="46"/>
      <c r="M341" s="38"/>
      <c r="N341" s="280"/>
      <c r="O341" s="42"/>
      <c r="P341" s="42"/>
      <c r="Q341" s="42"/>
      <c r="R341" s="280"/>
      <c r="V341" s="280"/>
    </row>
    <row r="342" spans="1:25" x14ac:dyDescent="0.25">
      <c r="A342" s="21">
        <v>337</v>
      </c>
      <c r="K342" s="41"/>
      <c r="L342" s="46"/>
      <c r="M342" s="38"/>
      <c r="O342" s="42"/>
      <c r="P342" s="42"/>
      <c r="Q342" s="42"/>
    </row>
    <row r="343" spans="1:25" x14ac:dyDescent="0.25">
      <c r="A343" s="21">
        <v>338</v>
      </c>
      <c r="B343" s="30" t="s">
        <v>159</v>
      </c>
      <c r="G343" s="66" t="s">
        <v>457</v>
      </c>
      <c r="K343" s="41"/>
      <c r="L343" s="46"/>
      <c r="M343" s="38"/>
      <c r="O343" s="90"/>
      <c r="P343" s="42"/>
      <c r="Q343" s="42"/>
    </row>
    <row r="344" spans="1:25" x14ac:dyDescent="0.25">
      <c r="A344" s="21">
        <v>339</v>
      </c>
      <c r="B344" s="19" t="s">
        <v>292</v>
      </c>
      <c r="C344" s="41">
        <f>E344/D344</f>
        <v>1478</v>
      </c>
      <c r="D344" s="127">
        <v>500</v>
      </c>
      <c r="E344" s="42">
        <f>SUM('1501 Summary'!G208,'1501 Summary'!I208,'1501 Summary'!K208,'1501 Summary'!M208,'1501 Summary'!O208,'1501 Summary'!Q208,'1501 Summary'!S208,'1501 Summary'!U208)</f>
        <v>739000</v>
      </c>
      <c r="F344" s="281"/>
      <c r="G344" s="41">
        <f>-SUM(G391,G537,G566,G598,G723)</f>
        <v>38</v>
      </c>
      <c r="H344" s="42">
        <f>D344</f>
        <v>500</v>
      </c>
      <c r="I344" s="41">
        <f>G344*H344</f>
        <v>19000</v>
      </c>
      <c r="J344" s="281"/>
      <c r="K344" s="41">
        <f t="shared" ref="K344:K396" si="56">C344+G344</f>
        <v>1516</v>
      </c>
      <c r="L344" s="38"/>
      <c r="M344" s="42"/>
      <c r="N344" s="281"/>
      <c r="O344" s="90"/>
      <c r="P344" s="42"/>
      <c r="Q344" s="42"/>
      <c r="R344" s="281"/>
      <c r="S344" s="86"/>
      <c r="T344" s="86"/>
      <c r="U344" s="86"/>
      <c r="V344" s="281"/>
      <c r="W344" s="45"/>
      <c r="X344" s="45"/>
      <c r="Y344" s="86"/>
    </row>
    <row r="345" spans="1:25" x14ac:dyDescent="0.25">
      <c r="A345" s="21">
        <v>340</v>
      </c>
      <c r="B345" s="19" t="s">
        <v>99</v>
      </c>
      <c r="C345" s="41">
        <f>E345/D345</f>
        <v>742</v>
      </c>
      <c r="D345" s="247">
        <v>625</v>
      </c>
      <c r="E345" s="42">
        <f>SUM('1501 Summary'!W208,'1501 Summary'!Y208,'1501 Summary'!AA208,'1501 Summary'!AC208)</f>
        <v>463750</v>
      </c>
      <c r="F345" s="281"/>
      <c r="G345" s="41">
        <f>-SUM(G392,G538,G567,G599,G724)</f>
        <v>16</v>
      </c>
      <c r="H345" s="42">
        <f t="shared" ref="H345:H357" si="57">D345</f>
        <v>625</v>
      </c>
      <c r="I345" s="41">
        <f t="shared" ref="I345:I357" si="58">G345*H345</f>
        <v>10000</v>
      </c>
      <c r="J345" s="281"/>
      <c r="K345" s="41">
        <f t="shared" si="56"/>
        <v>758</v>
      </c>
      <c r="L345" s="38">
        <f t="shared" si="51"/>
        <v>625</v>
      </c>
      <c r="M345" s="42">
        <f>L345*SUM(K345,K344)</f>
        <v>1421250</v>
      </c>
      <c r="N345" s="281"/>
      <c r="O345" s="41">
        <f>'End of Period Calculations'!AB122</f>
        <v>2268</v>
      </c>
      <c r="P345" s="42">
        <f>O345*L345</f>
        <v>1417500</v>
      </c>
      <c r="Q345" s="42">
        <f>P345-M345</f>
        <v>-3750</v>
      </c>
      <c r="R345" s="281"/>
      <c r="S345" s="86"/>
      <c r="T345" s="86"/>
      <c r="U345" s="86"/>
      <c r="V345" s="281"/>
      <c r="W345" s="67">
        <f>L345</f>
        <v>625</v>
      </c>
      <c r="X345" s="86">
        <f>W345*O345</f>
        <v>1417500</v>
      </c>
      <c r="Y345" s="86">
        <f>X345-P345</f>
        <v>0</v>
      </c>
    </row>
    <row r="346" spans="1:25" x14ac:dyDescent="0.25">
      <c r="A346" s="21">
        <v>341</v>
      </c>
      <c r="B346" s="19" t="s">
        <v>324</v>
      </c>
      <c r="C346" s="41">
        <f>E346/D346</f>
        <v>10393155</v>
      </c>
      <c r="D346" s="248">
        <v>0.2</v>
      </c>
      <c r="E346" s="42">
        <f>SUM('1501 Summary'!G209,'1501 Summary'!I209,'1501 Summary'!K209,'1501 Summary'!M209,'1501 Summary'!O209,'1501 Summary'!Q209,'1501 Summary'!S209,'1501 Summary'!U209)</f>
        <v>2078631</v>
      </c>
      <c r="F346" s="281"/>
      <c r="G346" s="41">
        <f>-SUM(G568,-M734)</f>
        <v>8320000</v>
      </c>
      <c r="H346" s="212">
        <f t="shared" si="57"/>
        <v>0.2</v>
      </c>
      <c r="I346" s="41">
        <f t="shared" si="58"/>
        <v>1664000</v>
      </c>
      <c r="J346" s="281"/>
      <c r="K346" s="41">
        <f t="shared" si="56"/>
        <v>18713155</v>
      </c>
      <c r="L346" s="46"/>
      <c r="M346" s="42"/>
      <c r="N346" s="281"/>
      <c r="O346" s="42"/>
      <c r="P346" s="42"/>
      <c r="Q346" s="42"/>
      <c r="R346" s="281"/>
      <c r="S346" s="86"/>
      <c r="T346" s="86"/>
      <c r="U346" s="86"/>
      <c r="V346" s="281"/>
      <c r="W346" s="45"/>
      <c r="X346" s="86"/>
      <c r="Y346" s="86"/>
    </row>
    <row r="347" spans="1:25" x14ac:dyDescent="0.25">
      <c r="A347" s="21">
        <v>342</v>
      </c>
      <c r="B347" s="19" t="s">
        <v>325</v>
      </c>
      <c r="C347" s="41">
        <f>E347/D347</f>
        <v>5829900</v>
      </c>
      <c r="D347" s="248">
        <v>0.2</v>
      </c>
      <c r="E347" s="42">
        <f>SUM('1501 Summary'!W209,'1501 Summary'!Y209,'1501 Summary'!AA209,'1501 Summary'!AC209)</f>
        <v>1165980</v>
      </c>
      <c r="F347" s="281"/>
      <c r="G347" s="41">
        <f>-SUM(G539,G569)</f>
        <v>3640000</v>
      </c>
      <c r="H347" s="212">
        <f t="shared" si="57"/>
        <v>0.2</v>
      </c>
      <c r="I347" s="41">
        <f t="shared" si="58"/>
        <v>728000</v>
      </c>
      <c r="J347" s="281"/>
      <c r="K347" s="41">
        <f t="shared" si="56"/>
        <v>9469900</v>
      </c>
      <c r="L347" s="46">
        <f t="shared" si="51"/>
        <v>0.2</v>
      </c>
      <c r="M347" s="42">
        <f>L347*SUM(K347,K346)</f>
        <v>5636611</v>
      </c>
      <c r="N347" s="281"/>
      <c r="O347" s="41">
        <f>SUM(K346:K347)</f>
        <v>28183055</v>
      </c>
      <c r="P347" s="42">
        <f>O347*L347</f>
        <v>5636611</v>
      </c>
      <c r="Q347" s="42">
        <f t="shared" ref="Q347:Q349" si="59">P347-M347</f>
        <v>0</v>
      </c>
      <c r="R347" s="281"/>
      <c r="S347" s="86"/>
      <c r="T347" s="86"/>
      <c r="U347" s="86"/>
      <c r="V347" s="281"/>
      <c r="W347" s="218">
        <f>L347</f>
        <v>0.2</v>
      </c>
      <c r="X347" s="86">
        <f>W347*O347</f>
        <v>5636611</v>
      </c>
      <c r="Y347" s="86">
        <f t="shared" ref="Y347" si="60">X347-P347</f>
        <v>0</v>
      </c>
    </row>
    <row r="348" spans="1:25" x14ac:dyDescent="0.25">
      <c r="A348" s="21">
        <v>343</v>
      </c>
      <c r="B348" s="19" t="s">
        <v>326</v>
      </c>
      <c r="C348" s="41">
        <f>E348/D348</f>
        <v>242183475</v>
      </c>
      <c r="D348" s="81">
        <v>4.0000000000000002E-4</v>
      </c>
      <c r="E348" s="42">
        <f>SUM('1501 Summary'!G210,'1501 Summary'!I210,'1501 Summary'!K210,'1501 Summary'!M210,'1501 Summary'!O210,'1501 Summary'!Q210,'1501 Summary'!S210,'1501 Summary'!U210)</f>
        <v>96873.39</v>
      </c>
      <c r="F348" s="281"/>
      <c r="G348" s="41">
        <f>-SUM(G393,G570,G600,G727)</f>
        <v>105762125</v>
      </c>
      <c r="H348" s="212">
        <f t="shared" si="57"/>
        <v>4.0000000000000002E-4</v>
      </c>
      <c r="I348" s="41">
        <f t="shared" si="58"/>
        <v>42304.85</v>
      </c>
      <c r="J348" s="281"/>
      <c r="K348" s="41">
        <f t="shared" si="56"/>
        <v>347945600</v>
      </c>
      <c r="L348" s="46"/>
      <c r="M348" s="42"/>
      <c r="N348" s="281"/>
      <c r="O348" s="42"/>
      <c r="P348" s="42"/>
      <c r="Q348" s="42"/>
      <c r="R348" s="281"/>
      <c r="S348" s="86"/>
      <c r="T348" s="86"/>
      <c r="U348" s="86"/>
      <c r="V348" s="281"/>
      <c r="W348" s="218"/>
      <c r="X348" s="86"/>
      <c r="Y348" s="86"/>
    </row>
    <row r="349" spans="1:25" x14ac:dyDescent="0.25">
      <c r="A349" s="21">
        <v>344</v>
      </c>
      <c r="B349" s="19" t="s">
        <v>327</v>
      </c>
      <c r="C349" s="41">
        <f t="shared" ref="C349:C357" si="61">E349/D349</f>
        <v>115783225.00000001</v>
      </c>
      <c r="D349" s="81">
        <v>4.0000000000000002E-4</v>
      </c>
      <c r="E349" s="42">
        <f>SUM('1501 Summary'!W210,'1501 Summary'!Y210,'1501 Summary'!AA210,'1501 Summary'!AC210)</f>
        <v>46313.290000000008</v>
      </c>
      <c r="F349" s="281"/>
      <c r="G349" s="41">
        <f>-SUM(G394,G540,G571,G601)</f>
        <v>63719675</v>
      </c>
      <c r="H349" s="212">
        <f t="shared" si="57"/>
        <v>4.0000000000000002E-4</v>
      </c>
      <c r="I349" s="41">
        <f t="shared" si="58"/>
        <v>25487.870000000003</v>
      </c>
      <c r="J349" s="281"/>
      <c r="K349" s="41">
        <f t="shared" si="56"/>
        <v>179502900</v>
      </c>
      <c r="L349" s="46">
        <f t="shared" si="51"/>
        <v>4.0000000000000002E-4</v>
      </c>
      <c r="M349" s="42">
        <f>L349*SUM(K349,K348)</f>
        <v>210979.40000000002</v>
      </c>
      <c r="N349" s="281"/>
      <c r="O349" s="41">
        <f>SUM(K348:K349)</f>
        <v>527448500</v>
      </c>
      <c r="P349" s="42">
        <f>O349*L349</f>
        <v>210979.40000000002</v>
      </c>
      <c r="Q349" s="42">
        <f t="shared" si="59"/>
        <v>0</v>
      </c>
      <c r="R349" s="281"/>
      <c r="S349" s="86"/>
      <c r="T349" s="86"/>
      <c r="U349" s="86"/>
      <c r="V349" s="281"/>
      <c r="W349" s="218">
        <f>L349</f>
        <v>4.0000000000000002E-4</v>
      </c>
      <c r="X349" s="86">
        <f t="shared" ref="X349:X357" si="62">W349*O349</f>
        <v>210979.40000000002</v>
      </c>
      <c r="Y349" s="86">
        <f>X349-P349</f>
        <v>0</v>
      </c>
    </row>
    <row r="350" spans="1:25" x14ac:dyDescent="0.25">
      <c r="A350" s="21">
        <v>345</v>
      </c>
      <c r="B350" s="18" t="s">
        <v>328</v>
      </c>
      <c r="C350" s="41">
        <f t="shared" si="61"/>
        <v>61865362.303664923</v>
      </c>
      <c r="D350" s="81">
        <v>5.7299999999999997E-2</v>
      </c>
      <c r="E350" s="42">
        <f>SUM('1501 Summary'!G211,'1501 Summary'!I211,'1501 Summary'!K211,'1501 Summary'!M211,'1501 Summary'!O211,'1501 Summary'!Q211,'1501 Summary'!S211,'1501 Summary'!U211)</f>
        <v>3544885.26</v>
      </c>
      <c r="F350" s="281"/>
      <c r="G350" s="41">
        <f>-SUM(G395,G572,G602,G728)</f>
        <v>2831760.3839441538</v>
      </c>
      <c r="H350" s="46">
        <f t="shared" si="57"/>
        <v>5.7299999999999997E-2</v>
      </c>
      <c r="I350" s="41">
        <f t="shared" si="58"/>
        <v>162259.87</v>
      </c>
      <c r="J350" s="281"/>
      <c r="K350" s="41">
        <f t="shared" si="56"/>
        <v>64697122.687609076</v>
      </c>
      <c r="L350" s="46"/>
      <c r="M350" s="42"/>
      <c r="N350" s="281"/>
      <c r="O350" s="42"/>
      <c r="P350" s="42"/>
      <c r="Q350" s="42"/>
      <c r="R350" s="281"/>
      <c r="S350" s="86"/>
      <c r="T350" s="86"/>
      <c r="U350" s="86"/>
      <c r="V350" s="281"/>
      <c r="W350" s="45"/>
      <c r="X350" s="86"/>
      <c r="Y350" s="86"/>
    </row>
    <row r="351" spans="1:25" x14ac:dyDescent="0.25">
      <c r="A351" s="21">
        <v>346</v>
      </c>
      <c r="B351" s="18" t="s">
        <v>329</v>
      </c>
      <c r="C351" s="41">
        <f t="shared" si="61"/>
        <v>42816218.981710322</v>
      </c>
      <c r="D351" s="81">
        <v>2.0230000000000001E-2</v>
      </c>
      <c r="E351" s="42">
        <f>SUM('1501 Summary'!G212,'1501 Summary'!I212,'1501 Summary'!K212,'1501 Summary'!M212,'1501 Summary'!O212,'1501 Summary'!Q212,'1501 Summary'!S212,'1501 Summary'!U212)</f>
        <v>866172.10999999987</v>
      </c>
      <c r="F351" s="281"/>
      <c r="G351" s="41">
        <f>-SUM(G573,G604,G729)</f>
        <v>4397059.8121601576</v>
      </c>
      <c r="H351" s="46">
        <f t="shared" si="57"/>
        <v>2.0230000000000001E-2</v>
      </c>
      <c r="I351" s="41">
        <f t="shared" si="58"/>
        <v>88952.51999999999</v>
      </c>
      <c r="J351" s="281"/>
      <c r="K351" s="41">
        <f t="shared" si="56"/>
        <v>47213278.793870479</v>
      </c>
      <c r="L351" s="46"/>
      <c r="M351" s="42"/>
      <c r="N351" s="281"/>
      <c r="O351" s="42"/>
      <c r="P351" s="42"/>
      <c r="Q351" s="42"/>
      <c r="R351" s="281"/>
      <c r="S351" s="86"/>
      <c r="T351" s="86"/>
      <c r="U351" s="86"/>
      <c r="V351" s="281"/>
      <c r="W351" s="45"/>
      <c r="X351" s="86"/>
      <c r="Y351" s="86"/>
    </row>
    <row r="352" spans="1:25" x14ac:dyDescent="0.25">
      <c r="A352" s="21">
        <v>347</v>
      </c>
      <c r="B352" s="18" t="s">
        <v>329</v>
      </c>
      <c r="C352" s="41">
        <f t="shared" si="61"/>
        <v>21960311.710193768</v>
      </c>
      <c r="D352" s="81">
        <v>1.187E-2</v>
      </c>
      <c r="E352" s="42">
        <f>SUM('1501 Summary'!G213,'1501 Summary'!I213,'1501 Summary'!K213,'1501 Summary'!M213,'1501 Summary'!O213,'1501 Summary'!Q213,'1501 Summary'!S213,'1501 Summary'!U213)</f>
        <v>260668.90000000002</v>
      </c>
      <c r="F352" s="281"/>
      <c r="G352" s="41">
        <f>-SUM(G574,G606,G730)</f>
        <v>3846364.7851727041</v>
      </c>
      <c r="H352" s="46">
        <f t="shared" si="57"/>
        <v>1.187E-2</v>
      </c>
      <c r="I352" s="41">
        <f t="shared" si="58"/>
        <v>45656.35</v>
      </c>
      <c r="J352" s="281"/>
      <c r="K352" s="41">
        <f t="shared" si="56"/>
        <v>25806676.495366473</v>
      </c>
      <c r="L352" s="46"/>
      <c r="M352" s="42"/>
      <c r="N352" s="281"/>
      <c r="O352" s="42"/>
      <c r="P352" s="42"/>
      <c r="Q352" s="42"/>
      <c r="R352" s="281"/>
      <c r="S352" s="86"/>
      <c r="T352" s="86"/>
      <c r="U352" s="86"/>
      <c r="V352" s="281"/>
      <c r="W352" s="45"/>
      <c r="X352" s="86"/>
      <c r="Y352" s="86"/>
    </row>
    <row r="353" spans="1:25" x14ac:dyDescent="0.25">
      <c r="A353" s="21">
        <v>348</v>
      </c>
      <c r="B353" s="18" t="s">
        <v>330</v>
      </c>
      <c r="C353" s="41">
        <f t="shared" si="61"/>
        <v>115541685.03937007</v>
      </c>
      <c r="D353" s="81">
        <v>5.0800000000000003E-3</v>
      </c>
      <c r="E353" s="42">
        <f>SUM('1501 Summary'!G214,'1501 Summary'!I214,'1501 Summary'!K214,'1501 Summary'!M214,'1501 Summary'!O214,'1501 Summary'!Q214,'1501 Summary'!S214,'1501 Summary'!U214)</f>
        <v>586951.76</v>
      </c>
      <c r="F353" s="281"/>
      <c r="G353" s="41">
        <f>-SUM(G575,G608)</f>
        <v>28159521.653543305</v>
      </c>
      <c r="H353" s="46">
        <f t="shared" si="57"/>
        <v>5.0800000000000003E-3</v>
      </c>
      <c r="I353" s="41">
        <f t="shared" si="58"/>
        <v>143050.37</v>
      </c>
      <c r="J353" s="281"/>
      <c r="K353" s="41">
        <f t="shared" si="56"/>
        <v>143701206.69291338</v>
      </c>
      <c r="L353" s="46"/>
      <c r="M353" s="42"/>
      <c r="N353" s="281"/>
      <c r="O353" s="42"/>
      <c r="P353" s="42"/>
      <c r="Q353" s="42"/>
      <c r="R353" s="281"/>
      <c r="S353" s="86"/>
      <c r="T353" s="86"/>
      <c r="U353" s="86"/>
      <c r="V353" s="281"/>
      <c r="W353" s="45"/>
      <c r="X353" s="86"/>
      <c r="Y353" s="86"/>
    </row>
    <row r="354" spans="1:25" x14ac:dyDescent="0.25">
      <c r="A354" s="21">
        <v>349</v>
      </c>
      <c r="B354" s="18" t="s">
        <v>331</v>
      </c>
      <c r="C354" s="41">
        <f t="shared" si="61"/>
        <v>32976209.904333144</v>
      </c>
      <c r="D354" s="81">
        <v>5.3310000000000003E-2</v>
      </c>
      <c r="E354" s="42">
        <f>SUM('1501 Summary'!W211,'1501 Summary'!Y211,'1501 Summary'!AA211,'1501 Summary'!AC211)</f>
        <v>1757961.75</v>
      </c>
      <c r="F354" s="281"/>
      <c r="G354" s="41">
        <f>-SUM(G396,G541,G576,G603)</f>
        <v>938869.0677171261</v>
      </c>
      <c r="H354" s="46">
        <f t="shared" si="57"/>
        <v>5.3310000000000003E-2</v>
      </c>
      <c r="I354" s="41">
        <f t="shared" si="58"/>
        <v>50051.109999999993</v>
      </c>
      <c r="J354" s="281"/>
      <c r="K354" s="41">
        <f t="shared" si="56"/>
        <v>33915078.972050272</v>
      </c>
      <c r="L354" s="46">
        <f t="shared" si="51"/>
        <v>5.3310000000000003E-2</v>
      </c>
      <c r="M354" s="42">
        <f>L354*SUM(K354,K350)</f>
        <v>5257016.4704764402</v>
      </c>
      <c r="N354" s="281"/>
      <c r="O354" s="41">
        <f>'End of Period Calculations'!AA122</f>
        <v>98378564.891732141</v>
      </c>
      <c r="P354" s="42">
        <f>O354*L354</f>
        <v>5244561.2943782406</v>
      </c>
      <c r="Q354" s="42">
        <f t="shared" ref="Q354:Q358" si="63">P354-M354</f>
        <v>-12455.176098199561</v>
      </c>
      <c r="R354" s="281"/>
      <c r="S354" s="41">
        <f>O354</f>
        <v>98378564.891732141</v>
      </c>
      <c r="T354" s="218">
        <v>1.7099999999999999E-3</v>
      </c>
      <c r="U354" s="86">
        <f>T354*S354</f>
        <v>168227.34596486195</v>
      </c>
      <c r="V354" s="281"/>
      <c r="W354" s="218">
        <f>'Exh IDM-4 -Revenue Distribution'!F34</f>
        <v>6.3020293323393636E-2</v>
      </c>
      <c r="X354" s="86">
        <f>W354*O354</f>
        <v>6199846.0162114743</v>
      </c>
      <c r="Y354" s="86">
        <f>X354-P354</f>
        <v>955284.72183323372</v>
      </c>
    </row>
    <row r="355" spans="1:25" x14ac:dyDescent="0.25">
      <c r="A355" s="21">
        <v>350</v>
      </c>
      <c r="B355" s="18" t="s">
        <v>332</v>
      </c>
      <c r="C355" s="41">
        <f t="shared" si="61"/>
        <v>22496949.61439589</v>
      </c>
      <c r="D355" s="81">
        <v>1.9449999999999999E-2</v>
      </c>
      <c r="E355" s="42">
        <f>SUM('1501 Summary'!W212,'1501 Summary'!Y212,'1501 Summary'!AA212,'1501 Summary'!AC212)</f>
        <v>437565.67000000004</v>
      </c>
      <c r="F355" s="281"/>
      <c r="G355" s="41">
        <f>-SUM(G542,G577,G605)</f>
        <v>1600000</v>
      </c>
      <c r="H355" s="46">
        <f t="shared" si="57"/>
        <v>1.9449999999999999E-2</v>
      </c>
      <c r="I355" s="41">
        <f t="shared" si="58"/>
        <v>31119.999999999996</v>
      </c>
      <c r="J355" s="281"/>
      <c r="K355" s="41">
        <f t="shared" si="56"/>
        <v>24096949.61439589</v>
      </c>
      <c r="L355" s="46">
        <f t="shared" si="51"/>
        <v>1.9449999999999999E-2</v>
      </c>
      <c r="M355" s="42">
        <f>L355*SUM(K355,K351)</f>
        <v>1386983.9425407806</v>
      </c>
      <c r="N355" s="281"/>
      <c r="O355" s="41">
        <f>'End of Period Calculations'!AA123</f>
        <v>71561496.231790751</v>
      </c>
      <c r="P355" s="42">
        <f>O355*L355</f>
        <v>1391871.10170833</v>
      </c>
      <c r="Q355" s="42">
        <f t="shared" si="63"/>
        <v>4887.1591675493401</v>
      </c>
      <c r="R355" s="281"/>
      <c r="S355" s="41">
        <f>O355</f>
        <v>71561496.231790751</v>
      </c>
      <c r="T355" s="218">
        <v>1.7099999999999999E-3</v>
      </c>
      <c r="U355" s="86">
        <f t="shared" ref="U355:U357" si="64">T355*S355</f>
        <v>122370.15855636218</v>
      </c>
      <c r="V355" s="281"/>
      <c r="W355" s="218">
        <f>'Exh IDM-4 -Revenue Distribution'!F35</f>
        <v>2.2992772559369837E-2</v>
      </c>
      <c r="X355" s="86">
        <f t="shared" si="62"/>
        <v>1645397.2068657663</v>
      </c>
      <c r="Y355" s="86">
        <f t="shared" ref="Y355:Y357" si="65">X355-P355</f>
        <v>253526.10515743634</v>
      </c>
    </row>
    <row r="356" spans="1:25" x14ac:dyDescent="0.25">
      <c r="A356" s="21">
        <v>351</v>
      </c>
      <c r="B356" s="18" t="s">
        <v>332</v>
      </c>
      <c r="C356" s="41">
        <f t="shared" si="61"/>
        <v>10971464.467005076</v>
      </c>
      <c r="D356" s="81">
        <v>1.1820000000000001E-2</v>
      </c>
      <c r="E356" s="42">
        <f>SUM('1501 Summary'!W213,'1501 Summary'!Y213,'1501 Summary'!AA213,'1501 Summary'!AC213)</f>
        <v>129682.71</v>
      </c>
      <c r="F356" s="281"/>
      <c r="G356" s="41">
        <f>-SUM(G543,G578,G607)</f>
        <v>1600000</v>
      </c>
      <c r="H356" s="46">
        <f t="shared" si="57"/>
        <v>1.1820000000000001E-2</v>
      </c>
      <c r="I356" s="41">
        <f t="shared" si="58"/>
        <v>18912</v>
      </c>
      <c r="J356" s="281"/>
      <c r="K356" s="41">
        <f t="shared" si="56"/>
        <v>12571464.467005076</v>
      </c>
      <c r="L356" s="46">
        <f t="shared" si="51"/>
        <v>1.1820000000000001E-2</v>
      </c>
      <c r="M356" s="42">
        <f>L356*SUM(K356,K352)</f>
        <v>453629.62617523177</v>
      </c>
      <c r="N356" s="281"/>
      <c r="O356" s="41">
        <f>'End of Period Calculations'!AA124</f>
        <v>38711378.628469028</v>
      </c>
      <c r="P356" s="42">
        <f>O356*L356</f>
        <v>457568.49538850394</v>
      </c>
      <c r="Q356" s="42">
        <f t="shared" si="63"/>
        <v>3938.8692132721771</v>
      </c>
      <c r="R356" s="281"/>
      <c r="S356" s="41">
        <f>O356</f>
        <v>38711378.628469028</v>
      </c>
      <c r="T356" s="218">
        <v>1.7099999999999999E-3</v>
      </c>
      <c r="U356" s="86">
        <f t="shared" si="64"/>
        <v>66196.457454682037</v>
      </c>
      <c r="V356" s="281"/>
      <c r="W356" s="218">
        <f>'Exh IDM-4 -Revenue Distribution'!F36</f>
        <v>1.3972985689036066E-2</v>
      </c>
      <c r="X356" s="86">
        <f t="shared" si="62"/>
        <v>540913.53957845434</v>
      </c>
      <c r="Y356" s="86">
        <f t="shared" si="65"/>
        <v>83345.044189950393</v>
      </c>
    </row>
    <row r="357" spans="1:25" x14ac:dyDescent="0.25">
      <c r="A357" s="21">
        <v>352</v>
      </c>
      <c r="B357" s="77" t="s">
        <v>333</v>
      </c>
      <c r="C357" s="41">
        <f t="shared" si="61"/>
        <v>49338793.594306052</v>
      </c>
      <c r="D357" s="81">
        <v>5.62E-3</v>
      </c>
      <c r="E357" s="65">
        <f>SUM('1501 Summary'!W214,'1501 Summary'!Y214,'1501 Summary'!AA214,'1501 Summary'!AC214)</f>
        <v>277284.02</v>
      </c>
      <c r="F357" s="281"/>
      <c r="G357" s="41">
        <f>-SUM(G544,G579,G609,G731)</f>
        <v>127569507.40465716</v>
      </c>
      <c r="H357" s="46">
        <f t="shared" si="57"/>
        <v>5.62E-3</v>
      </c>
      <c r="I357" s="41">
        <f t="shared" si="58"/>
        <v>716940.63161417318</v>
      </c>
      <c r="J357" s="281"/>
      <c r="K357" s="41">
        <f t="shared" si="56"/>
        <v>176908300.99896321</v>
      </c>
      <c r="L357" s="46">
        <f t="shared" si="51"/>
        <v>5.62E-3</v>
      </c>
      <c r="M357" s="65">
        <f>L357*SUM(K357,K353)</f>
        <v>1801825.4332283465</v>
      </c>
      <c r="N357" s="281"/>
      <c r="O357" s="41">
        <f>'End of Period Calculations'!AA125</f>
        <v>319536159.87201685</v>
      </c>
      <c r="P357" s="65">
        <f>O357*L357</f>
        <v>1795793.2184807346</v>
      </c>
      <c r="Q357" s="65">
        <f t="shared" si="63"/>
        <v>-6032.2147476118989</v>
      </c>
      <c r="R357" s="281"/>
      <c r="S357" s="41">
        <f>O357</f>
        <v>319536159.87201685</v>
      </c>
      <c r="T357" s="218">
        <v>1.7099999999999999E-3</v>
      </c>
      <c r="U357" s="88">
        <f t="shared" si="64"/>
        <v>546406.83338114875</v>
      </c>
      <c r="V357" s="281"/>
      <c r="W357" s="218">
        <f>'Exh IDM-4 -Revenue Distribution'!F37</f>
        <v>6.6436700145839842E-3</v>
      </c>
      <c r="X357" s="88">
        <f t="shared" si="62"/>
        <v>2122892.8039170327</v>
      </c>
      <c r="Y357" s="88">
        <f t="shared" si="65"/>
        <v>327099.58543629805</v>
      </c>
    </row>
    <row r="358" spans="1:25" x14ac:dyDescent="0.25">
      <c r="A358" s="21">
        <v>353</v>
      </c>
      <c r="B358" s="19" t="s">
        <v>10</v>
      </c>
      <c r="E358" s="38">
        <f>SUM(E344:E357)</f>
        <v>12451719.859999999</v>
      </c>
      <c r="F358" s="275"/>
      <c r="G358" s="38"/>
      <c r="H358" s="38"/>
      <c r="I358" s="38"/>
      <c r="J358" s="275"/>
      <c r="K358" s="41"/>
      <c r="L358" s="46"/>
      <c r="M358" s="42">
        <f>SUM(M344:M357)</f>
        <v>16168295.872420799</v>
      </c>
      <c r="N358" s="275"/>
      <c r="O358" s="38"/>
      <c r="P358" s="42">
        <f>SUM(P345:P357)</f>
        <v>16154884.50995581</v>
      </c>
      <c r="Q358" s="42">
        <f t="shared" si="63"/>
        <v>-13411.362464988604</v>
      </c>
      <c r="R358" s="275"/>
      <c r="S358" s="67"/>
      <c r="T358" s="67"/>
      <c r="U358" s="86">
        <f>SUM(U354:U357)</f>
        <v>903200.79535705491</v>
      </c>
      <c r="V358" s="275"/>
      <c r="X358" s="86">
        <f>SUM(X345:X357)</f>
        <v>17774139.966572728</v>
      </c>
      <c r="Y358" s="86">
        <f>SUM(Y354:Y357)</f>
        <v>1619255.4566169186</v>
      </c>
    </row>
    <row r="359" spans="1:25" x14ac:dyDescent="0.25">
      <c r="A359" s="21">
        <v>354</v>
      </c>
      <c r="E359" s="38"/>
      <c r="F359" s="275"/>
      <c r="G359" s="38"/>
      <c r="H359" s="38"/>
      <c r="I359" s="38"/>
      <c r="J359" s="275"/>
      <c r="K359" s="41"/>
      <c r="L359" s="46"/>
      <c r="M359" s="42"/>
      <c r="N359" s="275"/>
      <c r="O359" s="42"/>
      <c r="P359" s="42"/>
      <c r="Q359" s="42"/>
      <c r="R359" s="275"/>
      <c r="S359" s="42"/>
      <c r="T359" s="42"/>
      <c r="U359" s="42"/>
      <c r="V359" s="275"/>
      <c r="Y359" s="42"/>
    </row>
    <row r="360" spans="1:25" x14ac:dyDescent="0.25">
      <c r="A360" s="21">
        <v>355</v>
      </c>
      <c r="B360" s="19" t="s">
        <v>12</v>
      </c>
      <c r="K360" s="41"/>
      <c r="L360" s="46"/>
      <c r="M360" s="42"/>
      <c r="O360" s="42"/>
      <c r="P360" s="42"/>
      <c r="Q360" s="42"/>
      <c r="S360" s="19"/>
      <c r="T360" s="19"/>
      <c r="U360" s="19"/>
      <c r="Y360" s="19"/>
    </row>
    <row r="361" spans="1:25" x14ac:dyDescent="0.25">
      <c r="A361" s="21">
        <v>356</v>
      </c>
      <c r="B361" s="99" t="s">
        <v>224</v>
      </c>
      <c r="E361" s="84">
        <f>'1501 Summary'!AD215</f>
        <v>-67553.440000000002</v>
      </c>
      <c r="F361" s="288"/>
      <c r="G361" s="69"/>
      <c r="H361" s="69"/>
      <c r="I361" s="69"/>
      <c r="J361" s="288"/>
      <c r="K361" s="41"/>
      <c r="L361" s="46"/>
      <c r="M361" s="42"/>
      <c r="N361" s="288"/>
      <c r="O361" s="42"/>
      <c r="P361" s="42"/>
      <c r="Q361" s="42"/>
      <c r="R361" s="288"/>
      <c r="S361" s="19"/>
      <c r="T361" s="19"/>
      <c r="U361" s="19"/>
      <c r="V361" s="288"/>
      <c r="Y361" s="19"/>
    </row>
    <row r="362" spans="1:25" x14ac:dyDescent="0.25">
      <c r="A362" s="21">
        <v>357</v>
      </c>
      <c r="B362" s="99" t="s">
        <v>225</v>
      </c>
      <c r="E362" s="84">
        <f>'1501 Summary'!AD216</f>
        <v>-31780.52</v>
      </c>
      <c r="F362" s="288"/>
      <c r="G362" s="69"/>
      <c r="H362" s="69"/>
      <c r="I362" s="69"/>
      <c r="J362" s="288"/>
      <c r="K362" s="41"/>
      <c r="L362" s="46"/>
      <c r="M362" s="42"/>
      <c r="N362" s="288"/>
      <c r="O362" s="42"/>
      <c r="P362" s="42"/>
      <c r="Q362" s="42"/>
      <c r="R362" s="288"/>
      <c r="S362" s="19"/>
      <c r="T362" s="19"/>
      <c r="U362" s="19"/>
      <c r="V362" s="288"/>
      <c r="Y362" s="19"/>
    </row>
    <row r="363" spans="1:25" x14ac:dyDescent="0.25">
      <c r="A363" s="21">
        <v>358</v>
      </c>
      <c r="B363" s="99" t="s">
        <v>226</v>
      </c>
      <c r="E363" s="84">
        <f>'1501 Summary'!AD217</f>
        <v>-62523.02</v>
      </c>
      <c r="F363" s="288"/>
      <c r="G363" s="69"/>
      <c r="H363" s="69"/>
      <c r="I363" s="69"/>
      <c r="J363" s="288"/>
      <c r="K363" s="41"/>
      <c r="L363" s="46"/>
      <c r="M363" s="42"/>
      <c r="N363" s="288"/>
      <c r="O363" s="42"/>
      <c r="P363" s="42"/>
      <c r="Q363" s="42"/>
      <c r="R363" s="288"/>
      <c r="S363" s="19"/>
      <c r="T363" s="19"/>
      <c r="U363" s="19"/>
      <c r="V363" s="288"/>
      <c r="Y363" s="19"/>
    </row>
    <row r="364" spans="1:25" x14ac:dyDescent="0.25">
      <c r="A364" s="21">
        <v>359</v>
      </c>
      <c r="B364" s="66" t="s">
        <v>139</v>
      </c>
      <c r="E364" s="84">
        <f>'1501 Summary'!AD218</f>
        <v>96651.13</v>
      </c>
      <c r="F364" s="288"/>
      <c r="G364" s="69"/>
      <c r="H364" s="69"/>
      <c r="I364" s="69"/>
      <c r="J364" s="288"/>
      <c r="K364" s="41"/>
      <c r="L364" s="46"/>
      <c r="M364" s="42"/>
      <c r="N364" s="288"/>
      <c r="O364" s="42"/>
      <c r="P364" s="42"/>
      <c r="Q364" s="42"/>
      <c r="R364" s="288"/>
      <c r="S364" s="19"/>
      <c r="T364" s="19"/>
      <c r="U364" s="19"/>
      <c r="V364" s="288"/>
      <c r="Y364" s="19"/>
    </row>
    <row r="365" spans="1:25" x14ac:dyDescent="0.25">
      <c r="A365" s="21">
        <v>360</v>
      </c>
      <c r="B365" s="66" t="s">
        <v>140</v>
      </c>
      <c r="E365" s="84">
        <f>'1501 Summary'!AD219</f>
        <v>532601.17999999993</v>
      </c>
      <c r="F365" s="288"/>
      <c r="G365" s="69"/>
      <c r="H365" s="69"/>
      <c r="I365" s="69"/>
      <c r="J365" s="288"/>
      <c r="K365" s="41"/>
      <c r="L365" s="46"/>
      <c r="M365" s="42"/>
      <c r="N365" s="288"/>
      <c r="O365" s="42"/>
      <c r="P365" s="42"/>
      <c r="Q365" s="42"/>
      <c r="R365" s="288"/>
      <c r="S365" s="19"/>
      <c r="T365" s="19"/>
      <c r="U365" s="19"/>
      <c r="V365" s="288"/>
      <c r="Y365" s="19"/>
    </row>
    <row r="366" spans="1:25" x14ac:dyDescent="0.25">
      <c r="A366" s="21">
        <v>361</v>
      </c>
      <c r="B366" s="66" t="s">
        <v>157</v>
      </c>
      <c r="E366" s="84">
        <f>'1501 Summary'!AD220</f>
        <v>15000</v>
      </c>
      <c r="F366" s="288"/>
      <c r="G366" s="69"/>
      <c r="H366" s="69"/>
      <c r="I366" s="69"/>
      <c r="J366" s="288"/>
      <c r="K366" s="41"/>
      <c r="L366" s="46"/>
      <c r="M366" s="42"/>
      <c r="N366" s="288"/>
      <c r="O366" s="42"/>
      <c r="P366" s="42"/>
      <c r="Q366" s="42"/>
      <c r="R366" s="288"/>
      <c r="S366" s="19"/>
      <c r="T366" s="19"/>
      <c r="U366" s="19"/>
      <c r="V366" s="288"/>
      <c r="Y366" s="19"/>
    </row>
    <row r="367" spans="1:25" x14ac:dyDescent="0.25">
      <c r="A367" s="21">
        <v>362</v>
      </c>
      <c r="B367" s="66" t="s">
        <v>157</v>
      </c>
      <c r="E367" s="84">
        <f>'1501 Summary'!AD221</f>
        <v>6000</v>
      </c>
      <c r="F367" s="288"/>
      <c r="G367" s="69"/>
      <c r="H367" s="69"/>
      <c r="I367" s="69"/>
      <c r="J367" s="288"/>
      <c r="K367" s="41"/>
      <c r="L367" s="46"/>
      <c r="M367" s="42"/>
      <c r="N367" s="288"/>
      <c r="O367" s="42"/>
      <c r="P367" s="42"/>
      <c r="Q367" s="42"/>
      <c r="R367" s="288"/>
      <c r="S367" s="19"/>
      <c r="T367" s="19"/>
      <c r="U367" s="19"/>
      <c r="V367" s="288"/>
      <c r="Y367" s="19"/>
    </row>
    <row r="368" spans="1:25" x14ac:dyDescent="0.25">
      <c r="A368" s="21">
        <v>363</v>
      </c>
      <c r="B368" s="66" t="s">
        <v>20</v>
      </c>
      <c r="E368" s="84">
        <f>'1501 Summary'!AD222</f>
        <v>555777.66</v>
      </c>
      <c r="F368" s="288"/>
      <c r="G368" s="69"/>
      <c r="H368" s="69"/>
      <c r="I368" s="69"/>
      <c r="J368" s="288"/>
      <c r="K368" s="41"/>
      <c r="L368" s="46"/>
      <c r="M368" s="42"/>
      <c r="N368" s="288"/>
      <c r="O368" s="42"/>
      <c r="P368" s="42"/>
      <c r="Q368" s="42"/>
      <c r="R368" s="288"/>
      <c r="S368" s="19"/>
      <c r="T368" s="19"/>
      <c r="U368" s="19"/>
      <c r="V368" s="288"/>
      <c r="Y368" s="19"/>
    </row>
    <row r="369" spans="1:25" x14ac:dyDescent="0.25">
      <c r="A369" s="21">
        <v>364</v>
      </c>
      <c r="B369" s="66" t="s">
        <v>144</v>
      </c>
      <c r="E369" s="84">
        <f>'1501 Summary'!AD223</f>
        <v>403016.04999999993</v>
      </c>
      <c r="F369" s="288"/>
      <c r="G369" s="69"/>
      <c r="H369" s="69"/>
      <c r="I369" s="69"/>
      <c r="J369" s="288"/>
      <c r="K369" s="41"/>
      <c r="L369" s="46"/>
      <c r="M369" s="42"/>
      <c r="N369" s="288"/>
      <c r="O369" s="42"/>
      <c r="P369" s="42"/>
      <c r="Q369" s="42"/>
      <c r="R369" s="288"/>
      <c r="S369" s="19"/>
      <c r="T369" s="19"/>
      <c r="U369" s="19"/>
      <c r="V369" s="288"/>
      <c r="Y369" s="19"/>
    </row>
    <row r="370" spans="1:25" x14ac:dyDescent="0.25">
      <c r="A370" s="21">
        <v>365</v>
      </c>
      <c r="B370" s="66" t="s">
        <v>149</v>
      </c>
      <c r="E370" s="84">
        <f>'1501 Summary'!AD224</f>
        <v>1204.48</v>
      </c>
      <c r="F370" s="288"/>
      <c r="G370" s="69"/>
      <c r="H370" s="69"/>
      <c r="I370" s="69"/>
      <c r="J370" s="288"/>
      <c r="K370" s="41"/>
      <c r="L370" s="46"/>
      <c r="M370" s="42"/>
      <c r="N370" s="288"/>
      <c r="O370" s="42"/>
      <c r="P370" s="42"/>
      <c r="Q370" s="42"/>
      <c r="R370" s="288"/>
      <c r="S370" s="19"/>
      <c r="T370" s="19"/>
      <c r="U370" s="19"/>
      <c r="V370" s="288"/>
      <c r="Y370" s="19"/>
    </row>
    <row r="371" spans="1:25" x14ac:dyDescent="0.25">
      <c r="A371" s="21">
        <v>366</v>
      </c>
      <c r="B371" s="256" t="s">
        <v>158</v>
      </c>
      <c r="E371" s="84">
        <f>'1501 Summary'!AD225</f>
        <v>600</v>
      </c>
      <c r="F371" s="288"/>
      <c r="G371" s="69"/>
      <c r="H371" s="69"/>
      <c r="I371" s="69"/>
      <c r="J371" s="288"/>
      <c r="K371" s="41"/>
      <c r="L371" s="46"/>
      <c r="M371" s="42"/>
      <c r="N371" s="288"/>
      <c r="O371" s="42"/>
      <c r="P371" s="42"/>
      <c r="Q371" s="42"/>
      <c r="R371" s="288"/>
      <c r="S371" s="19"/>
      <c r="T371" s="19"/>
      <c r="U371" s="19"/>
      <c r="V371" s="288"/>
      <c r="Y371" s="19"/>
    </row>
    <row r="372" spans="1:25" x14ac:dyDescent="0.25">
      <c r="A372" s="21">
        <v>367</v>
      </c>
      <c r="B372" s="66" t="s">
        <v>146</v>
      </c>
      <c r="E372" s="84">
        <f>'1501 Summary'!AD226</f>
        <v>15458.45</v>
      </c>
      <c r="F372" s="288"/>
      <c r="G372" s="69"/>
      <c r="H372" s="69"/>
      <c r="I372" s="69"/>
      <c r="J372" s="288"/>
      <c r="K372" s="41"/>
      <c r="L372" s="46"/>
      <c r="M372" s="42"/>
      <c r="N372" s="288"/>
      <c r="O372" s="42"/>
      <c r="P372" s="42"/>
      <c r="Q372" s="42"/>
      <c r="R372" s="288"/>
      <c r="S372" s="19"/>
      <c r="T372" s="19"/>
      <c r="U372" s="19"/>
      <c r="V372" s="288"/>
      <c r="Y372" s="19"/>
    </row>
    <row r="373" spans="1:25" x14ac:dyDescent="0.25">
      <c r="A373" s="21">
        <v>368</v>
      </c>
      <c r="B373" s="66" t="s">
        <v>145</v>
      </c>
      <c r="E373" s="84">
        <f>'1501 Summary'!AD227</f>
        <v>1192.52</v>
      </c>
      <c r="F373" s="288"/>
      <c r="G373" s="69"/>
      <c r="H373" s="69"/>
      <c r="I373" s="69"/>
      <c r="J373" s="288"/>
      <c r="K373" s="41"/>
      <c r="L373" s="46"/>
      <c r="M373" s="42"/>
      <c r="N373" s="288"/>
      <c r="O373" s="42"/>
      <c r="P373" s="42"/>
      <c r="Q373" s="42"/>
      <c r="R373" s="288"/>
      <c r="S373" s="19"/>
      <c r="T373" s="19"/>
      <c r="U373" s="19"/>
      <c r="V373" s="288"/>
      <c r="Y373" s="19"/>
    </row>
    <row r="374" spans="1:25" x14ac:dyDescent="0.25">
      <c r="A374" s="21">
        <v>369</v>
      </c>
      <c r="B374" s="66" t="s">
        <v>147</v>
      </c>
      <c r="E374" s="84">
        <f>'1501 Summary'!AD228</f>
        <v>-1367.0699999999997</v>
      </c>
      <c r="F374" s="288"/>
      <c r="G374" s="69"/>
      <c r="H374" s="69"/>
      <c r="I374" s="69"/>
      <c r="J374" s="288"/>
      <c r="K374" s="41"/>
      <c r="L374" s="46"/>
      <c r="M374" s="42"/>
      <c r="N374" s="288"/>
      <c r="O374" s="42"/>
      <c r="P374" s="42"/>
      <c r="Q374" s="42"/>
      <c r="R374" s="288"/>
      <c r="S374" s="19"/>
      <c r="T374" s="19"/>
      <c r="U374" s="19"/>
      <c r="V374" s="288"/>
      <c r="Y374" s="19"/>
    </row>
    <row r="375" spans="1:25" x14ac:dyDescent="0.25">
      <c r="A375" s="21">
        <v>370</v>
      </c>
      <c r="B375" s="18" t="s">
        <v>148</v>
      </c>
      <c r="E375" s="84">
        <f>'1501 Summary'!AD229</f>
        <v>8393.9599999999991</v>
      </c>
      <c r="F375" s="288"/>
      <c r="G375" s="69"/>
      <c r="H375" s="69"/>
      <c r="I375" s="69"/>
      <c r="J375" s="288"/>
      <c r="K375" s="41"/>
      <c r="L375" s="46"/>
      <c r="M375" s="42"/>
      <c r="N375" s="288"/>
      <c r="O375" s="42"/>
      <c r="P375" s="42"/>
      <c r="Q375" s="42"/>
      <c r="R375" s="288"/>
      <c r="S375" s="19"/>
      <c r="T375" s="19"/>
      <c r="U375" s="19"/>
      <c r="V375" s="288"/>
      <c r="Y375" s="19"/>
    </row>
    <row r="376" spans="1:25" x14ac:dyDescent="0.25">
      <c r="A376" s="21">
        <v>371</v>
      </c>
      <c r="B376" s="18" t="s">
        <v>24</v>
      </c>
      <c r="E376" s="84">
        <f>'1501 Summary'!AD230</f>
        <v>5114.12</v>
      </c>
      <c r="F376" s="288"/>
      <c r="G376" s="69"/>
      <c r="H376" s="69"/>
      <c r="I376" s="69"/>
      <c r="J376" s="288"/>
      <c r="K376" s="41"/>
      <c r="L376" s="46"/>
      <c r="M376" s="42"/>
      <c r="N376" s="288"/>
      <c r="O376" s="42"/>
      <c r="P376" s="42"/>
      <c r="Q376" s="42"/>
      <c r="R376" s="288"/>
      <c r="S376" s="19"/>
      <c r="T376" s="19"/>
      <c r="U376" s="19"/>
      <c r="V376" s="288"/>
      <c r="Y376" s="19"/>
    </row>
    <row r="377" spans="1:25" x14ac:dyDescent="0.25">
      <c r="A377" s="21">
        <v>372</v>
      </c>
      <c r="B377" s="18" t="s">
        <v>14</v>
      </c>
      <c r="E377" s="42">
        <f>'Rev Recon Summary'!R214</f>
        <v>0</v>
      </c>
      <c r="F377" s="281"/>
      <c r="G377" s="42"/>
      <c r="H377" s="42"/>
      <c r="I377" s="42"/>
      <c r="J377" s="281"/>
      <c r="K377" s="41"/>
      <c r="L377" s="46"/>
      <c r="M377" s="42"/>
      <c r="N377" s="281"/>
      <c r="O377" s="42"/>
      <c r="P377" s="42"/>
      <c r="Q377" s="42"/>
      <c r="R377" s="281"/>
      <c r="S377" s="19"/>
      <c r="T377" s="19"/>
      <c r="U377" s="19"/>
      <c r="V377" s="281"/>
      <c r="Y377" s="19"/>
    </row>
    <row r="378" spans="1:25" x14ac:dyDescent="0.25">
      <c r="A378" s="21">
        <v>373</v>
      </c>
      <c r="B378" s="18" t="s">
        <v>15</v>
      </c>
      <c r="E378" s="42">
        <f>'Rev Recon Summary'!R215</f>
        <v>0</v>
      </c>
      <c r="F378" s="281"/>
      <c r="G378" s="42"/>
      <c r="H378" s="42"/>
      <c r="I378" s="42"/>
      <c r="J378" s="281"/>
      <c r="K378" s="41"/>
      <c r="L378" s="46"/>
      <c r="M378" s="42"/>
      <c r="N378" s="281"/>
      <c r="O378" s="42"/>
      <c r="P378" s="42"/>
      <c r="Q378" s="42"/>
      <c r="R378" s="281"/>
      <c r="S378" s="42"/>
      <c r="T378" s="42"/>
      <c r="U378" s="42"/>
      <c r="V378" s="281"/>
      <c r="Y378" s="42"/>
    </row>
    <row r="379" spans="1:25" x14ac:dyDescent="0.25">
      <c r="A379" s="21">
        <v>374</v>
      </c>
      <c r="B379" s="18" t="s">
        <v>16</v>
      </c>
      <c r="E379" s="42">
        <f>'Rev Recon Summary'!R216</f>
        <v>0</v>
      </c>
      <c r="F379" s="281"/>
      <c r="G379" s="42"/>
      <c r="H379" s="42"/>
      <c r="I379" s="42"/>
      <c r="J379" s="281"/>
      <c r="K379" s="41"/>
      <c r="L379" s="46"/>
      <c r="M379" s="42"/>
      <c r="N379" s="281"/>
      <c r="O379" s="42"/>
      <c r="P379" s="42"/>
      <c r="Q379" s="42"/>
      <c r="R379" s="281"/>
      <c r="S379" s="42"/>
      <c r="T379" s="42"/>
      <c r="U379" s="42"/>
      <c r="V379" s="281"/>
      <c r="Y379" s="42"/>
    </row>
    <row r="380" spans="1:25" x14ac:dyDescent="0.25">
      <c r="A380" s="21">
        <v>375</v>
      </c>
      <c r="B380" s="18" t="s">
        <v>17</v>
      </c>
      <c r="E380" s="42">
        <f>'Rev Recon Summary'!R217</f>
        <v>-94245.9</v>
      </c>
      <c r="F380" s="281"/>
      <c r="G380" s="42"/>
      <c r="H380" s="42"/>
      <c r="I380" s="42"/>
      <c r="J380" s="281"/>
      <c r="K380" s="41"/>
      <c r="L380" s="46"/>
      <c r="M380" s="42"/>
      <c r="N380" s="281"/>
      <c r="O380" s="42"/>
      <c r="P380" s="42"/>
      <c r="Q380" s="42"/>
      <c r="R380" s="281"/>
      <c r="S380" s="42"/>
      <c r="T380" s="42"/>
      <c r="U380" s="42"/>
      <c r="V380" s="281"/>
      <c r="Y380" s="42"/>
    </row>
    <row r="381" spans="1:25" x14ac:dyDescent="0.25">
      <c r="A381" s="21">
        <v>376</v>
      </c>
      <c r="B381" s="18" t="s">
        <v>18</v>
      </c>
      <c r="E381" s="42">
        <f>'Rev Recon Summary'!R218</f>
        <v>0</v>
      </c>
      <c r="F381" s="281"/>
      <c r="G381" s="42"/>
      <c r="H381" s="42"/>
      <c r="I381" s="42"/>
      <c r="J381" s="281"/>
      <c r="K381" s="41"/>
      <c r="L381" s="46"/>
      <c r="M381" s="42"/>
      <c r="N381" s="281"/>
      <c r="O381" s="42"/>
      <c r="P381" s="42"/>
      <c r="Q381" s="42"/>
      <c r="R381" s="281"/>
      <c r="S381" s="42"/>
      <c r="T381" s="42"/>
      <c r="U381" s="42"/>
      <c r="V381" s="281"/>
      <c r="Y381" s="42"/>
    </row>
    <row r="382" spans="1:25" x14ac:dyDescent="0.25">
      <c r="A382" s="21">
        <v>377</v>
      </c>
      <c r="B382" s="6" t="s">
        <v>13</v>
      </c>
      <c r="E382" s="42">
        <f>'Rev Recon Summary'!R219</f>
        <v>-14.66</v>
      </c>
      <c r="F382" s="281"/>
      <c r="G382" s="42"/>
      <c r="H382" s="42"/>
      <c r="I382" s="42"/>
      <c r="J382" s="281"/>
      <c r="K382" s="41"/>
      <c r="L382" s="46"/>
      <c r="M382" s="42"/>
      <c r="N382" s="281"/>
      <c r="O382" s="42"/>
      <c r="P382" s="42"/>
      <c r="Q382" s="42"/>
      <c r="R382" s="281"/>
      <c r="S382" s="42"/>
      <c r="T382" s="42"/>
      <c r="U382" s="42"/>
      <c r="V382" s="281"/>
      <c r="Y382" s="42"/>
    </row>
    <row r="383" spans="1:25" x14ac:dyDescent="0.25">
      <c r="A383" s="21">
        <v>378</v>
      </c>
      <c r="B383" s="6" t="s">
        <v>55</v>
      </c>
      <c r="E383" s="42">
        <f>'Rev Recon Summary'!R220</f>
        <v>-13808164.699999999</v>
      </c>
      <c r="F383" s="281"/>
      <c r="G383" s="42"/>
      <c r="H383" s="42"/>
      <c r="I383" s="42"/>
      <c r="J383" s="281"/>
      <c r="K383" s="41"/>
      <c r="L383" s="46"/>
      <c r="M383" s="42"/>
      <c r="N383" s="281"/>
      <c r="O383" s="42"/>
      <c r="P383" s="42"/>
      <c r="Q383" s="42"/>
      <c r="R383" s="281"/>
      <c r="S383" s="42"/>
      <c r="T383" s="42"/>
      <c r="U383" s="42"/>
      <c r="V383" s="281"/>
      <c r="Y383" s="42"/>
    </row>
    <row r="384" spans="1:25" x14ac:dyDescent="0.25">
      <c r="A384" s="21">
        <v>379</v>
      </c>
      <c r="B384" s="6" t="s">
        <v>56</v>
      </c>
      <c r="E384" s="65">
        <f>'Rev Recon Summary'!R221</f>
        <v>13736588.280000001</v>
      </c>
      <c r="F384" s="281"/>
      <c r="G384" s="42"/>
      <c r="H384" s="42"/>
      <c r="I384" s="42"/>
      <c r="J384" s="281"/>
      <c r="K384" s="41"/>
      <c r="L384" s="46"/>
      <c r="M384" s="42"/>
      <c r="N384" s="281"/>
      <c r="O384" s="42"/>
      <c r="P384" s="42"/>
      <c r="Q384" s="42"/>
      <c r="R384" s="281"/>
      <c r="S384" s="42"/>
      <c r="T384" s="42"/>
      <c r="U384" s="42"/>
      <c r="V384" s="281"/>
      <c r="Y384" s="42"/>
    </row>
    <row r="385" spans="1:25" x14ac:dyDescent="0.25">
      <c r="A385" s="21">
        <v>380</v>
      </c>
      <c r="B385" s="18" t="s">
        <v>93</v>
      </c>
      <c r="E385" s="42">
        <f>SUM(E361:E384)</f>
        <v>1311948.5200000014</v>
      </c>
      <c r="F385" s="281"/>
      <c r="G385" s="42"/>
      <c r="H385" s="42"/>
      <c r="I385" s="42"/>
      <c r="J385" s="281"/>
      <c r="K385" s="41"/>
      <c r="L385" s="46"/>
      <c r="M385" s="42"/>
      <c r="N385" s="281"/>
      <c r="O385" s="42"/>
      <c r="P385" s="42"/>
      <c r="Q385" s="42"/>
      <c r="R385" s="281"/>
      <c r="S385" s="42"/>
      <c r="T385" s="42"/>
      <c r="U385" s="42"/>
      <c r="V385" s="281"/>
      <c r="Y385" s="42"/>
    </row>
    <row r="386" spans="1:25" x14ac:dyDescent="0.25">
      <c r="A386" s="21">
        <v>381</v>
      </c>
      <c r="B386" s="18"/>
      <c r="E386" s="42"/>
      <c r="F386" s="281"/>
      <c r="G386" s="42"/>
      <c r="H386" s="42"/>
      <c r="I386" s="42"/>
      <c r="J386" s="281"/>
      <c r="K386" s="41"/>
      <c r="L386" s="46"/>
      <c r="M386" s="42"/>
      <c r="N386" s="281"/>
      <c r="O386" s="42"/>
      <c r="P386" s="42"/>
      <c r="Q386" s="42"/>
      <c r="R386" s="281"/>
      <c r="S386" s="42"/>
      <c r="T386" s="42"/>
      <c r="U386" s="42"/>
      <c r="V386" s="281"/>
      <c r="Y386" s="42"/>
    </row>
    <row r="387" spans="1:25" x14ac:dyDescent="0.25">
      <c r="A387" s="21">
        <v>382</v>
      </c>
      <c r="B387" s="104" t="s">
        <v>160</v>
      </c>
      <c r="C387" s="39">
        <f>E387-'Rev Recon Summary'!R222</f>
        <v>0</v>
      </c>
      <c r="D387" s="105" t="s">
        <v>45</v>
      </c>
      <c r="E387" s="65">
        <f>SUM(E358,E385)</f>
        <v>13763668.380000001</v>
      </c>
      <c r="F387" s="282"/>
      <c r="G387" s="65"/>
      <c r="H387" s="65"/>
      <c r="I387" s="65"/>
      <c r="J387" s="282"/>
      <c r="K387" s="101"/>
      <c r="L387" s="134"/>
      <c r="M387" s="65"/>
      <c r="N387" s="282"/>
      <c r="O387" s="65"/>
      <c r="P387" s="65"/>
      <c r="Q387" s="65"/>
      <c r="R387" s="282"/>
      <c r="S387" s="65"/>
      <c r="T387" s="65"/>
      <c r="U387" s="65"/>
      <c r="V387" s="282"/>
      <c r="W387" s="39"/>
      <c r="X387" s="39"/>
      <c r="Y387" s="65"/>
    </row>
    <row r="388" spans="1:25" x14ac:dyDescent="0.25">
      <c r="A388" s="21">
        <v>383</v>
      </c>
      <c r="D388" s="22"/>
      <c r="E388" s="44"/>
      <c r="F388" s="280"/>
      <c r="G388" s="44"/>
      <c r="H388" s="44"/>
      <c r="I388" s="44"/>
      <c r="J388" s="280"/>
      <c r="K388" s="41"/>
      <c r="L388" s="46"/>
      <c r="M388" s="42"/>
      <c r="N388" s="280"/>
      <c r="O388" s="42"/>
      <c r="P388" s="42"/>
      <c r="Q388" s="42"/>
      <c r="R388" s="280"/>
      <c r="V388" s="280"/>
    </row>
    <row r="389" spans="1:25" x14ac:dyDescent="0.25">
      <c r="A389" s="21">
        <v>384</v>
      </c>
      <c r="D389" s="22"/>
      <c r="E389" s="44"/>
      <c r="F389" s="280"/>
      <c r="G389" s="44"/>
      <c r="H389" s="44"/>
      <c r="I389" s="44"/>
      <c r="J389" s="280"/>
      <c r="K389" s="41"/>
      <c r="L389" s="46"/>
      <c r="M389" s="42"/>
      <c r="N389" s="280"/>
      <c r="O389" s="42"/>
      <c r="P389" s="42"/>
      <c r="Q389" s="42"/>
      <c r="R389" s="280"/>
      <c r="V389" s="280"/>
    </row>
    <row r="390" spans="1:25" x14ac:dyDescent="0.25">
      <c r="A390" s="21">
        <v>385</v>
      </c>
      <c r="B390" s="30" t="s">
        <v>161</v>
      </c>
      <c r="G390" s="42" t="s">
        <v>446</v>
      </c>
      <c r="K390" s="41"/>
      <c r="L390" s="46"/>
      <c r="M390" s="42"/>
      <c r="O390" s="42"/>
      <c r="P390" s="42"/>
      <c r="Q390" s="42"/>
    </row>
    <row r="391" spans="1:25" x14ac:dyDescent="0.25">
      <c r="A391" s="21">
        <v>386</v>
      </c>
      <c r="B391" s="19" t="s">
        <v>343</v>
      </c>
      <c r="C391" s="41">
        <f>E391/D391</f>
        <v>6</v>
      </c>
      <c r="D391" s="38">
        <v>500</v>
      </c>
      <c r="E391" s="42">
        <f>SUM('1501 Summary'!G237,'1501 Summary'!I237,'1501 Summary'!K237,'1501 Summary'!M237,'1501 Summary'!O237,'1501 Summary'!Q237)</f>
        <v>3000</v>
      </c>
      <c r="F391" s="281"/>
      <c r="G391" s="100">
        <f>-C391</f>
        <v>-6</v>
      </c>
      <c r="H391" s="42">
        <f>D391</f>
        <v>500</v>
      </c>
      <c r="I391" s="42">
        <f>H391*G391</f>
        <v>-3000</v>
      </c>
      <c r="J391" s="281"/>
      <c r="K391" s="41">
        <f t="shared" si="56"/>
        <v>0</v>
      </c>
      <c r="L391" s="67">
        <f t="shared" ref="L391:L426" si="66">D391</f>
        <v>500</v>
      </c>
      <c r="M391" s="42">
        <f t="shared" ref="M391:M393" si="67">L391*K391</f>
        <v>0</v>
      </c>
      <c r="N391" s="281"/>
      <c r="O391" s="42"/>
      <c r="P391" s="42"/>
      <c r="Q391" s="42"/>
      <c r="R391" s="281"/>
      <c r="S391" s="86"/>
      <c r="T391" s="86"/>
      <c r="U391" s="86"/>
      <c r="V391" s="281"/>
      <c r="W391" s="45"/>
      <c r="X391" s="45"/>
      <c r="Y391" s="86"/>
    </row>
    <row r="392" spans="1:25" x14ac:dyDescent="0.25">
      <c r="A392" s="21">
        <v>387</v>
      </c>
      <c r="B392" s="19" t="s">
        <v>344</v>
      </c>
      <c r="C392" s="41">
        <v>0</v>
      </c>
      <c r="D392" s="42">
        <v>0</v>
      </c>
      <c r="E392" s="42">
        <f>SUM('1501 Summary'!S237,'1501 Summary'!U237,'1501 Summary'!W237,'1501 Summary'!Y237,'1501 Summary'!AA237,'1501 Summary'!AC237)</f>
        <v>0</v>
      </c>
      <c r="F392" s="281"/>
      <c r="G392" s="100">
        <f t="shared" ref="G392:G396" si="68">-C392</f>
        <v>0</v>
      </c>
      <c r="H392" s="42">
        <f t="shared" ref="H392:H396" si="69">D392</f>
        <v>0</v>
      </c>
      <c r="I392" s="42">
        <f t="shared" ref="I392:I396" si="70">H392*G392</f>
        <v>0</v>
      </c>
      <c r="J392" s="281"/>
      <c r="K392" s="41">
        <f t="shared" si="56"/>
        <v>0</v>
      </c>
      <c r="L392" s="46">
        <f t="shared" si="66"/>
        <v>0</v>
      </c>
      <c r="M392" s="42">
        <f t="shared" si="67"/>
        <v>0</v>
      </c>
      <c r="N392" s="281"/>
      <c r="O392" s="42"/>
      <c r="P392" s="42"/>
      <c r="Q392" s="42"/>
      <c r="R392" s="281"/>
      <c r="S392" s="86"/>
      <c r="T392" s="86"/>
      <c r="U392" s="86"/>
      <c r="V392" s="281"/>
      <c r="W392" s="45"/>
      <c r="X392" s="45"/>
      <c r="Y392" s="86"/>
    </row>
    <row r="393" spans="1:25" x14ac:dyDescent="0.25">
      <c r="A393" s="21">
        <v>388</v>
      </c>
      <c r="B393" s="19" t="s">
        <v>345</v>
      </c>
      <c r="C393" s="41">
        <f t="shared" ref="C393:C395" si="71">E393/D393</f>
        <v>425974.99999999994</v>
      </c>
      <c r="D393" s="81">
        <v>4.0000000000000002E-4</v>
      </c>
      <c r="E393" s="42">
        <f>SUM('1501 Summary'!G238,'1501 Summary'!I238,'1501 Summary'!K238,'1501 Summary'!M238,'1501 Summary'!O238,'1501 Summary'!Q238)</f>
        <v>170.39</v>
      </c>
      <c r="F393" s="281"/>
      <c r="G393" s="100">
        <f t="shared" si="68"/>
        <v>-425974.99999999994</v>
      </c>
      <c r="H393" s="212">
        <f t="shared" si="69"/>
        <v>4.0000000000000002E-4</v>
      </c>
      <c r="I393" s="42">
        <f t="shared" si="70"/>
        <v>-170.39</v>
      </c>
      <c r="J393" s="281"/>
      <c r="K393" s="41">
        <f t="shared" si="56"/>
        <v>0</v>
      </c>
      <c r="L393" s="46">
        <f t="shared" si="66"/>
        <v>4.0000000000000002E-4</v>
      </c>
      <c r="M393" s="42">
        <f t="shared" si="67"/>
        <v>0</v>
      </c>
      <c r="N393" s="281"/>
      <c r="O393" s="42"/>
      <c r="P393" s="42"/>
      <c r="Q393" s="42"/>
      <c r="R393" s="281"/>
      <c r="S393" s="86"/>
      <c r="T393" s="86"/>
      <c r="U393" s="86"/>
      <c r="V393" s="281"/>
      <c r="W393" s="45"/>
      <c r="X393" s="45"/>
      <c r="Y393" s="86"/>
    </row>
    <row r="394" spans="1:25" x14ac:dyDescent="0.25">
      <c r="A394" s="21">
        <v>389</v>
      </c>
      <c r="B394" s="19" t="s">
        <v>238</v>
      </c>
      <c r="C394" s="41">
        <v>0</v>
      </c>
      <c r="D394" s="42">
        <v>0</v>
      </c>
      <c r="E394" s="42">
        <f>SUM('1501 Summary'!S238,'1501 Summary'!U238,'1501 Summary'!W238,'1501 Summary'!Y238,'1501 Summary'!AA238,'1501 Summary'!AC238)</f>
        <v>0</v>
      </c>
      <c r="F394" s="281"/>
      <c r="G394" s="100">
        <f t="shared" si="68"/>
        <v>0</v>
      </c>
      <c r="H394" s="212">
        <f t="shared" si="69"/>
        <v>0</v>
      </c>
      <c r="I394" s="42">
        <f t="shared" si="70"/>
        <v>0</v>
      </c>
      <c r="J394" s="281"/>
      <c r="K394" s="41">
        <f t="shared" si="56"/>
        <v>0</v>
      </c>
      <c r="L394" s="46">
        <f t="shared" si="66"/>
        <v>0</v>
      </c>
      <c r="M394" s="42">
        <f t="shared" ref="M394:M395" si="72">L394*K394</f>
        <v>0</v>
      </c>
      <c r="N394" s="281"/>
      <c r="O394" s="42"/>
      <c r="P394" s="42"/>
      <c r="Q394" s="42"/>
      <c r="R394" s="281"/>
      <c r="S394" s="86"/>
      <c r="T394" s="86"/>
      <c r="U394" s="86"/>
      <c r="V394" s="281"/>
      <c r="W394" s="45"/>
      <c r="X394" s="45"/>
      <c r="Y394" s="86"/>
    </row>
    <row r="395" spans="1:25" x14ac:dyDescent="0.25">
      <c r="A395" s="21">
        <v>390</v>
      </c>
      <c r="B395" s="18" t="s">
        <v>239</v>
      </c>
      <c r="C395" s="41">
        <f t="shared" si="71"/>
        <v>425964.74694589886</v>
      </c>
      <c r="D395" s="81">
        <v>5.7299999999999997E-2</v>
      </c>
      <c r="E395" s="42">
        <f>SUM('1501 Summary'!G239,'1501 Summary'!I239,'1501 Summary'!K239,'1501 Summary'!M239,'1501 Summary'!O239,'1501 Summary'!Q239)</f>
        <v>24407.780000000002</v>
      </c>
      <c r="F395" s="281"/>
      <c r="G395" s="100">
        <f t="shared" si="68"/>
        <v>-425964.74694589886</v>
      </c>
      <c r="H395" s="212">
        <f t="shared" si="69"/>
        <v>5.7299999999999997E-2</v>
      </c>
      <c r="I395" s="42">
        <f t="shared" si="70"/>
        <v>-24407.780000000002</v>
      </c>
      <c r="J395" s="281"/>
      <c r="K395" s="41">
        <f t="shared" si="56"/>
        <v>0</v>
      </c>
      <c r="L395" s="46">
        <f t="shared" si="66"/>
        <v>5.7299999999999997E-2</v>
      </c>
      <c r="M395" s="42">
        <f t="shared" si="72"/>
        <v>0</v>
      </c>
      <c r="N395" s="281"/>
      <c r="O395" s="42"/>
      <c r="P395" s="42"/>
      <c r="Q395" s="42"/>
      <c r="R395" s="281"/>
      <c r="S395" s="86"/>
      <c r="T395" s="86"/>
      <c r="U395" s="86"/>
      <c r="V395" s="281"/>
      <c r="W395" s="45"/>
      <c r="X395" s="45"/>
      <c r="Y395" s="86"/>
    </row>
    <row r="396" spans="1:25" x14ac:dyDescent="0.25">
      <c r="A396" s="21">
        <v>391</v>
      </c>
      <c r="B396" s="77" t="s">
        <v>242</v>
      </c>
      <c r="C396" s="41">
        <v>0</v>
      </c>
      <c r="D396" s="23">
        <v>0</v>
      </c>
      <c r="E396" s="65">
        <f>SUM('1501 Summary'!S239,'1501 Summary'!U239,'1501 Summary'!W239,'1501 Summary'!Y239,'1501 Summary'!AA239,'1501 Summary'!AC239)</f>
        <v>0</v>
      </c>
      <c r="F396" s="281"/>
      <c r="G396" s="100">
        <f t="shared" si="68"/>
        <v>0</v>
      </c>
      <c r="H396" s="42">
        <f t="shared" si="69"/>
        <v>0</v>
      </c>
      <c r="I396" s="65">
        <f t="shared" si="70"/>
        <v>0</v>
      </c>
      <c r="J396" s="281"/>
      <c r="K396" s="41">
        <f t="shared" si="56"/>
        <v>0</v>
      </c>
      <c r="L396" s="46">
        <f t="shared" si="66"/>
        <v>0</v>
      </c>
      <c r="M396" s="65">
        <f>SUM(M391:M395)</f>
        <v>0</v>
      </c>
      <c r="N396" s="281"/>
      <c r="O396" s="42"/>
      <c r="P396" s="42"/>
      <c r="Q396" s="42"/>
      <c r="R396" s="281"/>
      <c r="S396" s="86"/>
      <c r="T396" s="86"/>
      <c r="U396" s="86"/>
      <c r="V396" s="281"/>
      <c r="W396" s="45"/>
      <c r="X396" s="45"/>
      <c r="Y396" s="86"/>
    </row>
    <row r="397" spans="1:25" x14ac:dyDescent="0.25">
      <c r="A397" s="21">
        <v>392</v>
      </c>
      <c r="B397" s="19" t="s">
        <v>10</v>
      </c>
      <c r="E397" s="42">
        <f>SUM(E391:E396)</f>
        <v>27578.170000000002</v>
      </c>
      <c r="F397" s="281"/>
      <c r="G397" s="42"/>
      <c r="H397" s="42"/>
      <c r="I397" s="42">
        <f>SUM(I391:I396)</f>
        <v>-27578.170000000002</v>
      </c>
      <c r="J397" s="281"/>
      <c r="K397" s="41"/>
      <c r="L397" s="46"/>
      <c r="M397" s="42">
        <f>SUM(M391:M396)</f>
        <v>0</v>
      </c>
      <c r="N397" s="281"/>
      <c r="O397" s="42"/>
      <c r="P397" s="42"/>
      <c r="Q397" s="42"/>
      <c r="R397" s="281"/>
      <c r="S397" s="83"/>
      <c r="T397" s="83"/>
      <c r="U397" s="83"/>
      <c r="V397" s="281"/>
      <c r="Y397" s="83"/>
    </row>
    <row r="398" spans="1:25" x14ac:dyDescent="0.25">
      <c r="A398" s="21">
        <v>393</v>
      </c>
      <c r="E398" s="42"/>
      <c r="F398" s="281"/>
      <c r="G398" s="42"/>
      <c r="H398" s="42"/>
      <c r="I398" s="42"/>
      <c r="J398" s="281"/>
      <c r="K398" s="41"/>
      <c r="L398" s="46"/>
      <c r="M398" s="42"/>
      <c r="N398" s="281"/>
      <c r="O398" s="42"/>
      <c r="P398" s="42"/>
      <c r="Q398" s="42"/>
      <c r="R398" s="281"/>
      <c r="V398" s="281"/>
    </row>
    <row r="399" spans="1:25" x14ac:dyDescent="0.25">
      <c r="A399" s="21">
        <v>394</v>
      </c>
      <c r="B399" s="19" t="s">
        <v>12</v>
      </c>
      <c r="K399" s="41"/>
      <c r="L399" s="46"/>
      <c r="M399" s="42"/>
      <c r="O399" s="42"/>
      <c r="P399" s="42"/>
      <c r="Q399" s="42"/>
    </row>
    <row r="400" spans="1:25" x14ac:dyDescent="0.25">
      <c r="A400" s="21">
        <v>395</v>
      </c>
      <c r="B400" s="19" t="s">
        <v>139</v>
      </c>
      <c r="E400" s="135">
        <f>'1501 Summary'!AD240</f>
        <v>115</v>
      </c>
      <c r="F400" s="277"/>
      <c r="G400" s="40"/>
      <c r="H400" s="40"/>
      <c r="I400" s="40"/>
      <c r="J400" s="277"/>
      <c r="K400" s="41"/>
      <c r="L400" s="46"/>
      <c r="M400" s="42"/>
      <c r="N400" s="277"/>
      <c r="O400" s="42"/>
      <c r="P400" s="42"/>
      <c r="Q400" s="42"/>
      <c r="R400" s="277"/>
      <c r="S400" s="19"/>
      <c r="T400" s="19"/>
      <c r="U400" s="19"/>
      <c r="V400" s="277"/>
      <c r="Y400" s="19"/>
    </row>
    <row r="401" spans="1:25" x14ac:dyDescent="0.25">
      <c r="A401" s="21">
        <v>396</v>
      </c>
      <c r="B401" s="19" t="s">
        <v>140</v>
      </c>
      <c r="E401" s="135">
        <f>'1501 Summary'!AD241</f>
        <v>749.7</v>
      </c>
      <c r="F401" s="277"/>
      <c r="G401" s="40"/>
      <c r="H401" s="40"/>
      <c r="I401" s="40"/>
      <c r="J401" s="277"/>
      <c r="K401" s="41"/>
      <c r="L401" s="46"/>
      <c r="M401" s="42"/>
      <c r="N401" s="277"/>
      <c r="O401" s="42"/>
      <c r="P401" s="42"/>
      <c r="Q401" s="42"/>
      <c r="R401" s="277"/>
      <c r="S401" s="18"/>
      <c r="T401" s="18"/>
      <c r="U401" s="18"/>
      <c r="V401" s="277"/>
      <c r="Y401" s="18"/>
    </row>
    <row r="402" spans="1:25" x14ac:dyDescent="0.25">
      <c r="A402" s="21">
        <v>397</v>
      </c>
      <c r="B402" s="19" t="s">
        <v>20</v>
      </c>
      <c r="E402" s="135">
        <f>'1501 Summary'!AD242</f>
        <v>1232.46</v>
      </c>
      <c r="F402" s="277"/>
      <c r="G402" s="40"/>
      <c r="H402" s="40"/>
      <c r="I402" s="40"/>
      <c r="J402" s="277"/>
      <c r="K402" s="41"/>
      <c r="L402" s="46"/>
      <c r="M402" s="42"/>
      <c r="N402" s="277"/>
      <c r="O402" s="42"/>
      <c r="P402" s="42"/>
      <c r="Q402" s="42"/>
      <c r="R402" s="277"/>
      <c r="S402" s="19"/>
      <c r="T402" s="19"/>
      <c r="U402" s="19"/>
      <c r="V402" s="277"/>
      <c r="Y402" s="19"/>
    </row>
    <row r="403" spans="1:25" x14ac:dyDescent="0.25">
      <c r="A403" s="21">
        <v>398</v>
      </c>
      <c r="B403" s="19" t="s">
        <v>144</v>
      </c>
      <c r="E403" s="135">
        <f>'1501 Summary'!AD243</f>
        <v>890.2700000000001</v>
      </c>
      <c r="F403" s="277"/>
      <c r="G403" s="40"/>
      <c r="H403" s="40"/>
      <c r="I403" s="40"/>
      <c r="J403" s="277"/>
      <c r="K403" s="41"/>
      <c r="L403" s="46"/>
      <c r="M403" s="42"/>
      <c r="N403" s="277"/>
      <c r="O403" s="42"/>
      <c r="P403" s="42"/>
      <c r="Q403" s="42"/>
      <c r="R403" s="277"/>
      <c r="S403" s="19"/>
      <c r="T403" s="19"/>
      <c r="U403" s="19"/>
      <c r="V403" s="277"/>
      <c r="Y403" s="19"/>
    </row>
    <row r="404" spans="1:25" x14ac:dyDescent="0.25">
      <c r="A404" s="21">
        <v>399</v>
      </c>
      <c r="B404" s="18" t="s">
        <v>14</v>
      </c>
      <c r="E404" s="135">
        <f>'Rev Recon Summary'!R234</f>
        <v>0</v>
      </c>
      <c r="F404" s="278"/>
      <c r="G404" s="56"/>
      <c r="H404" s="56"/>
      <c r="I404" s="56"/>
      <c r="J404" s="278"/>
      <c r="K404" s="41"/>
      <c r="L404" s="46"/>
      <c r="M404" s="42"/>
      <c r="N404" s="278"/>
      <c r="O404" s="42"/>
      <c r="P404" s="42"/>
      <c r="Q404" s="42"/>
      <c r="R404" s="278"/>
      <c r="V404" s="278"/>
    </row>
    <row r="405" spans="1:25" x14ac:dyDescent="0.25">
      <c r="A405" s="21">
        <v>400</v>
      </c>
      <c r="B405" s="18" t="s">
        <v>15</v>
      </c>
      <c r="E405" s="135">
        <f>'Rev Recon Summary'!R235</f>
        <v>0</v>
      </c>
      <c r="F405" s="278"/>
      <c r="G405" s="56"/>
      <c r="H405" s="56"/>
      <c r="I405" s="56"/>
      <c r="J405" s="278"/>
      <c r="K405" s="41"/>
      <c r="L405" s="46"/>
      <c r="M405" s="42"/>
      <c r="N405" s="278"/>
      <c r="O405" s="42"/>
      <c r="P405" s="42"/>
      <c r="Q405" s="42"/>
      <c r="R405" s="278"/>
      <c r="V405" s="278"/>
    </row>
    <row r="406" spans="1:25" x14ac:dyDescent="0.25">
      <c r="A406" s="21">
        <v>401</v>
      </c>
      <c r="B406" s="18" t="s">
        <v>16</v>
      </c>
      <c r="E406" s="135">
        <f>'Rev Recon Summary'!R236</f>
        <v>0</v>
      </c>
      <c r="F406" s="278"/>
      <c r="G406" s="56"/>
      <c r="H406" s="56"/>
      <c r="I406" s="56"/>
      <c r="J406" s="278"/>
      <c r="K406" s="41"/>
      <c r="L406" s="46"/>
      <c r="M406" s="42"/>
      <c r="N406" s="278"/>
      <c r="O406" s="42"/>
      <c r="P406" s="42"/>
      <c r="Q406" s="42"/>
      <c r="R406" s="278"/>
      <c r="V406" s="278"/>
    </row>
    <row r="407" spans="1:25" x14ac:dyDescent="0.25">
      <c r="A407" s="21">
        <v>402</v>
      </c>
      <c r="B407" s="18" t="s">
        <v>17</v>
      </c>
      <c r="E407" s="135">
        <f>'Rev Recon Summary'!R237</f>
        <v>0</v>
      </c>
      <c r="F407" s="278"/>
      <c r="G407" s="56"/>
      <c r="H407" s="56"/>
      <c r="I407" s="56"/>
      <c r="J407" s="278"/>
      <c r="K407" s="41"/>
      <c r="L407" s="46"/>
      <c r="M407" s="42"/>
      <c r="N407" s="278"/>
      <c r="O407" s="42"/>
      <c r="P407" s="42"/>
      <c r="Q407" s="42"/>
      <c r="R407" s="278"/>
      <c r="V407" s="278"/>
    </row>
    <row r="408" spans="1:25" x14ac:dyDescent="0.25">
      <c r="A408" s="21">
        <v>403</v>
      </c>
      <c r="B408" s="18" t="s">
        <v>18</v>
      </c>
      <c r="E408" s="135">
        <f>'Rev Recon Summary'!R238</f>
        <v>0</v>
      </c>
      <c r="F408" s="278"/>
      <c r="G408" s="56"/>
      <c r="H408" s="56"/>
      <c r="I408" s="56"/>
      <c r="J408" s="278"/>
      <c r="K408" s="41"/>
      <c r="L408" s="46"/>
      <c r="M408" s="42"/>
      <c r="N408" s="278"/>
      <c r="O408" s="42"/>
      <c r="P408" s="42"/>
      <c r="Q408" s="42"/>
      <c r="R408" s="278"/>
      <c r="V408" s="278"/>
    </row>
    <row r="409" spans="1:25" x14ac:dyDescent="0.25">
      <c r="A409" s="21">
        <v>404</v>
      </c>
      <c r="B409" s="6" t="s">
        <v>13</v>
      </c>
      <c r="E409" s="135">
        <f>'Rev Recon Summary'!R239</f>
        <v>0</v>
      </c>
      <c r="F409" s="278"/>
      <c r="G409" s="56"/>
      <c r="H409" s="56"/>
      <c r="I409" s="56"/>
      <c r="J409" s="278"/>
      <c r="K409" s="41"/>
      <c r="L409" s="46"/>
      <c r="M409" s="42"/>
      <c r="N409" s="278"/>
      <c r="O409" s="42"/>
      <c r="P409" s="42"/>
      <c r="Q409" s="42"/>
      <c r="R409" s="278"/>
      <c r="V409" s="278"/>
    </row>
    <row r="410" spans="1:25" x14ac:dyDescent="0.25">
      <c r="A410" s="21">
        <v>405</v>
      </c>
      <c r="B410" s="6" t="s">
        <v>55</v>
      </c>
      <c r="E410" s="135">
        <f>'Rev Recon Summary'!R240</f>
        <v>-30450.6</v>
      </c>
      <c r="F410" s="278"/>
      <c r="G410" s="56"/>
      <c r="H410" s="56"/>
      <c r="I410" s="56"/>
      <c r="J410" s="278"/>
      <c r="K410" s="41"/>
      <c r="L410" s="46"/>
      <c r="M410" s="42"/>
      <c r="N410" s="278"/>
      <c r="O410" s="42"/>
      <c r="P410" s="42"/>
      <c r="Q410" s="42"/>
      <c r="R410" s="278"/>
      <c r="V410" s="278"/>
    </row>
    <row r="411" spans="1:25" x14ac:dyDescent="0.25">
      <c r="A411" s="21">
        <v>406</v>
      </c>
      <c r="B411" s="6" t="s">
        <v>56</v>
      </c>
      <c r="E411" s="136">
        <f>'Rev Recon Summary'!R241</f>
        <v>25029.33</v>
      </c>
      <c r="F411" s="278"/>
      <c r="G411" s="56"/>
      <c r="H411" s="56"/>
      <c r="I411" s="56"/>
      <c r="J411" s="278"/>
      <c r="K411" s="41"/>
      <c r="L411" s="46"/>
      <c r="M411" s="42"/>
      <c r="N411" s="278"/>
      <c r="O411" s="42"/>
      <c r="P411" s="42"/>
      <c r="Q411" s="42"/>
      <c r="R411" s="278"/>
      <c r="V411" s="278"/>
    </row>
    <row r="412" spans="1:25" x14ac:dyDescent="0.25">
      <c r="A412" s="21">
        <v>407</v>
      </c>
      <c r="B412" s="18" t="s">
        <v>93</v>
      </c>
      <c r="E412" s="135">
        <f>SUM(E400:E411)</f>
        <v>-2433.8399999999965</v>
      </c>
      <c r="F412" s="277"/>
      <c r="G412" s="40"/>
      <c r="H412" s="40"/>
      <c r="I412" s="40"/>
      <c r="J412" s="277"/>
      <c r="K412" s="41"/>
      <c r="L412" s="46"/>
      <c r="M412" s="42"/>
      <c r="N412" s="277"/>
      <c r="O412" s="42"/>
      <c r="P412" s="42"/>
      <c r="Q412" s="42"/>
      <c r="R412" s="277"/>
      <c r="V412" s="277"/>
    </row>
    <row r="413" spans="1:25" x14ac:dyDescent="0.25">
      <c r="A413" s="21">
        <v>408</v>
      </c>
      <c r="B413" s="18"/>
      <c r="E413" s="135"/>
      <c r="F413" s="277"/>
      <c r="G413" s="40"/>
      <c r="H413" s="40"/>
      <c r="I413" s="40"/>
      <c r="J413" s="277"/>
      <c r="K413" s="41"/>
      <c r="L413" s="46"/>
      <c r="M413" s="42"/>
      <c r="N413" s="277"/>
      <c r="O413" s="42"/>
      <c r="P413" s="42"/>
      <c r="Q413" s="42"/>
      <c r="R413" s="277"/>
      <c r="V413" s="277"/>
    </row>
    <row r="414" spans="1:25" x14ac:dyDescent="0.25">
      <c r="A414" s="21">
        <v>409</v>
      </c>
      <c r="B414" s="104" t="s">
        <v>100</v>
      </c>
      <c r="C414" s="39">
        <f>E414-'Rev Recon Summary'!R242</f>
        <v>0</v>
      </c>
      <c r="D414" s="105" t="s">
        <v>45</v>
      </c>
      <c r="E414" s="136">
        <f>SUM(E397,E412)</f>
        <v>25144.330000000005</v>
      </c>
      <c r="F414" s="279"/>
      <c r="G414" s="39"/>
      <c r="H414" s="39"/>
      <c r="I414" s="39"/>
      <c r="J414" s="279"/>
      <c r="K414" s="101"/>
      <c r="L414" s="134"/>
      <c r="M414" s="65"/>
      <c r="N414" s="279"/>
      <c r="O414" s="65"/>
      <c r="P414" s="65"/>
      <c r="Q414" s="65"/>
      <c r="R414" s="279"/>
      <c r="S414" s="105"/>
      <c r="T414" s="105"/>
      <c r="U414" s="105"/>
      <c r="V414" s="279"/>
      <c r="W414" s="39"/>
      <c r="X414" s="39"/>
      <c r="Y414" s="105"/>
    </row>
    <row r="415" spans="1:25" x14ac:dyDescent="0.25">
      <c r="A415" s="21">
        <v>410</v>
      </c>
      <c r="K415" s="41"/>
      <c r="L415" s="46"/>
      <c r="M415" s="42"/>
      <c r="O415" s="42"/>
      <c r="P415" s="42"/>
      <c r="Q415" s="42"/>
      <c r="W415" s="67"/>
    </row>
    <row r="416" spans="1:25" x14ac:dyDescent="0.25">
      <c r="A416" s="21">
        <v>411</v>
      </c>
      <c r="B416" s="30" t="s">
        <v>162</v>
      </c>
      <c r="K416" s="41"/>
      <c r="L416" s="46"/>
      <c r="M416" s="42"/>
      <c r="O416" s="42"/>
      <c r="P416" s="42"/>
      <c r="Q416" s="42"/>
      <c r="W416" s="67"/>
    </row>
    <row r="417" spans="1:25" x14ac:dyDescent="0.25">
      <c r="A417" s="21">
        <v>412</v>
      </c>
      <c r="B417" s="19" t="s">
        <v>246</v>
      </c>
      <c r="C417" s="41">
        <f>E417/D417</f>
        <v>9</v>
      </c>
      <c r="D417" s="38">
        <v>500</v>
      </c>
      <c r="E417" s="42">
        <f>SUM('1501 Summary'!G250:W250)</f>
        <v>4500</v>
      </c>
      <c r="F417" s="275"/>
      <c r="G417" s="38"/>
      <c r="H417" s="38"/>
      <c r="I417" s="38"/>
      <c r="J417" s="275"/>
      <c r="K417" s="41">
        <f t="shared" ref="K417:K452" si="73">C417+G417</f>
        <v>9</v>
      </c>
      <c r="L417" s="38"/>
      <c r="M417" s="42"/>
      <c r="N417" s="275"/>
      <c r="O417" s="41"/>
      <c r="P417" s="41"/>
      <c r="Q417" s="42"/>
      <c r="R417" s="275"/>
      <c r="S417" s="86"/>
      <c r="T417" s="86"/>
      <c r="U417" s="86"/>
      <c r="V417" s="275"/>
      <c r="W417" s="67"/>
      <c r="X417" s="41"/>
      <c r="Y417" s="86"/>
    </row>
    <row r="418" spans="1:25" x14ac:dyDescent="0.25">
      <c r="A418" s="21">
        <v>413</v>
      </c>
      <c r="B418" s="19" t="s">
        <v>247</v>
      </c>
      <c r="C418" s="41">
        <f t="shared" ref="C418:C428" si="74">E418/D418</f>
        <v>3</v>
      </c>
      <c r="D418" s="38">
        <v>625</v>
      </c>
      <c r="E418" s="42">
        <f>SUM('1501 Summary'!Y250:AC250)</f>
        <v>1875</v>
      </c>
      <c r="F418" s="275"/>
      <c r="G418" s="38"/>
      <c r="H418" s="38"/>
      <c r="I418" s="38"/>
      <c r="J418" s="275"/>
      <c r="K418" s="41">
        <f t="shared" si="73"/>
        <v>3</v>
      </c>
      <c r="L418" s="38">
        <f t="shared" si="66"/>
        <v>625</v>
      </c>
      <c r="M418" s="42">
        <f>L418*SUM(K418,K417)</f>
        <v>7500</v>
      </c>
      <c r="N418" s="275"/>
      <c r="O418" s="41"/>
      <c r="P418" s="38"/>
      <c r="Q418" s="42"/>
      <c r="R418" s="275"/>
      <c r="S418" s="86"/>
      <c r="T418" s="86"/>
      <c r="U418" s="86"/>
      <c r="V418" s="275"/>
      <c r="W418" s="67"/>
      <c r="X418" s="86"/>
      <c r="Y418" s="86"/>
    </row>
    <row r="419" spans="1:25" x14ac:dyDescent="0.25">
      <c r="A419" s="21">
        <v>414</v>
      </c>
      <c r="B419" s="19" t="s">
        <v>346</v>
      </c>
      <c r="C419" s="41">
        <f t="shared" si="74"/>
        <v>6.9999999999999991</v>
      </c>
      <c r="D419" s="67">
        <v>13062.54</v>
      </c>
      <c r="E419" s="42">
        <f>SUM('1501 Summary'!G251:S251)</f>
        <v>91437.78</v>
      </c>
      <c r="F419" s="275"/>
      <c r="G419" s="38"/>
      <c r="H419" s="38"/>
      <c r="I419" s="38"/>
      <c r="J419" s="275"/>
      <c r="K419" s="41">
        <f t="shared" si="73"/>
        <v>6.9999999999999991</v>
      </c>
      <c r="L419" s="42"/>
      <c r="M419" s="42"/>
      <c r="N419" s="275"/>
      <c r="O419" s="41"/>
      <c r="P419" s="38"/>
      <c r="Q419" s="42"/>
      <c r="R419" s="275"/>
      <c r="S419" s="86"/>
      <c r="T419" s="86"/>
      <c r="U419" s="86"/>
      <c r="V419" s="275"/>
      <c r="W419" s="67"/>
      <c r="X419" s="86"/>
      <c r="Y419" s="86"/>
    </row>
    <row r="420" spans="1:25" x14ac:dyDescent="0.25">
      <c r="A420" s="21">
        <v>415</v>
      </c>
      <c r="B420" s="19" t="s">
        <v>347</v>
      </c>
      <c r="C420" s="41">
        <f t="shared" si="74"/>
        <v>5.0000000000000009</v>
      </c>
      <c r="D420" s="67">
        <v>13219.29</v>
      </c>
      <c r="E420" s="42">
        <f>SUM('1501 Summary'!U251:AC251)</f>
        <v>66096.450000000012</v>
      </c>
      <c r="F420" s="275"/>
      <c r="G420" s="38"/>
      <c r="H420" s="38"/>
      <c r="I420" s="38"/>
      <c r="J420" s="275"/>
      <c r="K420" s="41">
        <f t="shared" si="73"/>
        <v>5.0000000000000009</v>
      </c>
      <c r="L420" s="42">
        <f t="shared" si="66"/>
        <v>13219.29</v>
      </c>
      <c r="M420" s="42">
        <f>L420*SUM(K420,K419)</f>
        <v>158631.48000000001</v>
      </c>
      <c r="N420" s="275"/>
      <c r="O420" s="41"/>
      <c r="P420" s="42"/>
      <c r="Q420" s="42"/>
      <c r="R420" s="275"/>
      <c r="S420" s="86"/>
      <c r="T420" s="86"/>
      <c r="U420" s="86"/>
      <c r="V420" s="275"/>
      <c r="W420" s="67"/>
      <c r="X420" s="86"/>
      <c r="Y420" s="86"/>
    </row>
    <row r="421" spans="1:25" x14ac:dyDescent="0.25">
      <c r="A421" s="21">
        <v>416</v>
      </c>
      <c r="B421" s="19" t="s">
        <v>337</v>
      </c>
      <c r="C421" s="41">
        <f t="shared" si="74"/>
        <v>21784250</v>
      </c>
      <c r="D421" s="257">
        <v>2.0000000000000001E-4</v>
      </c>
      <c r="E421" s="42">
        <f>SUM('1501 Summary'!G252:W252)</f>
        <v>4356.8500000000004</v>
      </c>
      <c r="F421" s="275"/>
      <c r="G421" s="38"/>
      <c r="H421" s="38"/>
      <c r="I421" s="38"/>
      <c r="J421" s="275"/>
      <c r="K421" s="41">
        <f t="shared" si="73"/>
        <v>21784250</v>
      </c>
      <c r="L421" s="46"/>
      <c r="M421" s="42"/>
      <c r="N421" s="275"/>
      <c r="O421" s="41"/>
      <c r="P421" s="42"/>
      <c r="Q421" s="42"/>
      <c r="R421" s="275"/>
      <c r="S421" s="86"/>
      <c r="T421" s="86"/>
      <c r="U421" s="86"/>
      <c r="V421" s="275"/>
      <c r="W421" s="67"/>
      <c r="X421" s="86"/>
      <c r="Y421" s="86"/>
    </row>
    <row r="422" spans="1:25" x14ac:dyDescent="0.25">
      <c r="A422" s="21">
        <v>417</v>
      </c>
      <c r="B422" s="19" t="s">
        <v>342</v>
      </c>
      <c r="C422" s="41">
        <v>0</v>
      </c>
      <c r="D422" s="47"/>
      <c r="E422" s="42">
        <f>SUM('1501 Summary'!Y252:AC252)</f>
        <v>0</v>
      </c>
      <c r="F422" s="275"/>
      <c r="G422" s="38"/>
      <c r="H422" s="38"/>
      <c r="I422" s="38"/>
      <c r="J422" s="275"/>
      <c r="K422" s="41">
        <f t="shared" si="73"/>
        <v>0</v>
      </c>
      <c r="L422" s="46"/>
      <c r="M422" s="42"/>
      <c r="N422" s="275"/>
      <c r="O422" s="41"/>
      <c r="P422" s="38"/>
      <c r="Q422" s="42"/>
      <c r="R422" s="275"/>
      <c r="S422" s="86"/>
      <c r="T422" s="86"/>
      <c r="U422" s="86"/>
      <c r="V422" s="275"/>
      <c r="W422" s="67"/>
      <c r="X422" s="86"/>
      <c r="Y422" s="86"/>
    </row>
    <row r="423" spans="1:25" x14ac:dyDescent="0.25">
      <c r="A423" s="21">
        <v>418</v>
      </c>
      <c r="B423" s="19" t="s">
        <v>250</v>
      </c>
      <c r="C423" s="41">
        <v>0</v>
      </c>
      <c r="D423" s="47"/>
      <c r="E423" s="42">
        <f>SUM('1501 Summary'!G253:W253)</f>
        <v>0</v>
      </c>
      <c r="F423" s="275"/>
      <c r="G423" s="38"/>
      <c r="H423" s="38"/>
      <c r="I423" s="38"/>
      <c r="J423" s="275"/>
      <c r="K423" s="41">
        <f t="shared" si="73"/>
        <v>0</v>
      </c>
      <c r="L423" s="46"/>
      <c r="M423" s="42"/>
      <c r="N423" s="275"/>
      <c r="O423" s="41"/>
      <c r="P423" s="38"/>
      <c r="Q423" s="42"/>
      <c r="R423" s="275"/>
      <c r="S423" s="86"/>
      <c r="T423" s="86"/>
      <c r="U423" s="86"/>
      <c r="V423" s="275"/>
      <c r="W423" s="67"/>
      <c r="X423" s="86"/>
      <c r="Y423" s="86"/>
    </row>
    <row r="424" spans="1:25" x14ac:dyDescent="0.25">
      <c r="A424" s="21">
        <v>419</v>
      </c>
      <c r="B424" s="19" t="s">
        <v>251</v>
      </c>
      <c r="C424" s="41">
        <f t="shared" si="74"/>
        <v>6857875</v>
      </c>
      <c r="D424" s="257">
        <v>4.0000000000000002E-4</v>
      </c>
      <c r="E424" s="42">
        <f>SUM('1501 Summary'!Y253:AC253)</f>
        <v>2743.15</v>
      </c>
      <c r="F424" s="275"/>
      <c r="G424" s="38"/>
      <c r="H424" s="38"/>
      <c r="I424" s="38"/>
      <c r="J424" s="275"/>
      <c r="K424" s="41">
        <f t="shared" si="73"/>
        <v>6857875</v>
      </c>
      <c r="L424" s="46">
        <f t="shared" si="66"/>
        <v>4.0000000000000002E-4</v>
      </c>
      <c r="M424" s="42">
        <f>L424*SUM(K424,K421)</f>
        <v>11456.85</v>
      </c>
      <c r="N424" s="275"/>
      <c r="O424" s="44"/>
      <c r="P424" s="38"/>
      <c r="Q424" s="42"/>
      <c r="R424" s="275"/>
      <c r="S424" s="86"/>
      <c r="T424" s="86"/>
      <c r="U424" s="86"/>
      <c r="V424" s="275"/>
      <c r="W424" s="218"/>
      <c r="X424" s="86"/>
      <c r="Y424" s="86"/>
    </row>
    <row r="425" spans="1:25" x14ac:dyDescent="0.25">
      <c r="A425" s="21">
        <v>420</v>
      </c>
      <c r="B425" s="19" t="s">
        <v>338</v>
      </c>
      <c r="C425" s="41">
        <f t="shared" si="74"/>
        <v>15232404.236957852</v>
      </c>
      <c r="D425" s="258">
        <v>1.4368799999999999E-2</v>
      </c>
      <c r="E425" s="42">
        <f>SUM('1501 Summary'!G254:Q254)</f>
        <v>218871.36999999997</v>
      </c>
      <c r="F425" s="275"/>
      <c r="G425" s="38"/>
      <c r="H425" s="38"/>
      <c r="I425" s="38"/>
      <c r="J425" s="275"/>
      <c r="K425" s="41">
        <f t="shared" si="73"/>
        <v>15232404.236957852</v>
      </c>
      <c r="L425" s="46"/>
      <c r="M425" s="42"/>
      <c r="N425" s="275"/>
      <c r="O425" s="41"/>
      <c r="P425" s="38"/>
      <c r="Q425" s="42"/>
      <c r="R425" s="275"/>
      <c r="S425" s="86"/>
      <c r="T425" s="86"/>
      <c r="U425" s="86"/>
      <c r="V425" s="275"/>
      <c r="W425" s="218"/>
      <c r="X425" s="86"/>
      <c r="Y425" s="86"/>
    </row>
    <row r="426" spans="1:25" x14ac:dyDescent="0.25">
      <c r="A426" s="21">
        <v>421</v>
      </c>
      <c r="B426" s="19" t="s">
        <v>339</v>
      </c>
      <c r="C426" s="41">
        <f t="shared" si="74"/>
        <v>13123029.048496684</v>
      </c>
      <c r="D426" s="23">
        <v>1.4541200000000001E-2</v>
      </c>
      <c r="E426" s="42">
        <f>SUM('1501 Summary'!S254:AC254)</f>
        <v>190824.59</v>
      </c>
      <c r="F426" s="275"/>
      <c r="G426" s="38"/>
      <c r="H426" s="38"/>
      <c r="I426" s="38"/>
      <c r="J426" s="275"/>
      <c r="K426" s="41">
        <f t="shared" si="73"/>
        <v>13123029.048496684</v>
      </c>
      <c r="L426" s="46">
        <f t="shared" si="66"/>
        <v>1.4541200000000001E-2</v>
      </c>
      <c r="M426" s="42">
        <f>L426*SUM(K426,K425)</f>
        <v>412322.02649045148</v>
      </c>
      <c r="N426" s="275"/>
      <c r="O426" s="41"/>
      <c r="P426" s="38"/>
      <c r="Q426" s="42"/>
      <c r="R426" s="275"/>
      <c r="S426" s="86"/>
      <c r="T426" s="86"/>
      <c r="U426" s="86"/>
      <c r="V426" s="275"/>
      <c r="W426" s="218"/>
      <c r="X426" s="86"/>
      <c r="Y426" s="86"/>
    </row>
    <row r="427" spans="1:25" x14ac:dyDescent="0.25">
      <c r="A427" s="21">
        <v>422</v>
      </c>
      <c r="B427" s="19" t="s">
        <v>340</v>
      </c>
      <c r="C427" s="41">
        <f t="shared" si="74"/>
        <v>217684.84439372752</v>
      </c>
      <c r="D427" s="258">
        <v>1.86657E-2</v>
      </c>
      <c r="E427" s="42">
        <f>SUM('1501 Summary'!G255:Q255)</f>
        <v>4063.24</v>
      </c>
      <c r="F427" s="275"/>
      <c r="G427" s="38"/>
      <c r="H427" s="38"/>
      <c r="I427" s="38"/>
      <c r="J427" s="275"/>
      <c r="K427" s="41">
        <f t="shared" si="73"/>
        <v>217684.84439372752</v>
      </c>
      <c r="L427" s="46"/>
      <c r="M427" s="42"/>
      <c r="N427" s="275"/>
      <c r="O427" s="41"/>
      <c r="P427" s="38"/>
      <c r="Q427" s="42"/>
      <c r="R427" s="275"/>
      <c r="S427" s="86"/>
      <c r="T427" s="86"/>
      <c r="U427" s="86"/>
      <c r="V427" s="275"/>
      <c r="W427" s="218"/>
      <c r="X427" s="86"/>
      <c r="Y427" s="86"/>
    </row>
    <row r="428" spans="1:25" x14ac:dyDescent="0.25">
      <c r="A428" s="21">
        <v>423</v>
      </c>
      <c r="B428" s="110" t="s">
        <v>341</v>
      </c>
      <c r="C428" s="41">
        <f t="shared" si="74"/>
        <v>46467.651683192431</v>
      </c>
      <c r="D428" s="258">
        <v>1.8889699999999999E-2</v>
      </c>
      <c r="E428" s="65">
        <f>SUM('1501 Summary'!S255:AC255)</f>
        <v>877.76</v>
      </c>
      <c r="F428" s="275"/>
      <c r="G428" s="38"/>
      <c r="H428" s="38"/>
      <c r="I428" s="38"/>
      <c r="J428" s="275"/>
      <c r="K428" s="41">
        <f t="shared" si="73"/>
        <v>46467.651683192431</v>
      </c>
      <c r="L428" s="46">
        <f t="shared" ref="L428:L490" si="75">D428</f>
        <v>1.8889699999999999E-2</v>
      </c>
      <c r="M428" s="65">
        <f t="shared" ref="M428" si="76">L428*SUM(K428,K427)</f>
        <v>4989.7614051441942</v>
      </c>
      <c r="N428" s="275"/>
      <c r="O428" s="41"/>
      <c r="P428" s="38"/>
      <c r="Q428" s="42"/>
      <c r="R428" s="275"/>
      <c r="S428" s="86"/>
      <c r="T428" s="86"/>
      <c r="U428" s="86"/>
      <c r="V428" s="275"/>
      <c r="W428" s="218"/>
      <c r="X428" s="86"/>
      <c r="Y428" s="86"/>
    </row>
    <row r="429" spans="1:25" x14ac:dyDescent="0.25">
      <c r="A429" s="21">
        <v>424</v>
      </c>
      <c r="B429" s="19" t="s">
        <v>10</v>
      </c>
      <c r="C429" s="41"/>
      <c r="D429" s="47"/>
      <c r="E429" s="42">
        <f>SUM(E417:E428)</f>
        <v>585646.18999999994</v>
      </c>
      <c r="F429" s="275"/>
      <c r="G429" s="38"/>
      <c r="H429" s="38"/>
      <c r="I429" s="38"/>
      <c r="J429" s="275"/>
      <c r="K429" s="41"/>
      <c r="L429" s="46"/>
      <c r="M429" s="42">
        <f>SUM(M417:M428)</f>
        <v>594900.11789559573</v>
      </c>
      <c r="N429" s="275"/>
      <c r="O429" s="38"/>
      <c r="P429" s="38"/>
      <c r="Q429" s="42"/>
      <c r="R429" s="275"/>
      <c r="S429" s="86"/>
      <c r="T429" s="86"/>
      <c r="U429" s="86"/>
      <c r="V429" s="275"/>
      <c r="W429" s="67"/>
      <c r="X429" s="86"/>
      <c r="Y429" s="86"/>
    </row>
    <row r="430" spans="1:25" x14ac:dyDescent="0.25">
      <c r="A430" s="21">
        <v>425</v>
      </c>
      <c r="E430" s="42"/>
      <c r="F430" s="281"/>
      <c r="G430" s="42"/>
      <c r="H430" s="42"/>
      <c r="I430" s="42"/>
      <c r="J430" s="281"/>
      <c r="K430" s="41"/>
      <c r="L430" s="46"/>
      <c r="M430" s="42"/>
      <c r="N430" s="281"/>
      <c r="O430" s="42"/>
      <c r="P430" s="42"/>
      <c r="Q430" s="42"/>
      <c r="R430" s="281"/>
      <c r="S430" s="42"/>
      <c r="T430" s="42"/>
      <c r="U430" s="42"/>
      <c r="V430" s="281"/>
      <c r="W430" s="67"/>
      <c r="X430" s="86"/>
      <c r="Y430" s="42"/>
    </row>
    <row r="431" spans="1:25" x14ac:dyDescent="0.25">
      <c r="A431" s="21">
        <v>426</v>
      </c>
      <c r="B431" s="19" t="s">
        <v>12</v>
      </c>
      <c r="E431" s="42"/>
      <c r="F431" s="281"/>
      <c r="G431" s="42"/>
      <c r="H431" s="42"/>
      <c r="I431" s="42"/>
      <c r="J431" s="281"/>
      <c r="K431" s="41"/>
      <c r="L431" s="46"/>
      <c r="M431" s="42"/>
      <c r="N431" s="281"/>
      <c r="O431" s="42"/>
      <c r="P431" s="42"/>
      <c r="Q431" s="42"/>
      <c r="R431" s="281"/>
      <c r="S431" s="42"/>
      <c r="T431" s="42"/>
      <c r="U431" s="42"/>
      <c r="V431" s="281"/>
      <c r="W431" s="67"/>
      <c r="X431" s="86"/>
      <c r="Y431" s="42"/>
    </row>
    <row r="432" spans="1:25" x14ac:dyDescent="0.25">
      <c r="A432" s="21">
        <v>427</v>
      </c>
      <c r="B432" s="19" t="s">
        <v>20</v>
      </c>
      <c r="E432" s="42">
        <f>'1501 Summary'!AD256</f>
        <v>26100.93</v>
      </c>
      <c r="F432" s="275"/>
      <c r="G432" s="38"/>
      <c r="H432" s="38"/>
      <c r="I432" s="38"/>
      <c r="J432" s="275"/>
      <c r="K432" s="41"/>
      <c r="L432" s="46"/>
      <c r="M432" s="42"/>
      <c r="N432" s="275"/>
      <c r="O432" s="42"/>
      <c r="P432" s="42"/>
      <c r="Q432" s="42"/>
      <c r="R432" s="275"/>
      <c r="S432" s="42"/>
      <c r="T432" s="42"/>
      <c r="U432" s="42"/>
      <c r="V432" s="275"/>
      <c r="W432" s="67"/>
      <c r="X432" s="86"/>
      <c r="Y432" s="42"/>
    </row>
    <row r="433" spans="1:25" x14ac:dyDescent="0.25">
      <c r="A433" s="21">
        <v>428</v>
      </c>
      <c r="B433" s="19" t="s">
        <v>245</v>
      </c>
      <c r="E433" s="42">
        <f>'1501 Summary'!AD257</f>
        <v>563.71</v>
      </c>
      <c r="F433" s="281"/>
      <c r="G433" s="42"/>
      <c r="H433" s="42"/>
      <c r="I433" s="42"/>
      <c r="J433" s="281"/>
      <c r="K433" s="41"/>
      <c r="L433" s="46"/>
      <c r="M433" s="42"/>
      <c r="N433" s="281"/>
      <c r="O433" s="42"/>
      <c r="P433" s="42"/>
      <c r="Q433" s="42"/>
      <c r="R433" s="281"/>
      <c r="S433" s="42"/>
      <c r="T433" s="42"/>
      <c r="U433" s="42"/>
      <c r="V433" s="281"/>
      <c r="W433" s="67"/>
      <c r="X433" s="86"/>
      <c r="Y433" s="42"/>
    </row>
    <row r="434" spans="1:25" x14ac:dyDescent="0.25">
      <c r="A434" s="21">
        <v>429</v>
      </c>
      <c r="B434" s="6" t="s">
        <v>55</v>
      </c>
      <c r="E434" s="42">
        <f>'Rev Recon Summary'!R260</f>
        <v>-611763.95000000007</v>
      </c>
      <c r="F434" s="281"/>
      <c r="G434" s="42"/>
      <c r="H434" s="42"/>
      <c r="I434" s="42"/>
      <c r="J434" s="281"/>
      <c r="K434" s="41"/>
      <c r="L434" s="46"/>
      <c r="M434" s="42"/>
      <c r="N434" s="281"/>
      <c r="O434" s="42"/>
      <c r="P434" s="42"/>
      <c r="Q434" s="42"/>
      <c r="R434" s="281"/>
      <c r="S434" s="42"/>
      <c r="T434" s="42"/>
      <c r="U434" s="42"/>
      <c r="V434" s="281"/>
      <c r="W434" s="67"/>
      <c r="X434" s="86"/>
      <c r="Y434" s="42"/>
    </row>
    <row r="435" spans="1:25" x14ac:dyDescent="0.25">
      <c r="A435" s="21">
        <v>430</v>
      </c>
      <c r="B435" s="6" t="s">
        <v>56</v>
      </c>
      <c r="E435" s="65">
        <f>'Rev Recon Summary'!R261</f>
        <v>606434.41999999993</v>
      </c>
      <c r="F435" s="281"/>
      <c r="G435" s="42"/>
      <c r="H435" s="42"/>
      <c r="I435" s="42"/>
      <c r="J435" s="281"/>
      <c r="K435" s="41"/>
      <c r="L435" s="46"/>
      <c r="M435" s="42"/>
      <c r="N435" s="281"/>
      <c r="O435" s="42"/>
      <c r="P435" s="42"/>
      <c r="Q435" s="42"/>
      <c r="R435" s="281"/>
      <c r="S435" s="42"/>
      <c r="T435" s="42"/>
      <c r="U435" s="42"/>
      <c r="V435" s="281"/>
      <c r="W435" s="67"/>
      <c r="X435" s="86"/>
      <c r="Y435" s="42"/>
    </row>
    <row r="436" spans="1:25" x14ac:dyDescent="0.25">
      <c r="A436" s="21">
        <v>431</v>
      </c>
      <c r="B436" s="18" t="s">
        <v>93</v>
      </c>
      <c r="E436" s="42">
        <f>SUM(E433:E435)</f>
        <v>-4765.8200000001816</v>
      </c>
      <c r="F436" s="275"/>
      <c r="G436" s="38"/>
      <c r="H436" s="38"/>
      <c r="I436" s="38"/>
      <c r="J436" s="275"/>
      <c r="K436" s="41"/>
      <c r="L436" s="46"/>
      <c r="M436" s="42"/>
      <c r="N436" s="275"/>
      <c r="O436" s="42"/>
      <c r="P436" s="42"/>
      <c r="Q436" s="42"/>
      <c r="R436" s="275"/>
      <c r="S436" s="42"/>
      <c r="T436" s="42"/>
      <c r="U436" s="42"/>
      <c r="V436" s="275"/>
      <c r="W436" s="67"/>
      <c r="X436" s="86"/>
      <c r="Y436" s="42"/>
    </row>
    <row r="437" spans="1:25" x14ac:dyDescent="0.25">
      <c r="A437" s="21">
        <v>432</v>
      </c>
      <c r="E437" s="42"/>
      <c r="F437" s="281"/>
      <c r="G437" s="42"/>
      <c r="H437" s="42"/>
      <c r="I437" s="42"/>
      <c r="J437" s="281"/>
      <c r="K437" s="41"/>
      <c r="L437" s="46"/>
      <c r="M437" s="42"/>
      <c r="N437" s="281"/>
      <c r="O437" s="42"/>
      <c r="P437" s="42"/>
      <c r="Q437" s="42"/>
      <c r="R437" s="281"/>
      <c r="S437" s="42"/>
      <c r="T437" s="42"/>
      <c r="U437" s="42"/>
      <c r="V437" s="281"/>
      <c r="W437" s="67"/>
      <c r="X437" s="86"/>
      <c r="Y437" s="42"/>
    </row>
    <row r="438" spans="1:25" x14ac:dyDescent="0.25">
      <c r="A438" s="21">
        <v>433</v>
      </c>
      <c r="B438" s="104" t="str">
        <f>"Total "&amp;LEFT(B416,17)&amp;" Revenue"</f>
        <v>Total Rate Schedule 906 Revenue</v>
      </c>
      <c r="C438" s="39">
        <f>E438-'Rev Recon Summary'!R262</f>
        <v>0</v>
      </c>
      <c r="D438" s="105" t="s">
        <v>45</v>
      </c>
      <c r="E438" s="65">
        <f>SUM(E429,E432,E436)</f>
        <v>606981.29999999981</v>
      </c>
      <c r="F438" s="279"/>
      <c r="G438" s="39"/>
      <c r="H438" s="39"/>
      <c r="I438" s="39"/>
      <c r="J438" s="279"/>
      <c r="K438" s="101"/>
      <c r="L438" s="134"/>
      <c r="M438" s="65"/>
      <c r="N438" s="279"/>
      <c r="O438" s="65"/>
      <c r="P438" s="65"/>
      <c r="Q438" s="65"/>
      <c r="R438" s="279"/>
      <c r="S438" s="65"/>
      <c r="T438" s="65"/>
      <c r="U438" s="65"/>
      <c r="V438" s="279"/>
      <c r="W438" s="85"/>
      <c r="X438" s="88"/>
      <c r="Y438" s="65"/>
    </row>
    <row r="439" spans="1:25" x14ac:dyDescent="0.25">
      <c r="A439" s="21">
        <v>434</v>
      </c>
      <c r="K439" s="41"/>
      <c r="L439" s="46"/>
      <c r="M439" s="42"/>
      <c r="O439" s="42"/>
      <c r="P439" s="42"/>
      <c r="Q439" s="42"/>
      <c r="W439" s="67"/>
      <c r="X439" s="86"/>
    </row>
    <row r="440" spans="1:25" x14ac:dyDescent="0.25">
      <c r="A440" s="21">
        <v>435</v>
      </c>
      <c r="B440" s="30" t="s">
        <v>163</v>
      </c>
      <c r="K440" s="41"/>
      <c r="L440" s="46"/>
      <c r="M440" s="42"/>
      <c r="Q440" s="42"/>
      <c r="W440" s="67"/>
      <c r="X440" s="86"/>
    </row>
    <row r="441" spans="1:25" x14ac:dyDescent="0.25">
      <c r="A441" s="21">
        <v>436</v>
      </c>
      <c r="B441" s="19" t="s">
        <v>246</v>
      </c>
      <c r="C441" s="41">
        <f>E441/D441</f>
        <v>9</v>
      </c>
      <c r="D441" s="38">
        <v>500</v>
      </c>
      <c r="E441" s="42">
        <f>SUM('1501 Summary'!G264:W264)</f>
        <v>4500</v>
      </c>
      <c r="F441" s="275"/>
      <c r="G441" s="38"/>
      <c r="H441" s="38"/>
      <c r="I441" s="38"/>
      <c r="J441" s="275"/>
      <c r="K441" s="41">
        <f t="shared" si="73"/>
        <v>9</v>
      </c>
      <c r="L441" s="38"/>
      <c r="M441" s="42"/>
      <c r="N441" s="275"/>
      <c r="O441" s="38"/>
      <c r="P441" s="38"/>
      <c r="Q441" s="42"/>
      <c r="R441" s="275"/>
      <c r="S441" s="86"/>
      <c r="T441" s="86"/>
      <c r="U441" s="86"/>
      <c r="V441" s="275"/>
      <c r="W441" s="67"/>
      <c r="X441" s="86"/>
      <c r="Y441" s="86"/>
    </row>
    <row r="442" spans="1:25" x14ac:dyDescent="0.25">
      <c r="A442" s="21">
        <v>437</v>
      </c>
      <c r="B442" s="19" t="s">
        <v>247</v>
      </c>
      <c r="C442" s="41">
        <f t="shared" ref="C442:C452" si="77">E442/D442</f>
        <v>3</v>
      </c>
      <c r="D442" s="38">
        <v>625</v>
      </c>
      <c r="E442" s="42">
        <f>SUM('1501 Summary'!Y264:AC264)</f>
        <v>1875</v>
      </c>
      <c r="F442" s="275"/>
      <c r="G442" s="38"/>
      <c r="H442" s="38"/>
      <c r="I442" s="38"/>
      <c r="J442" s="275"/>
      <c r="K442" s="41">
        <f t="shared" si="73"/>
        <v>3</v>
      </c>
      <c r="L442" s="38">
        <f t="shared" si="75"/>
        <v>625</v>
      </c>
      <c r="M442" s="42">
        <f>L442*SUM(K442,K441)</f>
        <v>7500</v>
      </c>
      <c r="N442" s="275"/>
      <c r="O442" s="241"/>
      <c r="P442" s="38"/>
      <c r="Q442" s="42"/>
      <c r="R442" s="275"/>
      <c r="S442" s="86"/>
      <c r="T442" s="86"/>
      <c r="U442" s="86"/>
      <c r="V442" s="275"/>
      <c r="W442" s="67"/>
      <c r="X442" s="86"/>
      <c r="Y442" s="86"/>
    </row>
    <row r="443" spans="1:25" x14ac:dyDescent="0.25">
      <c r="A443" s="21">
        <v>438</v>
      </c>
      <c r="B443" s="19" t="s">
        <v>248</v>
      </c>
      <c r="C443" s="41">
        <f t="shared" si="77"/>
        <v>9</v>
      </c>
      <c r="D443" s="38">
        <v>2000</v>
      </c>
      <c r="E443" s="42">
        <f>SUM('1501 Summary'!G265:W265)</f>
        <v>18000</v>
      </c>
      <c r="F443" s="275"/>
      <c r="G443" s="38"/>
      <c r="H443" s="38"/>
      <c r="I443" s="38"/>
      <c r="J443" s="275"/>
      <c r="K443" s="41">
        <f t="shared" si="73"/>
        <v>9</v>
      </c>
      <c r="L443" s="38"/>
      <c r="M443" s="42"/>
      <c r="N443" s="275"/>
      <c r="O443" s="241"/>
      <c r="P443" s="38"/>
      <c r="Q443" s="42"/>
      <c r="R443" s="275"/>
      <c r="S443" s="86"/>
      <c r="T443" s="86"/>
      <c r="U443" s="86"/>
      <c r="V443" s="275"/>
      <c r="W443" s="67"/>
      <c r="X443" s="86"/>
      <c r="Y443" s="86"/>
    </row>
    <row r="444" spans="1:25" x14ac:dyDescent="0.25">
      <c r="A444" s="21">
        <v>439</v>
      </c>
      <c r="B444" s="19" t="s">
        <v>249</v>
      </c>
      <c r="C444" s="41">
        <v>0</v>
      </c>
      <c r="D444" s="38">
        <v>0</v>
      </c>
      <c r="E444" s="42">
        <f>SUM('1501 Summary'!Y265:AC265)</f>
        <v>0</v>
      </c>
      <c r="F444" s="275"/>
      <c r="G444" s="38"/>
      <c r="H444" s="38"/>
      <c r="I444" s="38"/>
      <c r="J444" s="275"/>
      <c r="K444" s="41">
        <f t="shared" si="73"/>
        <v>0</v>
      </c>
      <c r="L444" s="46"/>
      <c r="M444" s="42"/>
      <c r="N444" s="275"/>
      <c r="O444" s="241"/>
      <c r="P444" s="38"/>
      <c r="Q444" s="42"/>
      <c r="R444" s="275"/>
      <c r="S444" s="86"/>
      <c r="T444" s="86"/>
      <c r="U444" s="86"/>
      <c r="V444" s="275"/>
      <c r="W444" s="67"/>
      <c r="X444" s="86"/>
      <c r="Y444" s="86"/>
    </row>
    <row r="445" spans="1:25" x14ac:dyDescent="0.25">
      <c r="A445" s="21">
        <v>440</v>
      </c>
      <c r="B445" s="19" t="s">
        <v>252</v>
      </c>
      <c r="C445" s="41">
        <v>0</v>
      </c>
      <c r="D445" s="38">
        <v>0</v>
      </c>
      <c r="E445" s="42">
        <f>SUM('1501 Summary'!G266:W266)</f>
        <v>0</v>
      </c>
      <c r="F445" s="275"/>
      <c r="G445" s="38"/>
      <c r="H445" s="38"/>
      <c r="I445" s="38"/>
      <c r="J445" s="275"/>
      <c r="K445" s="41">
        <f t="shared" si="73"/>
        <v>0</v>
      </c>
      <c r="L445" s="46"/>
      <c r="M445" s="42"/>
      <c r="N445" s="275"/>
      <c r="O445" s="241"/>
      <c r="P445" s="38"/>
      <c r="Q445" s="42"/>
      <c r="R445" s="275"/>
      <c r="S445" s="86"/>
      <c r="T445" s="86"/>
      <c r="U445" s="86"/>
      <c r="V445" s="275"/>
      <c r="W445" s="67"/>
      <c r="X445" s="86"/>
      <c r="Y445" s="86"/>
    </row>
    <row r="446" spans="1:25" x14ac:dyDescent="0.25">
      <c r="A446" s="21">
        <v>441</v>
      </c>
      <c r="B446" s="19" t="s">
        <v>253</v>
      </c>
      <c r="C446" s="41">
        <f t="shared" si="77"/>
        <v>3</v>
      </c>
      <c r="D446" s="38">
        <v>2000</v>
      </c>
      <c r="E446" s="42">
        <f>SUM('1501 Summary'!Y266:AC266)</f>
        <v>6000</v>
      </c>
      <c r="F446" s="275"/>
      <c r="G446" s="38"/>
      <c r="H446" s="38"/>
      <c r="I446" s="38"/>
      <c r="J446" s="275"/>
      <c r="K446" s="41">
        <f t="shared" si="73"/>
        <v>3</v>
      </c>
      <c r="L446" s="38">
        <f t="shared" si="75"/>
        <v>2000</v>
      </c>
      <c r="M446" s="42">
        <f>L446*SUM(K446,K443)</f>
        <v>24000</v>
      </c>
      <c r="N446" s="275"/>
      <c r="O446" s="241"/>
      <c r="P446" s="38"/>
      <c r="Q446" s="42"/>
      <c r="R446" s="275"/>
      <c r="S446" s="86"/>
      <c r="T446" s="86"/>
      <c r="U446" s="86"/>
      <c r="V446" s="275"/>
      <c r="W446" s="67"/>
      <c r="X446" s="86"/>
      <c r="Y446" s="86"/>
    </row>
    <row r="447" spans="1:25" x14ac:dyDescent="0.25">
      <c r="A447" s="21">
        <v>442</v>
      </c>
      <c r="B447" s="19" t="s">
        <v>250</v>
      </c>
      <c r="C447" s="41">
        <v>0</v>
      </c>
      <c r="D447" s="42">
        <v>0</v>
      </c>
      <c r="E447" s="42">
        <f>SUM('1501 Summary'!G267:W267)</f>
        <v>0</v>
      </c>
      <c r="F447" s="275"/>
      <c r="G447" s="38"/>
      <c r="H447" s="38"/>
      <c r="I447" s="38"/>
      <c r="J447" s="275"/>
      <c r="K447" s="41">
        <f t="shared" si="73"/>
        <v>0</v>
      </c>
      <c r="L447" s="46"/>
      <c r="M447" s="42"/>
      <c r="N447" s="275"/>
      <c r="O447" s="241"/>
      <c r="P447" s="38"/>
      <c r="Q447" s="42"/>
      <c r="R447" s="275"/>
      <c r="S447" s="86"/>
      <c r="T447" s="86"/>
      <c r="U447" s="86"/>
      <c r="V447" s="275"/>
      <c r="W447" s="67"/>
      <c r="X447" s="86"/>
      <c r="Y447" s="86"/>
    </row>
    <row r="448" spans="1:25" x14ac:dyDescent="0.25">
      <c r="A448" s="21">
        <v>443</v>
      </c>
      <c r="B448" s="19" t="s">
        <v>251</v>
      </c>
      <c r="C448" s="41">
        <f t="shared" si="77"/>
        <v>3848125</v>
      </c>
      <c r="D448" s="259">
        <v>4.0000000000000002E-4</v>
      </c>
      <c r="E448" s="42">
        <f>SUM('1501 Summary'!Y267:AC267)</f>
        <v>1539.25</v>
      </c>
      <c r="F448" s="275"/>
      <c r="G448" s="38"/>
      <c r="H448" s="38"/>
      <c r="I448" s="38"/>
      <c r="J448" s="275"/>
      <c r="K448" s="41">
        <f t="shared" si="73"/>
        <v>3848125</v>
      </c>
      <c r="L448" s="46">
        <f t="shared" si="75"/>
        <v>4.0000000000000002E-4</v>
      </c>
      <c r="M448" s="42">
        <f>L448*SUM(K448,K449)</f>
        <v>8940.99</v>
      </c>
      <c r="N448" s="275"/>
      <c r="O448" s="241"/>
      <c r="P448" s="38"/>
      <c r="Q448" s="42"/>
      <c r="R448" s="275"/>
      <c r="S448" s="86"/>
      <c r="T448" s="86"/>
      <c r="U448" s="86"/>
      <c r="V448" s="275"/>
      <c r="W448" s="218"/>
      <c r="X448" s="86"/>
      <c r="Y448" s="86"/>
    </row>
    <row r="449" spans="1:25" x14ac:dyDescent="0.25">
      <c r="A449" s="21">
        <v>444</v>
      </c>
      <c r="B449" s="19" t="s">
        <v>337</v>
      </c>
      <c r="C449" s="41">
        <f t="shared" si="77"/>
        <v>18504350</v>
      </c>
      <c r="D449" s="259">
        <v>2.0000000000000001E-4</v>
      </c>
      <c r="E449" s="42">
        <f>SUM('1501 Summary'!G268:W268)</f>
        <v>3700.87</v>
      </c>
      <c r="F449" s="275"/>
      <c r="G449" s="38"/>
      <c r="H449" s="38"/>
      <c r="I449" s="38"/>
      <c r="J449" s="275"/>
      <c r="K449" s="41">
        <f t="shared" si="73"/>
        <v>18504350</v>
      </c>
      <c r="L449" s="46"/>
      <c r="M449" s="42"/>
      <c r="N449" s="275"/>
      <c r="P449" s="38"/>
      <c r="Q449" s="42"/>
      <c r="R449" s="275"/>
      <c r="S449" s="86"/>
      <c r="T449" s="86"/>
      <c r="U449" s="86"/>
      <c r="V449" s="275"/>
      <c r="W449" s="218"/>
      <c r="X449" s="86"/>
      <c r="Y449" s="86"/>
    </row>
    <row r="450" spans="1:25" x14ac:dyDescent="0.25">
      <c r="A450" s="21">
        <v>445</v>
      </c>
      <c r="B450" s="19" t="s">
        <v>342</v>
      </c>
      <c r="C450" s="41">
        <v>0</v>
      </c>
      <c r="D450" s="23">
        <v>0</v>
      </c>
      <c r="E450" s="42">
        <f>SUM('1501 Summary'!Y268:AC268)</f>
        <v>0</v>
      </c>
      <c r="F450" s="275"/>
      <c r="G450" s="38"/>
      <c r="H450" s="38"/>
      <c r="I450" s="38"/>
      <c r="J450" s="275"/>
      <c r="K450" s="41"/>
      <c r="L450" s="46"/>
      <c r="M450" s="42"/>
      <c r="N450" s="275"/>
      <c r="O450" s="241"/>
      <c r="P450" s="38"/>
      <c r="Q450" s="42"/>
      <c r="R450" s="275"/>
      <c r="S450" s="86"/>
      <c r="T450" s="86"/>
      <c r="U450" s="86"/>
      <c r="V450" s="275"/>
      <c r="W450" s="218"/>
      <c r="X450" s="86"/>
      <c r="Y450" s="86"/>
    </row>
    <row r="451" spans="1:25" x14ac:dyDescent="0.25">
      <c r="A451" s="21">
        <v>446</v>
      </c>
      <c r="B451" s="19" t="s">
        <v>256</v>
      </c>
      <c r="C451" s="41">
        <f t="shared" si="77"/>
        <v>18504363.6761798</v>
      </c>
      <c r="D451" s="260">
        <v>1.55259E-2</v>
      </c>
      <c r="E451" s="42">
        <f>SUM('1501 Summary'!G269:W269)</f>
        <v>287296.89999999997</v>
      </c>
      <c r="F451" s="275"/>
      <c r="G451" s="38"/>
      <c r="H451" s="38"/>
      <c r="I451" s="38"/>
      <c r="J451" s="275"/>
      <c r="K451" s="41">
        <f t="shared" si="73"/>
        <v>18504363.6761798</v>
      </c>
      <c r="L451" s="46"/>
      <c r="M451" s="42"/>
      <c r="N451" s="275"/>
      <c r="O451" s="241"/>
      <c r="P451" s="38"/>
      <c r="Q451" s="42"/>
      <c r="R451" s="275"/>
      <c r="S451" s="86"/>
      <c r="T451" s="86"/>
      <c r="U451" s="86"/>
      <c r="V451" s="275"/>
      <c r="W451" s="218"/>
      <c r="X451" s="86"/>
      <c r="Y451" s="86"/>
    </row>
    <row r="452" spans="1:25" x14ac:dyDescent="0.25">
      <c r="A452" s="21">
        <v>447</v>
      </c>
      <c r="B452" s="110" t="s">
        <v>257</v>
      </c>
      <c r="C452" s="41">
        <f t="shared" si="77"/>
        <v>3753482.69187321</v>
      </c>
      <c r="D452" s="261">
        <v>1.6376700000000001E-2</v>
      </c>
      <c r="E452" s="65">
        <f>SUM('1501 Summary'!Y269:AC269)</f>
        <v>61469.66</v>
      </c>
      <c r="F452" s="275"/>
      <c r="G452" s="38"/>
      <c r="H452" s="38"/>
      <c r="I452" s="38"/>
      <c r="J452" s="275"/>
      <c r="K452" s="41">
        <f t="shared" si="73"/>
        <v>3753482.69187321</v>
      </c>
      <c r="L452" s="46">
        <f t="shared" si="75"/>
        <v>1.6376700000000001E-2</v>
      </c>
      <c r="M452" s="65">
        <f>L452*SUM(K452,K451)</f>
        <v>364510.07261569379</v>
      </c>
      <c r="N452" s="275"/>
      <c r="O452" s="241"/>
      <c r="P452" s="38"/>
      <c r="Q452" s="42"/>
      <c r="R452" s="275"/>
      <c r="S452" s="86"/>
      <c r="T452" s="86"/>
      <c r="U452" s="86"/>
      <c r="V452" s="275"/>
      <c r="W452" s="218"/>
      <c r="X452" s="86"/>
      <c r="Y452" s="86"/>
    </row>
    <row r="453" spans="1:25" x14ac:dyDescent="0.25">
      <c r="A453" s="21">
        <v>448</v>
      </c>
      <c r="B453" s="19" t="s">
        <v>10</v>
      </c>
      <c r="E453" s="42">
        <f>SUM(E441:E452)</f>
        <v>384381.67999999993</v>
      </c>
      <c r="F453" s="275"/>
      <c r="G453" s="38"/>
      <c r="H453" s="38"/>
      <c r="I453" s="38"/>
      <c r="J453" s="275"/>
      <c r="K453" s="41"/>
      <c r="L453" s="46"/>
      <c r="M453" s="42">
        <f>SUM(M441:M452)</f>
        <v>404951.06261569378</v>
      </c>
      <c r="N453" s="275"/>
      <c r="O453" s="38"/>
      <c r="P453" s="38"/>
      <c r="Q453" s="42"/>
      <c r="R453" s="275"/>
      <c r="S453" s="86"/>
      <c r="T453" s="86"/>
      <c r="U453" s="86"/>
      <c r="V453" s="275"/>
      <c r="W453" s="67"/>
      <c r="X453" s="86"/>
      <c r="Y453" s="86"/>
    </row>
    <row r="454" spans="1:25" x14ac:dyDescent="0.25">
      <c r="A454" s="21">
        <v>449</v>
      </c>
      <c r="E454" s="42"/>
      <c r="F454" s="281"/>
      <c r="G454" s="42"/>
      <c r="H454" s="42"/>
      <c r="I454" s="42"/>
      <c r="J454" s="281"/>
      <c r="K454" s="41"/>
      <c r="L454" s="46"/>
      <c r="M454" s="38"/>
      <c r="N454" s="281"/>
      <c r="O454" s="42"/>
      <c r="P454" s="42"/>
      <c r="Q454" s="42"/>
      <c r="R454" s="281"/>
      <c r="V454" s="281"/>
      <c r="W454" s="67"/>
      <c r="X454" s="86"/>
    </row>
    <row r="455" spans="1:25" x14ac:dyDescent="0.25">
      <c r="A455" s="21">
        <v>450</v>
      </c>
      <c r="B455" s="19" t="s">
        <v>12</v>
      </c>
      <c r="E455" s="42"/>
      <c r="F455" s="281"/>
      <c r="G455" s="42"/>
      <c r="H455" s="42"/>
      <c r="I455" s="42"/>
      <c r="J455" s="281"/>
      <c r="K455" s="41"/>
      <c r="L455" s="46"/>
      <c r="M455" s="38"/>
      <c r="N455" s="281"/>
      <c r="O455" s="42"/>
      <c r="P455" s="42"/>
      <c r="Q455" s="42"/>
      <c r="R455" s="281"/>
      <c r="V455" s="281"/>
      <c r="W455" s="67"/>
      <c r="X455" s="86"/>
    </row>
    <row r="456" spans="1:25" x14ac:dyDescent="0.25">
      <c r="A456" s="21">
        <v>451</v>
      </c>
      <c r="B456" s="19" t="s">
        <v>20</v>
      </c>
      <c r="E456" s="42">
        <f>'1501 Summary'!AD270</f>
        <v>17140.77</v>
      </c>
      <c r="F456" s="281"/>
      <c r="G456" s="42"/>
      <c r="H456" s="42"/>
      <c r="I456" s="42"/>
      <c r="J456" s="281"/>
      <c r="K456" s="41"/>
      <c r="L456" s="46"/>
      <c r="M456" s="38"/>
      <c r="N456" s="281"/>
      <c r="O456" s="42"/>
      <c r="P456" s="42"/>
      <c r="Q456" s="42"/>
      <c r="R456" s="281"/>
      <c r="V456" s="281"/>
      <c r="W456" s="67"/>
      <c r="X456" s="86"/>
    </row>
    <row r="457" spans="1:25" x14ac:dyDescent="0.25">
      <c r="A457" s="21">
        <v>452</v>
      </c>
      <c r="B457" s="19" t="s">
        <v>245</v>
      </c>
      <c r="E457" s="42">
        <f>'1501 Summary'!AD271</f>
        <v>458.29</v>
      </c>
      <c r="F457" s="281"/>
      <c r="G457" s="42"/>
      <c r="H457" s="42"/>
      <c r="I457" s="42"/>
      <c r="J457" s="281"/>
      <c r="K457" s="41"/>
      <c r="L457" s="46"/>
      <c r="M457" s="38"/>
      <c r="N457" s="281"/>
      <c r="O457" s="42"/>
      <c r="P457" s="42"/>
      <c r="Q457" s="42"/>
      <c r="R457" s="281"/>
      <c r="V457" s="281"/>
      <c r="W457" s="67"/>
      <c r="X457" s="86"/>
    </row>
    <row r="458" spans="1:25" x14ac:dyDescent="0.25">
      <c r="A458" s="21">
        <v>453</v>
      </c>
      <c r="B458" s="6" t="s">
        <v>55</v>
      </c>
      <c r="E458" s="42">
        <f>'Rev Recon Summary'!R280</f>
        <v>-401532.77999999997</v>
      </c>
      <c r="F458" s="281"/>
      <c r="G458" s="42"/>
      <c r="H458" s="42"/>
      <c r="I458" s="42"/>
      <c r="J458" s="281"/>
      <c r="K458" s="41"/>
      <c r="L458" s="46"/>
      <c r="M458" s="38"/>
      <c r="N458" s="281"/>
      <c r="O458" s="42"/>
      <c r="P458" s="42"/>
      <c r="Q458" s="42"/>
      <c r="R458" s="281"/>
      <c r="S458" s="42"/>
      <c r="T458" s="42"/>
      <c r="U458" s="42"/>
      <c r="V458" s="281"/>
      <c r="W458" s="67"/>
      <c r="X458" s="86"/>
      <c r="Y458" s="42"/>
    </row>
    <row r="459" spans="1:25" x14ac:dyDescent="0.25">
      <c r="A459" s="21">
        <v>454</v>
      </c>
      <c r="B459" s="6" t="s">
        <v>56</v>
      </c>
      <c r="E459" s="65">
        <f>'Rev Recon Summary'!R281</f>
        <v>373268.28999999992</v>
      </c>
      <c r="F459" s="281"/>
      <c r="G459" s="42"/>
      <c r="H459" s="42"/>
      <c r="I459" s="42"/>
      <c r="J459" s="281"/>
      <c r="K459" s="41"/>
      <c r="L459" s="46"/>
      <c r="M459" s="38"/>
      <c r="N459" s="281"/>
      <c r="O459" s="42"/>
      <c r="P459" s="42"/>
      <c r="Q459" s="42"/>
      <c r="R459" s="281"/>
      <c r="V459" s="281"/>
      <c r="W459" s="67"/>
      <c r="X459" s="86"/>
    </row>
    <row r="460" spans="1:25" x14ac:dyDescent="0.25">
      <c r="A460" s="21">
        <v>455</v>
      </c>
      <c r="B460" s="18" t="s">
        <v>93</v>
      </c>
      <c r="E460" s="42">
        <f>SUM(E457:E459)</f>
        <v>-27806.20000000007</v>
      </c>
      <c r="F460" s="281"/>
      <c r="G460" s="42"/>
      <c r="H460" s="42"/>
      <c r="I460" s="42"/>
      <c r="J460" s="281"/>
      <c r="K460" s="41"/>
      <c r="L460" s="46"/>
      <c r="M460" s="38"/>
      <c r="N460" s="281"/>
      <c r="O460" s="42"/>
      <c r="P460" s="42"/>
      <c r="Q460" s="42"/>
      <c r="R460" s="281"/>
      <c r="S460" s="42"/>
      <c r="T460" s="42"/>
      <c r="U460" s="42"/>
      <c r="V460" s="281"/>
      <c r="W460" s="67"/>
      <c r="X460" s="86"/>
      <c r="Y460" s="42"/>
    </row>
    <row r="461" spans="1:25" x14ac:dyDescent="0.25">
      <c r="A461" s="21">
        <v>456</v>
      </c>
      <c r="D461" s="22"/>
      <c r="E461" s="44"/>
      <c r="F461" s="280"/>
      <c r="G461" s="44"/>
      <c r="H461" s="44"/>
      <c r="I461" s="44"/>
      <c r="J461" s="280"/>
      <c r="K461" s="41"/>
      <c r="L461" s="46"/>
      <c r="M461" s="38"/>
      <c r="N461" s="280"/>
      <c r="O461" s="42"/>
      <c r="P461" s="42"/>
      <c r="Q461" s="42"/>
      <c r="R461" s="280"/>
      <c r="V461" s="280"/>
      <c r="W461" s="67"/>
      <c r="X461" s="86"/>
    </row>
    <row r="462" spans="1:25" x14ac:dyDescent="0.25">
      <c r="A462" s="21">
        <v>457</v>
      </c>
      <c r="B462" s="104" t="str">
        <f>"Total "&amp;LEFT(B440,17)&amp;" Revenue"</f>
        <v>Total Rate Schedule 909 Revenue</v>
      </c>
      <c r="C462" s="39">
        <f>E462-'Rev Recon Summary'!R282</f>
        <v>0</v>
      </c>
      <c r="D462" s="105" t="s">
        <v>45</v>
      </c>
      <c r="E462" s="107">
        <f>SUM(E453,E456,E460)</f>
        <v>373716.24999999988</v>
      </c>
      <c r="F462" s="293"/>
      <c r="G462" s="79"/>
      <c r="H462" s="79"/>
      <c r="I462" s="79"/>
      <c r="J462" s="293"/>
      <c r="K462" s="101"/>
      <c r="L462" s="134"/>
      <c r="M462" s="39"/>
      <c r="N462" s="293"/>
      <c r="O462" s="65"/>
      <c r="P462" s="65"/>
      <c r="Q462" s="65"/>
      <c r="R462" s="293"/>
      <c r="S462" s="105"/>
      <c r="T462" s="105"/>
      <c r="U462" s="105"/>
      <c r="V462" s="293"/>
      <c r="W462" s="85"/>
      <c r="X462" s="88"/>
      <c r="Y462" s="105"/>
    </row>
    <row r="463" spans="1:25" x14ac:dyDescent="0.25">
      <c r="A463" s="21">
        <v>458</v>
      </c>
      <c r="D463" s="22"/>
      <c r="E463" s="44"/>
      <c r="F463" s="280"/>
      <c r="G463" s="44"/>
      <c r="H463" s="44"/>
      <c r="I463" s="44"/>
      <c r="J463" s="280"/>
      <c r="K463" s="41"/>
      <c r="L463" s="46"/>
      <c r="M463" s="38"/>
      <c r="N463" s="280"/>
      <c r="O463" s="42"/>
      <c r="P463" s="42"/>
      <c r="Q463" s="42"/>
      <c r="R463" s="280"/>
      <c r="V463" s="280"/>
      <c r="W463" s="67"/>
      <c r="X463" s="86"/>
    </row>
    <row r="464" spans="1:25" x14ac:dyDescent="0.25">
      <c r="A464" s="21">
        <v>459</v>
      </c>
      <c r="B464" s="30" t="s">
        <v>164</v>
      </c>
      <c r="K464" s="41"/>
      <c r="L464" s="46"/>
      <c r="M464" s="38"/>
      <c r="O464" s="42"/>
      <c r="P464" s="42"/>
      <c r="Q464" s="42"/>
      <c r="W464" s="67"/>
      <c r="X464" s="86"/>
    </row>
    <row r="465" spans="1:25" x14ac:dyDescent="0.25">
      <c r="A465" s="21">
        <v>460</v>
      </c>
      <c r="B465" s="19" t="s">
        <v>246</v>
      </c>
      <c r="C465" s="23">
        <f>E465/D465</f>
        <v>9</v>
      </c>
      <c r="D465" s="23">
        <v>500</v>
      </c>
      <c r="E465" s="84">
        <f>SUM('1501 Summary'!G278:W278)</f>
        <v>4500</v>
      </c>
      <c r="F465" s="288"/>
      <c r="G465" s="69"/>
      <c r="H465" s="69"/>
      <c r="I465" s="69"/>
      <c r="J465" s="288"/>
      <c r="K465" s="41">
        <f t="shared" ref="K465:K524" si="78">C465+G465</f>
        <v>9</v>
      </c>
      <c r="L465" s="38"/>
      <c r="M465" s="42"/>
      <c r="N465" s="288"/>
      <c r="O465" s="42"/>
      <c r="P465" s="42"/>
      <c r="Q465" s="42"/>
      <c r="R465" s="288"/>
      <c r="S465" s="86"/>
      <c r="T465" s="86"/>
      <c r="U465" s="86"/>
      <c r="V465" s="288"/>
      <c r="W465" s="67"/>
      <c r="X465" s="86"/>
      <c r="Y465" s="86"/>
    </row>
    <row r="466" spans="1:25" x14ac:dyDescent="0.25">
      <c r="A466" s="21">
        <v>461</v>
      </c>
      <c r="B466" s="19" t="s">
        <v>247</v>
      </c>
      <c r="C466" s="23">
        <f t="shared" ref="C466:C476" si="79">E466/D466</f>
        <v>3</v>
      </c>
      <c r="D466" s="23">
        <v>625</v>
      </c>
      <c r="E466" s="84">
        <f>SUM('1501 Summary'!Y278:AC278)</f>
        <v>1875</v>
      </c>
      <c r="F466" s="288"/>
      <c r="G466" s="69"/>
      <c r="H466" s="69"/>
      <c r="I466" s="69"/>
      <c r="J466" s="288"/>
      <c r="K466" s="41">
        <f t="shared" si="78"/>
        <v>3</v>
      </c>
      <c r="L466" s="38">
        <f t="shared" si="75"/>
        <v>625</v>
      </c>
      <c r="M466" s="42">
        <f>L466*SUM(K466,K465)</f>
        <v>7500</v>
      </c>
      <c r="N466" s="288"/>
      <c r="O466" s="241"/>
      <c r="P466" s="40"/>
      <c r="Q466" s="42"/>
      <c r="R466" s="288"/>
      <c r="S466" s="86"/>
      <c r="T466" s="86"/>
      <c r="U466" s="86"/>
      <c r="V466" s="288"/>
      <c r="W466" s="67"/>
      <c r="X466" s="86"/>
      <c r="Y466" s="86"/>
    </row>
    <row r="467" spans="1:25" x14ac:dyDescent="0.25">
      <c r="A467" s="21">
        <v>462</v>
      </c>
      <c r="B467" s="19" t="s">
        <v>252</v>
      </c>
      <c r="C467" s="23">
        <v>0</v>
      </c>
      <c r="D467" s="38">
        <v>0</v>
      </c>
      <c r="E467" s="84">
        <f>SUM('1501 Summary'!G279:W279)</f>
        <v>0</v>
      </c>
      <c r="F467" s="288"/>
      <c r="G467" s="69"/>
      <c r="H467" s="69"/>
      <c r="I467" s="69"/>
      <c r="J467" s="288"/>
      <c r="K467" s="41">
        <f t="shared" si="78"/>
        <v>0</v>
      </c>
      <c r="L467" s="46"/>
      <c r="M467" s="42"/>
      <c r="N467" s="288"/>
      <c r="O467" s="241"/>
      <c r="P467" s="40"/>
      <c r="Q467" s="42"/>
      <c r="R467" s="288"/>
      <c r="S467" s="86"/>
      <c r="T467" s="86"/>
      <c r="U467" s="86"/>
      <c r="V467" s="288"/>
      <c r="W467" s="67"/>
      <c r="X467" s="86"/>
      <c r="Y467" s="86"/>
    </row>
    <row r="468" spans="1:25" x14ac:dyDescent="0.25">
      <c r="A468" s="21">
        <v>463</v>
      </c>
      <c r="B468" s="19" t="s">
        <v>259</v>
      </c>
      <c r="C468" s="23">
        <f t="shared" si="79"/>
        <v>3</v>
      </c>
      <c r="D468" s="38">
        <v>2250</v>
      </c>
      <c r="E468" s="84">
        <f>SUM('1501 Summary'!Y279:AC279)</f>
        <v>6750</v>
      </c>
      <c r="F468" s="288"/>
      <c r="G468" s="69"/>
      <c r="H468" s="69"/>
      <c r="I468" s="69"/>
      <c r="J468" s="288"/>
      <c r="K468" s="41">
        <f t="shared" si="78"/>
        <v>3</v>
      </c>
      <c r="L468" s="38">
        <f t="shared" si="75"/>
        <v>2250</v>
      </c>
      <c r="M468" s="42">
        <f>L468*SUM(K468,K471)</f>
        <v>27000</v>
      </c>
      <c r="N468" s="288"/>
      <c r="O468" s="241"/>
      <c r="P468" s="40"/>
      <c r="Q468" s="42"/>
      <c r="R468" s="288"/>
      <c r="S468" s="86"/>
      <c r="T468" s="86"/>
      <c r="U468" s="86"/>
      <c r="V468" s="288"/>
      <c r="W468" s="67"/>
      <c r="X468" s="86"/>
      <c r="Y468" s="86"/>
    </row>
    <row r="469" spans="1:25" x14ac:dyDescent="0.25">
      <c r="A469" s="21">
        <v>464</v>
      </c>
      <c r="B469" s="19" t="s">
        <v>254</v>
      </c>
      <c r="C469" s="23">
        <v>0</v>
      </c>
      <c r="D469" s="38">
        <v>0</v>
      </c>
      <c r="E469" s="84">
        <f>SUM('1501 Summary'!G280:W280)</f>
        <v>0</v>
      </c>
      <c r="F469" s="288"/>
      <c r="G469" s="69"/>
      <c r="H469" s="69"/>
      <c r="I469" s="69"/>
      <c r="J469" s="288"/>
      <c r="K469" s="41"/>
      <c r="L469" s="46"/>
      <c r="M469" s="42"/>
      <c r="N469" s="288"/>
      <c r="O469" s="241"/>
      <c r="P469" s="40"/>
      <c r="Q469" s="42"/>
      <c r="R469" s="288"/>
      <c r="S469" s="86"/>
      <c r="T469" s="86"/>
      <c r="U469" s="86"/>
      <c r="V469" s="288"/>
      <c r="W469" s="67"/>
      <c r="X469" s="86"/>
      <c r="Y469" s="86"/>
    </row>
    <row r="470" spans="1:25" x14ac:dyDescent="0.25">
      <c r="A470" s="21">
        <v>465</v>
      </c>
      <c r="B470" s="19" t="s">
        <v>255</v>
      </c>
      <c r="C470" s="41">
        <f t="shared" si="79"/>
        <v>2064624.9999999998</v>
      </c>
      <c r="D470" s="212">
        <v>4.0000000000000002E-4</v>
      </c>
      <c r="E470" s="84">
        <f>SUM('1501 Summary'!Y280:AC280)</f>
        <v>825.84999999999991</v>
      </c>
      <c r="F470" s="288"/>
      <c r="G470" s="69"/>
      <c r="H470" s="69"/>
      <c r="I470" s="69"/>
      <c r="J470" s="288"/>
      <c r="K470" s="41">
        <f t="shared" si="78"/>
        <v>2064624.9999999998</v>
      </c>
      <c r="L470" s="46">
        <f t="shared" si="75"/>
        <v>4.0000000000000002E-4</v>
      </c>
      <c r="M470" s="42">
        <f>L470*SUM(K470,K473)</f>
        <v>3271.55</v>
      </c>
      <c r="N470" s="288"/>
      <c r="O470" s="241"/>
      <c r="P470" s="40"/>
      <c r="Q470" s="42"/>
      <c r="R470" s="288"/>
      <c r="S470" s="86"/>
      <c r="T470" s="86"/>
      <c r="U470" s="86"/>
      <c r="V470" s="288"/>
      <c r="W470" s="218"/>
      <c r="X470" s="86"/>
      <c r="Y470" s="86"/>
    </row>
    <row r="471" spans="1:25" x14ac:dyDescent="0.25">
      <c r="A471" s="21">
        <v>466</v>
      </c>
      <c r="B471" s="19" t="s">
        <v>248</v>
      </c>
      <c r="C471" s="41">
        <f t="shared" si="79"/>
        <v>9</v>
      </c>
      <c r="D471" s="38">
        <v>2250</v>
      </c>
      <c r="E471" s="84">
        <f>SUM('1501 Summary'!G281:W281)</f>
        <v>20250</v>
      </c>
      <c r="F471" s="288"/>
      <c r="G471" s="69"/>
      <c r="H471" s="69"/>
      <c r="I471" s="69"/>
      <c r="J471" s="288"/>
      <c r="K471" s="41">
        <f t="shared" si="78"/>
        <v>9</v>
      </c>
      <c r="L471" s="38"/>
      <c r="M471" s="42"/>
      <c r="N471" s="288"/>
      <c r="P471" s="40"/>
      <c r="Q471" s="42"/>
      <c r="R471" s="288"/>
      <c r="S471" s="86"/>
      <c r="T471" s="86"/>
      <c r="U471" s="86"/>
      <c r="V471" s="288"/>
      <c r="W471" s="218"/>
      <c r="X471" s="86"/>
      <c r="Y471" s="86"/>
    </row>
    <row r="472" spans="1:25" x14ac:dyDescent="0.25">
      <c r="A472" s="21">
        <v>467</v>
      </c>
      <c r="B472" s="19" t="s">
        <v>249</v>
      </c>
      <c r="C472" s="41">
        <v>0</v>
      </c>
      <c r="D472" s="38">
        <v>0</v>
      </c>
      <c r="E472" s="84">
        <f>SUM('1501 Summary'!Y281:AC281)</f>
        <v>0</v>
      </c>
      <c r="F472" s="288"/>
      <c r="G472" s="69"/>
      <c r="H472" s="69"/>
      <c r="I472" s="69"/>
      <c r="J472" s="288"/>
      <c r="K472" s="41"/>
      <c r="L472" s="46"/>
      <c r="M472" s="42"/>
      <c r="N472" s="288"/>
      <c r="O472" s="241"/>
      <c r="P472" s="40"/>
      <c r="Q472" s="42"/>
      <c r="R472" s="288"/>
      <c r="S472" s="86"/>
      <c r="T472" s="86"/>
      <c r="U472" s="86"/>
      <c r="V472" s="288"/>
      <c r="W472" s="218"/>
      <c r="X472" s="86"/>
      <c r="Y472" s="86"/>
    </row>
    <row r="473" spans="1:25" x14ac:dyDescent="0.25">
      <c r="A473" s="21">
        <v>468</v>
      </c>
      <c r="B473" s="19" t="s">
        <v>337</v>
      </c>
      <c r="C473" s="41">
        <f t="shared" si="79"/>
        <v>6114250</v>
      </c>
      <c r="D473" s="212">
        <v>2.0000000000000001E-4</v>
      </c>
      <c r="E473" s="84">
        <f>SUM('1501 Summary'!G282:W282)</f>
        <v>1222.8500000000001</v>
      </c>
      <c r="F473" s="288"/>
      <c r="G473" s="69"/>
      <c r="H473" s="69"/>
      <c r="I473" s="69"/>
      <c r="J473" s="288"/>
      <c r="K473" s="41">
        <f t="shared" si="78"/>
        <v>6114250</v>
      </c>
      <c r="L473" s="46"/>
      <c r="M473" s="42"/>
      <c r="N473" s="288"/>
      <c r="O473" s="241"/>
      <c r="P473" s="40"/>
      <c r="Q473" s="42"/>
      <c r="R473" s="288"/>
      <c r="S473" s="86"/>
      <c r="T473" s="86"/>
      <c r="U473" s="86"/>
      <c r="V473" s="288"/>
      <c r="W473" s="218"/>
      <c r="X473" s="86"/>
      <c r="Y473" s="86"/>
    </row>
    <row r="474" spans="1:25" x14ac:dyDescent="0.25">
      <c r="A474" s="21">
        <v>469</v>
      </c>
      <c r="B474" s="19" t="s">
        <v>342</v>
      </c>
      <c r="C474" s="41">
        <v>0</v>
      </c>
      <c r="D474" s="38">
        <v>0</v>
      </c>
      <c r="E474" s="84">
        <f>SUM('1501 Summary'!Y282:AC282)</f>
        <v>0</v>
      </c>
      <c r="F474" s="288"/>
      <c r="G474" s="69"/>
      <c r="H474" s="69"/>
      <c r="I474" s="69"/>
      <c r="J474" s="288"/>
      <c r="K474" s="41"/>
      <c r="L474" s="46"/>
      <c r="M474" s="42"/>
      <c r="N474" s="288"/>
      <c r="O474" s="241"/>
      <c r="P474" s="40"/>
      <c r="Q474" s="42"/>
      <c r="R474" s="288"/>
      <c r="S474" s="86"/>
      <c r="T474" s="86"/>
      <c r="U474" s="86"/>
      <c r="V474" s="288"/>
      <c r="W474" s="218"/>
      <c r="X474" s="86"/>
      <c r="Y474" s="86"/>
    </row>
    <row r="475" spans="1:25" x14ac:dyDescent="0.25">
      <c r="A475" s="21">
        <v>470</v>
      </c>
      <c r="B475" s="19" t="s">
        <v>258</v>
      </c>
      <c r="C475" s="41">
        <f t="shared" si="79"/>
        <v>6114191.1085860375</v>
      </c>
      <c r="D475" s="47">
        <v>1.12648E-2</v>
      </c>
      <c r="E475" s="84">
        <f>SUM('1501 Summary'!G283:W283)</f>
        <v>68875.14</v>
      </c>
      <c r="F475" s="288"/>
      <c r="G475" s="69"/>
      <c r="H475" s="69"/>
      <c r="I475" s="69"/>
      <c r="J475" s="288"/>
      <c r="K475" s="41">
        <f t="shared" si="78"/>
        <v>6114191.1085860375</v>
      </c>
      <c r="L475" s="46"/>
      <c r="M475" s="42"/>
      <c r="N475" s="288"/>
      <c r="P475" s="40"/>
      <c r="Q475" s="42"/>
      <c r="R475" s="288"/>
      <c r="S475" s="86"/>
      <c r="T475" s="86"/>
      <c r="U475" s="86"/>
      <c r="V475" s="288"/>
      <c r="W475" s="218"/>
      <c r="X475" s="86"/>
      <c r="Y475" s="86"/>
    </row>
    <row r="476" spans="1:25" x14ac:dyDescent="0.25">
      <c r="A476" s="21">
        <v>471</v>
      </c>
      <c r="B476" s="110" t="s">
        <v>257</v>
      </c>
      <c r="C476" s="41">
        <f t="shared" si="79"/>
        <v>2046317.5602812406</v>
      </c>
      <c r="D476" s="47">
        <v>1.1591499999999999E-2</v>
      </c>
      <c r="E476" s="145">
        <f>SUM('1501 Summary'!Y283:AC283)</f>
        <v>23719.89</v>
      </c>
      <c r="F476" s="288"/>
      <c r="G476" s="69"/>
      <c r="H476" s="69"/>
      <c r="I476" s="69"/>
      <c r="J476" s="288"/>
      <c r="K476" s="41">
        <f t="shared" si="78"/>
        <v>2046317.5602812406</v>
      </c>
      <c r="L476" s="46">
        <f t="shared" si="75"/>
        <v>1.1591499999999999E-2</v>
      </c>
      <c r="M476" s="65">
        <f>L476*SUM(K476,K475)</f>
        <v>94592.536235175052</v>
      </c>
      <c r="N476" s="288"/>
      <c r="O476" s="241"/>
      <c r="P476" s="40"/>
      <c r="Q476" s="42"/>
      <c r="R476" s="288"/>
      <c r="S476" s="86"/>
      <c r="T476" s="86"/>
      <c r="U476" s="86"/>
      <c r="V476" s="288"/>
      <c r="W476" s="218"/>
      <c r="X476" s="86"/>
      <c r="Y476" s="86"/>
    </row>
    <row r="477" spans="1:25" x14ac:dyDescent="0.25">
      <c r="A477" s="21">
        <v>472</v>
      </c>
      <c r="B477" s="19" t="s">
        <v>10</v>
      </c>
      <c r="E477" s="84">
        <f>SUM(E465:E476)</f>
        <v>128018.73</v>
      </c>
      <c r="F477" s="288"/>
      <c r="G477" s="69"/>
      <c r="H477" s="69"/>
      <c r="I477" s="69"/>
      <c r="J477" s="288"/>
      <c r="K477" s="41"/>
      <c r="L477" s="46"/>
      <c r="M477" s="42">
        <f>SUM(M465:M476)</f>
        <v>132364.08623517505</v>
      </c>
      <c r="N477" s="288"/>
      <c r="O477" s="241"/>
      <c r="P477" s="40"/>
      <c r="Q477" s="42"/>
      <c r="R477" s="288"/>
      <c r="S477" s="86"/>
      <c r="T477" s="86"/>
      <c r="U477" s="86"/>
      <c r="V477" s="288"/>
      <c r="W477" s="67"/>
      <c r="X477" s="86"/>
      <c r="Y477" s="86"/>
    </row>
    <row r="478" spans="1:25" x14ac:dyDescent="0.25">
      <c r="A478" s="21">
        <v>473</v>
      </c>
      <c r="B478" s="18"/>
      <c r="E478" s="84"/>
      <c r="K478" s="41"/>
      <c r="L478" s="46"/>
      <c r="M478" s="42"/>
      <c r="O478" s="42"/>
      <c r="P478" s="42"/>
      <c r="Q478" s="42"/>
      <c r="W478" s="67"/>
      <c r="X478" s="86"/>
    </row>
    <row r="479" spans="1:25" x14ac:dyDescent="0.25">
      <c r="A479" s="21">
        <v>474</v>
      </c>
      <c r="B479" s="19" t="s">
        <v>12</v>
      </c>
      <c r="E479" s="84"/>
      <c r="K479" s="41"/>
      <c r="L479" s="46"/>
      <c r="M479" s="42"/>
      <c r="O479" s="42"/>
      <c r="P479" s="42"/>
      <c r="Q479" s="42"/>
      <c r="W479" s="67"/>
      <c r="X479" s="86"/>
    </row>
    <row r="480" spans="1:25" x14ac:dyDescent="0.25">
      <c r="A480" s="21">
        <v>475</v>
      </c>
      <c r="B480" s="19" t="s">
        <v>20</v>
      </c>
      <c r="E480" s="84">
        <f>'1501 Summary'!AD284</f>
        <v>5704.39</v>
      </c>
      <c r="F480" s="277"/>
      <c r="G480" s="40"/>
      <c r="H480" s="40"/>
      <c r="I480" s="40"/>
      <c r="J480" s="277"/>
      <c r="K480" s="41"/>
      <c r="L480" s="46"/>
      <c r="M480" s="42"/>
      <c r="N480" s="277"/>
      <c r="O480" s="42"/>
      <c r="P480" s="42"/>
      <c r="Q480" s="42"/>
      <c r="R480" s="277"/>
      <c r="V480" s="277"/>
      <c r="W480" s="67"/>
      <c r="X480" s="86"/>
    </row>
    <row r="481" spans="1:25" x14ac:dyDescent="0.25">
      <c r="A481" s="21">
        <v>476</v>
      </c>
      <c r="B481" s="19" t="s">
        <v>245</v>
      </c>
      <c r="E481" s="84">
        <f>'1501 Summary'!AD285</f>
        <v>279.04000000000002</v>
      </c>
      <c r="F481" s="277"/>
      <c r="G481" s="40"/>
      <c r="H481" s="40"/>
      <c r="I481" s="40"/>
      <c r="J481" s="277"/>
      <c r="K481" s="41"/>
      <c r="L481" s="46"/>
      <c r="M481" s="42"/>
      <c r="N481" s="277"/>
      <c r="O481" s="42"/>
      <c r="P481" s="42"/>
      <c r="Q481" s="42"/>
      <c r="R481" s="277"/>
      <c r="V481" s="277"/>
      <c r="W481" s="67"/>
      <c r="X481" s="86"/>
    </row>
    <row r="482" spans="1:25" x14ac:dyDescent="0.25">
      <c r="A482" s="21">
        <v>477</v>
      </c>
      <c r="B482" s="6" t="s">
        <v>55</v>
      </c>
      <c r="E482" s="84">
        <f>'Rev Recon Summary'!R300</f>
        <v>-133727.26999999999</v>
      </c>
      <c r="F482" s="277"/>
      <c r="G482" s="40"/>
      <c r="H482" s="40"/>
      <c r="I482" s="40"/>
      <c r="J482" s="277"/>
      <c r="K482" s="41"/>
      <c r="L482" s="46"/>
      <c r="M482" s="42"/>
      <c r="N482" s="277"/>
      <c r="O482" s="42"/>
      <c r="P482" s="42"/>
      <c r="Q482" s="42"/>
      <c r="R482" s="277"/>
      <c r="V482" s="277"/>
      <c r="W482" s="67"/>
      <c r="X482" s="86"/>
    </row>
    <row r="483" spans="1:25" x14ac:dyDescent="0.25">
      <c r="A483" s="21">
        <v>478</v>
      </c>
      <c r="B483" s="6" t="s">
        <v>56</v>
      </c>
      <c r="E483" s="145">
        <f>'Rev Recon Summary'!R301</f>
        <v>134739.53</v>
      </c>
      <c r="F483" s="277"/>
      <c r="G483" s="40"/>
      <c r="H483" s="40"/>
      <c r="I483" s="40"/>
      <c r="J483" s="277"/>
      <c r="K483" s="41"/>
      <c r="L483" s="46"/>
      <c r="M483" s="42"/>
      <c r="N483" s="277"/>
      <c r="O483" s="42"/>
      <c r="P483" s="42"/>
      <c r="Q483" s="42"/>
      <c r="R483" s="277"/>
      <c r="V483" s="277"/>
      <c r="W483" s="67"/>
      <c r="X483" s="86"/>
    </row>
    <row r="484" spans="1:25" x14ac:dyDescent="0.25">
      <c r="A484" s="21">
        <v>479</v>
      </c>
      <c r="B484" s="18" t="s">
        <v>93</v>
      </c>
      <c r="E484" s="84">
        <f>SUM(E481:E483)</f>
        <v>1291.3000000000175</v>
      </c>
      <c r="F484" s="275"/>
      <c r="G484" s="38"/>
      <c r="H484" s="38"/>
      <c r="I484" s="38"/>
      <c r="J484" s="275"/>
      <c r="K484" s="41"/>
      <c r="L484" s="46"/>
      <c r="M484" s="42"/>
      <c r="N484" s="275"/>
      <c r="O484" s="42"/>
      <c r="P484" s="42"/>
      <c r="Q484" s="42"/>
      <c r="R484" s="275"/>
      <c r="V484" s="275"/>
      <c r="W484" s="67"/>
      <c r="X484" s="86"/>
    </row>
    <row r="485" spans="1:25" x14ac:dyDescent="0.25">
      <c r="A485" s="21">
        <v>480</v>
      </c>
      <c r="B485" s="18"/>
      <c r="E485" s="84"/>
      <c r="F485" s="281"/>
      <c r="G485" s="42"/>
      <c r="H485" s="42"/>
      <c r="I485" s="42"/>
      <c r="J485" s="281"/>
      <c r="K485" s="41"/>
      <c r="L485" s="46"/>
      <c r="M485" s="42"/>
      <c r="N485" s="281"/>
      <c r="O485" s="42"/>
      <c r="P485" s="42"/>
      <c r="Q485" s="42"/>
      <c r="R485" s="281"/>
      <c r="V485" s="281"/>
      <c r="W485" s="67"/>
      <c r="X485" s="86"/>
    </row>
    <row r="486" spans="1:25" x14ac:dyDescent="0.25">
      <c r="A486" s="21">
        <v>481</v>
      </c>
      <c r="B486" s="104" t="s">
        <v>165</v>
      </c>
      <c r="C486" s="39">
        <f>E486-'Rev Recon Summary'!R302</f>
        <v>0</v>
      </c>
      <c r="D486" s="105" t="s">
        <v>45</v>
      </c>
      <c r="E486" s="145">
        <f>SUM(E477,E480,E484)</f>
        <v>135014.42000000001</v>
      </c>
      <c r="F486" s="279"/>
      <c r="G486" s="39"/>
      <c r="H486" s="39"/>
      <c r="I486" s="39"/>
      <c r="J486" s="279"/>
      <c r="K486" s="101"/>
      <c r="L486" s="134"/>
      <c r="M486" s="65"/>
      <c r="N486" s="279"/>
      <c r="O486" s="65"/>
      <c r="P486" s="65"/>
      <c r="Q486" s="65"/>
      <c r="R486" s="279"/>
      <c r="S486" s="65"/>
      <c r="T486" s="65"/>
      <c r="U486" s="65"/>
      <c r="V486" s="279"/>
      <c r="W486" s="85"/>
      <c r="X486" s="88"/>
      <c r="Y486" s="65"/>
    </row>
    <row r="487" spans="1:25" x14ac:dyDescent="0.25">
      <c r="A487" s="21">
        <v>482</v>
      </c>
      <c r="K487" s="41"/>
      <c r="L487" s="46"/>
      <c r="M487" s="42"/>
      <c r="O487" s="42"/>
      <c r="P487" s="42"/>
      <c r="Q487" s="42"/>
      <c r="W487" s="67"/>
      <c r="X487" s="86"/>
    </row>
    <row r="488" spans="1:25" x14ac:dyDescent="0.25">
      <c r="A488" s="21">
        <v>483</v>
      </c>
      <c r="B488" s="30" t="s">
        <v>166</v>
      </c>
      <c r="E488" s="42"/>
      <c r="F488" s="281"/>
      <c r="G488" s="42"/>
      <c r="H488" s="42"/>
      <c r="I488" s="42"/>
      <c r="J488" s="281"/>
      <c r="K488" s="41"/>
      <c r="L488" s="46"/>
      <c r="M488" s="42"/>
      <c r="N488" s="281"/>
      <c r="O488" s="42"/>
      <c r="P488" s="42"/>
      <c r="Q488" s="42"/>
      <c r="R488" s="281"/>
      <c r="S488" s="42"/>
      <c r="T488" s="42"/>
      <c r="U488" s="42"/>
      <c r="V488" s="281"/>
      <c r="W488" s="67"/>
      <c r="X488" s="86"/>
      <c r="Y488" s="42"/>
    </row>
    <row r="489" spans="1:25" x14ac:dyDescent="0.25">
      <c r="A489" s="21">
        <v>484</v>
      </c>
      <c r="B489" s="19" t="s">
        <v>246</v>
      </c>
      <c r="C489" s="23">
        <f>E489/D489</f>
        <v>9</v>
      </c>
      <c r="D489" s="67">
        <v>500</v>
      </c>
      <c r="E489" s="41">
        <f>SUM('1501 Summary'!G292:W292)</f>
        <v>4500</v>
      </c>
      <c r="F489" s="280"/>
      <c r="G489" s="44"/>
      <c r="H489" s="44"/>
      <c r="I489" s="44"/>
      <c r="J489" s="280"/>
      <c r="K489" s="41">
        <f t="shared" si="78"/>
        <v>9</v>
      </c>
      <c r="L489" s="38"/>
      <c r="M489" s="42"/>
      <c r="N489" s="280"/>
      <c r="O489" s="42"/>
      <c r="P489" s="42"/>
      <c r="Q489" s="42"/>
      <c r="R489" s="280"/>
      <c r="S489" s="86"/>
      <c r="T489" s="86"/>
      <c r="U489" s="86"/>
      <c r="V489" s="280"/>
      <c r="W489" s="67"/>
      <c r="X489" s="86"/>
      <c r="Y489" s="86"/>
    </row>
    <row r="490" spans="1:25" x14ac:dyDescent="0.25">
      <c r="A490" s="21">
        <v>485</v>
      </c>
      <c r="B490" s="19" t="s">
        <v>260</v>
      </c>
      <c r="C490" s="23">
        <f t="shared" ref="C490:C500" si="80">E490/D490</f>
        <v>3</v>
      </c>
      <c r="D490" s="67">
        <v>625</v>
      </c>
      <c r="E490" s="41">
        <f>SUM('1501 Summary'!Y292:AC292)</f>
        <v>1875</v>
      </c>
      <c r="F490" s="280"/>
      <c r="G490" s="44"/>
      <c r="H490" s="44"/>
      <c r="I490" s="44"/>
      <c r="J490" s="280"/>
      <c r="K490" s="41">
        <f t="shared" si="78"/>
        <v>3</v>
      </c>
      <c r="L490" s="38">
        <f t="shared" si="75"/>
        <v>625</v>
      </c>
      <c r="M490" s="42">
        <f>L490*SUM(K490,K489)</f>
        <v>7500</v>
      </c>
      <c r="N490" s="280"/>
      <c r="O490" s="241"/>
      <c r="P490" s="40"/>
      <c r="Q490" s="42"/>
      <c r="R490" s="280"/>
      <c r="S490" s="86"/>
      <c r="T490" s="86"/>
      <c r="U490" s="86"/>
      <c r="V490" s="280"/>
      <c r="W490" s="67"/>
      <c r="X490" s="86"/>
      <c r="Y490" s="86"/>
    </row>
    <row r="491" spans="1:25" x14ac:dyDescent="0.25">
      <c r="A491" s="21">
        <v>486</v>
      </c>
      <c r="B491" s="19" t="s">
        <v>252</v>
      </c>
      <c r="C491" s="23">
        <v>0</v>
      </c>
      <c r="D491" s="67">
        <v>0</v>
      </c>
      <c r="E491" s="45">
        <f>SUM('1501 Summary'!G293:W293)</f>
        <v>0</v>
      </c>
      <c r="F491" s="278"/>
      <c r="G491" s="56"/>
      <c r="H491" s="56"/>
      <c r="I491" s="56"/>
      <c r="J491" s="278"/>
      <c r="K491" s="41"/>
      <c r="L491" s="46"/>
      <c r="M491" s="42"/>
      <c r="N491" s="278"/>
      <c r="O491" s="42"/>
      <c r="P491" s="40"/>
      <c r="Q491" s="42"/>
      <c r="R491" s="278"/>
      <c r="S491" s="86"/>
      <c r="T491" s="86"/>
      <c r="U491" s="86"/>
      <c r="V491" s="278"/>
      <c r="W491" s="67"/>
      <c r="X491" s="86"/>
      <c r="Y491" s="86"/>
    </row>
    <row r="492" spans="1:25" x14ac:dyDescent="0.25">
      <c r="A492" s="21">
        <v>487</v>
      </c>
      <c r="B492" s="19" t="s">
        <v>259</v>
      </c>
      <c r="C492" s="23">
        <f t="shared" si="80"/>
        <v>3</v>
      </c>
      <c r="D492" s="67">
        <v>3950</v>
      </c>
      <c r="E492" s="45">
        <f>SUM('1501 Summary'!Y293:AC293)</f>
        <v>11850</v>
      </c>
      <c r="F492" s="278"/>
      <c r="G492" s="56"/>
      <c r="H492" s="56"/>
      <c r="I492" s="56"/>
      <c r="J492" s="278"/>
      <c r="K492" s="41">
        <f t="shared" si="78"/>
        <v>3</v>
      </c>
      <c r="L492" s="38">
        <f t="shared" ref="L492:L544" si="81">D492</f>
        <v>3950</v>
      </c>
      <c r="M492" s="42">
        <f>L492*SUM(K492,K495)</f>
        <v>47400</v>
      </c>
      <c r="N492" s="278"/>
      <c r="O492" s="241"/>
      <c r="P492" s="40"/>
      <c r="Q492" s="42"/>
      <c r="R492" s="278"/>
      <c r="S492" s="86"/>
      <c r="T492" s="86"/>
      <c r="U492" s="86"/>
      <c r="V492" s="278"/>
      <c r="W492" s="67"/>
      <c r="X492" s="86"/>
      <c r="Y492" s="86"/>
    </row>
    <row r="493" spans="1:25" x14ac:dyDescent="0.25">
      <c r="A493" s="21">
        <v>488</v>
      </c>
      <c r="B493" s="19" t="s">
        <v>254</v>
      </c>
      <c r="C493" s="23">
        <v>0</v>
      </c>
      <c r="D493" s="67">
        <v>0</v>
      </c>
      <c r="E493" s="45">
        <f>SUM('1501 Summary'!G294:W294)</f>
        <v>0</v>
      </c>
      <c r="F493" s="278"/>
      <c r="G493" s="56"/>
      <c r="H493" s="56"/>
      <c r="I493" s="56"/>
      <c r="J493" s="278"/>
      <c r="K493" s="41"/>
      <c r="L493" s="46"/>
      <c r="M493" s="42"/>
      <c r="N493" s="278"/>
      <c r="O493" s="42"/>
      <c r="P493" s="40"/>
      <c r="Q493" s="42"/>
      <c r="R493" s="278"/>
      <c r="S493" s="86"/>
      <c r="T493" s="86"/>
      <c r="U493" s="86"/>
      <c r="V493" s="278"/>
      <c r="W493" s="67"/>
      <c r="X493" s="86"/>
      <c r="Y493" s="86"/>
    </row>
    <row r="494" spans="1:25" x14ac:dyDescent="0.25">
      <c r="A494" s="21">
        <v>489</v>
      </c>
      <c r="B494" s="19" t="s">
        <v>261</v>
      </c>
      <c r="C494" s="41">
        <f t="shared" si="80"/>
        <v>1357175</v>
      </c>
      <c r="D494" s="259">
        <v>4.0000000000000002E-4</v>
      </c>
      <c r="E494" s="45">
        <f>SUM('1501 Summary'!Y294:AC294)</f>
        <v>542.87</v>
      </c>
      <c r="F494" s="278"/>
      <c r="G494" s="56"/>
      <c r="H494" s="56"/>
      <c r="I494" s="56"/>
      <c r="J494" s="278"/>
      <c r="K494" s="41">
        <f t="shared" si="78"/>
        <v>1357175</v>
      </c>
      <c r="L494" s="46">
        <f t="shared" si="81"/>
        <v>4.0000000000000002E-4</v>
      </c>
      <c r="M494" s="42">
        <f>L494*SUM(K494,K497)</f>
        <v>2089.5300000000002</v>
      </c>
      <c r="N494" s="278"/>
      <c r="O494" s="241"/>
      <c r="P494" s="40"/>
      <c r="Q494" s="42"/>
      <c r="R494" s="278"/>
      <c r="S494" s="86"/>
      <c r="T494" s="86"/>
      <c r="U494" s="86"/>
      <c r="V494" s="278"/>
      <c r="W494" s="218"/>
      <c r="X494" s="86"/>
      <c r="Y494" s="86"/>
    </row>
    <row r="495" spans="1:25" x14ac:dyDescent="0.25">
      <c r="A495" s="21">
        <v>490</v>
      </c>
      <c r="B495" s="19" t="s">
        <v>248</v>
      </c>
      <c r="C495" s="23">
        <f t="shared" si="80"/>
        <v>9</v>
      </c>
      <c r="D495" s="67">
        <v>3950</v>
      </c>
      <c r="E495" s="45">
        <f>SUM('1501 Summary'!G295:W295)</f>
        <v>35550</v>
      </c>
      <c r="F495" s="278"/>
      <c r="G495" s="56"/>
      <c r="H495" s="56"/>
      <c r="I495" s="56"/>
      <c r="J495" s="278"/>
      <c r="K495" s="41">
        <f t="shared" si="78"/>
        <v>9</v>
      </c>
      <c r="L495" s="38"/>
      <c r="M495" s="42"/>
      <c r="N495" s="278"/>
      <c r="O495" s="42"/>
      <c r="P495" s="40"/>
      <c r="Q495" s="42"/>
      <c r="R495" s="278"/>
      <c r="S495" s="86"/>
      <c r="T495" s="86"/>
      <c r="U495" s="86"/>
      <c r="V495" s="278"/>
      <c r="W495" s="218"/>
      <c r="X495" s="86"/>
      <c r="Y495" s="86"/>
    </row>
    <row r="496" spans="1:25" x14ac:dyDescent="0.25">
      <c r="A496" s="21">
        <v>491</v>
      </c>
      <c r="B496" s="19" t="s">
        <v>262</v>
      </c>
      <c r="C496" s="23">
        <v>0</v>
      </c>
      <c r="D496" s="67">
        <v>0</v>
      </c>
      <c r="E496" s="45">
        <f>SUM('1501 Summary'!Y295:AC295)</f>
        <v>0</v>
      </c>
      <c r="F496" s="278"/>
      <c r="G496" s="56"/>
      <c r="H496" s="56"/>
      <c r="I496" s="56"/>
      <c r="J496" s="278"/>
      <c r="K496" s="41"/>
      <c r="L496" s="46"/>
      <c r="M496" s="42"/>
      <c r="N496" s="278"/>
      <c r="O496" s="42"/>
      <c r="P496" s="40"/>
      <c r="Q496" s="42"/>
      <c r="R496" s="278"/>
      <c r="S496" s="86"/>
      <c r="T496" s="86"/>
      <c r="U496" s="86"/>
      <c r="V496" s="278"/>
      <c r="W496" s="218"/>
      <c r="X496" s="86"/>
      <c r="Y496" s="86"/>
    </row>
    <row r="497" spans="1:25" x14ac:dyDescent="0.25">
      <c r="A497" s="21">
        <v>492</v>
      </c>
      <c r="B497" s="19" t="s">
        <v>337</v>
      </c>
      <c r="C497" s="41">
        <f t="shared" si="80"/>
        <v>3866650</v>
      </c>
      <c r="D497" s="259">
        <v>2.0000000000000001E-4</v>
      </c>
      <c r="E497" s="45">
        <f>SUM('1501 Summary'!G296:W296)</f>
        <v>773.33</v>
      </c>
      <c r="F497" s="278"/>
      <c r="G497" s="56"/>
      <c r="H497" s="56"/>
      <c r="I497" s="56"/>
      <c r="J497" s="278"/>
      <c r="K497" s="41">
        <f t="shared" si="78"/>
        <v>3866650</v>
      </c>
      <c r="L497" s="46"/>
      <c r="M497" s="42"/>
      <c r="N497" s="278"/>
      <c r="O497" s="42"/>
      <c r="P497" s="40"/>
      <c r="Q497" s="42"/>
      <c r="R497" s="278"/>
      <c r="S497" s="86"/>
      <c r="T497" s="86"/>
      <c r="U497" s="86"/>
      <c r="V497" s="278"/>
      <c r="W497" s="218"/>
      <c r="X497" s="86"/>
      <c r="Y497" s="86"/>
    </row>
    <row r="498" spans="1:25" x14ac:dyDescent="0.25">
      <c r="A498" s="21">
        <v>493</v>
      </c>
      <c r="B498" s="19" t="s">
        <v>342</v>
      </c>
      <c r="C498" s="23">
        <v>0</v>
      </c>
      <c r="D498" s="67">
        <v>0</v>
      </c>
      <c r="E498" s="45">
        <f>SUM('1501 Summary'!Y296:AC296)</f>
        <v>0</v>
      </c>
      <c r="F498" s="278"/>
      <c r="G498" s="56"/>
      <c r="H498" s="56"/>
      <c r="I498" s="56"/>
      <c r="J498" s="278"/>
      <c r="K498" s="41"/>
      <c r="L498" s="46"/>
      <c r="M498" s="42"/>
      <c r="N498" s="278"/>
      <c r="O498" s="42"/>
      <c r="P498" s="40"/>
      <c r="Q498" s="42"/>
      <c r="R498" s="278"/>
      <c r="S498" s="86"/>
      <c r="T498" s="86"/>
      <c r="U498" s="86"/>
      <c r="V498" s="278"/>
      <c r="W498" s="218"/>
      <c r="X498" s="86"/>
      <c r="Y498" s="86"/>
    </row>
    <row r="499" spans="1:25" x14ac:dyDescent="0.25">
      <c r="A499" s="21">
        <v>494</v>
      </c>
      <c r="B499" s="19" t="s">
        <v>258</v>
      </c>
      <c r="C499" s="41">
        <f t="shared" si="80"/>
        <v>3866677.116715434</v>
      </c>
      <c r="D499" s="261">
        <v>1.7224799999999998E-2</v>
      </c>
      <c r="E499" s="45">
        <f>SUM('1501 Summary'!G297:W297)</f>
        <v>66602.740000000005</v>
      </c>
      <c r="F499" s="278"/>
      <c r="G499" s="56"/>
      <c r="H499" s="56"/>
      <c r="I499" s="56"/>
      <c r="J499" s="278"/>
      <c r="K499" s="41">
        <f t="shared" si="78"/>
        <v>3866677.116715434</v>
      </c>
      <c r="L499" s="46"/>
      <c r="M499" s="42"/>
      <c r="N499" s="278"/>
      <c r="O499" s="42"/>
      <c r="P499" s="40"/>
      <c r="Q499" s="42"/>
      <c r="R499" s="278"/>
      <c r="S499" s="86"/>
      <c r="T499" s="86"/>
      <c r="U499" s="86"/>
      <c r="V499" s="278"/>
      <c r="W499" s="218"/>
      <c r="X499" s="86"/>
      <c r="Y499" s="86"/>
    </row>
    <row r="500" spans="1:25" x14ac:dyDescent="0.25">
      <c r="A500" s="21">
        <v>495</v>
      </c>
      <c r="B500" s="110" t="s">
        <v>263</v>
      </c>
      <c r="C500" s="41">
        <f t="shared" si="80"/>
        <v>1347696.1008333194</v>
      </c>
      <c r="D500" s="261">
        <v>1.7724299999999998E-2</v>
      </c>
      <c r="E500" s="489">
        <f>SUM('1501 Summary'!Y297:AC297)</f>
        <v>23886.97</v>
      </c>
      <c r="F500" s="278"/>
      <c r="G500" s="56"/>
      <c r="H500" s="56"/>
      <c r="I500" s="56"/>
      <c r="J500" s="278"/>
      <c r="K500" s="41">
        <f t="shared" si="78"/>
        <v>1347696.1008333194</v>
      </c>
      <c r="L500" s="46">
        <f t="shared" si="81"/>
        <v>1.7724299999999998E-2</v>
      </c>
      <c r="M500" s="65">
        <f>L500*SUM(K500,K499)</f>
        <v>92421.115219799351</v>
      </c>
      <c r="N500" s="278"/>
      <c r="O500" s="241"/>
      <c r="P500" s="40"/>
      <c r="Q500" s="42"/>
      <c r="R500" s="278"/>
      <c r="S500" s="86"/>
      <c r="T500" s="86"/>
      <c r="U500" s="86"/>
      <c r="V500" s="278"/>
      <c r="W500" s="218"/>
      <c r="X500" s="86"/>
      <c r="Y500" s="86"/>
    </row>
    <row r="501" spans="1:25" x14ac:dyDescent="0.25">
      <c r="A501" s="21">
        <v>496</v>
      </c>
      <c r="B501" s="19" t="s">
        <v>10</v>
      </c>
      <c r="E501" s="45">
        <f>SUM(E489:E500)</f>
        <v>145580.91</v>
      </c>
      <c r="F501" s="278"/>
      <c r="G501" s="56"/>
      <c r="H501" s="56"/>
      <c r="I501" s="56"/>
      <c r="J501" s="278"/>
      <c r="K501" s="41"/>
      <c r="L501" s="46"/>
      <c r="M501" s="42">
        <f>SUM(M489:M500)</f>
        <v>149410.64521979936</v>
      </c>
      <c r="N501" s="278"/>
      <c r="O501" s="42"/>
      <c r="P501" s="42"/>
      <c r="Q501" s="42"/>
      <c r="R501" s="278"/>
      <c r="S501" s="86"/>
      <c r="T501" s="86"/>
      <c r="U501" s="86"/>
      <c r="V501" s="278"/>
      <c r="W501" s="67"/>
      <c r="X501" s="86"/>
      <c r="Y501" s="86"/>
    </row>
    <row r="502" spans="1:25" x14ac:dyDescent="0.25">
      <c r="A502" s="21">
        <v>497</v>
      </c>
      <c r="B502" s="18"/>
      <c r="E502" s="45"/>
      <c r="F502" s="278"/>
      <c r="G502" s="56"/>
      <c r="H502" s="56"/>
      <c r="I502" s="56"/>
      <c r="J502" s="278"/>
      <c r="K502" s="41"/>
      <c r="L502" s="46"/>
      <c r="M502" s="42"/>
      <c r="N502" s="278"/>
      <c r="O502" s="42"/>
      <c r="P502" s="42"/>
      <c r="Q502" s="42"/>
      <c r="R502" s="278"/>
      <c r="V502" s="278"/>
      <c r="W502" s="67"/>
      <c r="X502" s="86"/>
    </row>
    <row r="503" spans="1:25" x14ac:dyDescent="0.25">
      <c r="A503" s="21">
        <v>498</v>
      </c>
      <c r="B503" s="19" t="s">
        <v>12</v>
      </c>
      <c r="E503" s="45"/>
      <c r="F503" s="278"/>
      <c r="G503" s="56"/>
      <c r="H503" s="56"/>
      <c r="I503" s="56"/>
      <c r="J503" s="278"/>
      <c r="K503" s="41"/>
      <c r="L503" s="46"/>
      <c r="M503" s="42"/>
      <c r="N503" s="278"/>
      <c r="O503" s="42"/>
      <c r="P503" s="42"/>
      <c r="Q503" s="42"/>
      <c r="R503" s="278"/>
      <c r="V503" s="278"/>
      <c r="W503" s="67"/>
      <c r="X503" s="86"/>
    </row>
    <row r="504" spans="1:25" x14ac:dyDescent="0.25">
      <c r="A504" s="21">
        <v>499</v>
      </c>
      <c r="B504" s="19" t="s">
        <v>20</v>
      </c>
      <c r="E504" s="45">
        <f>'1501 Summary'!AD299</f>
        <v>6487.6</v>
      </c>
      <c r="F504" s="278"/>
      <c r="G504" s="56"/>
      <c r="H504" s="56"/>
      <c r="I504" s="56"/>
      <c r="J504" s="278"/>
      <c r="K504" s="41"/>
      <c r="L504" s="46"/>
      <c r="M504" s="42"/>
      <c r="N504" s="278"/>
      <c r="O504" s="42"/>
      <c r="P504" s="42"/>
      <c r="Q504" s="42"/>
      <c r="R504" s="278"/>
      <c r="V504" s="278"/>
      <c r="W504" s="67"/>
      <c r="X504" s="86"/>
    </row>
    <row r="505" spans="1:25" x14ac:dyDescent="0.25">
      <c r="A505" s="21">
        <v>500</v>
      </c>
      <c r="B505" s="19" t="s">
        <v>245</v>
      </c>
      <c r="E505" s="45">
        <f>'1501 Summary'!AD298</f>
        <v>200.89</v>
      </c>
      <c r="F505" s="278"/>
      <c r="G505" s="56"/>
      <c r="H505" s="56"/>
      <c r="I505" s="56"/>
      <c r="J505" s="278"/>
      <c r="K505" s="41"/>
      <c r="L505" s="46"/>
      <c r="M505" s="42"/>
      <c r="N505" s="278"/>
      <c r="O505" s="42"/>
      <c r="P505" s="42"/>
      <c r="Q505" s="42"/>
      <c r="R505" s="278"/>
      <c r="V505" s="278"/>
      <c r="W505" s="67"/>
      <c r="X505" s="86"/>
    </row>
    <row r="506" spans="1:25" x14ac:dyDescent="0.25">
      <c r="A506" s="21">
        <v>501</v>
      </c>
      <c r="B506" s="6" t="s">
        <v>55</v>
      </c>
      <c r="E506" s="45">
        <f>'Rev Recon Summary'!R320</f>
        <v>-152072.43</v>
      </c>
      <c r="F506" s="278"/>
      <c r="G506" s="56"/>
      <c r="H506" s="56"/>
      <c r="I506" s="56"/>
      <c r="J506" s="278"/>
      <c r="K506" s="41"/>
      <c r="L506" s="46"/>
      <c r="M506" s="42"/>
      <c r="N506" s="278"/>
      <c r="O506" s="42"/>
      <c r="P506" s="42"/>
      <c r="Q506" s="42"/>
      <c r="R506" s="278"/>
      <c r="V506" s="278"/>
      <c r="W506" s="67"/>
      <c r="X506" s="86"/>
    </row>
    <row r="507" spans="1:25" x14ac:dyDescent="0.25">
      <c r="A507" s="21">
        <v>502</v>
      </c>
      <c r="B507" s="6" t="s">
        <v>56</v>
      </c>
      <c r="E507" s="489">
        <f>'Rev Recon Summary'!R321</f>
        <v>149320.72999999998</v>
      </c>
      <c r="F507" s="278"/>
      <c r="G507" s="56"/>
      <c r="H507" s="56"/>
      <c r="I507" s="56"/>
      <c r="J507" s="278"/>
      <c r="K507" s="41"/>
      <c r="L507" s="46"/>
      <c r="M507" s="42"/>
      <c r="N507" s="278"/>
      <c r="O507" s="42"/>
      <c r="P507" s="42"/>
      <c r="Q507" s="42"/>
      <c r="R507" s="278"/>
      <c r="V507" s="278"/>
      <c r="W507" s="67"/>
      <c r="X507" s="86"/>
    </row>
    <row r="508" spans="1:25" x14ac:dyDescent="0.25">
      <c r="A508" s="21">
        <v>503</v>
      </c>
      <c r="B508" s="18" t="s">
        <v>93</v>
      </c>
      <c r="E508" s="45">
        <f>SUM(E505:E507)</f>
        <v>-2550.8099999999977</v>
      </c>
      <c r="F508" s="278"/>
      <c r="G508" s="56"/>
      <c r="H508" s="56"/>
      <c r="I508" s="56"/>
      <c r="J508" s="278"/>
      <c r="K508" s="41"/>
      <c r="L508" s="46"/>
      <c r="M508" s="42"/>
      <c r="N508" s="278"/>
      <c r="O508" s="42"/>
      <c r="P508" s="42"/>
      <c r="Q508" s="42"/>
      <c r="R508" s="278"/>
      <c r="V508" s="278"/>
      <c r="W508" s="67"/>
      <c r="X508" s="86"/>
    </row>
    <row r="509" spans="1:25" x14ac:dyDescent="0.25">
      <c r="A509" s="21">
        <v>504</v>
      </c>
      <c r="B509" s="6"/>
      <c r="E509" s="45"/>
      <c r="F509" s="278"/>
      <c r="G509" s="56"/>
      <c r="H509" s="56"/>
      <c r="I509" s="56"/>
      <c r="J509" s="278"/>
      <c r="K509" s="41"/>
      <c r="L509" s="46"/>
      <c r="M509" s="42"/>
      <c r="N509" s="278"/>
      <c r="O509" s="42"/>
      <c r="P509" s="42"/>
      <c r="Q509" s="42"/>
      <c r="R509" s="278"/>
      <c r="V509" s="278"/>
      <c r="W509" s="67"/>
      <c r="X509" s="86"/>
    </row>
    <row r="510" spans="1:25" x14ac:dyDescent="0.25">
      <c r="A510" s="21">
        <v>505</v>
      </c>
      <c r="B510" s="104" t="s">
        <v>167</v>
      </c>
      <c r="C510" s="91">
        <f>E510-'Rev Recon Summary'!R322</f>
        <v>0</v>
      </c>
      <c r="D510" s="105" t="s">
        <v>45</v>
      </c>
      <c r="E510" s="490">
        <f>SUM(E501,E504,E508)</f>
        <v>149517.70000000001</v>
      </c>
      <c r="F510" s="294"/>
      <c r="G510" s="85"/>
      <c r="H510" s="85"/>
      <c r="I510" s="85"/>
      <c r="J510" s="294"/>
      <c r="K510" s="101"/>
      <c r="L510" s="134"/>
      <c r="M510" s="65"/>
      <c r="N510" s="294"/>
      <c r="O510" s="42"/>
      <c r="P510" s="42"/>
      <c r="Q510" s="42"/>
      <c r="R510" s="294"/>
      <c r="S510" s="105"/>
      <c r="T510" s="105"/>
      <c r="U510" s="105"/>
      <c r="V510" s="294"/>
      <c r="W510" s="67"/>
      <c r="X510" s="86"/>
    </row>
    <row r="511" spans="1:25" x14ac:dyDescent="0.25">
      <c r="A511" s="21">
        <v>506</v>
      </c>
      <c r="E511" s="48"/>
      <c r="F511" s="287"/>
      <c r="G511" s="48"/>
      <c r="H511" s="48"/>
      <c r="I511" s="48"/>
      <c r="J511" s="287"/>
      <c r="K511" s="41"/>
      <c r="L511" s="46"/>
      <c r="M511" s="42"/>
      <c r="N511" s="287"/>
      <c r="O511" s="42"/>
      <c r="P511" s="42"/>
      <c r="Q511" s="42"/>
      <c r="R511" s="287"/>
      <c r="V511" s="287"/>
      <c r="W511" s="67"/>
      <c r="X511" s="86"/>
    </row>
    <row r="512" spans="1:25" x14ac:dyDescent="0.25">
      <c r="A512" s="21">
        <v>507</v>
      </c>
      <c r="B512" s="30" t="s">
        <v>168</v>
      </c>
      <c r="D512" s="22"/>
      <c r="E512" s="48"/>
      <c r="F512" s="287"/>
      <c r="G512" s="48"/>
      <c r="H512" s="48"/>
      <c r="I512" s="48"/>
      <c r="J512" s="287"/>
      <c r="K512" s="41"/>
      <c r="L512" s="46"/>
      <c r="M512" s="42"/>
      <c r="N512" s="287"/>
      <c r="O512" s="42"/>
      <c r="P512" s="42"/>
      <c r="Q512" s="42"/>
      <c r="R512" s="287"/>
      <c r="V512" s="287"/>
      <c r="W512" s="67"/>
      <c r="X512" s="86"/>
    </row>
    <row r="513" spans="1:25" x14ac:dyDescent="0.25">
      <c r="A513" s="21">
        <v>508</v>
      </c>
      <c r="B513" s="19" t="s">
        <v>246</v>
      </c>
      <c r="C513" s="89">
        <f>E513/D513</f>
        <v>9</v>
      </c>
      <c r="D513" s="67">
        <v>500</v>
      </c>
      <c r="E513" s="84">
        <f>SUM('1501 Summary'!G306:W306)</f>
        <v>4500</v>
      </c>
      <c r="F513" s="288"/>
      <c r="G513" s="69"/>
      <c r="H513" s="69"/>
      <c r="I513" s="69"/>
      <c r="J513" s="288"/>
      <c r="K513" s="41">
        <f t="shared" si="78"/>
        <v>9</v>
      </c>
      <c r="L513" s="38"/>
      <c r="M513" s="42"/>
      <c r="N513" s="288"/>
      <c r="O513" s="42"/>
      <c r="P513" s="42"/>
      <c r="Q513" s="42"/>
      <c r="R513" s="288"/>
      <c r="S513" s="86"/>
      <c r="T513" s="86"/>
      <c r="U513" s="86"/>
      <c r="V513" s="288"/>
      <c r="W513" s="67"/>
      <c r="X513" s="86"/>
      <c r="Y513" s="86"/>
    </row>
    <row r="514" spans="1:25" x14ac:dyDescent="0.25">
      <c r="A514" s="21">
        <v>509</v>
      </c>
      <c r="B514" s="19" t="s">
        <v>247</v>
      </c>
      <c r="C514" s="89">
        <f t="shared" ref="C514:C524" si="82">E514/D514</f>
        <v>3</v>
      </c>
      <c r="D514" s="67">
        <v>625</v>
      </c>
      <c r="E514" s="84">
        <f>SUM('1501 Summary'!Y306:AC306)</f>
        <v>1875</v>
      </c>
      <c r="F514" s="288"/>
      <c r="G514" s="69"/>
      <c r="H514" s="69"/>
      <c r="I514" s="69"/>
      <c r="J514" s="288"/>
      <c r="K514" s="41">
        <f t="shared" si="78"/>
        <v>3</v>
      </c>
      <c r="L514" s="38">
        <f t="shared" si="81"/>
        <v>625</v>
      </c>
      <c r="M514" s="42">
        <f>L514*SUM(K514,K513)</f>
        <v>7500</v>
      </c>
      <c r="N514" s="288"/>
      <c r="O514" s="241"/>
      <c r="P514" s="40"/>
      <c r="Q514" s="42"/>
      <c r="R514" s="288"/>
      <c r="S514" s="86"/>
      <c r="T514" s="86"/>
      <c r="U514" s="86"/>
      <c r="V514" s="288"/>
      <c r="W514" s="67"/>
      <c r="X514" s="86"/>
      <c r="Y514" s="86"/>
    </row>
    <row r="515" spans="1:25" x14ac:dyDescent="0.25">
      <c r="A515" s="21">
        <v>510</v>
      </c>
      <c r="B515" s="19" t="s">
        <v>252</v>
      </c>
      <c r="C515" s="89">
        <v>0</v>
      </c>
      <c r="D515" s="23">
        <v>0</v>
      </c>
      <c r="E515" s="84">
        <f>SUM('1501 Summary'!G307:W307)</f>
        <v>0</v>
      </c>
      <c r="F515" s="288"/>
      <c r="G515" s="69"/>
      <c r="H515" s="69"/>
      <c r="I515" s="69"/>
      <c r="J515" s="288"/>
      <c r="K515" s="41"/>
      <c r="L515" s="46"/>
      <c r="M515" s="42"/>
      <c r="N515" s="288"/>
      <c r="O515" s="42"/>
      <c r="P515" s="40"/>
      <c r="Q515" s="42"/>
      <c r="R515" s="288"/>
      <c r="S515" s="86"/>
      <c r="T515" s="86"/>
      <c r="U515" s="86"/>
      <c r="V515" s="288"/>
      <c r="W515" s="67"/>
      <c r="X515" s="86"/>
      <c r="Y515" s="86"/>
    </row>
    <row r="516" spans="1:25" x14ac:dyDescent="0.25">
      <c r="A516" s="21">
        <v>511</v>
      </c>
      <c r="B516" s="19" t="s">
        <v>253</v>
      </c>
      <c r="C516" s="89">
        <f t="shared" si="82"/>
        <v>3</v>
      </c>
      <c r="D516" s="67">
        <v>6725</v>
      </c>
      <c r="E516" s="84">
        <f>SUM('1501 Summary'!Y307:AC307)</f>
        <v>20175</v>
      </c>
      <c r="F516" s="288"/>
      <c r="G516" s="69"/>
      <c r="H516" s="69"/>
      <c r="I516" s="69"/>
      <c r="J516" s="288"/>
      <c r="K516" s="41">
        <f t="shared" si="78"/>
        <v>3</v>
      </c>
      <c r="L516" s="38">
        <f t="shared" si="81"/>
        <v>6725</v>
      </c>
      <c r="M516" s="42">
        <f>L516*SUM(K516,K519)</f>
        <v>80700</v>
      </c>
      <c r="N516" s="288"/>
      <c r="O516" s="241"/>
      <c r="P516" s="40"/>
      <c r="Q516" s="42"/>
      <c r="R516" s="288"/>
      <c r="S516" s="86"/>
      <c r="T516" s="86"/>
      <c r="U516" s="86"/>
      <c r="V516" s="288"/>
      <c r="W516" s="67"/>
      <c r="X516" s="86"/>
      <c r="Y516" s="86"/>
    </row>
    <row r="517" spans="1:25" x14ac:dyDescent="0.25">
      <c r="A517" s="21">
        <v>512</v>
      </c>
      <c r="B517" s="19" t="s">
        <v>254</v>
      </c>
      <c r="C517" s="89">
        <v>0</v>
      </c>
      <c r="D517" s="23">
        <v>0</v>
      </c>
      <c r="E517" s="84">
        <f>SUM('1501 Summary'!G308:W308)</f>
        <v>0</v>
      </c>
      <c r="F517" s="288"/>
      <c r="G517" s="69"/>
      <c r="H517" s="69"/>
      <c r="I517" s="69"/>
      <c r="J517" s="288"/>
      <c r="K517" s="41"/>
      <c r="L517" s="46"/>
      <c r="M517" s="42"/>
      <c r="N517" s="288"/>
      <c r="O517" s="42"/>
      <c r="P517" s="40"/>
      <c r="Q517" s="42"/>
      <c r="R517" s="288"/>
      <c r="S517" s="86"/>
      <c r="T517" s="86"/>
      <c r="U517" s="86"/>
      <c r="V517" s="288"/>
      <c r="W517" s="67"/>
      <c r="X517" s="86"/>
      <c r="Y517" s="86"/>
    </row>
    <row r="518" spans="1:25" x14ac:dyDescent="0.25">
      <c r="A518" s="21">
        <v>513</v>
      </c>
      <c r="B518" s="19" t="s">
        <v>255</v>
      </c>
      <c r="C518" s="89">
        <f t="shared" si="82"/>
        <v>2584425</v>
      </c>
      <c r="D518" s="259">
        <v>4.0000000000000002E-4</v>
      </c>
      <c r="E518" s="84">
        <f>SUM('1501 Summary'!Y308:AC308)</f>
        <v>1033.77</v>
      </c>
      <c r="F518" s="288"/>
      <c r="G518" s="69"/>
      <c r="H518" s="69"/>
      <c r="I518" s="69"/>
      <c r="J518" s="288"/>
      <c r="K518" s="41">
        <f t="shared" si="78"/>
        <v>2584425</v>
      </c>
      <c r="L518" s="46">
        <f t="shared" si="81"/>
        <v>4.0000000000000002E-4</v>
      </c>
      <c r="M518" s="42">
        <f>L518*SUM(K518,K521)</f>
        <v>4936.8100000000004</v>
      </c>
      <c r="N518" s="288"/>
      <c r="O518" s="241"/>
      <c r="P518" s="40"/>
      <c r="Q518" s="42"/>
      <c r="R518" s="288"/>
      <c r="S518" s="86"/>
      <c r="T518" s="86"/>
      <c r="U518" s="86"/>
      <c r="V518" s="288"/>
      <c r="W518" s="218"/>
      <c r="X518" s="86"/>
      <c r="Y518" s="86"/>
    </row>
    <row r="519" spans="1:25" x14ac:dyDescent="0.25">
      <c r="A519" s="21">
        <v>514</v>
      </c>
      <c r="B519" s="19" t="s">
        <v>248</v>
      </c>
      <c r="C519" s="89">
        <f t="shared" si="82"/>
        <v>9</v>
      </c>
      <c r="D519" s="67">
        <v>6725</v>
      </c>
      <c r="E519" s="84">
        <f>SUM('1501 Summary'!G309:W309)</f>
        <v>60525</v>
      </c>
      <c r="F519" s="288"/>
      <c r="G519" s="69"/>
      <c r="H519" s="69"/>
      <c r="I519" s="69"/>
      <c r="J519" s="288"/>
      <c r="K519" s="41">
        <f t="shared" si="78"/>
        <v>9</v>
      </c>
      <c r="L519" s="38"/>
      <c r="M519" s="42"/>
      <c r="N519" s="288"/>
      <c r="O519" s="42"/>
      <c r="P519" s="40"/>
      <c r="Q519" s="42"/>
      <c r="R519" s="288"/>
      <c r="S519" s="86"/>
      <c r="T519" s="86"/>
      <c r="U519" s="86"/>
      <c r="V519" s="288"/>
      <c r="W519" s="218"/>
      <c r="X519" s="86"/>
      <c r="Y519" s="86"/>
    </row>
    <row r="520" spans="1:25" x14ac:dyDescent="0.25">
      <c r="A520" s="21">
        <v>515</v>
      </c>
      <c r="B520" s="19" t="s">
        <v>249</v>
      </c>
      <c r="C520" s="89">
        <v>0</v>
      </c>
      <c r="D520" s="23">
        <v>0</v>
      </c>
      <c r="E520" s="84">
        <f>SUM('1501 Summary'!Y309:AC309)</f>
        <v>0</v>
      </c>
      <c r="F520" s="288"/>
      <c r="G520" s="69"/>
      <c r="H520" s="69"/>
      <c r="I520" s="69"/>
      <c r="J520" s="288"/>
      <c r="K520" s="41"/>
      <c r="L520" s="46"/>
      <c r="M520" s="42"/>
      <c r="N520" s="288"/>
      <c r="O520" s="42"/>
      <c r="P520" s="40"/>
      <c r="Q520" s="42"/>
      <c r="R520" s="288"/>
      <c r="S520" s="86"/>
      <c r="T520" s="86"/>
      <c r="U520" s="86"/>
      <c r="V520" s="288"/>
      <c r="W520" s="218"/>
      <c r="X520" s="86"/>
      <c r="Y520" s="86"/>
    </row>
    <row r="521" spans="1:25" x14ac:dyDescent="0.25">
      <c r="A521" s="21">
        <v>516</v>
      </c>
      <c r="B521" s="19" t="s">
        <v>337</v>
      </c>
      <c r="C521" s="89">
        <f t="shared" si="82"/>
        <v>9757600</v>
      </c>
      <c r="D521" s="259">
        <v>2.0000000000000001E-4</v>
      </c>
      <c r="E521" s="84">
        <f>SUM('1501 Summary'!G310:W310)</f>
        <v>1951.5200000000002</v>
      </c>
      <c r="F521" s="288"/>
      <c r="G521" s="69"/>
      <c r="H521" s="69"/>
      <c r="I521" s="69"/>
      <c r="J521" s="288"/>
      <c r="K521" s="41">
        <f t="shared" si="78"/>
        <v>9757600</v>
      </c>
      <c r="L521" s="46"/>
      <c r="M521" s="42"/>
      <c r="N521" s="288"/>
      <c r="O521" s="42"/>
      <c r="P521" s="40"/>
      <c r="Q521" s="42"/>
      <c r="R521" s="288"/>
      <c r="S521" s="86"/>
      <c r="T521" s="86"/>
      <c r="U521" s="86"/>
      <c r="V521" s="288"/>
      <c r="W521" s="218"/>
      <c r="X521" s="86"/>
      <c r="Y521" s="86"/>
    </row>
    <row r="522" spans="1:25" x14ac:dyDescent="0.25">
      <c r="A522" s="21">
        <v>517</v>
      </c>
      <c r="B522" s="19" t="s">
        <v>342</v>
      </c>
      <c r="C522" s="89">
        <v>0</v>
      </c>
      <c r="D522" s="23">
        <v>0</v>
      </c>
      <c r="E522" s="84">
        <f>SUM('1501 Summary'!Y310:AC310)</f>
        <v>0</v>
      </c>
      <c r="F522" s="288"/>
      <c r="G522" s="69"/>
      <c r="H522" s="69"/>
      <c r="I522" s="69"/>
      <c r="J522" s="288"/>
      <c r="K522" s="41"/>
      <c r="L522" s="46"/>
      <c r="M522" s="42"/>
      <c r="N522" s="288"/>
      <c r="O522" s="42"/>
      <c r="P522" s="40"/>
      <c r="Q522" s="42"/>
      <c r="R522" s="288"/>
      <c r="S522" s="86"/>
      <c r="T522" s="86"/>
      <c r="U522" s="86"/>
      <c r="V522" s="288"/>
      <c r="W522" s="218"/>
      <c r="X522" s="86"/>
      <c r="Y522" s="86"/>
    </row>
    <row r="523" spans="1:25" x14ac:dyDescent="0.25">
      <c r="A523" s="21">
        <v>518</v>
      </c>
      <c r="B523" s="19" t="s">
        <v>258</v>
      </c>
      <c r="C523" s="89">
        <f t="shared" si="82"/>
        <v>9757645.506663125</v>
      </c>
      <c r="D523" s="261">
        <v>1.0535599999999999E-2</v>
      </c>
      <c r="E523" s="84">
        <f>SUM('1501 Summary'!G311:W311)</f>
        <v>102802.65000000001</v>
      </c>
      <c r="F523" s="288"/>
      <c r="G523" s="69"/>
      <c r="H523" s="69"/>
      <c r="I523" s="69"/>
      <c r="J523" s="288"/>
      <c r="K523" s="41">
        <f t="shared" si="78"/>
        <v>9757645.506663125</v>
      </c>
      <c r="L523" s="46"/>
      <c r="M523" s="42"/>
      <c r="N523" s="288"/>
      <c r="O523" s="42"/>
      <c r="P523" s="40"/>
      <c r="Q523" s="42"/>
      <c r="R523" s="288"/>
      <c r="S523" s="86"/>
      <c r="T523" s="86"/>
      <c r="U523" s="86"/>
      <c r="V523" s="288"/>
      <c r="W523" s="218"/>
      <c r="X523" s="86"/>
      <c r="Y523" s="86"/>
    </row>
    <row r="524" spans="1:25" x14ac:dyDescent="0.25">
      <c r="A524" s="21">
        <v>519</v>
      </c>
      <c r="B524" s="110" t="s">
        <v>257</v>
      </c>
      <c r="C524" s="89">
        <f t="shared" si="82"/>
        <v>2553788.8221674925</v>
      </c>
      <c r="D524" s="261">
        <v>1.0841099999999999E-2</v>
      </c>
      <c r="E524" s="145">
        <f>SUM('1501 Summary'!Y311:AC311)</f>
        <v>27685.88</v>
      </c>
      <c r="F524" s="288"/>
      <c r="G524" s="69"/>
      <c r="H524" s="69"/>
      <c r="I524" s="69"/>
      <c r="J524" s="288"/>
      <c r="K524" s="41">
        <f t="shared" si="78"/>
        <v>2553788.8221674925</v>
      </c>
      <c r="L524" s="46">
        <f t="shared" si="81"/>
        <v>1.0841099999999999E-2</v>
      </c>
      <c r="M524" s="65">
        <f>L524*SUM(K524,K523)</f>
        <v>133469.49070228561</v>
      </c>
      <c r="N524" s="288"/>
      <c r="O524" s="241"/>
      <c r="P524" s="40"/>
      <c r="Q524" s="42"/>
      <c r="R524" s="288"/>
      <c r="S524" s="86"/>
      <c r="T524" s="86"/>
      <c r="U524" s="86"/>
      <c r="V524" s="288"/>
      <c r="W524" s="218"/>
      <c r="X524" s="86"/>
      <c r="Y524" s="86"/>
    </row>
    <row r="525" spans="1:25" x14ac:dyDescent="0.25">
      <c r="A525" s="21">
        <v>520</v>
      </c>
      <c r="B525" s="19" t="s">
        <v>10</v>
      </c>
      <c r="E525" s="84">
        <f>SUM(E513:E524)</f>
        <v>220548.82</v>
      </c>
      <c r="F525" s="288"/>
      <c r="G525" s="69"/>
      <c r="H525" s="69"/>
      <c r="I525" s="69"/>
      <c r="J525" s="288"/>
      <c r="K525" s="41"/>
      <c r="L525" s="46"/>
      <c r="M525" s="42">
        <f>SUM(M513:M524)</f>
        <v>226606.3007022856</v>
      </c>
      <c r="N525" s="288"/>
      <c r="O525" s="42"/>
      <c r="P525" s="42"/>
      <c r="Q525" s="42"/>
      <c r="R525" s="288"/>
      <c r="S525" s="83"/>
      <c r="T525" s="83"/>
      <c r="U525" s="83"/>
      <c r="V525" s="288"/>
      <c r="W525" s="67"/>
      <c r="X525" s="86"/>
      <c r="Y525" s="86"/>
    </row>
    <row r="526" spans="1:25" x14ac:dyDescent="0.25">
      <c r="A526" s="21">
        <v>521</v>
      </c>
      <c r="B526" s="18"/>
      <c r="E526" s="84"/>
      <c r="F526" s="288"/>
      <c r="G526" s="69"/>
      <c r="H526" s="69"/>
      <c r="I526" s="69"/>
      <c r="J526" s="288"/>
      <c r="K526" s="41"/>
      <c r="L526" s="46"/>
      <c r="M526" s="42"/>
      <c r="N526" s="288"/>
      <c r="O526" s="42"/>
      <c r="P526" s="42"/>
      <c r="Q526" s="42"/>
      <c r="R526" s="288"/>
      <c r="V526" s="288"/>
      <c r="W526" s="67"/>
      <c r="X526" s="86"/>
    </row>
    <row r="527" spans="1:25" x14ac:dyDescent="0.25">
      <c r="A527" s="21">
        <v>522</v>
      </c>
      <c r="B527" s="19" t="s">
        <v>12</v>
      </c>
      <c r="E527" s="84"/>
      <c r="F527" s="288"/>
      <c r="G527" s="69"/>
      <c r="H527" s="69"/>
      <c r="I527" s="69"/>
      <c r="J527" s="288"/>
      <c r="K527" s="41"/>
      <c r="L527" s="46"/>
      <c r="M527" s="42"/>
      <c r="N527" s="288"/>
      <c r="O527" s="42"/>
      <c r="P527" s="42"/>
      <c r="Q527" s="42"/>
      <c r="R527" s="288"/>
      <c r="V527" s="288"/>
      <c r="W527" s="67"/>
      <c r="X527" s="86"/>
    </row>
    <row r="528" spans="1:25" x14ac:dyDescent="0.25">
      <c r="A528" s="21">
        <v>523</v>
      </c>
      <c r="B528" s="19" t="s">
        <v>20</v>
      </c>
      <c r="E528" s="84">
        <f>'1501 Summary'!AD312</f>
        <v>9830.3299999999981</v>
      </c>
      <c r="F528" s="288"/>
      <c r="G528" s="69"/>
      <c r="H528" s="69"/>
      <c r="I528" s="69"/>
      <c r="J528" s="288"/>
      <c r="K528" s="41"/>
      <c r="L528" s="46"/>
      <c r="M528" s="42"/>
      <c r="N528" s="288"/>
      <c r="O528" s="42"/>
      <c r="P528" s="42"/>
      <c r="Q528" s="42"/>
      <c r="R528" s="288"/>
      <c r="V528" s="288"/>
      <c r="W528" s="67"/>
      <c r="X528" s="86"/>
    </row>
    <row r="529" spans="1:25" x14ac:dyDescent="0.25">
      <c r="A529" s="21">
        <v>524</v>
      </c>
      <c r="B529" s="19" t="s">
        <v>245</v>
      </c>
      <c r="E529" s="84">
        <f>'1501 Summary'!AD313</f>
        <v>4507.99</v>
      </c>
      <c r="F529" s="288"/>
      <c r="G529" s="69"/>
      <c r="H529" s="69"/>
      <c r="I529" s="69"/>
      <c r="J529" s="288"/>
      <c r="K529" s="41"/>
      <c r="L529" s="46"/>
      <c r="M529" s="42"/>
      <c r="N529" s="288"/>
      <c r="O529" s="42"/>
      <c r="P529" s="42"/>
      <c r="Q529" s="42"/>
      <c r="R529" s="288"/>
      <c r="V529" s="288"/>
      <c r="W529" s="67"/>
      <c r="X529" s="86"/>
    </row>
    <row r="530" spans="1:25" x14ac:dyDescent="0.25">
      <c r="A530" s="21">
        <v>525</v>
      </c>
      <c r="B530" s="6" t="s">
        <v>55</v>
      </c>
      <c r="E530" s="84">
        <f>'Rev Recon Summary'!R340</f>
        <v>-230385.84999999998</v>
      </c>
      <c r="F530" s="288"/>
      <c r="G530" s="69"/>
      <c r="H530" s="69"/>
      <c r="I530" s="69"/>
      <c r="J530" s="288"/>
      <c r="K530" s="41"/>
      <c r="L530" s="46"/>
      <c r="M530" s="42"/>
      <c r="N530" s="288"/>
      <c r="O530" s="42"/>
      <c r="P530" s="42"/>
      <c r="Q530" s="42"/>
      <c r="R530" s="288"/>
      <c r="V530" s="288"/>
      <c r="W530" s="67"/>
      <c r="X530" s="86"/>
    </row>
    <row r="531" spans="1:25" x14ac:dyDescent="0.25">
      <c r="A531" s="21">
        <v>526</v>
      </c>
      <c r="B531" s="6" t="s">
        <v>56</v>
      </c>
      <c r="E531" s="145">
        <f>'Rev Recon Summary'!R341</f>
        <v>231919.04</v>
      </c>
      <c r="F531" s="288"/>
      <c r="G531" s="69"/>
      <c r="H531" s="69"/>
      <c r="I531" s="69"/>
      <c r="J531" s="288"/>
      <c r="K531" s="41"/>
      <c r="L531" s="46"/>
      <c r="M531" s="42"/>
      <c r="N531" s="288"/>
      <c r="O531" s="42"/>
      <c r="P531" s="42"/>
      <c r="Q531" s="42"/>
      <c r="R531" s="288"/>
      <c r="V531" s="288"/>
      <c r="W531" s="67"/>
      <c r="X531" s="86"/>
    </row>
    <row r="532" spans="1:25" x14ac:dyDescent="0.25">
      <c r="A532" s="21">
        <v>527</v>
      </c>
      <c r="B532" s="18" t="s">
        <v>93</v>
      </c>
      <c r="E532" s="84">
        <f>SUM(E529:E531)</f>
        <v>6041.1800000000221</v>
      </c>
      <c r="F532" s="288"/>
      <c r="G532" s="69"/>
      <c r="H532" s="69"/>
      <c r="I532" s="69"/>
      <c r="J532" s="288"/>
      <c r="K532" s="41"/>
      <c r="L532" s="46"/>
      <c r="M532" s="42"/>
      <c r="N532" s="288"/>
      <c r="O532" s="42"/>
      <c r="P532" s="42"/>
      <c r="Q532" s="42"/>
      <c r="R532" s="288"/>
      <c r="V532" s="288"/>
      <c r="W532" s="67"/>
      <c r="X532" s="86"/>
    </row>
    <row r="533" spans="1:25" x14ac:dyDescent="0.25">
      <c r="A533" s="21">
        <v>528</v>
      </c>
      <c r="B533" s="6"/>
      <c r="E533" s="84"/>
      <c r="F533" s="281"/>
      <c r="G533" s="42"/>
      <c r="H533" s="42"/>
      <c r="I533" s="42"/>
      <c r="J533" s="281"/>
      <c r="K533" s="41"/>
      <c r="L533" s="46"/>
      <c r="M533" s="42"/>
      <c r="N533" s="281"/>
      <c r="O533" s="42"/>
      <c r="P533" s="42"/>
      <c r="Q533" s="42"/>
      <c r="R533" s="281"/>
      <c r="V533" s="281"/>
      <c r="W533" s="67"/>
      <c r="X533" s="86"/>
    </row>
    <row r="534" spans="1:25" x14ac:dyDescent="0.25">
      <c r="A534" s="21">
        <v>529</v>
      </c>
      <c r="B534" s="104" t="s">
        <v>169</v>
      </c>
      <c r="C534" s="39">
        <f>E534-'Rev Recon Summary'!R342</f>
        <v>0</v>
      </c>
      <c r="D534" s="105" t="s">
        <v>45</v>
      </c>
      <c r="E534" s="145">
        <f>SUM(E525,E528,E532)</f>
        <v>236420.33000000002</v>
      </c>
      <c r="F534" s="282"/>
      <c r="G534" s="65"/>
      <c r="H534" s="65"/>
      <c r="I534" s="65"/>
      <c r="J534" s="282"/>
      <c r="K534" s="101"/>
      <c r="L534" s="134"/>
      <c r="M534" s="65"/>
      <c r="N534" s="282"/>
      <c r="O534" s="65"/>
      <c r="P534" s="65"/>
      <c r="Q534" s="65"/>
      <c r="R534" s="282"/>
      <c r="S534" s="105"/>
      <c r="T534" s="105"/>
      <c r="U534" s="105"/>
      <c r="V534" s="282"/>
      <c r="W534" s="85"/>
      <c r="X534" s="88"/>
      <c r="Y534" s="105"/>
    </row>
    <row r="535" spans="1:25" x14ac:dyDescent="0.25">
      <c r="A535" s="21">
        <v>530</v>
      </c>
      <c r="E535" s="42"/>
      <c r="F535" s="281"/>
      <c r="G535" s="42"/>
      <c r="H535" s="42"/>
      <c r="I535" s="42"/>
      <c r="J535" s="281"/>
      <c r="K535" s="41"/>
      <c r="L535" s="46"/>
      <c r="M535" s="42"/>
      <c r="N535" s="281"/>
      <c r="O535" s="42"/>
      <c r="P535" s="42"/>
      <c r="Q535" s="42"/>
      <c r="R535" s="281"/>
      <c r="V535" s="281"/>
      <c r="W535" s="67"/>
      <c r="X535" s="86"/>
    </row>
    <row r="536" spans="1:25" x14ac:dyDescent="0.25">
      <c r="A536" s="21">
        <v>531</v>
      </c>
      <c r="B536" s="30" t="s">
        <v>182</v>
      </c>
      <c r="E536" s="42"/>
      <c r="F536" s="281"/>
      <c r="G536" s="42" t="s">
        <v>446</v>
      </c>
      <c r="H536" s="42"/>
      <c r="I536" s="42"/>
      <c r="J536" s="281"/>
      <c r="K536" s="41"/>
      <c r="L536" s="46"/>
      <c r="M536" s="42"/>
      <c r="N536" s="281"/>
      <c r="O536" s="42"/>
      <c r="P536" s="42"/>
      <c r="Q536" s="42"/>
      <c r="R536" s="281"/>
      <c r="V536" s="281"/>
      <c r="W536" s="67"/>
      <c r="X536" s="86"/>
    </row>
    <row r="537" spans="1:25" x14ac:dyDescent="0.25">
      <c r="A537" s="21">
        <v>532</v>
      </c>
      <c r="B537" s="64" t="s">
        <v>268</v>
      </c>
      <c r="C537" s="174">
        <f>E537/D537</f>
        <v>8</v>
      </c>
      <c r="D537" s="67">
        <v>500</v>
      </c>
      <c r="E537" s="42">
        <f>SUM('1501 Summary'!G320,'1501 Summary'!I320,'1501 Summary'!K320,'1501 Summary'!M320,'1501 Summary'!O320,'1501 Summary'!Q320,'1501 Summary'!S320,'1501 Summary'!U320)</f>
        <v>4000</v>
      </c>
      <c r="F537" s="275"/>
      <c r="G537" s="100">
        <f>-C537</f>
        <v>-8</v>
      </c>
      <c r="H537" s="38">
        <f>D537</f>
        <v>500</v>
      </c>
      <c r="I537" s="38">
        <f>H537*G537</f>
        <v>-4000</v>
      </c>
      <c r="J537" s="275"/>
      <c r="K537" s="41">
        <f t="shared" ref="K537:K579" si="83">C537+G537</f>
        <v>0</v>
      </c>
      <c r="L537" s="38">
        <f t="shared" si="81"/>
        <v>500</v>
      </c>
      <c r="M537" s="42">
        <f t="shared" ref="M537:M579" si="84">L537*K537</f>
        <v>0</v>
      </c>
      <c r="N537" s="275"/>
      <c r="O537" s="42"/>
      <c r="P537" s="42"/>
      <c r="Q537" s="42"/>
      <c r="R537" s="275"/>
      <c r="S537" s="86"/>
      <c r="T537" s="86"/>
      <c r="U537" s="86"/>
      <c r="V537" s="275"/>
      <c r="W537" s="67"/>
      <c r="X537" s="86"/>
      <c r="Y537" s="86"/>
    </row>
    <row r="538" spans="1:25" x14ac:dyDescent="0.25">
      <c r="A538" s="21">
        <v>533</v>
      </c>
      <c r="B538" s="64" t="s">
        <v>273</v>
      </c>
      <c r="C538" s="174">
        <f t="shared" ref="C538:C544" si="85">E538/D538</f>
        <v>7</v>
      </c>
      <c r="D538" s="67">
        <v>625</v>
      </c>
      <c r="E538" s="42">
        <f>SUM('1501 Summary'!W320,'1501 Summary'!Y320,'1501 Summary'!AA320,'1501 Summary'!AC320)</f>
        <v>4375</v>
      </c>
      <c r="F538" s="275"/>
      <c r="G538" s="100">
        <f t="shared" ref="G538:G544" si="86">-C538</f>
        <v>-7</v>
      </c>
      <c r="H538" s="38">
        <f t="shared" ref="H538:H544" si="87">D538</f>
        <v>625</v>
      </c>
      <c r="I538" s="38">
        <f t="shared" ref="I538:I544" si="88">H538*G538</f>
        <v>-4375</v>
      </c>
      <c r="J538" s="275"/>
      <c r="K538" s="41">
        <f t="shared" si="83"/>
        <v>0</v>
      </c>
      <c r="L538" s="38">
        <f t="shared" si="81"/>
        <v>625</v>
      </c>
      <c r="M538" s="42">
        <f t="shared" si="84"/>
        <v>0</v>
      </c>
      <c r="N538" s="275"/>
      <c r="O538" s="42"/>
      <c r="P538" s="42"/>
      <c r="Q538" s="42"/>
      <c r="R538" s="275"/>
      <c r="S538" s="86"/>
      <c r="T538" s="86"/>
      <c r="U538" s="86"/>
      <c r="V538" s="275"/>
      <c r="W538" s="67"/>
      <c r="X538" s="86"/>
      <c r="Y538" s="86"/>
    </row>
    <row r="539" spans="1:25" x14ac:dyDescent="0.25">
      <c r="A539" s="21">
        <v>534</v>
      </c>
      <c r="B539" s="60" t="s">
        <v>249</v>
      </c>
      <c r="C539" s="41">
        <f>E539/D539</f>
        <v>1560000</v>
      </c>
      <c r="D539" s="248">
        <v>0.2</v>
      </c>
      <c r="E539" s="42">
        <f>SUM('1501 Summary'!Y321,'1501 Summary'!AA321,'1501 Summary'!AC321)</f>
        <v>312000</v>
      </c>
      <c r="F539" s="275"/>
      <c r="G539" s="100">
        <f t="shared" si="86"/>
        <v>-1560000</v>
      </c>
      <c r="H539" s="38">
        <f t="shared" si="87"/>
        <v>0.2</v>
      </c>
      <c r="I539" s="38">
        <f t="shared" si="88"/>
        <v>-312000</v>
      </c>
      <c r="J539" s="275"/>
      <c r="K539" s="41">
        <f t="shared" si="83"/>
        <v>0</v>
      </c>
      <c r="L539" s="46">
        <f t="shared" si="81"/>
        <v>0.2</v>
      </c>
      <c r="M539" s="42">
        <f t="shared" si="84"/>
        <v>0</v>
      </c>
      <c r="N539" s="275"/>
      <c r="O539" s="42"/>
      <c r="P539" s="42"/>
      <c r="Q539" s="42"/>
      <c r="R539" s="275"/>
      <c r="S539" s="86"/>
      <c r="T539" s="86"/>
      <c r="U539" s="86"/>
      <c r="V539" s="275"/>
      <c r="W539" s="67"/>
      <c r="X539" s="86"/>
      <c r="Y539" s="86"/>
    </row>
    <row r="540" spans="1:25" x14ac:dyDescent="0.25">
      <c r="A540" s="21">
        <v>535</v>
      </c>
      <c r="B540" s="60" t="s">
        <v>255</v>
      </c>
      <c r="C540" s="41">
        <f t="shared" si="85"/>
        <v>23103999.999999996</v>
      </c>
      <c r="D540" s="81">
        <v>4.0000000000000002E-4</v>
      </c>
      <c r="E540" s="42">
        <f>SUM('1501 Summary'!Y322,'1501 Summary'!AA322,'1501 Summary'!AC322)</f>
        <v>9241.5999999999985</v>
      </c>
      <c r="F540" s="275"/>
      <c r="G540" s="100">
        <f t="shared" si="86"/>
        <v>-23103999.999999996</v>
      </c>
      <c r="H540" s="38">
        <f t="shared" si="87"/>
        <v>4.0000000000000002E-4</v>
      </c>
      <c r="I540" s="38">
        <f t="shared" si="88"/>
        <v>-9241.5999999999985</v>
      </c>
      <c r="J540" s="275"/>
      <c r="K540" s="41">
        <f t="shared" si="83"/>
        <v>0</v>
      </c>
      <c r="L540" s="46">
        <f t="shared" si="81"/>
        <v>4.0000000000000002E-4</v>
      </c>
      <c r="M540" s="42">
        <f t="shared" si="84"/>
        <v>0</v>
      </c>
      <c r="N540" s="275"/>
      <c r="O540" s="42"/>
      <c r="P540" s="42"/>
      <c r="Q540" s="42"/>
      <c r="R540" s="275"/>
      <c r="S540" s="86"/>
      <c r="T540" s="86"/>
      <c r="U540" s="86"/>
      <c r="V540" s="275"/>
      <c r="W540" s="67"/>
      <c r="X540" s="86"/>
      <c r="Y540" s="86"/>
    </row>
    <row r="541" spans="1:25" x14ac:dyDescent="0.25">
      <c r="A541" s="21">
        <v>536</v>
      </c>
      <c r="B541" s="60" t="s">
        <v>280</v>
      </c>
      <c r="C541" s="41">
        <f t="shared" si="85"/>
        <v>276766.08516225847</v>
      </c>
      <c r="D541" s="81">
        <v>5.3310000000000003E-2</v>
      </c>
      <c r="E541" s="42">
        <f>SUM('1501 Summary'!Y323,'1501 Summary'!AA323,'1501 Summary'!AC323)</f>
        <v>14754.4</v>
      </c>
      <c r="F541" s="275"/>
      <c r="G541" s="100">
        <f t="shared" si="86"/>
        <v>-276766.08516225847</v>
      </c>
      <c r="H541" s="38">
        <f t="shared" si="87"/>
        <v>5.3310000000000003E-2</v>
      </c>
      <c r="I541" s="38">
        <f t="shared" si="88"/>
        <v>-14754.4</v>
      </c>
      <c r="J541" s="275"/>
      <c r="K541" s="41">
        <f t="shared" si="83"/>
        <v>0</v>
      </c>
      <c r="L541" s="46">
        <f t="shared" si="81"/>
        <v>5.3310000000000003E-2</v>
      </c>
      <c r="M541" s="42">
        <f t="shared" si="84"/>
        <v>0</v>
      </c>
      <c r="N541" s="275"/>
      <c r="O541" s="42"/>
      <c r="P541" s="42"/>
      <c r="Q541" s="42"/>
      <c r="R541" s="275"/>
      <c r="S541" s="86"/>
      <c r="T541" s="86"/>
      <c r="U541" s="86"/>
      <c r="V541" s="275"/>
      <c r="W541" s="67"/>
      <c r="X541" s="86"/>
      <c r="Y541" s="86"/>
    </row>
    <row r="542" spans="1:25" x14ac:dyDescent="0.25">
      <c r="A542" s="21">
        <v>537</v>
      </c>
      <c r="B542" s="60" t="s">
        <v>281</v>
      </c>
      <c r="C542" s="41">
        <f t="shared" si="85"/>
        <v>400000.00000000006</v>
      </c>
      <c r="D542" s="81">
        <v>1.9449999999999999E-2</v>
      </c>
      <c r="E542" s="42">
        <f>SUM('1501 Summary'!Y324,'1501 Summary'!AA324,'1501 Summary'!AC324)</f>
        <v>7780</v>
      </c>
      <c r="F542" s="275"/>
      <c r="G542" s="100">
        <f t="shared" si="86"/>
        <v>-400000.00000000006</v>
      </c>
      <c r="H542" s="38">
        <f t="shared" si="87"/>
        <v>1.9449999999999999E-2</v>
      </c>
      <c r="I542" s="38">
        <f t="shared" si="88"/>
        <v>-7780.0000000000009</v>
      </c>
      <c r="J542" s="275"/>
      <c r="K542" s="41">
        <f t="shared" si="83"/>
        <v>0</v>
      </c>
      <c r="L542" s="46">
        <f t="shared" si="81"/>
        <v>1.9449999999999999E-2</v>
      </c>
      <c r="M542" s="42">
        <f t="shared" si="84"/>
        <v>0</v>
      </c>
      <c r="N542" s="275"/>
      <c r="O542" s="42"/>
      <c r="P542" s="42"/>
      <c r="Q542" s="42"/>
      <c r="R542" s="275"/>
      <c r="S542" s="86"/>
      <c r="T542" s="86"/>
      <c r="U542" s="86"/>
      <c r="V542" s="275"/>
      <c r="W542" s="67"/>
      <c r="X542" s="86"/>
      <c r="Y542" s="86"/>
    </row>
    <row r="543" spans="1:25" x14ac:dyDescent="0.25">
      <c r="A543" s="21">
        <v>538</v>
      </c>
      <c r="B543" s="60" t="s">
        <v>281</v>
      </c>
      <c r="C543" s="41">
        <f t="shared" si="85"/>
        <v>400000</v>
      </c>
      <c r="D543" s="81">
        <v>1.1820000000000001E-2</v>
      </c>
      <c r="E543" s="42">
        <f>SUM('1501 Summary'!Y325,'1501 Summary'!AA325,'1501 Summary'!AC325)</f>
        <v>4728</v>
      </c>
      <c r="F543" s="275"/>
      <c r="G543" s="100">
        <f t="shared" si="86"/>
        <v>-400000</v>
      </c>
      <c r="H543" s="38">
        <f t="shared" si="87"/>
        <v>1.1820000000000001E-2</v>
      </c>
      <c r="I543" s="38">
        <f t="shared" si="88"/>
        <v>-4728</v>
      </c>
      <c r="J543" s="275"/>
      <c r="K543" s="41">
        <f t="shared" si="83"/>
        <v>0</v>
      </c>
      <c r="L543" s="46">
        <f t="shared" si="81"/>
        <v>1.1820000000000001E-2</v>
      </c>
      <c r="M543" s="42">
        <f t="shared" si="84"/>
        <v>0</v>
      </c>
      <c r="N543" s="275"/>
      <c r="O543" s="42"/>
      <c r="P543" s="42"/>
      <c r="Q543" s="42"/>
      <c r="R543" s="275"/>
      <c r="S543" s="86"/>
      <c r="T543" s="86"/>
      <c r="U543" s="86"/>
      <c r="V543" s="275"/>
      <c r="W543" s="67"/>
      <c r="X543" s="86"/>
      <c r="Y543" s="86"/>
    </row>
    <row r="544" spans="1:25" x14ac:dyDescent="0.25">
      <c r="A544" s="21">
        <v>539</v>
      </c>
      <c r="B544" s="262" t="s">
        <v>282</v>
      </c>
      <c r="C544" s="41">
        <f t="shared" si="85"/>
        <v>22027225.978647687</v>
      </c>
      <c r="D544" s="81">
        <v>5.62E-3</v>
      </c>
      <c r="E544" s="65">
        <f>SUM('1501 Summary'!Y326,'1501 Summary'!AA326,'1501 Summary'!AC326)</f>
        <v>123793.01</v>
      </c>
      <c r="F544" s="275"/>
      <c r="G544" s="100">
        <f t="shared" si="86"/>
        <v>-22027225.978647687</v>
      </c>
      <c r="H544" s="38">
        <f t="shared" si="87"/>
        <v>5.62E-3</v>
      </c>
      <c r="I544" s="39">
        <f t="shared" si="88"/>
        <v>-123793.01</v>
      </c>
      <c r="J544" s="275"/>
      <c r="K544" s="41">
        <f t="shared" si="83"/>
        <v>0</v>
      </c>
      <c r="L544" s="46">
        <f t="shared" si="81"/>
        <v>5.62E-3</v>
      </c>
      <c r="M544" s="65">
        <f t="shared" si="84"/>
        <v>0</v>
      </c>
      <c r="N544" s="275"/>
      <c r="O544" s="42"/>
      <c r="P544" s="42"/>
      <c r="Q544" s="42"/>
      <c r="R544" s="275"/>
      <c r="S544" s="86"/>
      <c r="T544" s="86"/>
      <c r="U544" s="86"/>
      <c r="V544" s="275"/>
      <c r="W544" s="67"/>
      <c r="X544" s="86"/>
      <c r="Y544" s="86"/>
    </row>
    <row r="545" spans="1:25" x14ac:dyDescent="0.25">
      <c r="A545" s="21">
        <v>540</v>
      </c>
      <c r="B545" s="19" t="s">
        <v>10</v>
      </c>
      <c r="E545" s="42">
        <f>SUM(E537:E544)</f>
        <v>480672.01</v>
      </c>
      <c r="F545" s="275"/>
      <c r="G545" s="38"/>
      <c r="H545" s="38"/>
      <c r="I545" s="38">
        <f>SUM(I537:I544)</f>
        <v>-480672.01</v>
      </c>
      <c r="J545" s="275"/>
      <c r="K545" s="41"/>
      <c r="L545" s="46"/>
      <c r="M545" s="42">
        <f>SUM(M537:M544)</f>
        <v>0</v>
      </c>
      <c r="N545" s="275"/>
      <c r="O545" s="42"/>
      <c r="P545" s="42"/>
      <c r="Q545" s="42"/>
      <c r="R545" s="275"/>
      <c r="S545" s="86"/>
      <c r="T545" s="86"/>
      <c r="U545" s="86"/>
      <c r="V545" s="275"/>
      <c r="W545" s="67"/>
      <c r="X545" s="86"/>
      <c r="Y545" s="86"/>
    </row>
    <row r="546" spans="1:25" x14ac:dyDescent="0.25">
      <c r="A546" s="21">
        <v>541</v>
      </c>
      <c r="B546" s="60"/>
      <c r="E546" s="42"/>
      <c r="F546" s="281"/>
      <c r="G546" s="42"/>
      <c r="H546" s="42"/>
      <c r="I546" s="42"/>
      <c r="J546" s="281"/>
      <c r="K546" s="41"/>
      <c r="L546" s="46"/>
      <c r="M546" s="38"/>
      <c r="N546" s="281"/>
      <c r="O546" s="42"/>
      <c r="P546" s="42"/>
      <c r="Q546" s="42"/>
      <c r="R546" s="281"/>
      <c r="V546" s="281"/>
      <c r="W546" s="67"/>
      <c r="X546" s="86"/>
    </row>
    <row r="547" spans="1:25" x14ac:dyDescent="0.25">
      <c r="A547" s="21">
        <v>542</v>
      </c>
      <c r="B547" s="19" t="s">
        <v>12</v>
      </c>
      <c r="E547" s="42"/>
      <c r="F547" s="281"/>
      <c r="G547" s="42"/>
      <c r="H547" s="42"/>
      <c r="I547" s="42"/>
      <c r="J547" s="281"/>
      <c r="K547" s="41"/>
      <c r="L547" s="46"/>
      <c r="M547" s="38"/>
      <c r="N547" s="281"/>
      <c r="O547" s="42"/>
      <c r="P547" s="42"/>
      <c r="Q547" s="42"/>
      <c r="R547" s="281"/>
      <c r="V547" s="281"/>
      <c r="W547" s="67"/>
      <c r="X547" s="86"/>
    </row>
    <row r="548" spans="1:25" x14ac:dyDescent="0.25">
      <c r="A548" s="21">
        <v>543</v>
      </c>
      <c r="B548" s="60" t="s">
        <v>283</v>
      </c>
      <c r="E548" s="42">
        <f>SUM('1501 Summary'!Y327:AC327)</f>
        <v>-13173.880000000001</v>
      </c>
      <c r="F548" s="275"/>
      <c r="G548" s="38"/>
      <c r="H548" s="38"/>
      <c r="I548" s="38"/>
      <c r="J548" s="275"/>
      <c r="K548" s="41"/>
      <c r="L548" s="46"/>
      <c r="M548" s="38"/>
      <c r="N548" s="275"/>
      <c r="O548" s="42"/>
      <c r="P548" s="42"/>
      <c r="Q548" s="42"/>
      <c r="R548" s="275"/>
      <c r="V548" s="275"/>
      <c r="W548" s="67"/>
      <c r="X548" s="86"/>
    </row>
    <row r="549" spans="1:25" x14ac:dyDescent="0.25">
      <c r="A549" s="21">
        <v>544</v>
      </c>
      <c r="B549" s="60" t="s">
        <v>284</v>
      </c>
      <c r="E549" s="42">
        <f>SUM('1501 Summary'!Y328:AC328)</f>
        <v>-6239.6100000000006</v>
      </c>
      <c r="F549" s="275"/>
      <c r="G549" s="38"/>
      <c r="H549" s="38"/>
      <c r="I549" s="38"/>
      <c r="J549" s="275"/>
      <c r="K549" s="41"/>
      <c r="L549" s="46"/>
      <c r="M549" s="38"/>
      <c r="N549" s="275"/>
      <c r="O549" s="42"/>
      <c r="P549" s="42"/>
      <c r="Q549" s="42"/>
      <c r="R549" s="275"/>
      <c r="V549" s="275"/>
      <c r="W549" s="67"/>
      <c r="X549" s="86"/>
    </row>
    <row r="550" spans="1:25" x14ac:dyDescent="0.25">
      <c r="A550" s="21">
        <v>545</v>
      </c>
      <c r="B550" s="60" t="s">
        <v>285</v>
      </c>
      <c r="E550" s="42">
        <f>SUM('1501 Summary'!Y329:AC329)</f>
        <v>-12476.150000000001</v>
      </c>
      <c r="F550" s="275"/>
      <c r="G550" s="38"/>
      <c r="H550" s="38"/>
      <c r="I550" s="38"/>
      <c r="J550" s="275"/>
      <c r="K550" s="41"/>
      <c r="L550" s="46"/>
      <c r="M550" s="38"/>
      <c r="N550" s="275"/>
      <c r="O550" s="42"/>
      <c r="P550" s="42"/>
      <c r="Q550" s="42"/>
      <c r="R550" s="275"/>
      <c r="V550" s="275"/>
      <c r="W550" s="67"/>
      <c r="X550" s="86"/>
    </row>
    <row r="551" spans="1:25" x14ac:dyDescent="0.25">
      <c r="A551" s="21">
        <v>546</v>
      </c>
      <c r="B551" s="60" t="s">
        <v>286</v>
      </c>
      <c r="E551" s="42">
        <f>SUM('1501 Summary'!Y330:AC330)</f>
        <v>6238.08</v>
      </c>
      <c r="F551" s="275"/>
      <c r="G551" s="38"/>
      <c r="H551" s="38"/>
      <c r="I551" s="38"/>
      <c r="J551" s="275"/>
      <c r="K551" s="41"/>
      <c r="L551" s="46"/>
      <c r="M551" s="38"/>
      <c r="N551" s="275"/>
      <c r="O551" s="42"/>
      <c r="P551" s="42"/>
      <c r="Q551" s="42"/>
      <c r="R551" s="275"/>
      <c r="V551" s="275"/>
      <c r="W551" s="67"/>
      <c r="X551" s="86"/>
    </row>
    <row r="552" spans="1:25" x14ac:dyDescent="0.25">
      <c r="A552" s="21">
        <v>547</v>
      </c>
      <c r="B552" s="60" t="s">
        <v>287</v>
      </c>
      <c r="E552" s="42">
        <f>SUM('1501 Summary'!Y331:AC331)</f>
        <v>16020.05</v>
      </c>
      <c r="F552" s="275"/>
      <c r="G552" s="38"/>
      <c r="H552" s="38"/>
      <c r="I552" s="38"/>
      <c r="J552" s="275"/>
      <c r="K552" s="41"/>
      <c r="L552" s="46"/>
      <c r="M552" s="38"/>
      <c r="N552" s="275"/>
      <c r="O552" s="42"/>
      <c r="P552" s="42"/>
      <c r="Q552" s="42"/>
      <c r="R552" s="275"/>
      <c r="V552" s="275"/>
      <c r="W552" s="67"/>
      <c r="X552" s="86"/>
    </row>
    <row r="553" spans="1:25" x14ac:dyDescent="0.25">
      <c r="A553" s="21">
        <v>548</v>
      </c>
      <c r="B553" s="64" t="s">
        <v>288</v>
      </c>
      <c r="E553" s="42">
        <f>SUM('1501 Summary'!G332:W332)</f>
        <v>206.48999999999998</v>
      </c>
      <c r="F553" s="275"/>
      <c r="G553" s="38"/>
      <c r="H553" s="38"/>
      <c r="I553" s="38"/>
      <c r="J553" s="275"/>
      <c r="K553" s="41"/>
      <c r="L553" s="46"/>
      <c r="M553" s="38"/>
      <c r="N553" s="275"/>
      <c r="O553" s="42"/>
      <c r="P553" s="42"/>
      <c r="Q553" s="42"/>
      <c r="R553" s="275"/>
      <c r="V553" s="275"/>
      <c r="W553" s="67"/>
      <c r="X553" s="86"/>
    </row>
    <row r="554" spans="1:25" x14ac:dyDescent="0.25">
      <c r="A554" s="21">
        <v>549</v>
      </c>
      <c r="B554" s="64" t="s">
        <v>289</v>
      </c>
      <c r="E554" s="42">
        <f>SUM('1501 Summary'!Y332:AC332)</f>
        <v>21093.64</v>
      </c>
      <c r="F554" s="275"/>
      <c r="G554" s="38"/>
      <c r="H554" s="38"/>
      <c r="I554" s="38"/>
      <c r="J554" s="275"/>
      <c r="K554" s="41"/>
      <c r="L554" s="46"/>
      <c r="M554" s="38"/>
      <c r="N554" s="275"/>
      <c r="O554" s="42"/>
      <c r="P554" s="42"/>
      <c r="Q554" s="42"/>
      <c r="R554" s="275"/>
      <c r="V554" s="275"/>
      <c r="W554" s="67"/>
      <c r="X554" s="86"/>
    </row>
    <row r="555" spans="1:25" x14ac:dyDescent="0.25">
      <c r="A555" s="21">
        <v>550</v>
      </c>
      <c r="B555" s="60" t="s">
        <v>290</v>
      </c>
      <c r="E555" s="42">
        <f>SUM('1501 Summary'!Y333:AC333)</f>
        <v>180</v>
      </c>
      <c r="F555" s="275"/>
      <c r="G555" s="38"/>
      <c r="H555" s="38"/>
      <c r="I555" s="38"/>
      <c r="J555" s="275"/>
      <c r="K555" s="41"/>
      <c r="L555" s="46"/>
      <c r="M555" s="38"/>
      <c r="N555" s="275"/>
      <c r="O555" s="42"/>
      <c r="P555" s="42"/>
      <c r="Q555" s="42"/>
      <c r="R555" s="275"/>
      <c r="V555" s="275"/>
      <c r="W555" s="67"/>
      <c r="X555" s="86"/>
    </row>
    <row r="556" spans="1:25" x14ac:dyDescent="0.25">
      <c r="A556" s="21">
        <v>551</v>
      </c>
      <c r="B556" s="27" t="s">
        <v>278</v>
      </c>
      <c r="E556" s="42">
        <f>'Rev Recon Summary'!R357</f>
        <v>-43960.069999999992</v>
      </c>
      <c r="F556" s="275"/>
      <c r="G556" s="38"/>
      <c r="H556" s="38"/>
      <c r="I556" s="38"/>
      <c r="J556" s="275"/>
      <c r="K556" s="41"/>
      <c r="L556" s="46"/>
      <c r="M556" s="38"/>
      <c r="N556" s="275"/>
      <c r="O556" s="42"/>
      <c r="P556" s="42"/>
      <c r="Q556" s="42"/>
      <c r="R556" s="275"/>
      <c r="V556" s="275"/>
      <c r="W556" s="67"/>
      <c r="X556" s="86"/>
    </row>
    <row r="557" spans="1:25" x14ac:dyDescent="0.25">
      <c r="A557" s="21">
        <v>552</v>
      </c>
      <c r="B557" s="6" t="s">
        <v>80</v>
      </c>
      <c r="E557" s="42">
        <f>'Rev Recon Summary'!R358</f>
        <v>0</v>
      </c>
      <c r="F557" s="275"/>
      <c r="G557" s="38"/>
      <c r="H557" s="38"/>
      <c r="I557" s="38"/>
      <c r="J557" s="275"/>
      <c r="K557" s="41"/>
      <c r="L557" s="46"/>
      <c r="M557" s="38"/>
      <c r="N557" s="275"/>
      <c r="O557" s="42"/>
      <c r="P557" s="42"/>
      <c r="Q557" s="42"/>
      <c r="R557" s="275"/>
      <c r="V557" s="275"/>
      <c r="W557" s="67"/>
      <c r="X557" s="86"/>
    </row>
    <row r="558" spans="1:25" x14ac:dyDescent="0.25">
      <c r="A558" s="21">
        <v>553</v>
      </c>
      <c r="B558" s="6" t="s">
        <v>13</v>
      </c>
      <c r="E558" s="42">
        <f>'Rev Recon Summary'!R359</f>
        <v>0</v>
      </c>
      <c r="F558" s="275"/>
      <c r="G558" s="38"/>
      <c r="H558" s="38"/>
      <c r="I558" s="38"/>
      <c r="J558" s="275"/>
      <c r="K558" s="41"/>
      <c r="L558" s="46"/>
      <c r="M558" s="38"/>
      <c r="N558" s="275"/>
      <c r="O558" s="42"/>
      <c r="P558" s="42"/>
      <c r="Q558" s="42"/>
      <c r="R558" s="275"/>
      <c r="V558" s="275"/>
      <c r="W558" s="67"/>
      <c r="X558" s="86"/>
    </row>
    <row r="559" spans="1:25" x14ac:dyDescent="0.25">
      <c r="A559" s="21">
        <v>554</v>
      </c>
      <c r="B559" s="6" t="s">
        <v>55</v>
      </c>
      <c r="E559" s="42">
        <f>'Rev Recon Summary'!R360</f>
        <v>-486282.79000000004</v>
      </c>
      <c r="F559" s="275"/>
      <c r="G559" s="38"/>
      <c r="H559" s="38"/>
      <c r="I559" s="38"/>
      <c r="J559" s="275"/>
      <c r="K559" s="41"/>
      <c r="L559" s="46"/>
      <c r="M559" s="38"/>
      <c r="N559" s="275"/>
      <c r="O559" s="42"/>
      <c r="P559" s="42"/>
      <c r="Q559" s="42"/>
      <c r="R559" s="275"/>
      <c r="V559" s="275"/>
      <c r="W559" s="67"/>
      <c r="X559" s="86"/>
    </row>
    <row r="560" spans="1:25" x14ac:dyDescent="0.25">
      <c r="A560" s="21">
        <v>555</v>
      </c>
      <c r="B560" s="6" t="s">
        <v>56</v>
      </c>
      <c r="E560" s="65">
        <f>'Rev Recon Summary'!R361</f>
        <v>698913.15</v>
      </c>
      <c r="F560" s="275"/>
      <c r="G560" s="38"/>
      <c r="H560" s="38"/>
      <c r="I560" s="38"/>
      <c r="J560" s="275"/>
      <c r="K560" s="41"/>
      <c r="L560" s="46"/>
      <c r="M560" s="38"/>
      <c r="N560" s="275"/>
      <c r="O560" s="42"/>
      <c r="P560" s="42"/>
      <c r="Q560" s="42"/>
      <c r="R560" s="275"/>
      <c r="V560" s="275"/>
      <c r="W560" s="67"/>
      <c r="X560" s="86"/>
    </row>
    <row r="561" spans="1:25" x14ac:dyDescent="0.25">
      <c r="A561" s="21">
        <v>556</v>
      </c>
      <c r="B561" s="18" t="s">
        <v>93</v>
      </c>
      <c r="E561" s="42">
        <f>SUM(E548:E560)</f>
        <v>180518.90999999997</v>
      </c>
      <c r="F561" s="281"/>
      <c r="G561" s="42"/>
      <c r="H561" s="42"/>
      <c r="I561" s="42"/>
      <c r="J561" s="281"/>
      <c r="K561" s="41"/>
      <c r="L561" s="46"/>
      <c r="M561" s="38"/>
      <c r="N561" s="281"/>
      <c r="O561" s="42"/>
      <c r="P561" s="42"/>
      <c r="Q561" s="42"/>
      <c r="R561" s="281"/>
      <c r="V561" s="281"/>
      <c r="W561" s="67"/>
      <c r="X561" s="86"/>
    </row>
    <row r="562" spans="1:25" x14ac:dyDescent="0.25">
      <c r="A562" s="21">
        <v>557</v>
      </c>
      <c r="E562" s="42"/>
      <c r="F562" s="281"/>
      <c r="G562" s="42"/>
      <c r="H562" s="42"/>
      <c r="I562" s="42"/>
      <c r="J562" s="281"/>
      <c r="K562" s="41"/>
      <c r="L562" s="46"/>
      <c r="M562" s="38"/>
      <c r="N562" s="281"/>
      <c r="O562" s="42"/>
      <c r="P562" s="42"/>
      <c r="Q562" s="42"/>
      <c r="R562" s="281"/>
      <c r="V562" s="281"/>
      <c r="W562" s="67"/>
      <c r="X562" s="86"/>
    </row>
    <row r="563" spans="1:25" x14ac:dyDescent="0.25">
      <c r="A563" s="21">
        <v>558</v>
      </c>
      <c r="B563" s="109" t="s">
        <v>183</v>
      </c>
      <c r="C563" s="39">
        <f>E563-'Rev Recon Summary'!R362</f>
        <v>0</v>
      </c>
      <c r="D563" s="105" t="s">
        <v>45</v>
      </c>
      <c r="E563" s="65">
        <f>SUM(E545,E561)</f>
        <v>661190.91999999993</v>
      </c>
      <c r="F563" s="282"/>
      <c r="G563" s="65"/>
      <c r="H563" s="65"/>
      <c r="I563" s="65"/>
      <c r="J563" s="282"/>
      <c r="K563" s="101"/>
      <c r="L563" s="134"/>
      <c r="M563" s="39"/>
      <c r="N563" s="282"/>
      <c r="O563" s="65"/>
      <c r="P563" s="65"/>
      <c r="Q563" s="65"/>
      <c r="R563" s="282"/>
      <c r="S563" s="105"/>
      <c r="T563" s="105"/>
      <c r="U563" s="105"/>
      <c r="V563" s="282"/>
      <c r="W563" s="85"/>
      <c r="X563" s="88"/>
      <c r="Y563" s="105"/>
    </row>
    <row r="564" spans="1:25" x14ac:dyDescent="0.25">
      <c r="A564" s="21">
        <v>559</v>
      </c>
      <c r="B564" s="18"/>
      <c r="E564" s="42"/>
      <c r="F564" s="281"/>
      <c r="G564" s="42"/>
      <c r="H564" s="42"/>
      <c r="I564" s="42"/>
      <c r="J564" s="281"/>
      <c r="K564" s="41"/>
      <c r="L564" s="46"/>
      <c r="M564" s="38"/>
      <c r="N564" s="281"/>
      <c r="O564" s="42"/>
      <c r="P564" s="42"/>
      <c r="Q564" s="42"/>
      <c r="R564" s="281"/>
      <c r="S564" s="42"/>
      <c r="T564" s="42"/>
      <c r="U564" s="42"/>
      <c r="V564" s="281"/>
      <c r="W564" s="67"/>
      <c r="X564" s="86"/>
      <c r="Y564" s="42"/>
    </row>
    <row r="565" spans="1:25" x14ac:dyDescent="0.25">
      <c r="A565" s="21">
        <v>560</v>
      </c>
      <c r="B565" s="30" t="s">
        <v>170</v>
      </c>
      <c r="E565" s="42"/>
      <c r="F565" s="281"/>
      <c r="G565" s="42" t="s">
        <v>446</v>
      </c>
      <c r="H565" s="42"/>
      <c r="I565" s="42"/>
      <c r="J565" s="281"/>
      <c r="K565" s="41"/>
      <c r="L565" s="46"/>
      <c r="M565" s="38"/>
      <c r="N565" s="281"/>
      <c r="O565" s="42"/>
      <c r="P565" s="42"/>
      <c r="Q565" s="42"/>
      <c r="R565" s="281"/>
      <c r="S565" s="42"/>
      <c r="T565" s="42"/>
      <c r="U565" s="42"/>
      <c r="V565" s="281"/>
      <c r="W565" s="67"/>
      <c r="X565" s="86"/>
      <c r="Y565" s="42"/>
    </row>
    <row r="566" spans="1:25" x14ac:dyDescent="0.25">
      <c r="A566" s="21">
        <v>561</v>
      </c>
      <c r="B566" s="19" t="s">
        <v>231</v>
      </c>
      <c r="C566" s="174">
        <f>E566/D566</f>
        <v>8</v>
      </c>
      <c r="D566" s="67">
        <v>500</v>
      </c>
      <c r="E566" s="42">
        <f>SUM('1501 Summary'!G340,'1501 Summary'!I340,'1501 Summary'!K340,'1501 Summary'!M340,'1501 Summary'!O340,'1501 Summary'!Q340,'1501 Summary'!S340,'1501 Summary'!U340)</f>
        <v>4000</v>
      </c>
      <c r="F566" s="281"/>
      <c r="G566" s="100">
        <f>-C566</f>
        <v>-8</v>
      </c>
      <c r="H566" s="42">
        <f>D566</f>
        <v>500</v>
      </c>
      <c r="I566" s="42">
        <f>H566*G566</f>
        <v>-4000</v>
      </c>
      <c r="J566" s="281"/>
      <c r="K566" s="41">
        <f t="shared" si="83"/>
        <v>0</v>
      </c>
      <c r="L566" s="38">
        <f t="shared" ref="L566:L609" si="89">D566</f>
        <v>500</v>
      </c>
      <c r="M566" s="135">
        <f t="shared" si="84"/>
        <v>0</v>
      </c>
      <c r="N566" s="281"/>
      <c r="O566" s="42"/>
      <c r="P566" s="42"/>
      <c r="Q566" s="42"/>
      <c r="R566" s="281"/>
      <c r="S566" s="86"/>
      <c r="T566" s="86"/>
      <c r="U566" s="86"/>
      <c r="V566" s="281"/>
      <c r="W566" s="67"/>
      <c r="X566" s="86"/>
      <c r="Y566" s="86"/>
    </row>
    <row r="567" spans="1:25" x14ac:dyDescent="0.25">
      <c r="A567" s="21">
        <v>562</v>
      </c>
      <c r="B567" s="19" t="s">
        <v>232</v>
      </c>
      <c r="C567" s="174">
        <f t="shared" ref="C567:C579" si="90">E567/D567</f>
        <v>4</v>
      </c>
      <c r="D567" s="67">
        <v>625</v>
      </c>
      <c r="E567" s="42">
        <f>SUM('1501 Summary'!W340,'1501 Summary'!Y340,'1501 Summary'!AA340,'1501 Summary'!AC340)</f>
        <v>2500</v>
      </c>
      <c r="F567" s="281"/>
      <c r="G567" s="100">
        <f t="shared" ref="G567:G579" si="91">-C567</f>
        <v>-4</v>
      </c>
      <c r="H567" s="42">
        <f t="shared" ref="H567:H579" si="92">D567</f>
        <v>625</v>
      </c>
      <c r="I567" s="42">
        <f t="shared" ref="I567:I579" si="93">H567*G567</f>
        <v>-2500</v>
      </c>
      <c r="J567" s="281"/>
      <c r="K567" s="41">
        <f t="shared" si="83"/>
        <v>0</v>
      </c>
      <c r="L567" s="38">
        <f t="shared" si="89"/>
        <v>625</v>
      </c>
      <c r="M567" s="135">
        <f t="shared" si="84"/>
        <v>0</v>
      </c>
      <c r="N567" s="281"/>
      <c r="O567" s="42"/>
      <c r="P567" s="42"/>
      <c r="Q567" s="42"/>
      <c r="R567" s="281"/>
      <c r="S567" s="86"/>
      <c r="T567" s="86"/>
      <c r="U567" s="86"/>
      <c r="V567" s="281"/>
      <c r="W567" s="67"/>
      <c r="X567" s="86"/>
      <c r="Y567" s="86"/>
    </row>
    <row r="568" spans="1:25" x14ac:dyDescent="0.25">
      <c r="A568" s="21">
        <v>563</v>
      </c>
      <c r="B568" s="19" t="s">
        <v>235</v>
      </c>
      <c r="C568" s="41">
        <f t="shared" si="90"/>
        <v>4160000</v>
      </c>
      <c r="D568" s="259">
        <v>0.2</v>
      </c>
      <c r="E568" s="42">
        <f>SUM('1501 Summary'!G341,'1501 Summary'!I341,'1501 Summary'!K341,'1501 Summary'!M341,'1501 Summary'!O341,'1501 Summary'!Q341,'1501 Summary'!S341,'1501 Summary'!U341)</f>
        <v>832000</v>
      </c>
      <c r="F568" s="281"/>
      <c r="G568" s="100">
        <f t="shared" si="91"/>
        <v>-4160000</v>
      </c>
      <c r="H568" s="212">
        <f t="shared" si="92"/>
        <v>0.2</v>
      </c>
      <c r="I568" s="42">
        <f t="shared" si="93"/>
        <v>-832000</v>
      </c>
      <c r="J568" s="281"/>
      <c r="K568" s="41">
        <f t="shared" si="83"/>
        <v>0</v>
      </c>
      <c r="L568" s="46">
        <f t="shared" si="89"/>
        <v>0.2</v>
      </c>
      <c r="M568" s="135">
        <f t="shared" si="84"/>
        <v>0</v>
      </c>
      <c r="N568" s="281"/>
      <c r="O568" s="42"/>
      <c r="P568" s="42"/>
      <c r="Q568" s="42"/>
      <c r="R568" s="281"/>
      <c r="S568" s="86"/>
      <c r="T568" s="86"/>
      <c r="U568" s="86"/>
      <c r="V568" s="281"/>
      <c r="W568" s="67"/>
      <c r="X568" s="86"/>
      <c r="Y568" s="86"/>
    </row>
    <row r="569" spans="1:25" x14ac:dyDescent="0.25">
      <c r="A569" s="21">
        <v>564</v>
      </c>
      <c r="B569" s="19" t="s">
        <v>236</v>
      </c>
      <c r="C569" s="41">
        <f t="shared" si="90"/>
        <v>2080000</v>
      </c>
      <c r="D569" s="259">
        <v>0.2</v>
      </c>
      <c r="E569" s="42">
        <f>SUM('1501 Summary'!W341,'1501 Summary'!Y341,'1501 Summary'!AA341,'1501 Summary'!AC341)</f>
        <v>416000</v>
      </c>
      <c r="F569" s="281"/>
      <c r="G569" s="100">
        <f t="shared" si="91"/>
        <v>-2080000</v>
      </c>
      <c r="H569" s="212">
        <f t="shared" si="92"/>
        <v>0.2</v>
      </c>
      <c r="I569" s="42">
        <f t="shared" si="93"/>
        <v>-416000</v>
      </c>
      <c r="J569" s="281"/>
      <c r="K569" s="41">
        <f t="shared" si="83"/>
        <v>0</v>
      </c>
      <c r="L569" s="46">
        <f t="shared" si="89"/>
        <v>0.2</v>
      </c>
      <c r="M569" s="135">
        <f t="shared" si="84"/>
        <v>0</v>
      </c>
      <c r="N569" s="281"/>
      <c r="O569" s="42"/>
      <c r="P569" s="42"/>
      <c r="Q569" s="42"/>
      <c r="R569" s="281"/>
      <c r="S569" s="86"/>
      <c r="T569" s="86"/>
      <c r="U569" s="86"/>
      <c r="V569" s="281"/>
      <c r="W569" s="67"/>
      <c r="X569" s="86"/>
      <c r="Y569" s="86"/>
    </row>
    <row r="570" spans="1:25" x14ac:dyDescent="0.25">
      <c r="A570" s="21">
        <v>565</v>
      </c>
      <c r="B570" s="19" t="s">
        <v>237</v>
      </c>
      <c r="C570" s="41">
        <f t="shared" si="90"/>
        <v>25959475</v>
      </c>
      <c r="D570" s="259">
        <v>4.0000000000000002E-4</v>
      </c>
      <c r="E570" s="42">
        <f>SUM('1501 Summary'!G342,'1501 Summary'!I342,'1501 Summary'!K342,'1501 Summary'!M342,'1501 Summary'!O342,'1501 Summary'!Q342,'1501 Summary'!S342,'1501 Summary'!U342)</f>
        <v>10383.790000000001</v>
      </c>
      <c r="F570" s="281"/>
      <c r="G570" s="100">
        <f t="shared" si="91"/>
        <v>-25959475</v>
      </c>
      <c r="H570" s="212">
        <f t="shared" si="92"/>
        <v>4.0000000000000002E-4</v>
      </c>
      <c r="I570" s="42">
        <f t="shared" si="93"/>
        <v>-10383.790000000001</v>
      </c>
      <c r="J570" s="281"/>
      <c r="K570" s="41">
        <f t="shared" si="83"/>
        <v>0</v>
      </c>
      <c r="L570" s="46">
        <f t="shared" si="89"/>
        <v>4.0000000000000002E-4</v>
      </c>
      <c r="M570" s="135">
        <f t="shared" si="84"/>
        <v>0</v>
      </c>
      <c r="N570" s="281"/>
      <c r="O570" s="42"/>
      <c r="P570" s="42"/>
      <c r="Q570" s="42"/>
      <c r="R570" s="281"/>
      <c r="S570" s="86"/>
      <c r="T570" s="86"/>
      <c r="U570" s="86"/>
      <c r="V570" s="281"/>
      <c r="W570" s="67"/>
      <c r="X570" s="86"/>
      <c r="Y570" s="86"/>
    </row>
    <row r="571" spans="1:25" x14ac:dyDescent="0.25">
      <c r="A571" s="21">
        <v>566</v>
      </c>
      <c r="B571" s="19" t="s">
        <v>238</v>
      </c>
      <c r="C571" s="41">
        <f t="shared" si="90"/>
        <v>31205850.000000004</v>
      </c>
      <c r="D571" s="259">
        <v>4.0000000000000002E-4</v>
      </c>
      <c r="E571" s="42">
        <f>SUM('1501 Summary'!W342,'1501 Summary'!Y342,'1501 Summary'!AA342,'1501 Summary'!AC342)</f>
        <v>12482.340000000002</v>
      </c>
      <c r="F571" s="281"/>
      <c r="G571" s="100">
        <f t="shared" si="91"/>
        <v>-31205850.000000004</v>
      </c>
      <c r="H571" s="212">
        <f t="shared" si="92"/>
        <v>4.0000000000000002E-4</v>
      </c>
      <c r="I571" s="42">
        <f t="shared" si="93"/>
        <v>-12482.340000000002</v>
      </c>
      <c r="J571" s="281"/>
      <c r="K571" s="41">
        <f t="shared" si="83"/>
        <v>0</v>
      </c>
      <c r="L571" s="46">
        <f t="shared" si="89"/>
        <v>4.0000000000000002E-4</v>
      </c>
      <c r="M571" s="135">
        <f t="shared" si="84"/>
        <v>0</v>
      </c>
      <c r="N571" s="281"/>
      <c r="O571" s="42"/>
      <c r="P571" s="42"/>
      <c r="Q571" s="42"/>
      <c r="R571" s="281"/>
      <c r="S571" s="86"/>
      <c r="T571" s="86"/>
      <c r="U571" s="86"/>
      <c r="V571" s="281"/>
      <c r="W571" s="67"/>
      <c r="X571" s="86"/>
      <c r="Y571" s="86"/>
    </row>
    <row r="572" spans="1:25" x14ac:dyDescent="0.25">
      <c r="A572" s="21">
        <v>567</v>
      </c>
      <c r="B572" s="18" t="s">
        <v>239</v>
      </c>
      <c r="C572" s="41">
        <f t="shared" si="90"/>
        <v>712758.9877835951</v>
      </c>
      <c r="D572" s="81">
        <v>5.7299999999999997E-2</v>
      </c>
      <c r="E572" s="42">
        <f>SUM('1501 Summary'!G343,'1501 Summary'!I343,'1501 Summary'!K343,'1501 Summary'!M343,'1501 Summary'!O343,'1501 Summary'!Q343,'1501 Summary'!S343,'1501 Summary'!U343)</f>
        <v>40841.089999999997</v>
      </c>
      <c r="F572" s="281"/>
      <c r="G572" s="100">
        <f t="shared" si="91"/>
        <v>-712758.9877835951</v>
      </c>
      <c r="H572" s="212">
        <f t="shared" si="92"/>
        <v>5.7299999999999997E-2</v>
      </c>
      <c r="I572" s="42">
        <f t="shared" si="93"/>
        <v>-40841.089999999997</v>
      </c>
      <c r="J572" s="281"/>
      <c r="K572" s="41">
        <f t="shared" si="83"/>
        <v>0</v>
      </c>
      <c r="L572" s="46">
        <f t="shared" si="89"/>
        <v>5.7299999999999997E-2</v>
      </c>
      <c r="M572" s="135">
        <f t="shared" si="84"/>
        <v>0</v>
      </c>
      <c r="N572" s="281"/>
      <c r="O572" s="42"/>
      <c r="P572" s="42"/>
      <c r="Q572" s="42"/>
      <c r="R572" s="281"/>
      <c r="S572" s="86"/>
      <c r="T572" s="86"/>
      <c r="U572" s="86"/>
      <c r="V572" s="281"/>
      <c r="W572" s="67"/>
      <c r="X572" s="86"/>
      <c r="Y572" s="86"/>
    </row>
    <row r="573" spans="1:25" x14ac:dyDescent="0.25">
      <c r="A573" s="21">
        <v>568</v>
      </c>
      <c r="B573" s="18" t="s">
        <v>240</v>
      </c>
      <c r="C573" s="41">
        <f t="shared" si="90"/>
        <v>1400000</v>
      </c>
      <c r="D573" s="81">
        <v>2.0230000000000001E-2</v>
      </c>
      <c r="E573" s="42">
        <f>SUM('1501 Summary'!G344,'1501 Summary'!I344,'1501 Summary'!K344,'1501 Summary'!M344,'1501 Summary'!O344,'1501 Summary'!Q344,'1501 Summary'!S344,'1501 Summary'!U344)</f>
        <v>28322</v>
      </c>
      <c r="F573" s="281"/>
      <c r="G573" s="100">
        <f t="shared" si="91"/>
        <v>-1400000</v>
      </c>
      <c r="H573" s="212">
        <f t="shared" si="92"/>
        <v>2.0230000000000001E-2</v>
      </c>
      <c r="I573" s="42">
        <f t="shared" si="93"/>
        <v>-28322.000000000004</v>
      </c>
      <c r="J573" s="281"/>
      <c r="K573" s="41">
        <f t="shared" si="83"/>
        <v>0</v>
      </c>
      <c r="L573" s="46">
        <f t="shared" si="89"/>
        <v>2.0230000000000001E-2</v>
      </c>
      <c r="M573" s="135">
        <f t="shared" si="84"/>
        <v>0</v>
      </c>
      <c r="N573" s="281"/>
      <c r="O573" s="42"/>
      <c r="P573" s="42"/>
      <c r="Q573" s="42"/>
      <c r="R573" s="281"/>
      <c r="S573" s="86"/>
      <c r="T573" s="86"/>
      <c r="U573" s="86"/>
      <c r="V573" s="281"/>
      <c r="W573" s="67"/>
      <c r="X573" s="86"/>
      <c r="Y573" s="86"/>
    </row>
    <row r="574" spans="1:25" x14ac:dyDescent="0.25">
      <c r="A574" s="21">
        <v>569</v>
      </c>
      <c r="B574" s="18" t="s">
        <v>240</v>
      </c>
      <c r="C574" s="41">
        <f t="shared" si="90"/>
        <v>1227896.3774220725</v>
      </c>
      <c r="D574" s="81">
        <v>1.187E-2</v>
      </c>
      <c r="E574" s="42">
        <f>SUM('1501 Summary'!G345,'1501 Summary'!I345,'1501 Summary'!K345,'1501 Summary'!M345,'1501 Summary'!O345,'1501 Summary'!Q345,'1501 Summary'!S345,'1501 Summary'!U345)</f>
        <v>14575.13</v>
      </c>
      <c r="F574" s="281"/>
      <c r="G574" s="100">
        <f t="shared" si="91"/>
        <v>-1227896.3774220725</v>
      </c>
      <c r="H574" s="212">
        <f t="shared" si="92"/>
        <v>1.187E-2</v>
      </c>
      <c r="I574" s="42">
        <f t="shared" si="93"/>
        <v>-14575.130000000001</v>
      </c>
      <c r="J574" s="281"/>
      <c r="K574" s="41">
        <f t="shared" si="83"/>
        <v>0</v>
      </c>
      <c r="L574" s="46">
        <f t="shared" si="89"/>
        <v>1.187E-2</v>
      </c>
      <c r="M574" s="135">
        <f t="shared" si="84"/>
        <v>0</v>
      </c>
      <c r="N574" s="281"/>
      <c r="O574" s="42"/>
      <c r="P574" s="42"/>
      <c r="Q574" s="42"/>
      <c r="R574" s="281"/>
      <c r="S574" s="86"/>
      <c r="T574" s="86"/>
      <c r="U574" s="86"/>
      <c r="V574" s="281"/>
      <c r="W574" s="67"/>
      <c r="X574" s="86"/>
      <c r="Y574" s="86"/>
    </row>
    <row r="575" spans="1:25" x14ac:dyDescent="0.25">
      <c r="A575" s="21">
        <v>570</v>
      </c>
      <c r="B575" s="18" t="s">
        <v>241</v>
      </c>
      <c r="C575" s="41">
        <f t="shared" si="90"/>
        <v>22618799.212598424</v>
      </c>
      <c r="D575" s="81">
        <v>5.0800000000000003E-3</v>
      </c>
      <c r="E575" s="42">
        <f>SUM('1501 Summary'!G346,'1501 Summary'!I346,'1501 Summary'!K346,'1501 Summary'!M346,'1501 Summary'!O346,'1501 Summary'!Q346,'1501 Summary'!S346,'1501 Summary'!U346)</f>
        <v>114903.5</v>
      </c>
      <c r="F575" s="281"/>
      <c r="G575" s="100">
        <f t="shared" si="91"/>
        <v>-22618799.212598424</v>
      </c>
      <c r="H575" s="212">
        <f t="shared" si="92"/>
        <v>5.0800000000000003E-3</v>
      </c>
      <c r="I575" s="42">
        <f t="shared" si="93"/>
        <v>-114903.5</v>
      </c>
      <c r="J575" s="281"/>
      <c r="K575" s="41">
        <f t="shared" si="83"/>
        <v>0</v>
      </c>
      <c r="L575" s="46">
        <f t="shared" si="89"/>
        <v>5.0800000000000003E-3</v>
      </c>
      <c r="M575" s="135">
        <f t="shared" si="84"/>
        <v>0</v>
      </c>
      <c r="N575" s="281"/>
      <c r="O575" s="42"/>
      <c r="P575" s="42"/>
      <c r="Q575" s="42"/>
      <c r="R575" s="281"/>
      <c r="S575" s="86"/>
      <c r="T575" s="86"/>
      <c r="U575" s="86"/>
      <c r="V575" s="281"/>
      <c r="W575" s="67"/>
      <c r="X575" s="86"/>
      <c r="Y575" s="86"/>
    </row>
    <row r="576" spans="1:25" x14ac:dyDescent="0.25">
      <c r="A576" s="21">
        <v>571</v>
      </c>
      <c r="B576" s="18" t="s">
        <v>242</v>
      </c>
      <c r="C576" s="41">
        <f t="shared" si="90"/>
        <v>328205.02719939972</v>
      </c>
      <c r="D576" s="81">
        <v>5.3310000000000003E-2</v>
      </c>
      <c r="E576" s="42">
        <f>SUM('1501 Summary'!W343,'1501 Summary'!Y343,'1501 Summary'!AA343,'1501 Summary'!AC343)</f>
        <v>17496.61</v>
      </c>
      <c r="F576" s="289"/>
      <c r="G576" s="100">
        <f t="shared" si="91"/>
        <v>-328205.02719939972</v>
      </c>
      <c r="H576" s="212">
        <f t="shared" si="92"/>
        <v>5.3310000000000003E-2</v>
      </c>
      <c r="I576" s="42">
        <f t="shared" si="93"/>
        <v>-17496.61</v>
      </c>
      <c r="J576" s="289"/>
      <c r="K576" s="41">
        <f t="shared" si="83"/>
        <v>0</v>
      </c>
      <c r="L576" s="46">
        <f t="shared" si="89"/>
        <v>5.3310000000000003E-2</v>
      </c>
      <c r="M576" s="135">
        <f t="shared" si="84"/>
        <v>0</v>
      </c>
      <c r="N576" s="289"/>
      <c r="O576" s="42"/>
      <c r="P576" s="42"/>
      <c r="Q576" s="42"/>
      <c r="R576" s="289"/>
      <c r="S576" s="86"/>
      <c r="T576" s="86"/>
      <c r="U576" s="86"/>
      <c r="V576" s="289"/>
      <c r="W576" s="67"/>
      <c r="X576" s="86"/>
      <c r="Y576" s="86"/>
    </row>
    <row r="577" spans="1:25" x14ac:dyDescent="0.25">
      <c r="A577" s="21">
        <v>572</v>
      </c>
      <c r="B577" s="18" t="s">
        <v>243</v>
      </c>
      <c r="C577" s="41">
        <f t="shared" si="90"/>
        <v>600000</v>
      </c>
      <c r="D577" s="81">
        <v>1.9449999999999999E-2</v>
      </c>
      <c r="E577" s="42">
        <f>SUM('1501 Summary'!W344,'1501 Summary'!Y344,'1501 Summary'!AA344,'1501 Summary'!AC344)</f>
        <v>11670</v>
      </c>
      <c r="F577" s="289"/>
      <c r="G577" s="100">
        <f t="shared" si="91"/>
        <v>-600000</v>
      </c>
      <c r="H577" s="212">
        <f t="shared" si="92"/>
        <v>1.9449999999999999E-2</v>
      </c>
      <c r="I577" s="42">
        <f t="shared" si="93"/>
        <v>-11670</v>
      </c>
      <c r="J577" s="289"/>
      <c r="K577" s="41">
        <f t="shared" si="83"/>
        <v>0</v>
      </c>
      <c r="L577" s="46">
        <f t="shared" si="89"/>
        <v>1.9449999999999999E-2</v>
      </c>
      <c r="M577" s="135">
        <f t="shared" si="84"/>
        <v>0</v>
      </c>
      <c r="N577" s="289"/>
      <c r="O577" s="42"/>
      <c r="P577" s="42"/>
      <c r="Q577" s="42"/>
      <c r="R577" s="289"/>
      <c r="S577" s="86"/>
      <c r="T577" s="86"/>
      <c r="U577" s="86"/>
      <c r="V577" s="289"/>
      <c r="W577" s="67"/>
      <c r="X577" s="86"/>
      <c r="Y577" s="86"/>
    </row>
    <row r="578" spans="1:25" x14ac:dyDescent="0.25">
      <c r="A578" s="21">
        <v>573</v>
      </c>
      <c r="B578" s="18" t="s">
        <v>243</v>
      </c>
      <c r="C578" s="41">
        <f t="shared" si="90"/>
        <v>600000</v>
      </c>
      <c r="D578" s="81">
        <v>1.1820000000000001E-2</v>
      </c>
      <c r="E578" s="42">
        <f>SUM('1501 Summary'!W345,'1501 Summary'!Y345,'1501 Summary'!AA345,'1501 Summary'!AC345)</f>
        <v>7092</v>
      </c>
      <c r="F578" s="289"/>
      <c r="G578" s="100">
        <f t="shared" si="91"/>
        <v>-600000</v>
      </c>
      <c r="H578" s="212">
        <f t="shared" si="92"/>
        <v>1.1820000000000001E-2</v>
      </c>
      <c r="I578" s="42">
        <f t="shared" si="93"/>
        <v>-7092</v>
      </c>
      <c r="J578" s="289"/>
      <c r="K578" s="41">
        <f t="shared" si="83"/>
        <v>0</v>
      </c>
      <c r="L578" s="46">
        <f t="shared" si="89"/>
        <v>1.1820000000000001E-2</v>
      </c>
      <c r="M578" s="135">
        <f t="shared" si="84"/>
        <v>0</v>
      </c>
      <c r="N578" s="289"/>
      <c r="O578" s="42"/>
      <c r="P578" s="42"/>
      <c r="Q578" s="42"/>
      <c r="R578" s="289"/>
      <c r="S578" s="86"/>
      <c r="T578" s="86"/>
      <c r="U578" s="86"/>
      <c r="V578" s="289"/>
      <c r="W578" s="67"/>
      <c r="X578" s="86"/>
      <c r="Y578" s="86"/>
    </row>
    <row r="579" spans="1:25" x14ac:dyDescent="0.25">
      <c r="A579" s="21">
        <v>574</v>
      </c>
      <c r="B579" s="77" t="s">
        <v>244</v>
      </c>
      <c r="C579" s="41">
        <f t="shared" si="90"/>
        <v>29677653.024911031</v>
      </c>
      <c r="D579" s="81">
        <v>5.62E-3</v>
      </c>
      <c r="E579" s="65">
        <f>SUM('1501 Summary'!W346,'1501 Summary'!Y346,'1501 Summary'!AA346,'1501 Summary'!AC346)</f>
        <v>166788.41</v>
      </c>
      <c r="F579" s="289"/>
      <c r="G579" s="100">
        <f t="shared" si="91"/>
        <v>-29677653.024911031</v>
      </c>
      <c r="H579" s="212">
        <f t="shared" si="92"/>
        <v>5.62E-3</v>
      </c>
      <c r="I579" s="65">
        <f t="shared" si="93"/>
        <v>-166788.41</v>
      </c>
      <c r="J579" s="289"/>
      <c r="K579" s="41">
        <f t="shared" si="83"/>
        <v>0</v>
      </c>
      <c r="L579" s="46">
        <f t="shared" si="89"/>
        <v>5.62E-3</v>
      </c>
      <c r="M579" s="136">
        <f t="shared" si="84"/>
        <v>0</v>
      </c>
      <c r="N579" s="289"/>
      <c r="O579" s="42"/>
      <c r="P579" s="42"/>
      <c r="Q579" s="42"/>
      <c r="R579" s="289"/>
      <c r="S579" s="86"/>
      <c r="T579" s="86"/>
      <c r="U579" s="86"/>
      <c r="V579" s="289"/>
      <c r="W579" s="67"/>
      <c r="X579" s="86"/>
      <c r="Y579" s="86"/>
    </row>
    <row r="580" spans="1:25" x14ac:dyDescent="0.25">
      <c r="A580" s="21">
        <v>575</v>
      </c>
      <c r="B580" s="19" t="s">
        <v>10</v>
      </c>
      <c r="E580" s="42">
        <f>SUM(E566:E579)</f>
        <v>1679054.87</v>
      </c>
      <c r="F580" s="289"/>
      <c r="G580" s="70"/>
      <c r="H580" s="70"/>
      <c r="I580" s="241">
        <f>SUM(I566:I579)</f>
        <v>-1679054.87</v>
      </c>
      <c r="J580" s="289"/>
      <c r="K580" s="41"/>
      <c r="L580" s="46"/>
      <c r="M580" s="135">
        <f>SUM(M566:M579)</f>
        <v>0</v>
      </c>
      <c r="N580" s="289"/>
      <c r="O580" s="42"/>
      <c r="P580" s="42"/>
      <c r="Q580" s="42"/>
      <c r="R580" s="289"/>
      <c r="S580" s="86"/>
      <c r="T580" s="86"/>
      <c r="U580" s="86"/>
      <c r="V580" s="289"/>
      <c r="W580" s="67"/>
      <c r="X580" s="86"/>
      <c r="Y580" s="86"/>
    </row>
    <row r="581" spans="1:25" x14ac:dyDescent="0.25">
      <c r="A581" s="21">
        <v>576</v>
      </c>
      <c r="K581" s="41"/>
      <c r="L581" s="46"/>
      <c r="M581" s="135"/>
      <c r="O581" s="42"/>
      <c r="P581" s="42"/>
      <c r="Q581" s="42"/>
      <c r="W581" s="67"/>
      <c r="X581" s="86"/>
    </row>
    <row r="582" spans="1:25" x14ac:dyDescent="0.25">
      <c r="A582" s="21">
        <v>577</v>
      </c>
      <c r="B582" s="19" t="s">
        <v>12</v>
      </c>
      <c r="K582" s="41"/>
      <c r="L582" s="46"/>
      <c r="M582" s="135"/>
      <c r="O582" s="42"/>
      <c r="P582" s="42"/>
      <c r="Q582" s="42"/>
      <c r="W582" s="67"/>
      <c r="X582" s="86"/>
    </row>
    <row r="583" spans="1:25" x14ac:dyDescent="0.25">
      <c r="A583" s="21">
        <v>578</v>
      </c>
      <c r="B583" s="99" t="s">
        <v>224</v>
      </c>
      <c r="E583" s="135">
        <f>'1501 Summary'!AD347</f>
        <v>-17789.04</v>
      </c>
      <c r="F583" s="277"/>
      <c r="G583" s="40"/>
      <c r="H583" s="40"/>
      <c r="I583" s="40"/>
      <c r="J583" s="277"/>
      <c r="K583" s="41"/>
      <c r="L583" s="46"/>
      <c r="M583" s="135"/>
      <c r="N583" s="277"/>
      <c r="O583" s="42"/>
      <c r="P583" s="42"/>
      <c r="Q583" s="42"/>
      <c r="R583" s="277"/>
      <c r="V583" s="277"/>
      <c r="W583" s="67"/>
      <c r="X583" s="86"/>
    </row>
    <row r="584" spans="1:25" x14ac:dyDescent="0.25">
      <c r="A584" s="21">
        <v>579</v>
      </c>
      <c r="B584" s="99" t="s">
        <v>225</v>
      </c>
      <c r="E584" s="135">
        <f>'1501 Summary'!AD348</f>
        <v>-8426.1500000000015</v>
      </c>
      <c r="F584" s="277"/>
      <c r="G584" s="40"/>
      <c r="H584" s="40"/>
      <c r="I584" s="40"/>
      <c r="J584" s="277"/>
      <c r="K584" s="41"/>
      <c r="L584" s="46"/>
      <c r="M584" s="135"/>
      <c r="N584" s="277"/>
      <c r="O584" s="42"/>
      <c r="P584" s="42"/>
      <c r="Q584" s="42"/>
      <c r="R584" s="277"/>
      <c r="V584" s="277"/>
      <c r="W584" s="67"/>
      <c r="X584" s="86"/>
    </row>
    <row r="585" spans="1:25" x14ac:dyDescent="0.25">
      <c r="A585" s="21">
        <v>580</v>
      </c>
      <c r="B585" s="99" t="s">
        <v>226</v>
      </c>
      <c r="E585" s="135">
        <f>'1501 Summary'!AD349</f>
        <v>-16851.150000000001</v>
      </c>
      <c r="F585" s="277"/>
      <c r="G585" s="40"/>
      <c r="H585" s="40"/>
      <c r="I585" s="40"/>
      <c r="J585" s="277"/>
      <c r="K585" s="41"/>
      <c r="L585" s="46"/>
      <c r="M585" s="135"/>
      <c r="N585" s="277"/>
      <c r="O585" s="42"/>
      <c r="P585" s="42"/>
      <c r="Q585" s="42"/>
      <c r="R585" s="277"/>
      <c r="V585" s="277"/>
      <c r="W585" s="67"/>
      <c r="X585" s="86"/>
    </row>
    <row r="586" spans="1:25" x14ac:dyDescent="0.25">
      <c r="A586" s="21">
        <v>581</v>
      </c>
      <c r="B586" s="19" t="s">
        <v>139</v>
      </c>
      <c r="E586" s="135">
        <f>'1501 Summary'!AD350</f>
        <v>15434.630000000003</v>
      </c>
      <c r="F586" s="277"/>
      <c r="G586" s="40"/>
      <c r="H586" s="40"/>
      <c r="I586" s="40"/>
      <c r="J586" s="277"/>
      <c r="K586" s="41"/>
      <c r="L586" s="46"/>
      <c r="M586" s="135"/>
      <c r="N586" s="277"/>
      <c r="O586" s="42"/>
      <c r="P586" s="42"/>
      <c r="Q586" s="42"/>
      <c r="R586" s="277"/>
      <c r="V586" s="277"/>
      <c r="W586" s="67"/>
      <c r="X586" s="86"/>
    </row>
    <row r="587" spans="1:25" x14ac:dyDescent="0.25">
      <c r="A587" s="21">
        <v>582</v>
      </c>
      <c r="B587" s="19" t="s">
        <v>140</v>
      </c>
      <c r="E587" s="135">
        <f>'1501 Summary'!AD351</f>
        <v>67249.47</v>
      </c>
      <c r="F587" s="277"/>
      <c r="G587" s="40"/>
      <c r="H587" s="40"/>
      <c r="I587" s="40"/>
      <c r="J587" s="277"/>
      <c r="K587" s="41"/>
      <c r="L587" s="46"/>
      <c r="M587" s="135"/>
      <c r="N587" s="277"/>
      <c r="O587" s="42"/>
      <c r="P587" s="42"/>
      <c r="Q587" s="42"/>
      <c r="R587" s="277"/>
      <c r="V587" s="277"/>
      <c r="W587" s="67"/>
      <c r="X587" s="86"/>
    </row>
    <row r="588" spans="1:25" x14ac:dyDescent="0.25">
      <c r="A588" s="21">
        <v>583</v>
      </c>
      <c r="B588" s="19" t="s">
        <v>20</v>
      </c>
      <c r="E588" s="135">
        <f>'1501 Summary'!AD352</f>
        <v>74796.02</v>
      </c>
      <c r="F588" s="277"/>
      <c r="G588" s="40"/>
      <c r="H588" s="40"/>
      <c r="I588" s="40"/>
      <c r="J588" s="277"/>
      <c r="K588" s="41"/>
      <c r="L588" s="46"/>
      <c r="M588" s="135"/>
      <c r="N588" s="277"/>
      <c r="O588" s="42"/>
      <c r="P588" s="42"/>
      <c r="Q588" s="42"/>
      <c r="R588" s="277"/>
      <c r="V588" s="277"/>
      <c r="W588" s="67"/>
      <c r="X588" s="86"/>
    </row>
    <row r="589" spans="1:25" x14ac:dyDescent="0.25">
      <c r="A589" s="21">
        <v>584</v>
      </c>
      <c r="B589" s="6" t="s">
        <v>55</v>
      </c>
      <c r="E589" s="135">
        <f>'Rev Recon Summary'!R380</f>
        <v>-1778106.31</v>
      </c>
      <c r="F589" s="278"/>
      <c r="G589" s="56"/>
      <c r="H589" s="56"/>
      <c r="I589" s="56"/>
      <c r="J589" s="278"/>
      <c r="K589" s="41"/>
      <c r="L589" s="46"/>
      <c r="M589" s="135"/>
      <c r="N589" s="278"/>
      <c r="O589" s="42"/>
      <c r="P589" s="42"/>
      <c r="Q589" s="42"/>
      <c r="R589" s="278"/>
      <c r="V589" s="278"/>
      <c r="W589" s="67"/>
      <c r="X589" s="86"/>
    </row>
    <row r="590" spans="1:25" x14ac:dyDescent="0.25">
      <c r="A590" s="21">
        <v>585</v>
      </c>
      <c r="B590" s="263" t="s">
        <v>56</v>
      </c>
      <c r="E590" s="136">
        <f>'Rev Recon Summary'!R381</f>
        <v>1764235.8199999998</v>
      </c>
      <c r="F590" s="278"/>
      <c r="G590" s="56"/>
      <c r="H590" s="56"/>
      <c r="I590" s="56"/>
      <c r="J590" s="278"/>
      <c r="K590" s="41"/>
      <c r="L590" s="46"/>
      <c r="M590" s="135"/>
      <c r="N590" s="278"/>
      <c r="O590" s="42"/>
      <c r="P590" s="42"/>
      <c r="Q590" s="42"/>
      <c r="R590" s="278"/>
      <c r="V590" s="278"/>
      <c r="W590" s="67"/>
      <c r="X590" s="86"/>
    </row>
    <row r="591" spans="1:25" x14ac:dyDescent="0.25">
      <c r="A591" s="21">
        <v>586</v>
      </c>
      <c r="B591" s="18" t="s">
        <v>93</v>
      </c>
      <c r="E591" s="135">
        <f>SUM(E583:E590)</f>
        <v>100543.2899999998</v>
      </c>
      <c r="F591" s="277"/>
      <c r="G591" s="40"/>
      <c r="H591" s="40"/>
      <c r="I591" s="40"/>
      <c r="J591" s="277"/>
      <c r="K591" s="41"/>
      <c r="L591" s="46"/>
      <c r="M591" s="135"/>
      <c r="N591" s="277"/>
      <c r="O591" s="42"/>
      <c r="P591" s="42"/>
      <c r="Q591" s="42"/>
      <c r="R591" s="277"/>
      <c r="V591" s="277"/>
      <c r="W591" s="67"/>
      <c r="X591" s="86"/>
    </row>
    <row r="592" spans="1:25" x14ac:dyDescent="0.25">
      <c r="A592" s="21">
        <v>587</v>
      </c>
      <c r="E592" s="135"/>
      <c r="F592" s="277"/>
      <c r="G592" s="40"/>
      <c r="H592" s="40"/>
      <c r="I592" s="40"/>
      <c r="J592" s="277"/>
      <c r="K592" s="41"/>
      <c r="L592" s="46"/>
      <c r="M592" s="135"/>
      <c r="N592" s="277"/>
      <c r="O592" s="42"/>
      <c r="P592" s="42"/>
      <c r="Q592" s="42"/>
      <c r="R592" s="277"/>
      <c r="V592" s="277"/>
      <c r="W592" s="67"/>
      <c r="X592" s="86"/>
    </row>
    <row r="593" spans="1:25" x14ac:dyDescent="0.25">
      <c r="A593" s="21">
        <v>588</v>
      </c>
      <c r="B593" s="109" t="s">
        <v>291</v>
      </c>
      <c r="C593" s="78">
        <f>E593-'Rev Recon Summary'!R382</f>
        <v>0</v>
      </c>
      <c r="D593" s="105" t="s">
        <v>45</v>
      </c>
      <c r="E593" s="136">
        <f>SUM(E580,E591)</f>
        <v>1779598.16</v>
      </c>
      <c r="F593" s="290"/>
      <c r="G593" s="78"/>
      <c r="H593" s="78"/>
      <c r="I593" s="78"/>
      <c r="J593" s="290"/>
      <c r="K593" s="101"/>
      <c r="L593" s="134"/>
      <c r="M593" s="136"/>
      <c r="N593" s="290"/>
      <c r="O593" s="65"/>
      <c r="P593" s="65"/>
      <c r="Q593" s="65"/>
      <c r="R593" s="290"/>
      <c r="S593" s="105"/>
      <c r="T593" s="105"/>
      <c r="U593" s="105"/>
      <c r="V593" s="290"/>
      <c r="W593" s="85"/>
      <c r="X593" s="88"/>
      <c r="Y593" s="105"/>
    </row>
    <row r="594" spans="1:25" x14ac:dyDescent="0.25">
      <c r="A594" s="21">
        <v>589</v>
      </c>
      <c r="E594" s="40"/>
      <c r="F594" s="277"/>
      <c r="G594" s="40"/>
      <c r="H594" s="40"/>
      <c r="I594" s="40"/>
      <c r="J594" s="277"/>
      <c r="K594" s="41"/>
      <c r="L594" s="46"/>
      <c r="M594" s="135"/>
      <c r="N594" s="277"/>
      <c r="O594" s="42"/>
      <c r="P594" s="42"/>
      <c r="Q594" s="42"/>
      <c r="R594" s="277"/>
      <c r="V594" s="277"/>
      <c r="W594" s="67"/>
      <c r="X594" s="86"/>
    </row>
    <row r="595" spans="1:25" x14ac:dyDescent="0.25">
      <c r="A595" s="21">
        <v>590</v>
      </c>
      <c r="B595" s="31"/>
      <c r="K595" s="41"/>
      <c r="L595" s="46"/>
      <c r="M595" s="135"/>
      <c r="O595" s="42"/>
      <c r="P595" s="42"/>
      <c r="Q595" s="42"/>
      <c r="W595" s="67"/>
      <c r="X595" s="86"/>
    </row>
    <row r="596" spans="1:25" x14ac:dyDescent="0.25">
      <c r="A596" s="21">
        <v>591</v>
      </c>
      <c r="B596" s="18"/>
      <c r="K596" s="41"/>
      <c r="L596" s="46"/>
      <c r="M596" s="135"/>
      <c r="O596" s="42"/>
      <c r="P596" s="42"/>
      <c r="Q596" s="42"/>
      <c r="W596" s="67"/>
      <c r="X596" s="86"/>
    </row>
    <row r="597" spans="1:25" x14ac:dyDescent="0.25">
      <c r="A597" s="21">
        <v>592</v>
      </c>
      <c r="B597" s="30" t="s">
        <v>171</v>
      </c>
      <c r="G597" s="42" t="s">
        <v>650</v>
      </c>
      <c r="K597" s="41"/>
      <c r="L597" s="46"/>
      <c r="M597" s="135"/>
      <c r="O597" s="42"/>
      <c r="P597" s="42"/>
      <c r="Q597" s="42"/>
      <c r="W597" s="67"/>
      <c r="X597" s="86"/>
    </row>
    <row r="598" spans="1:25" x14ac:dyDescent="0.25">
      <c r="A598" s="21">
        <v>593</v>
      </c>
      <c r="B598" s="19" t="s">
        <v>268</v>
      </c>
      <c r="C598" s="84">
        <f>E598/D598</f>
        <v>8</v>
      </c>
      <c r="D598" s="67">
        <v>500</v>
      </c>
      <c r="E598" s="84">
        <f>SUM('1501 Summary'!G359,'1501 Summary'!I359,'1501 Summary'!K359,'1501 Summary'!M359,'1501 Summary'!O359,'1501 Summary'!Q359,'1501 Summary'!S359,'1501 Summary'!U359)</f>
        <v>4000</v>
      </c>
      <c r="F598" s="288"/>
      <c r="G598" s="100">
        <f>-C598</f>
        <v>-8</v>
      </c>
      <c r="H598" s="69">
        <f>D598</f>
        <v>500</v>
      </c>
      <c r="I598" s="84">
        <f>H598*G598</f>
        <v>-4000</v>
      </c>
      <c r="J598" s="288"/>
      <c r="K598" s="41">
        <f t="shared" ref="K598:K646" si="94">C598+G598</f>
        <v>0</v>
      </c>
      <c r="L598" s="38">
        <f t="shared" si="89"/>
        <v>500</v>
      </c>
      <c r="M598" s="135">
        <f t="shared" ref="M598:M609" si="95">L598*K598</f>
        <v>0</v>
      </c>
      <c r="N598" s="288"/>
      <c r="O598" s="42"/>
      <c r="P598" s="42"/>
      <c r="Q598" s="42"/>
      <c r="R598" s="288"/>
      <c r="S598" s="82"/>
      <c r="T598" s="82"/>
      <c r="U598" s="82"/>
      <c r="V598" s="288"/>
      <c r="W598" s="67"/>
      <c r="X598" s="86"/>
      <c r="Y598" s="82"/>
    </row>
    <row r="599" spans="1:25" x14ac:dyDescent="0.25">
      <c r="A599" s="21">
        <v>594</v>
      </c>
      <c r="B599" s="19" t="s">
        <v>273</v>
      </c>
      <c r="C599" s="84">
        <f>E599/D599</f>
        <v>4</v>
      </c>
      <c r="D599" s="67">
        <v>625</v>
      </c>
      <c r="E599" s="84">
        <f>SUM('1501 Summary'!W359,'1501 Summary'!Y359,'1501 Summary'!AA359,'1501 Summary'!AC359)</f>
        <v>2500</v>
      </c>
      <c r="F599" s="288"/>
      <c r="G599" s="100">
        <f t="shared" ref="G599:G609" si="96">-C599</f>
        <v>-4</v>
      </c>
      <c r="H599" s="69">
        <f t="shared" ref="H599:H609" si="97">D599</f>
        <v>625</v>
      </c>
      <c r="I599" s="84">
        <f t="shared" ref="I599:I609" si="98">H599*G599</f>
        <v>-2500</v>
      </c>
      <c r="J599" s="288"/>
      <c r="K599" s="41">
        <f t="shared" si="94"/>
        <v>0</v>
      </c>
      <c r="L599" s="38">
        <f t="shared" si="89"/>
        <v>625</v>
      </c>
      <c r="M599" s="135">
        <f t="shared" si="95"/>
        <v>0</v>
      </c>
      <c r="N599" s="288"/>
      <c r="O599" s="42"/>
      <c r="P599" s="42"/>
      <c r="Q599" s="42"/>
      <c r="R599" s="288"/>
      <c r="S599" s="82"/>
      <c r="T599" s="82"/>
      <c r="U599" s="82"/>
      <c r="V599" s="288"/>
      <c r="W599" s="67"/>
      <c r="X599" s="86"/>
      <c r="Y599" s="82"/>
    </row>
    <row r="600" spans="1:25" x14ac:dyDescent="0.25">
      <c r="A600" s="21">
        <v>595</v>
      </c>
      <c r="B600" s="19" t="s">
        <v>269</v>
      </c>
      <c r="C600" s="84">
        <f t="shared" ref="C600:C609" si="99">E600/D600</f>
        <v>8364774.9999999991</v>
      </c>
      <c r="D600" s="259">
        <v>4.0000000000000002E-4</v>
      </c>
      <c r="E600" s="84">
        <f>SUM('1501 Summary'!G360,'1501 Summary'!I360,'1501 Summary'!K360,'1501 Summary'!M360,'1501 Summary'!O360,'1501 Summary'!Q360,'1501 Summary'!S360,'1501 Summary'!U360)</f>
        <v>3345.91</v>
      </c>
      <c r="F600" s="288"/>
      <c r="G600" s="100">
        <f t="shared" si="96"/>
        <v>-8364774.9999999991</v>
      </c>
      <c r="H600" s="213">
        <f t="shared" si="97"/>
        <v>4.0000000000000002E-4</v>
      </c>
      <c r="I600" s="84">
        <f t="shared" si="98"/>
        <v>-3345.91</v>
      </c>
      <c r="J600" s="288"/>
      <c r="K600" s="41">
        <f t="shared" si="94"/>
        <v>0</v>
      </c>
      <c r="L600" s="46">
        <f t="shared" si="89"/>
        <v>4.0000000000000002E-4</v>
      </c>
      <c r="M600" s="135">
        <f t="shared" si="95"/>
        <v>0</v>
      </c>
      <c r="N600" s="288"/>
      <c r="O600" s="42"/>
      <c r="P600" s="42"/>
      <c r="Q600" s="42"/>
      <c r="R600" s="288"/>
      <c r="S600" s="82"/>
      <c r="T600" s="82"/>
      <c r="U600" s="82"/>
      <c r="V600" s="288"/>
      <c r="W600" s="67"/>
      <c r="X600" s="86"/>
      <c r="Y600" s="82"/>
    </row>
    <row r="601" spans="1:25" x14ac:dyDescent="0.25">
      <c r="A601" s="21">
        <v>596</v>
      </c>
      <c r="B601" s="19" t="s">
        <v>274</v>
      </c>
      <c r="C601" s="84">
        <f t="shared" si="99"/>
        <v>9409825</v>
      </c>
      <c r="D601" s="259">
        <v>4.0000000000000002E-4</v>
      </c>
      <c r="E601" s="84">
        <f>SUM('1501 Summary'!W360,'1501 Summary'!Y360,'1501 Summary'!AA360,'1501 Summary'!AC360)</f>
        <v>3763.93</v>
      </c>
      <c r="F601" s="288"/>
      <c r="G601" s="100">
        <f t="shared" si="96"/>
        <v>-9409825</v>
      </c>
      <c r="H601" s="213">
        <f t="shared" si="97"/>
        <v>4.0000000000000002E-4</v>
      </c>
      <c r="I601" s="84">
        <f t="shared" si="98"/>
        <v>-3763.9300000000003</v>
      </c>
      <c r="J601" s="288"/>
      <c r="K601" s="41">
        <f t="shared" si="94"/>
        <v>0</v>
      </c>
      <c r="L601" s="46">
        <f t="shared" si="89"/>
        <v>4.0000000000000002E-4</v>
      </c>
      <c r="M601" s="135">
        <f t="shared" si="95"/>
        <v>0</v>
      </c>
      <c r="N601" s="288"/>
      <c r="O601" s="42"/>
      <c r="P601" s="42"/>
      <c r="Q601" s="42"/>
      <c r="R601" s="288"/>
      <c r="S601" s="82"/>
      <c r="T601" s="82"/>
      <c r="U601" s="82"/>
      <c r="V601" s="288"/>
      <c r="W601" s="67"/>
      <c r="X601" s="86"/>
      <c r="Y601" s="82"/>
    </row>
    <row r="602" spans="1:25" x14ac:dyDescent="0.25">
      <c r="A602" s="21">
        <v>597</v>
      </c>
      <c r="B602" s="19" t="s">
        <v>270</v>
      </c>
      <c r="C602" s="84">
        <f t="shared" si="99"/>
        <v>800000</v>
      </c>
      <c r="D602" s="81">
        <v>5.7299999999999997E-2</v>
      </c>
      <c r="E602" s="84">
        <f>SUM('1501 Summary'!G361,'1501 Summary'!I361,'1501 Summary'!K361,'1501 Summary'!M361,'1501 Summary'!O361,'1501 Summary'!Q361,'1501 Summary'!S361,'1501 Summary'!U361)</f>
        <v>45840</v>
      </c>
      <c r="F602" s="288"/>
      <c r="G602" s="100">
        <f t="shared" si="96"/>
        <v>-800000</v>
      </c>
      <c r="H602" s="213">
        <f t="shared" si="97"/>
        <v>5.7299999999999997E-2</v>
      </c>
      <c r="I602" s="84">
        <f t="shared" si="98"/>
        <v>-45840</v>
      </c>
      <c r="J602" s="288"/>
      <c r="K602" s="41">
        <f t="shared" si="94"/>
        <v>0</v>
      </c>
      <c r="L602" s="46">
        <f t="shared" si="89"/>
        <v>5.7299999999999997E-2</v>
      </c>
      <c r="M602" s="135">
        <f t="shared" si="95"/>
        <v>0</v>
      </c>
      <c r="N602" s="288"/>
      <c r="O602" s="42"/>
      <c r="P602" s="42"/>
      <c r="Q602" s="42"/>
      <c r="R602" s="288"/>
      <c r="S602" s="82"/>
      <c r="T602" s="82"/>
      <c r="U602" s="82"/>
      <c r="V602" s="288"/>
      <c r="W602" s="67"/>
      <c r="X602" s="86"/>
      <c r="Y602" s="82"/>
    </row>
    <row r="603" spans="1:25" x14ac:dyDescent="0.25">
      <c r="A603" s="21">
        <v>598</v>
      </c>
      <c r="B603" s="19" t="s">
        <v>275</v>
      </c>
      <c r="C603" s="84">
        <f t="shared" si="99"/>
        <v>333897.95535546797</v>
      </c>
      <c r="D603" s="81">
        <v>5.3310000000000003E-2</v>
      </c>
      <c r="E603" s="84">
        <f>SUM('1501 Summary'!W361,'1501 Summary'!Y361,'1501 Summary'!AA361,'1501 Summary'!AC361)</f>
        <v>17800.099999999999</v>
      </c>
      <c r="F603" s="288"/>
      <c r="G603" s="100">
        <f t="shared" si="96"/>
        <v>-333897.95535546797</v>
      </c>
      <c r="H603" s="213">
        <f t="shared" si="97"/>
        <v>5.3310000000000003E-2</v>
      </c>
      <c r="I603" s="84">
        <f t="shared" si="98"/>
        <v>-17800.099999999999</v>
      </c>
      <c r="J603" s="288"/>
      <c r="K603" s="41">
        <f t="shared" si="94"/>
        <v>0</v>
      </c>
      <c r="L603" s="46">
        <f t="shared" si="89"/>
        <v>5.3310000000000003E-2</v>
      </c>
      <c r="M603" s="135">
        <f t="shared" si="95"/>
        <v>0</v>
      </c>
      <c r="N603" s="288"/>
      <c r="O603" s="42"/>
      <c r="P603" s="42"/>
      <c r="Q603" s="42"/>
      <c r="R603" s="288"/>
      <c r="S603" s="82"/>
      <c r="T603" s="82"/>
      <c r="U603" s="82"/>
      <c r="V603" s="288"/>
      <c r="W603" s="67"/>
      <c r="X603" s="86"/>
      <c r="Y603" s="82"/>
    </row>
    <row r="604" spans="1:25" x14ac:dyDescent="0.25">
      <c r="A604" s="21">
        <v>599</v>
      </c>
      <c r="B604" s="19" t="s">
        <v>271</v>
      </c>
      <c r="C604" s="84">
        <f t="shared" si="99"/>
        <v>1204771.1319822045</v>
      </c>
      <c r="D604" s="81">
        <v>2.0230000000000001E-2</v>
      </c>
      <c r="E604" s="84">
        <f>SUM('1501 Summary'!G362,'1501 Summary'!I362,'1501 Summary'!K362,'1501 Summary'!M362,'1501 Summary'!O362,'1501 Summary'!Q362,'1501 Summary'!S362,'1501 Summary'!U362)</f>
        <v>24372.52</v>
      </c>
      <c r="F604" s="288"/>
      <c r="G604" s="100">
        <f t="shared" si="96"/>
        <v>-1204771.1319822045</v>
      </c>
      <c r="H604" s="213">
        <f t="shared" si="97"/>
        <v>2.0230000000000001E-2</v>
      </c>
      <c r="I604" s="84">
        <f t="shared" si="98"/>
        <v>-24372.52</v>
      </c>
      <c r="J604" s="288"/>
      <c r="K604" s="41">
        <f t="shared" si="94"/>
        <v>0</v>
      </c>
      <c r="L604" s="46">
        <f t="shared" si="89"/>
        <v>2.0230000000000001E-2</v>
      </c>
      <c r="M604" s="135">
        <f t="shared" si="95"/>
        <v>0</v>
      </c>
      <c r="N604" s="288"/>
      <c r="O604" s="42"/>
      <c r="P604" s="42"/>
      <c r="Q604" s="42"/>
      <c r="R604" s="288"/>
      <c r="S604" s="82"/>
      <c r="T604" s="82"/>
      <c r="U604" s="82"/>
      <c r="V604" s="288"/>
      <c r="W604" s="67"/>
      <c r="X604" s="86"/>
      <c r="Y604" s="82"/>
    </row>
    <row r="605" spans="1:25" x14ac:dyDescent="0.25">
      <c r="A605" s="21">
        <v>600</v>
      </c>
      <c r="B605" s="19" t="s">
        <v>276</v>
      </c>
      <c r="C605" s="84">
        <f t="shared" si="99"/>
        <v>600000</v>
      </c>
      <c r="D605" s="81">
        <v>1.9449999999999999E-2</v>
      </c>
      <c r="E605" s="84">
        <f>SUM('1501 Summary'!W362,'1501 Summary'!Y362,'1501 Summary'!AA362,'1501 Summary'!AC362)</f>
        <v>11670</v>
      </c>
      <c r="F605" s="288"/>
      <c r="G605" s="100">
        <f t="shared" si="96"/>
        <v>-600000</v>
      </c>
      <c r="H605" s="213">
        <f t="shared" si="97"/>
        <v>1.9449999999999999E-2</v>
      </c>
      <c r="I605" s="84">
        <f t="shared" si="98"/>
        <v>-11670</v>
      </c>
      <c r="J605" s="288"/>
      <c r="K605" s="41">
        <f t="shared" si="94"/>
        <v>0</v>
      </c>
      <c r="L605" s="46">
        <f t="shared" si="89"/>
        <v>1.9449999999999999E-2</v>
      </c>
      <c r="M605" s="135">
        <f t="shared" si="95"/>
        <v>0</v>
      </c>
      <c r="N605" s="288"/>
      <c r="O605" s="42"/>
      <c r="P605" s="42"/>
      <c r="Q605" s="42"/>
      <c r="R605" s="288"/>
      <c r="S605" s="82"/>
      <c r="T605" s="82"/>
      <c r="U605" s="82"/>
      <c r="V605" s="288"/>
      <c r="W605" s="67"/>
      <c r="X605" s="86"/>
      <c r="Y605" s="82"/>
    </row>
    <row r="606" spans="1:25" x14ac:dyDescent="0.25">
      <c r="A606" s="21">
        <v>601</v>
      </c>
      <c r="B606" s="19" t="s">
        <v>271</v>
      </c>
      <c r="C606" s="84">
        <f t="shared" si="99"/>
        <v>819310.86773378274</v>
      </c>
      <c r="D606" s="81">
        <v>1.187E-2</v>
      </c>
      <c r="E606" s="84">
        <f>SUM('1501 Summary'!G363,'1501 Summary'!I363,'1501 Summary'!K363,'1501 Summary'!M363,'1501 Summary'!O363,'1501 Summary'!Q363,'1501 Summary'!S363,'1501 Summary'!U363)</f>
        <v>9725.2200000000012</v>
      </c>
      <c r="F606" s="288"/>
      <c r="G606" s="100">
        <f t="shared" si="96"/>
        <v>-819310.86773378274</v>
      </c>
      <c r="H606" s="213">
        <f t="shared" si="97"/>
        <v>1.187E-2</v>
      </c>
      <c r="I606" s="84">
        <f t="shared" si="98"/>
        <v>-9725.2200000000012</v>
      </c>
      <c r="J606" s="288"/>
      <c r="K606" s="41">
        <f t="shared" si="94"/>
        <v>0</v>
      </c>
      <c r="L606" s="46">
        <f t="shared" si="89"/>
        <v>1.187E-2</v>
      </c>
      <c r="M606" s="135">
        <f t="shared" si="95"/>
        <v>0</v>
      </c>
      <c r="N606" s="288"/>
      <c r="O606" s="42"/>
      <c r="P606" s="42"/>
      <c r="Q606" s="42"/>
      <c r="R606" s="288"/>
      <c r="S606" s="82"/>
      <c r="T606" s="82"/>
      <c r="U606" s="82"/>
      <c r="V606" s="288"/>
      <c r="W606" s="67"/>
      <c r="X606" s="86"/>
      <c r="Y606" s="82"/>
    </row>
    <row r="607" spans="1:25" x14ac:dyDescent="0.25">
      <c r="A607" s="21">
        <v>602</v>
      </c>
      <c r="B607" s="19" t="s">
        <v>276</v>
      </c>
      <c r="C607" s="84">
        <f t="shared" si="99"/>
        <v>600000</v>
      </c>
      <c r="D607" s="81">
        <v>1.1820000000000001E-2</v>
      </c>
      <c r="E607" s="84">
        <f>SUM('1501 Summary'!W363,'1501 Summary'!Y363,'1501 Summary'!AA363,'1501 Summary'!AC363)</f>
        <v>7092</v>
      </c>
      <c r="F607" s="288"/>
      <c r="G607" s="100">
        <f t="shared" si="96"/>
        <v>-600000</v>
      </c>
      <c r="H607" s="213">
        <f t="shared" si="97"/>
        <v>1.1820000000000001E-2</v>
      </c>
      <c r="I607" s="84">
        <f t="shared" si="98"/>
        <v>-7092</v>
      </c>
      <c r="J607" s="288"/>
      <c r="K607" s="41">
        <f t="shared" si="94"/>
        <v>0</v>
      </c>
      <c r="L607" s="46">
        <f t="shared" si="89"/>
        <v>1.1820000000000001E-2</v>
      </c>
      <c r="M607" s="135">
        <f t="shared" si="95"/>
        <v>0</v>
      </c>
      <c r="N607" s="288"/>
      <c r="O607" s="42"/>
      <c r="P607" s="42"/>
      <c r="Q607" s="42"/>
      <c r="R607" s="288"/>
      <c r="S607" s="82"/>
      <c r="T607" s="82"/>
      <c r="U607" s="82"/>
      <c r="V607" s="288"/>
      <c r="W607" s="67"/>
      <c r="X607" s="86"/>
      <c r="Y607" s="82"/>
    </row>
    <row r="608" spans="1:25" x14ac:dyDescent="0.25">
      <c r="A608" s="21">
        <v>603</v>
      </c>
      <c r="B608" s="19" t="s">
        <v>272</v>
      </c>
      <c r="C608" s="84">
        <f t="shared" si="99"/>
        <v>5540722.4409448812</v>
      </c>
      <c r="D608" s="81">
        <v>5.0800000000000003E-3</v>
      </c>
      <c r="E608" s="84">
        <f>SUM('1501 Summary'!G364,'1501 Summary'!I364,'1501 Summary'!K364,'1501 Summary'!M364,'1501 Summary'!O364,'1501 Summary'!Q364,'1501 Summary'!S364,'1501 Summary'!U364)</f>
        <v>28146.87</v>
      </c>
      <c r="F608" s="288"/>
      <c r="G608" s="100">
        <f t="shared" si="96"/>
        <v>-5540722.4409448812</v>
      </c>
      <c r="H608" s="213">
        <f t="shared" si="97"/>
        <v>5.0800000000000003E-3</v>
      </c>
      <c r="I608" s="84">
        <f t="shared" si="98"/>
        <v>-28146.87</v>
      </c>
      <c r="J608" s="288"/>
      <c r="K608" s="41">
        <f t="shared" si="94"/>
        <v>0</v>
      </c>
      <c r="L608" s="46">
        <f t="shared" si="89"/>
        <v>5.0800000000000003E-3</v>
      </c>
      <c r="M608" s="135">
        <f t="shared" si="95"/>
        <v>0</v>
      </c>
      <c r="N608" s="288"/>
      <c r="O608" s="42"/>
      <c r="P608" s="42"/>
      <c r="Q608" s="42"/>
      <c r="R608" s="288"/>
      <c r="S608" s="82"/>
      <c r="T608" s="82"/>
      <c r="U608" s="82"/>
      <c r="V608" s="288"/>
      <c r="W608" s="67"/>
      <c r="X608" s="86"/>
      <c r="Y608" s="82"/>
    </row>
    <row r="609" spans="1:25" x14ac:dyDescent="0.25">
      <c r="A609" s="21">
        <v>604</v>
      </c>
      <c r="B609" s="264" t="s">
        <v>277</v>
      </c>
      <c r="C609" s="84">
        <f t="shared" si="99"/>
        <v>7875921.7081850534</v>
      </c>
      <c r="D609" s="81">
        <v>5.62E-3</v>
      </c>
      <c r="E609" s="145">
        <f>SUM('1501 Summary'!W364,'1501 Summary'!Y364,'1501 Summary'!AA364,'1501 Summary'!AC364)</f>
        <v>44262.68</v>
      </c>
      <c r="F609" s="288"/>
      <c r="G609" s="100">
        <f t="shared" si="96"/>
        <v>-7875921.7081850534</v>
      </c>
      <c r="H609" s="213">
        <f t="shared" si="97"/>
        <v>5.62E-3</v>
      </c>
      <c r="I609" s="145">
        <f t="shared" si="98"/>
        <v>-44262.68</v>
      </c>
      <c r="J609" s="288"/>
      <c r="K609" s="41">
        <f t="shared" si="94"/>
        <v>0</v>
      </c>
      <c r="L609" s="46">
        <f t="shared" si="89"/>
        <v>5.62E-3</v>
      </c>
      <c r="M609" s="136">
        <f t="shared" si="95"/>
        <v>0</v>
      </c>
      <c r="N609" s="288"/>
      <c r="O609" s="42"/>
      <c r="P609" s="42"/>
      <c r="Q609" s="42"/>
      <c r="R609" s="288"/>
      <c r="S609" s="82"/>
      <c r="T609" s="82"/>
      <c r="U609" s="82"/>
      <c r="V609" s="288"/>
      <c r="W609" s="67"/>
      <c r="X609" s="86"/>
      <c r="Y609" s="82"/>
    </row>
    <row r="610" spans="1:25" x14ac:dyDescent="0.25">
      <c r="A610" s="21">
        <v>605</v>
      </c>
      <c r="B610" s="19" t="s">
        <v>10</v>
      </c>
      <c r="E610" s="84">
        <f>SUM(E598:E609)</f>
        <v>202519.23</v>
      </c>
      <c r="F610" s="288"/>
      <c r="G610" s="69"/>
      <c r="H610" s="69"/>
      <c r="I610" s="84">
        <f>SUM(I598:I609)</f>
        <v>-202519.23</v>
      </c>
      <c r="J610" s="288"/>
      <c r="K610" s="41"/>
      <c r="L610" s="46"/>
      <c r="M610" s="135">
        <f>SUM(M598:M609)</f>
        <v>0</v>
      </c>
      <c r="N610" s="288"/>
      <c r="O610" s="42"/>
      <c r="P610" s="42"/>
      <c r="Q610" s="42"/>
      <c r="R610" s="288"/>
      <c r="S610" s="82"/>
      <c r="T610" s="82"/>
      <c r="U610" s="82"/>
      <c r="V610" s="288"/>
      <c r="W610" s="67"/>
      <c r="X610" s="86"/>
      <c r="Y610" s="82"/>
    </row>
    <row r="611" spans="1:25" x14ac:dyDescent="0.25">
      <c r="A611" s="21">
        <v>606</v>
      </c>
      <c r="B611" s="18"/>
      <c r="K611" s="41"/>
      <c r="L611" s="46"/>
      <c r="M611" s="135"/>
      <c r="O611" s="42"/>
      <c r="P611" s="42"/>
      <c r="Q611" s="42"/>
      <c r="W611" s="67"/>
      <c r="X611" s="86"/>
    </row>
    <row r="612" spans="1:25" x14ac:dyDescent="0.25">
      <c r="A612" s="21">
        <v>607</v>
      </c>
      <c r="B612" s="19" t="s">
        <v>12</v>
      </c>
      <c r="K612" s="41"/>
      <c r="L612" s="46"/>
      <c r="M612" s="135"/>
      <c r="O612" s="42"/>
      <c r="P612" s="42"/>
      <c r="Q612" s="42"/>
      <c r="S612" s="19"/>
      <c r="T612" s="19"/>
      <c r="U612" s="19"/>
      <c r="W612" s="67"/>
      <c r="X612" s="86"/>
      <c r="Y612" s="19"/>
    </row>
    <row r="613" spans="1:25" x14ac:dyDescent="0.25">
      <c r="A613" s="21">
        <v>608</v>
      </c>
      <c r="B613" s="99" t="s">
        <v>224</v>
      </c>
      <c r="E613" s="135">
        <f>'1501 Summary'!AD365</f>
        <v>-5365.6399999999994</v>
      </c>
      <c r="F613" s="277"/>
      <c r="G613" s="40"/>
      <c r="H613" s="40"/>
      <c r="I613" s="40"/>
      <c r="J613" s="277"/>
      <c r="K613" s="41"/>
      <c r="L613" s="46"/>
      <c r="M613" s="135"/>
      <c r="N613" s="277"/>
      <c r="O613" s="42"/>
      <c r="P613" s="42"/>
      <c r="Q613" s="42"/>
      <c r="R613" s="277"/>
      <c r="S613" s="99"/>
      <c r="T613" s="99"/>
      <c r="U613" s="99"/>
      <c r="V613" s="277"/>
      <c r="W613" s="67"/>
      <c r="X613" s="86"/>
      <c r="Y613" s="99"/>
    </row>
    <row r="614" spans="1:25" x14ac:dyDescent="0.25">
      <c r="A614" s="21">
        <v>609</v>
      </c>
      <c r="B614" s="99" t="s">
        <v>225</v>
      </c>
      <c r="E614" s="135">
        <f>'1501 Summary'!AD366</f>
        <v>-2541.33</v>
      </c>
      <c r="F614" s="277"/>
      <c r="G614" s="40"/>
      <c r="H614" s="40"/>
      <c r="I614" s="40"/>
      <c r="J614" s="277"/>
      <c r="K614" s="41"/>
      <c r="L614" s="46"/>
      <c r="M614" s="135"/>
      <c r="N614" s="277"/>
      <c r="O614" s="42"/>
      <c r="P614" s="42"/>
      <c r="Q614" s="42"/>
      <c r="R614" s="277"/>
      <c r="S614" s="99"/>
      <c r="T614" s="99"/>
      <c r="U614" s="99"/>
      <c r="V614" s="277"/>
      <c r="W614" s="67"/>
      <c r="X614" s="86"/>
      <c r="Y614" s="99"/>
    </row>
    <row r="615" spans="1:25" x14ac:dyDescent="0.25">
      <c r="A615" s="21">
        <v>610</v>
      </c>
      <c r="B615" s="99" t="s">
        <v>226</v>
      </c>
      <c r="E615" s="135">
        <f>'1501 Summary'!AD367</f>
        <v>-5081.29</v>
      </c>
      <c r="F615" s="277"/>
      <c r="G615" s="40"/>
      <c r="H615" s="40"/>
      <c r="I615" s="40"/>
      <c r="J615" s="277"/>
      <c r="K615" s="41"/>
      <c r="L615" s="46"/>
      <c r="M615" s="135"/>
      <c r="N615" s="277"/>
      <c r="O615" s="42"/>
      <c r="P615" s="42"/>
      <c r="Q615" s="42"/>
      <c r="R615" s="277"/>
      <c r="S615" s="99"/>
      <c r="T615" s="99"/>
      <c r="U615" s="99"/>
      <c r="V615" s="277"/>
      <c r="W615" s="67"/>
      <c r="X615" s="86"/>
      <c r="Y615" s="99"/>
    </row>
    <row r="616" spans="1:25" x14ac:dyDescent="0.25">
      <c r="A616" s="21">
        <v>611</v>
      </c>
      <c r="B616" s="66" t="s">
        <v>139</v>
      </c>
      <c r="C616" s="18"/>
      <c r="E616" s="135">
        <f>'1501 Summary'!AD368</f>
        <v>4799.1399999999994</v>
      </c>
      <c r="F616" s="277"/>
      <c r="G616" s="40"/>
      <c r="H616" s="40"/>
      <c r="I616" s="40"/>
      <c r="J616" s="277"/>
      <c r="K616" s="41"/>
      <c r="L616" s="46"/>
      <c r="M616" s="135"/>
      <c r="N616" s="277"/>
      <c r="O616" s="42"/>
      <c r="P616" s="42"/>
      <c r="Q616" s="42"/>
      <c r="R616" s="277"/>
      <c r="S616" s="19"/>
      <c r="T616" s="19"/>
      <c r="U616" s="19"/>
      <c r="V616" s="277"/>
      <c r="W616" s="67"/>
      <c r="X616" s="86"/>
      <c r="Y616" s="19"/>
    </row>
    <row r="617" spans="1:25" x14ac:dyDescent="0.25">
      <c r="A617" s="21">
        <v>612</v>
      </c>
      <c r="B617" s="66" t="s">
        <v>140</v>
      </c>
      <c r="C617" s="18"/>
      <c r="E617" s="135">
        <f>'1501 Summary'!AD369</f>
        <v>21249.420000000002</v>
      </c>
      <c r="F617" s="277"/>
      <c r="G617" s="40"/>
      <c r="H617" s="40"/>
      <c r="I617" s="40"/>
      <c r="J617" s="277"/>
      <c r="K617" s="41"/>
      <c r="L617" s="46"/>
      <c r="M617" s="135"/>
      <c r="N617" s="277"/>
      <c r="O617" s="42"/>
      <c r="P617" s="42"/>
      <c r="Q617" s="42"/>
      <c r="R617" s="277"/>
      <c r="S617" s="19"/>
      <c r="T617" s="19"/>
      <c r="U617" s="19"/>
      <c r="V617" s="277"/>
      <c r="W617" s="67"/>
      <c r="X617" s="86"/>
      <c r="Y617" s="19"/>
    </row>
    <row r="618" spans="1:25" x14ac:dyDescent="0.25">
      <c r="A618" s="21">
        <v>613</v>
      </c>
      <c r="B618" s="66" t="s">
        <v>184</v>
      </c>
      <c r="C618" s="18"/>
      <c r="E618" s="135">
        <f>'1501 Summary'!AD370</f>
        <v>-58826.63</v>
      </c>
      <c r="F618" s="277"/>
      <c r="G618" s="40"/>
      <c r="H618" s="40"/>
      <c r="I618" s="40"/>
      <c r="J618" s="277"/>
      <c r="K618" s="41"/>
      <c r="L618" s="46"/>
      <c r="M618" s="135"/>
      <c r="N618" s="277"/>
      <c r="O618" s="42"/>
      <c r="P618" s="42"/>
      <c r="Q618" s="42"/>
      <c r="R618" s="277"/>
      <c r="S618" s="19"/>
      <c r="T618" s="19"/>
      <c r="U618" s="19"/>
      <c r="V618" s="277"/>
      <c r="W618" s="67"/>
      <c r="X618" s="86"/>
      <c r="Y618" s="19"/>
    </row>
    <row r="619" spans="1:25" x14ac:dyDescent="0.25">
      <c r="A619" s="21">
        <v>614</v>
      </c>
      <c r="B619" s="66" t="s">
        <v>185</v>
      </c>
      <c r="C619" s="18"/>
      <c r="E619" s="135">
        <f>'1501 Summary'!AD371</f>
        <v>-31529.339999999997</v>
      </c>
      <c r="F619" s="277"/>
      <c r="G619" s="40"/>
      <c r="H619" s="40"/>
      <c r="I619" s="40"/>
      <c r="J619" s="277"/>
      <c r="K619" s="41"/>
      <c r="L619" s="46"/>
      <c r="M619" s="135"/>
      <c r="N619" s="277"/>
      <c r="O619" s="42"/>
      <c r="P619" s="42"/>
      <c r="Q619" s="42"/>
      <c r="R619" s="277"/>
      <c r="S619" s="19"/>
      <c r="T619" s="19"/>
      <c r="U619" s="19"/>
      <c r="V619" s="277"/>
      <c r="W619" s="67"/>
      <c r="X619" s="86"/>
      <c r="Y619" s="19"/>
    </row>
    <row r="620" spans="1:25" x14ac:dyDescent="0.25">
      <c r="A620" s="21">
        <v>615</v>
      </c>
      <c r="B620" s="66" t="s">
        <v>185</v>
      </c>
      <c r="C620" s="18"/>
      <c r="E620" s="135">
        <f>'1501 Summary'!AD372</f>
        <v>-11936.41</v>
      </c>
      <c r="F620" s="277"/>
      <c r="G620" s="40"/>
      <c r="H620" s="40"/>
      <c r="I620" s="40"/>
      <c r="J620" s="277"/>
      <c r="K620" s="41"/>
      <c r="L620" s="46"/>
      <c r="M620" s="135"/>
      <c r="N620" s="277"/>
      <c r="O620" s="42"/>
      <c r="P620" s="42"/>
      <c r="Q620" s="42"/>
      <c r="R620" s="277"/>
      <c r="S620" s="19"/>
      <c r="T620" s="19"/>
      <c r="U620" s="19"/>
      <c r="V620" s="277"/>
      <c r="W620" s="67"/>
      <c r="X620" s="86"/>
      <c r="Y620" s="19"/>
    </row>
    <row r="621" spans="1:25" x14ac:dyDescent="0.25">
      <c r="A621" s="21">
        <v>616</v>
      </c>
      <c r="B621" s="66" t="s">
        <v>186</v>
      </c>
      <c r="C621" s="18"/>
      <c r="E621" s="135">
        <f>'1501 Summary'!AD373</f>
        <v>-5775</v>
      </c>
      <c r="F621" s="277"/>
      <c r="G621" s="40"/>
      <c r="H621" s="40"/>
      <c r="I621" s="40"/>
      <c r="J621" s="277"/>
      <c r="K621" s="41"/>
      <c r="L621" s="46"/>
      <c r="M621" s="135"/>
      <c r="N621" s="277"/>
      <c r="O621" s="42"/>
      <c r="P621" s="42"/>
      <c r="Q621" s="42"/>
      <c r="R621" s="277"/>
      <c r="S621" s="19"/>
      <c r="T621" s="19"/>
      <c r="U621" s="19"/>
      <c r="V621" s="277"/>
      <c r="W621" s="67"/>
      <c r="X621" s="86"/>
      <c r="Y621" s="19"/>
    </row>
    <row r="622" spans="1:25" x14ac:dyDescent="0.25">
      <c r="A622" s="21">
        <v>617</v>
      </c>
      <c r="B622" s="66" t="s">
        <v>187</v>
      </c>
      <c r="C622" s="18"/>
      <c r="E622" s="135">
        <f>'1501 Summary'!AD374</f>
        <v>-10635.61</v>
      </c>
      <c r="F622" s="277"/>
      <c r="G622" s="40"/>
      <c r="H622" s="40"/>
      <c r="I622" s="40"/>
      <c r="J622" s="277"/>
      <c r="K622" s="41"/>
      <c r="L622" s="46"/>
      <c r="M622" s="135"/>
      <c r="N622" s="277"/>
      <c r="O622" s="42"/>
      <c r="P622" s="42"/>
      <c r="Q622" s="42"/>
      <c r="R622" s="277"/>
      <c r="S622" s="19"/>
      <c r="T622" s="19"/>
      <c r="U622" s="19"/>
      <c r="V622" s="277"/>
      <c r="W622" s="67"/>
      <c r="X622" s="86"/>
      <c r="Y622" s="19"/>
    </row>
    <row r="623" spans="1:25" x14ac:dyDescent="0.25">
      <c r="A623" s="21">
        <v>618</v>
      </c>
      <c r="B623" s="66" t="s">
        <v>223</v>
      </c>
      <c r="C623" s="18"/>
      <c r="E623" s="135">
        <f>'1501 Summary'!AD375</f>
        <v>-7588.6100000000006</v>
      </c>
      <c r="F623" s="277"/>
      <c r="G623" s="40"/>
      <c r="H623" s="40"/>
      <c r="I623" s="40"/>
      <c r="J623" s="277"/>
      <c r="K623" s="41"/>
      <c r="L623" s="46"/>
      <c r="M623" s="135"/>
      <c r="N623" s="277"/>
      <c r="O623" s="42"/>
      <c r="P623" s="42"/>
      <c r="Q623" s="42"/>
      <c r="R623" s="277"/>
      <c r="S623" s="19"/>
      <c r="T623" s="19"/>
      <c r="U623" s="19"/>
      <c r="V623" s="277"/>
      <c r="W623" s="67"/>
      <c r="X623" s="86"/>
      <c r="Y623" s="19"/>
    </row>
    <row r="624" spans="1:25" x14ac:dyDescent="0.25">
      <c r="A624" s="21">
        <v>619</v>
      </c>
      <c r="B624" s="256" t="s">
        <v>227</v>
      </c>
      <c r="C624" s="64"/>
      <c r="E624" s="135">
        <f>'1501 Summary'!AD376</f>
        <v>-28144.07</v>
      </c>
      <c r="F624" s="277"/>
      <c r="G624" s="40"/>
      <c r="H624" s="40"/>
      <c r="I624" s="40"/>
      <c r="J624" s="277"/>
      <c r="K624" s="41"/>
      <c r="L624" s="46"/>
      <c r="M624" s="135"/>
      <c r="N624" s="277"/>
      <c r="O624" s="42"/>
      <c r="P624" s="42"/>
      <c r="Q624" s="42"/>
      <c r="R624" s="277"/>
      <c r="S624" s="19"/>
      <c r="T624" s="19"/>
      <c r="U624" s="19"/>
      <c r="V624" s="277"/>
      <c r="W624" s="67"/>
      <c r="X624" s="86"/>
      <c r="Y624" s="19"/>
    </row>
    <row r="625" spans="1:25" x14ac:dyDescent="0.25">
      <c r="A625" s="21">
        <v>620</v>
      </c>
      <c r="B625" s="66" t="s">
        <v>188</v>
      </c>
      <c r="C625" s="18"/>
      <c r="E625" s="135">
        <f>'1501 Summary'!AD377</f>
        <v>1445820</v>
      </c>
      <c r="F625" s="277"/>
      <c r="G625" s="40"/>
      <c r="H625" s="40"/>
      <c r="I625" s="40"/>
      <c r="J625" s="277"/>
      <c r="K625" s="41"/>
      <c r="L625" s="46"/>
      <c r="M625" s="135"/>
      <c r="N625" s="277"/>
      <c r="O625" s="42"/>
      <c r="P625" s="42"/>
      <c r="Q625" s="42"/>
      <c r="R625" s="277"/>
      <c r="S625" s="19"/>
      <c r="T625" s="19"/>
      <c r="U625" s="19"/>
      <c r="V625" s="277"/>
      <c r="W625" s="67"/>
      <c r="X625" s="86"/>
      <c r="Y625" s="19"/>
    </row>
    <row r="626" spans="1:25" x14ac:dyDescent="0.25">
      <c r="A626" s="21">
        <v>621</v>
      </c>
      <c r="B626" s="66" t="s">
        <v>189</v>
      </c>
      <c r="C626" s="18"/>
      <c r="E626" s="135">
        <f>'1501 Summary'!AD378</f>
        <v>91173.650000000023</v>
      </c>
      <c r="F626" s="277"/>
      <c r="G626" s="40"/>
      <c r="H626" s="40"/>
      <c r="I626" s="40"/>
      <c r="J626" s="277"/>
      <c r="K626" s="41"/>
      <c r="L626" s="46"/>
      <c r="M626" s="135"/>
      <c r="N626" s="277"/>
      <c r="O626" s="42"/>
      <c r="P626" s="42"/>
      <c r="Q626" s="42"/>
      <c r="R626" s="277"/>
      <c r="S626" s="19"/>
      <c r="T626" s="19"/>
      <c r="U626" s="19"/>
      <c r="V626" s="277"/>
      <c r="W626" s="67"/>
      <c r="X626" s="86"/>
      <c r="Y626" s="19"/>
    </row>
    <row r="627" spans="1:25" x14ac:dyDescent="0.25">
      <c r="A627" s="21">
        <v>622</v>
      </c>
      <c r="B627" s="66" t="s">
        <v>20</v>
      </c>
      <c r="C627" s="18"/>
      <c r="E627" s="135">
        <f>'1501 Summary'!AD379</f>
        <v>70645.319999999992</v>
      </c>
      <c r="F627" s="277"/>
      <c r="G627" s="40"/>
      <c r="H627" s="40"/>
      <c r="I627" s="40"/>
      <c r="J627" s="277"/>
      <c r="K627" s="41"/>
      <c r="L627" s="46"/>
      <c r="M627" s="135"/>
      <c r="N627" s="277"/>
      <c r="O627" s="42"/>
      <c r="P627" s="42"/>
      <c r="Q627" s="42"/>
      <c r="R627" s="277"/>
      <c r="S627" s="19"/>
      <c r="T627" s="19"/>
      <c r="U627" s="19"/>
      <c r="V627" s="277"/>
      <c r="W627" s="67"/>
      <c r="X627" s="86"/>
      <c r="Y627" s="19"/>
    </row>
    <row r="628" spans="1:25" x14ac:dyDescent="0.25">
      <c r="A628" s="21">
        <v>623</v>
      </c>
      <c r="B628" s="6" t="s">
        <v>55</v>
      </c>
      <c r="C628" s="18"/>
      <c r="E628" s="135">
        <f>'Rev Recon Summary'!R400</f>
        <v>-1664034.7999999998</v>
      </c>
      <c r="F628" s="278"/>
      <c r="G628" s="56"/>
      <c r="H628" s="56"/>
      <c r="I628" s="56"/>
      <c r="J628" s="278"/>
      <c r="K628" s="41"/>
      <c r="L628" s="46"/>
      <c r="M628" s="135"/>
      <c r="N628" s="278"/>
      <c r="O628" s="42"/>
      <c r="P628" s="42"/>
      <c r="Q628" s="42"/>
      <c r="R628" s="278"/>
      <c r="S628" s="19"/>
      <c r="T628" s="19"/>
      <c r="U628" s="19"/>
      <c r="V628" s="278"/>
      <c r="W628" s="67"/>
      <c r="X628" s="86"/>
      <c r="Y628" s="19"/>
    </row>
    <row r="629" spans="1:25" x14ac:dyDescent="0.25">
      <c r="A629" s="21">
        <v>624</v>
      </c>
      <c r="B629" s="6" t="s">
        <v>56</v>
      </c>
      <c r="C629" s="18"/>
      <c r="E629" s="136">
        <f>'Rev Recon Summary'!R401</f>
        <v>1647123.7999999998</v>
      </c>
      <c r="F629" s="278"/>
      <c r="G629" s="56"/>
      <c r="H629" s="56"/>
      <c r="I629" s="56"/>
      <c r="J629" s="278"/>
      <c r="K629" s="41"/>
      <c r="L629" s="46"/>
      <c r="M629" s="135"/>
      <c r="N629" s="278"/>
      <c r="O629" s="42"/>
      <c r="P629" s="42"/>
      <c r="Q629" s="42"/>
      <c r="R629" s="278"/>
      <c r="S629" s="19"/>
      <c r="T629" s="19"/>
      <c r="U629" s="19"/>
      <c r="V629" s="278"/>
      <c r="W629" s="67"/>
      <c r="X629" s="86"/>
      <c r="Y629" s="19"/>
    </row>
    <row r="630" spans="1:25" x14ac:dyDescent="0.25">
      <c r="A630" s="21">
        <v>625</v>
      </c>
      <c r="B630" s="18" t="s">
        <v>93</v>
      </c>
      <c r="C630" s="19"/>
      <c r="E630" s="135">
        <f>SUM(E613:E629)</f>
        <v>1449352.5999999999</v>
      </c>
      <c r="F630" s="277"/>
      <c r="G630" s="40"/>
      <c r="H630" s="40"/>
      <c r="I630" s="40"/>
      <c r="J630" s="277"/>
      <c r="K630" s="41"/>
      <c r="L630" s="46"/>
      <c r="M630" s="135"/>
      <c r="N630" s="277"/>
      <c r="O630" s="42"/>
      <c r="P630" s="42"/>
      <c r="Q630" s="42"/>
      <c r="R630" s="277"/>
      <c r="S630" s="19"/>
      <c r="T630" s="19"/>
      <c r="U630" s="19"/>
      <c r="V630" s="277"/>
      <c r="W630" s="67"/>
      <c r="X630" s="86"/>
      <c r="Y630" s="19"/>
    </row>
    <row r="631" spans="1:25" x14ac:dyDescent="0.25">
      <c r="A631" s="21">
        <v>626</v>
      </c>
      <c r="B631" s="18"/>
      <c r="C631" s="19"/>
      <c r="E631" s="135"/>
      <c r="F631" s="277"/>
      <c r="G631" s="40"/>
      <c r="H631" s="40"/>
      <c r="I631" s="40"/>
      <c r="J631" s="277"/>
      <c r="K631" s="41"/>
      <c r="L631" s="46"/>
      <c r="M631" s="135"/>
      <c r="N631" s="277"/>
      <c r="O631" s="42"/>
      <c r="P631" s="42"/>
      <c r="Q631" s="42"/>
      <c r="R631" s="277"/>
      <c r="S631" s="19"/>
      <c r="T631" s="19"/>
      <c r="U631" s="19"/>
      <c r="V631" s="277"/>
      <c r="W631" s="67"/>
      <c r="X631" s="86"/>
      <c r="Y631" s="19"/>
    </row>
    <row r="632" spans="1:25" x14ac:dyDescent="0.25">
      <c r="A632" s="21">
        <v>627</v>
      </c>
      <c r="B632" s="104" t="s">
        <v>172</v>
      </c>
      <c r="C632" s="265">
        <f>E632-'Rev Recon Summary'!R402</f>
        <v>0</v>
      </c>
      <c r="D632" s="105" t="s">
        <v>45</v>
      </c>
      <c r="E632" s="136">
        <f>SUM(E610,E630)</f>
        <v>1651871.8299999998</v>
      </c>
      <c r="F632" s="295"/>
      <c r="G632" s="76"/>
      <c r="H632" s="76"/>
      <c r="I632" s="76"/>
      <c r="J632" s="295"/>
      <c r="K632" s="101"/>
      <c r="L632" s="134"/>
      <c r="M632" s="136"/>
      <c r="N632" s="295"/>
      <c r="O632" s="42"/>
      <c r="P632" s="42"/>
      <c r="Q632" s="42"/>
      <c r="R632" s="288"/>
      <c r="S632" s="19"/>
      <c r="T632" s="19"/>
      <c r="U632" s="19"/>
      <c r="V632" s="288"/>
      <c r="W632" s="67"/>
      <c r="X632" s="86"/>
      <c r="Y632" s="19"/>
    </row>
    <row r="633" spans="1:25" x14ac:dyDescent="0.25">
      <c r="A633" s="21">
        <v>628</v>
      </c>
      <c r="K633" s="41"/>
      <c r="L633" s="46"/>
      <c r="M633" s="135"/>
      <c r="O633" s="42"/>
      <c r="P633" s="42"/>
      <c r="Q633" s="42"/>
      <c r="S633" s="19"/>
      <c r="T633" s="19"/>
      <c r="U633" s="19"/>
      <c r="W633" s="67"/>
      <c r="X633" s="86"/>
      <c r="Y633" s="19"/>
    </row>
    <row r="634" spans="1:25" x14ac:dyDescent="0.25">
      <c r="A634" s="21">
        <v>629</v>
      </c>
      <c r="B634" s="30" t="s">
        <v>173</v>
      </c>
      <c r="K634" s="41"/>
      <c r="L634" s="46"/>
      <c r="M634" s="135"/>
      <c r="O634" s="42"/>
      <c r="P634" s="42"/>
      <c r="Q634" s="42"/>
      <c r="W634" s="67"/>
      <c r="X634" s="86"/>
    </row>
    <row r="635" spans="1:25" x14ac:dyDescent="0.25">
      <c r="A635" s="21">
        <v>630</v>
      </c>
      <c r="B635" s="33" t="s">
        <v>246</v>
      </c>
      <c r="C635" s="45">
        <f>E635/D635</f>
        <v>9</v>
      </c>
      <c r="D635" s="67">
        <v>500</v>
      </c>
      <c r="E635" s="86">
        <f>SUM('1501 Summary'!G386:W386)</f>
        <v>4500</v>
      </c>
      <c r="F635" s="288"/>
      <c r="G635" s="69"/>
      <c r="H635" s="69"/>
      <c r="I635" s="69"/>
      <c r="J635" s="288"/>
      <c r="K635" s="41">
        <f t="shared" si="94"/>
        <v>9</v>
      </c>
      <c r="L635" s="38"/>
      <c r="M635" s="135"/>
      <c r="N635" s="288"/>
      <c r="O635" s="42"/>
      <c r="P635" s="42"/>
      <c r="Q635" s="42"/>
      <c r="R635" s="288"/>
      <c r="S635" s="86"/>
      <c r="T635" s="86"/>
      <c r="U635" s="86"/>
      <c r="V635" s="288"/>
      <c r="W635" s="67"/>
      <c r="X635" s="86"/>
      <c r="Y635" s="86"/>
    </row>
    <row r="636" spans="1:25" x14ac:dyDescent="0.25">
      <c r="A636" s="21">
        <v>631</v>
      </c>
      <c r="B636" s="33" t="s">
        <v>247</v>
      </c>
      <c r="C636" s="45">
        <f t="shared" ref="C636:C646" si="100">E636/D636</f>
        <v>3</v>
      </c>
      <c r="D636" s="67">
        <v>625</v>
      </c>
      <c r="E636" s="86">
        <f>SUM('1501 Summary'!Y386:AC386)</f>
        <v>1875</v>
      </c>
      <c r="F636" s="288"/>
      <c r="G636" s="69"/>
      <c r="H636" s="69"/>
      <c r="I636" s="69"/>
      <c r="J636" s="288"/>
      <c r="K636" s="41">
        <f t="shared" si="94"/>
        <v>3</v>
      </c>
      <c r="L636" s="38">
        <f t="shared" ref="L636:L670" si="101">D636</f>
        <v>625</v>
      </c>
      <c r="M636" s="135">
        <f>L636*SUM(K636,K635)</f>
        <v>7500</v>
      </c>
      <c r="N636" s="288"/>
      <c r="O636" s="241"/>
      <c r="P636" s="40"/>
      <c r="Q636" s="42"/>
      <c r="R636" s="288"/>
      <c r="S636" s="86"/>
      <c r="T636" s="86"/>
      <c r="U636" s="86"/>
      <c r="V636" s="288"/>
      <c r="W636" s="67"/>
      <c r="X636" s="86"/>
      <c r="Y636" s="86"/>
    </row>
    <row r="637" spans="1:25" x14ac:dyDescent="0.25">
      <c r="A637" s="21">
        <v>632</v>
      </c>
      <c r="B637" s="33" t="s">
        <v>348</v>
      </c>
      <c r="C637" s="45">
        <v>0</v>
      </c>
      <c r="D637" s="23">
        <v>0</v>
      </c>
      <c r="E637" s="86">
        <f>SUM('1501 Summary'!G387:U387)</f>
        <v>0</v>
      </c>
      <c r="F637" s="288"/>
      <c r="G637" s="69"/>
      <c r="H637" s="69"/>
      <c r="I637" s="69"/>
      <c r="J637" s="288"/>
      <c r="K637" s="41"/>
      <c r="L637" s="46"/>
      <c r="M637" s="135"/>
      <c r="N637" s="288"/>
      <c r="O637" s="42"/>
      <c r="P637" s="40"/>
      <c r="Q637" s="42"/>
      <c r="R637" s="288"/>
      <c r="S637" s="86"/>
      <c r="T637" s="86"/>
      <c r="U637" s="86"/>
      <c r="V637" s="288"/>
      <c r="W637" s="67"/>
      <c r="X637" s="86"/>
      <c r="Y637" s="86"/>
    </row>
    <row r="638" spans="1:25" x14ac:dyDescent="0.25">
      <c r="A638" s="21">
        <v>633</v>
      </c>
      <c r="B638" s="33" t="s">
        <v>349</v>
      </c>
      <c r="C638" s="45">
        <f t="shared" si="100"/>
        <v>4</v>
      </c>
      <c r="D638" s="58">
        <v>20468.36</v>
      </c>
      <c r="E638" s="86">
        <f>SUM('1501 Summary'!W387:AC387)</f>
        <v>81873.440000000002</v>
      </c>
      <c r="F638" s="288"/>
      <c r="G638" s="69"/>
      <c r="H638" s="69"/>
      <c r="I638" s="69"/>
      <c r="J638" s="288"/>
      <c r="K638" s="41">
        <f t="shared" si="94"/>
        <v>4</v>
      </c>
      <c r="L638" s="38">
        <f t="shared" si="101"/>
        <v>20468.36</v>
      </c>
      <c r="M638" s="135">
        <f>L638*SUM(K638,K639)</f>
        <v>245620.32</v>
      </c>
      <c r="N638" s="288"/>
      <c r="O638" s="241"/>
      <c r="P638" s="40"/>
      <c r="Q638" s="42"/>
      <c r="R638" s="288"/>
      <c r="S638" s="86"/>
      <c r="T638" s="86"/>
      <c r="U638" s="86"/>
      <c r="V638" s="288"/>
      <c r="W638" s="67"/>
      <c r="X638" s="86"/>
      <c r="Y638" s="86"/>
    </row>
    <row r="639" spans="1:25" x14ac:dyDescent="0.25">
      <c r="A639" s="21">
        <v>634</v>
      </c>
      <c r="B639" s="33" t="s">
        <v>248</v>
      </c>
      <c r="C639" s="45">
        <f t="shared" si="100"/>
        <v>8</v>
      </c>
      <c r="D639" s="58">
        <v>20215.64</v>
      </c>
      <c r="E639" s="86">
        <f>SUM('1501 Summary'!G388:U388)</f>
        <v>161725.12</v>
      </c>
      <c r="F639" s="288"/>
      <c r="G639" s="69"/>
      <c r="H639" s="69"/>
      <c r="I639" s="69"/>
      <c r="J639" s="288"/>
      <c r="K639" s="41">
        <f t="shared" si="94"/>
        <v>8</v>
      </c>
      <c r="L639" s="38"/>
      <c r="M639" s="135"/>
      <c r="N639" s="288"/>
      <c r="O639" s="42"/>
      <c r="P639" s="40"/>
      <c r="Q639" s="42"/>
      <c r="R639" s="288"/>
      <c r="S639" s="86"/>
      <c r="T639" s="86"/>
      <c r="U639" s="86"/>
      <c r="V639" s="288"/>
      <c r="W639" s="67"/>
      <c r="X639" s="86"/>
      <c r="Y639" s="86"/>
    </row>
    <row r="640" spans="1:25" x14ac:dyDescent="0.25">
      <c r="A640" s="21">
        <v>635</v>
      </c>
      <c r="B640" s="33" t="s">
        <v>249</v>
      </c>
      <c r="C640" s="45">
        <v>0</v>
      </c>
      <c r="D640" s="259">
        <v>0</v>
      </c>
      <c r="E640" s="86">
        <f>SUM('1501 Summary'!W388:AC388)</f>
        <v>0</v>
      </c>
      <c r="F640" s="288"/>
      <c r="G640" s="69"/>
      <c r="H640" s="69"/>
      <c r="I640" s="69"/>
      <c r="J640" s="288"/>
      <c r="K640" s="41"/>
      <c r="L640" s="46"/>
      <c r="M640" s="135"/>
      <c r="N640" s="288"/>
      <c r="O640" s="42"/>
      <c r="P640" s="40"/>
      <c r="Q640" s="42"/>
      <c r="R640" s="288"/>
      <c r="S640" s="86"/>
      <c r="T640" s="86"/>
      <c r="U640" s="86"/>
      <c r="V640" s="288"/>
      <c r="W640" s="67"/>
      <c r="X640" s="86"/>
      <c r="Y640" s="86"/>
    </row>
    <row r="641" spans="1:25" x14ac:dyDescent="0.25">
      <c r="A641" s="21">
        <v>636</v>
      </c>
      <c r="B641" s="33" t="s">
        <v>246</v>
      </c>
      <c r="C641" s="45">
        <f t="shared" si="100"/>
        <v>52423149.999999993</v>
      </c>
      <c r="D641" s="23">
        <v>2.0000000000000001E-4</v>
      </c>
      <c r="E641" s="86">
        <f>SUM('1501 Summary'!G389:W389)</f>
        <v>10484.629999999999</v>
      </c>
      <c r="F641" s="288"/>
      <c r="G641" s="69"/>
      <c r="H641" s="69"/>
      <c r="I641" s="69"/>
      <c r="J641" s="288"/>
      <c r="K641" s="41">
        <f t="shared" si="94"/>
        <v>52423149.999999993</v>
      </c>
      <c r="L641" s="46"/>
      <c r="M641" s="135"/>
      <c r="N641" s="288"/>
      <c r="O641" s="42"/>
      <c r="P641" s="40"/>
      <c r="Q641" s="42"/>
      <c r="R641" s="288"/>
      <c r="S641" s="86"/>
      <c r="T641" s="86"/>
      <c r="U641" s="86"/>
      <c r="V641" s="288"/>
      <c r="W641" s="67"/>
      <c r="X641" s="86"/>
      <c r="Y641" s="86"/>
    </row>
    <row r="642" spans="1:25" x14ac:dyDescent="0.25">
      <c r="A642" s="21">
        <v>637</v>
      </c>
      <c r="B642" s="33" t="s">
        <v>247</v>
      </c>
      <c r="C642" s="45">
        <v>0</v>
      </c>
      <c r="D642" s="23">
        <v>0</v>
      </c>
      <c r="E642" s="86">
        <f>SUM('1501 Summary'!Y389:AC389)</f>
        <v>0</v>
      </c>
      <c r="K642" s="41"/>
      <c r="L642" s="46"/>
      <c r="M642" s="135"/>
      <c r="O642" s="42"/>
      <c r="P642" s="40"/>
      <c r="Q642" s="42"/>
      <c r="S642" s="86"/>
      <c r="T642" s="86"/>
      <c r="U642" s="86"/>
      <c r="W642" s="67"/>
      <c r="X642" s="86"/>
      <c r="Y642" s="86"/>
    </row>
    <row r="643" spans="1:25" x14ac:dyDescent="0.25">
      <c r="A643" s="21">
        <v>638</v>
      </c>
      <c r="B643" s="33" t="s">
        <v>254</v>
      </c>
      <c r="C643" s="45">
        <v>0</v>
      </c>
      <c r="D643" s="23">
        <v>0</v>
      </c>
      <c r="E643" s="86">
        <f>SUM('1501 Summary'!G390:W390)</f>
        <v>0</v>
      </c>
      <c r="F643" s="288"/>
      <c r="G643" s="69"/>
      <c r="H643" s="69"/>
      <c r="I643" s="69"/>
      <c r="J643" s="288"/>
      <c r="K643" s="41"/>
      <c r="L643" s="46"/>
      <c r="M643" s="135"/>
      <c r="N643" s="288"/>
      <c r="O643" s="42"/>
      <c r="P643" s="40"/>
      <c r="Q643" s="42"/>
      <c r="R643" s="288"/>
      <c r="S643" s="86"/>
      <c r="T643" s="86"/>
      <c r="U643" s="86"/>
      <c r="V643" s="288"/>
      <c r="W643" s="67"/>
      <c r="X643" s="86"/>
      <c r="Y643" s="86"/>
    </row>
    <row r="644" spans="1:25" x14ac:dyDescent="0.25">
      <c r="A644" s="21">
        <v>639</v>
      </c>
      <c r="B644" s="33" t="s">
        <v>255</v>
      </c>
      <c r="C644" s="45">
        <f t="shared" si="100"/>
        <v>17223525</v>
      </c>
      <c r="D644" s="23">
        <v>4.0000000000000002E-4</v>
      </c>
      <c r="E644" s="86">
        <f>SUM('1501 Summary'!Y390:AC390)</f>
        <v>6889.41</v>
      </c>
      <c r="F644" s="288"/>
      <c r="G644" s="69"/>
      <c r="H644" s="69"/>
      <c r="I644" s="69"/>
      <c r="J644" s="288"/>
      <c r="K644" s="41">
        <f t="shared" si="94"/>
        <v>17223525</v>
      </c>
      <c r="L644" s="46">
        <f t="shared" si="101"/>
        <v>4.0000000000000002E-4</v>
      </c>
      <c r="M644" s="135">
        <f>L644*SUM(K644,K641)</f>
        <v>27858.670000000002</v>
      </c>
      <c r="N644" s="288"/>
      <c r="O644" s="41"/>
      <c r="P644" s="40"/>
      <c r="Q644" s="42"/>
      <c r="R644" s="288"/>
      <c r="S644" s="86"/>
      <c r="T644" s="86"/>
      <c r="U644" s="86"/>
      <c r="V644" s="288"/>
      <c r="W644" s="218"/>
      <c r="X644" s="86"/>
      <c r="Y644" s="86"/>
    </row>
    <row r="645" spans="1:25" x14ac:dyDescent="0.25">
      <c r="A645" s="21">
        <v>640</v>
      </c>
      <c r="B645" s="33" t="s">
        <v>350</v>
      </c>
      <c r="C645" s="45">
        <f t="shared" si="100"/>
        <v>42165281.150504559</v>
      </c>
      <c r="D645" s="23">
        <v>1.4824800000000001E-2</v>
      </c>
      <c r="E645" s="86">
        <f>SUM('1501 Summary'!G391:S391)</f>
        <v>625091.86</v>
      </c>
      <c r="F645" s="288"/>
      <c r="G645" s="69"/>
      <c r="H645" s="69"/>
      <c r="I645" s="69"/>
      <c r="J645" s="288"/>
      <c r="K645" s="41">
        <f t="shared" si="94"/>
        <v>42165281.150504559</v>
      </c>
      <c r="L645" s="46"/>
      <c r="M645" s="135"/>
      <c r="N645" s="288"/>
      <c r="O645" s="42"/>
      <c r="P645" s="40"/>
      <c r="Q645" s="42"/>
      <c r="R645" s="288"/>
      <c r="S645" s="86"/>
      <c r="T645" s="86"/>
      <c r="U645" s="86"/>
      <c r="V645" s="288"/>
      <c r="W645" s="218"/>
      <c r="X645" s="86"/>
      <c r="Y645" s="86"/>
    </row>
    <row r="646" spans="1:25" x14ac:dyDescent="0.25">
      <c r="A646" s="21">
        <v>641</v>
      </c>
      <c r="B646" s="266" t="s">
        <v>351</v>
      </c>
      <c r="C646" s="45">
        <f t="shared" si="100"/>
        <v>27404969.986875501</v>
      </c>
      <c r="D646" s="23">
        <v>1.50101E-2</v>
      </c>
      <c r="E646" s="88">
        <f>SUM('1501 Summary'!U391:AC391)</f>
        <v>411351.33999999997</v>
      </c>
      <c r="F646" s="288"/>
      <c r="G646" s="69"/>
      <c r="H646" s="69"/>
      <c r="I646" s="69"/>
      <c r="J646" s="288"/>
      <c r="K646" s="41">
        <f t="shared" si="94"/>
        <v>27404969.986875501</v>
      </c>
      <c r="L646" s="46">
        <f t="shared" si="101"/>
        <v>1.50101E-2</v>
      </c>
      <c r="M646" s="136">
        <f>L646*SUM(K646,K645)</f>
        <v>1044256.4265971885</v>
      </c>
      <c r="N646" s="288"/>
      <c r="O646" s="41"/>
      <c r="P646" s="40"/>
      <c r="Q646" s="42"/>
      <c r="R646" s="288"/>
      <c r="S646" s="86"/>
      <c r="T646" s="86"/>
      <c r="U646" s="86"/>
      <c r="V646" s="288"/>
      <c r="W646" s="218"/>
      <c r="X646" s="86"/>
      <c r="Y646" s="86"/>
    </row>
    <row r="647" spans="1:25" x14ac:dyDescent="0.25">
      <c r="A647" s="21">
        <v>642</v>
      </c>
      <c r="B647" s="19" t="s">
        <v>10</v>
      </c>
      <c r="E647" s="86">
        <f>SUM(E635:E646)</f>
        <v>1303790.7999999998</v>
      </c>
      <c r="F647" s="288"/>
      <c r="G647" s="69"/>
      <c r="H647" s="69"/>
      <c r="I647" s="69"/>
      <c r="J647" s="288"/>
      <c r="K647" s="41"/>
      <c r="L647" s="46"/>
      <c r="M647" s="135">
        <f>SUM(M635:M646)</f>
        <v>1325235.4165971885</v>
      </c>
      <c r="N647" s="288"/>
      <c r="O647" s="42"/>
      <c r="P647" s="42"/>
      <c r="Q647" s="42"/>
      <c r="R647" s="288"/>
      <c r="S647" s="86"/>
      <c r="T647" s="86"/>
      <c r="U647" s="86"/>
      <c r="V647" s="288"/>
      <c r="W647" s="67"/>
      <c r="X647" s="86"/>
      <c r="Y647" s="86"/>
    </row>
    <row r="648" spans="1:25" x14ac:dyDescent="0.25">
      <c r="A648" s="21">
        <v>643</v>
      </c>
      <c r="E648" s="69"/>
      <c r="F648" s="288"/>
      <c r="G648" s="69"/>
      <c r="H648" s="69"/>
      <c r="I648" s="69"/>
      <c r="J648" s="288"/>
      <c r="K648" s="41"/>
      <c r="L648" s="46"/>
      <c r="M648" s="135"/>
      <c r="N648" s="288"/>
      <c r="O648" s="42"/>
      <c r="P648" s="42"/>
      <c r="Q648" s="42"/>
      <c r="R648" s="288"/>
      <c r="V648" s="288"/>
      <c r="W648" s="67"/>
      <c r="X648" s="86"/>
    </row>
    <row r="649" spans="1:25" x14ac:dyDescent="0.25">
      <c r="A649" s="21">
        <v>644</v>
      </c>
      <c r="B649" s="19" t="s">
        <v>12</v>
      </c>
      <c r="K649" s="41"/>
      <c r="L649" s="46"/>
      <c r="M649" s="135"/>
      <c r="O649" s="42"/>
      <c r="P649" s="42"/>
      <c r="Q649" s="42"/>
      <c r="W649" s="67"/>
      <c r="X649" s="86"/>
    </row>
    <row r="650" spans="1:25" x14ac:dyDescent="0.25">
      <c r="A650" s="21">
        <v>645</v>
      </c>
      <c r="B650" s="19" t="s">
        <v>20</v>
      </c>
      <c r="E650" s="135">
        <f>'1501 Summary'!AD392</f>
        <v>58110.009999999995</v>
      </c>
      <c r="F650" s="277"/>
      <c r="G650" s="40"/>
      <c r="H650" s="40"/>
      <c r="I650" s="40"/>
      <c r="J650" s="277"/>
      <c r="K650" s="41"/>
      <c r="L650" s="46"/>
      <c r="M650" s="135"/>
      <c r="N650" s="277"/>
      <c r="O650" s="42"/>
      <c r="P650" s="42"/>
      <c r="Q650" s="42"/>
      <c r="R650" s="277"/>
      <c r="V650" s="277"/>
      <c r="W650" s="67"/>
      <c r="X650" s="86"/>
    </row>
    <row r="651" spans="1:25" x14ac:dyDescent="0.25">
      <c r="A651" s="21">
        <v>646</v>
      </c>
      <c r="B651" s="19" t="s">
        <v>245</v>
      </c>
      <c r="E651" s="135">
        <f>'1501 Summary'!AD393</f>
        <v>980.49</v>
      </c>
      <c r="F651" s="277"/>
      <c r="G651" s="40"/>
      <c r="H651" s="40"/>
      <c r="I651" s="40"/>
      <c r="J651" s="277"/>
      <c r="K651" s="41"/>
      <c r="L651" s="46"/>
      <c r="M651" s="135"/>
      <c r="N651" s="277"/>
      <c r="O651" s="42"/>
      <c r="P651" s="42"/>
      <c r="Q651" s="42"/>
      <c r="R651" s="277"/>
      <c r="V651" s="277"/>
      <c r="W651" s="67"/>
      <c r="X651" s="86"/>
    </row>
    <row r="652" spans="1:25" x14ac:dyDescent="0.25">
      <c r="A652" s="21">
        <v>647</v>
      </c>
      <c r="B652" s="6" t="s">
        <v>55</v>
      </c>
      <c r="E652" s="135">
        <f>'Rev Recon Summary'!R420</f>
        <v>-1358262.45</v>
      </c>
      <c r="F652" s="278"/>
      <c r="G652" s="56"/>
      <c r="H652" s="56"/>
      <c r="I652" s="56"/>
      <c r="J652" s="278"/>
      <c r="K652" s="41"/>
      <c r="L652" s="46"/>
      <c r="M652" s="135"/>
      <c r="N652" s="278"/>
      <c r="O652" s="42"/>
      <c r="P652" s="42"/>
      <c r="Q652" s="42"/>
      <c r="R652" s="278"/>
      <c r="V652" s="278"/>
      <c r="W652" s="67"/>
      <c r="X652" s="86"/>
    </row>
    <row r="653" spans="1:25" x14ac:dyDescent="0.25">
      <c r="A653" s="21">
        <v>648</v>
      </c>
      <c r="B653" s="6" t="s">
        <v>56</v>
      </c>
      <c r="E653" s="136">
        <f>'Rev Recon Summary'!R421</f>
        <v>1369362.6</v>
      </c>
      <c r="F653" s="278"/>
      <c r="G653" s="56"/>
      <c r="H653" s="56"/>
      <c r="I653" s="56"/>
      <c r="J653" s="278"/>
      <c r="K653" s="41"/>
      <c r="L653" s="46"/>
      <c r="M653" s="135"/>
      <c r="N653" s="278"/>
      <c r="O653" s="42"/>
      <c r="P653" s="42"/>
      <c r="Q653" s="42"/>
      <c r="R653" s="278"/>
      <c r="V653" s="278"/>
      <c r="W653" s="67"/>
      <c r="X653" s="86"/>
    </row>
    <row r="654" spans="1:25" x14ac:dyDescent="0.25">
      <c r="A654" s="21">
        <v>649</v>
      </c>
      <c r="B654" s="18" t="s">
        <v>93</v>
      </c>
      <c r="E654" s="135">
        <f>SUM(E651:E653)</f>
        <v>12080.64000000013</v>
      </c>
      <c r="F654" s="277"/>
      <c r="G654" s="40"/>
      <c r="H654" s="40"/>
      <c r="I654" s="40"/>
      <c r="J654" s="277"/>
      <c r="K654" s="41"/>
      <c r="L654" s="46"/>
      <c r="M654" s="135"/>
      <c r="N654" s="277"/>
      <c r="O654" s="42"/>
      <c r="P654" s="42"/>
      <c r="Q654" s="42"/>
      <c r="R654" s="277"/>
      <c r="V654" s="277"/>
      <c r="W654" s="67"/>
      <c r="X654" s="86"/>
    </row>
    <row r="655" spans="1:25" x14ac:dyDescent="0.25">
      <c r="A655" s="21">
        <v>650</v>
      </c>
      <c r="E655" s="135"/>
      <c r="K655" s="41"/>
      <c r="L655" s="46"/>
      <c r="M655" s="135"/>
      <c r="O655" s="42"/>
      <c r="P655" s="42"/>
      <c r="Q655" s="42"/>
      <c r="W655" s="67"/>
      <c r="X655" s="86"/>
    </row>
    <row r="656" spans="1:25" x14ac:dyDescent="0.25">
      <c r="A656" s="21">
        <v>651</v>
      </c>
      <c r="B656" s="104" t="s">
        <v>174</v>
      </c>
      <c r="C656" s="71">
        <f>E656-'Rev Recon Summary'!R422</f>
        <v>0</v>
      </c>
      <c r="D656" s="105" t="s">
        <v>45</v>
      </c>
      <c r="E656" s="136">
        <f>SUM(E647,E650,E654)</f>
        <v>1373981.45</v>
      </c>
      <c r="F656" s="295"/>
      <c r="G656" s="76"/>
      <c r="H656" s="76"/>
      <c r="I656" s="76"/>
      <c r="J656" s="295"/>
      <c r="K656" s="101"/>
      <c r="L656" s="134"/>
      <c r="M656" s="136"/>
      <c r="N656" s="295"/>
      <c r="O656" s="42"/>
      <c r="P656" s="42"/>
      <c r="Q656" s="42"/>
      <c r="R656" s="288"/>
      <c r="V656" s="288"/>
      <c r="W656" s="67"/>
      <c r="X656" s="86"/>
    </row>
    <row r="657" spans="1:25" x14ac:dyDescent="0.25">
      <c r="A657" s="21">
        <v>652</v>
      </c>
      <c r="K657" s="41"/>
      <c r="L657" s="46"/>
      <c r="M657" s="135"/>
      <c r="O657" s="42"/>
      <c r="P657" s="42"/>
      <c r="Q657" s="42"/>
      <c r="W657" s="67"/>
      <c r="X657" s="86"/>
    </row>
    <row r="658" spans="1:25" x14ac:dyDescent="0.25">
      <c r="A658" s="21">
        <v>653</v>
      </c>
      <c r="B658" s="30" t="s">
        <v>21</v>
      </c>
      <c r="K658" s="41"/>
      <c r="L658" s="46"/>
      <c r="M658" s="135"/>
      <c r="O658" s="42"/>
      <c r="P658" s="42"/>
      <c r="Q658" s="42"/>
      <c r="W658" s="67"/>
      <c r="X658" s="86"/>
    </row>
    <row r="659" spans="1:25" x14ac:dyDescent="0.25">
      <c r="A659" s="21">
        <v>654</v>
      </c>
      <c r="B659" s="19" t="s">
        <v>246</v>
      </c>
      <c r="C659" s="45">
        <f>E659/D659</f>
        <v>9</v>
      </c>
      <c r="D659" s="44">
        <v>500</v>
      </c>
      <c r="E659" s="84">
        <f>SUM('1501 Summary'!G400:W400)</f>
        <v>4500</v>
      </c>
      <c r="F659" s="288"/>
      <c r="G659" s="69"/>
      <c r="H659" s="69"/>
      <c r="I659" s="69"/>
      <c r="J659" s="288"/>
      <c r="K659" s="41">
        <f t="shared" ref="K659:K710" si="102">C659+G659</f>
        <v>9</v>
      </c>
      <c r="L659" s="67"/>
      <c r="M659" s="135"/>
      <c r="N659" s="288"/>
      <c r="O659" s="42"/>
      <c r="P659" s="42"/>
      <c r="Q659" s="42"/>
      <c r="R659" s="288"/>
      <c r="S659" s="86"/>
      <c r="T659" s="86"/>
      <c r="U659" s="86"/>
      <c r="V659" s="288"/>
      <c r="W659" s="67"/>
      <c r="X659" s="86"/>
      <c r="Y659" s="86"/>
    </row>
    <row r="660" spans="1:25" x14ac:dyDescent="0.25">
      <c r="A660" s="21">
        <v>655</v>
      </c>
      <c r="B660" s="19" t="s">
        <v>247</v>
      </c>
      <c r="C660" s="45">
        <f t="shared" ref="C660:C670" si="103">E660/D660</f>
        <v>3</v>
      </c>
      <c r="D660" s="44">
        <v>625</v>
      </c>
      <c r="E660" s="84">
        <f>SUM('1501 Summary'!Y400:AC400)</f>
        <v>1875</v>
      </c>
      <c r="F660" s="288"/>
      <c r="G660" s="69"/>
      <c r="H660" s="69"/>
      <c r="I660" s="69"/>
      <c r="J660" s="288"/>
      <c r="K660" s="41">
        <f t="shared" si="102"/>
        <v>3</v>
      </c>
      <c r="L660" s="67">
        <f t="shared" si="101"/>
        <v>625</v>
      </c>
      <c r="M660" s="135">
        <f>L660*SUM(K660,K659)</f>
        <v>7500</v>
      </c>
      <c r="N660" s="288"/>
      <c r="O660" s="241"/>
      <c r="P660" s="40"/>
      <c r="Q660" s="42"/>
      <c r="R660" s="288"/>
      <c r="S660" s="86"/>
      <c r="T660" s="86"/>
      <c r="U660" s="86"/>
      <c r="V660" s="288"/>
      <c r="W660" s="67"/>
      <c r="X660" s="86"/>
      <c r="Y660" s="86"/>
    </row>
    <row r="661" spans="1:25" x14ac:dyDescent="0.25">
      <c r="A661" s="21">
        <v>656</v>
      </c>
      <c r="B661" s="19" t="s">
        <v>264</v>
      </c>
      <c r="C661" s="56">
        <v>0</v>
      </c>
      <c r="D661" s="44">
        <v>0</v>
      </c>
      <c r="E661" s="84">
        <f>SUM('1501 Summary'!G401:S401)</f>
        <v>0</v>
      </c>
      <c r="F661" s="288"/>
      <c r="G661" s="69"/>
      <c r="H661" s="69"/>
      <c r="I661" s="69"/>
      <c r="J661" s="288"/>
      <c r="K661" s="41"/>
      <c r="L661" s="46"/>
      <c r="M661" s="135"/>
      <c r="N661" s="288"/>
      <c r="O661" s="42"/>
      <c r="P661" s="40"/>
      <c r="Q661" s="42"/>
      <c r="R661" s="288"/>
      <c r="S661" s="86"/>
      <c r="T661" s="86"/>
      <c r="U661" s="86"/>
      <c r="V661" s="288"/>
      <c r="W661" s="67"/>
      <c r="X661" s="86"/>
      <c r="Y661" s="86"/>
    </row>
    <row r="662" spans="1:25" x14ac:dyDescent="0.25">
      <c r="A662" s="21">
        <v>657</v>
      </c>
      <c r="B662" s="19" t="s">
        <v>265</v>
      </c>
      <c r="C662" s="45">
        <f t="shared" si="103"/>
        <v>5</v>
      </c>
      <c r="D662" s="44">
        <v>14541.22</v>
      </c>
      <c r="E662" s="84">
        <f>SUM('1501 Summary'!U401:AC401)</f>
        <v>72706.099999999991</v>
      </c>
      <c r="F662" s="288"/>
      <c r="G662" s="69"/>
      <c r="H662" s="69"/>
      <c r="I662" s="69"/>
      <c r="J662" s="288"/>
      <c r="K662" s="41">
        <f t="shared" si="102"/>
        <v>5</v>
      </c>
      <c r="L662" s="38">
        <f t="shared" si="101"/>
        <v>14541.22</v>
      </c>
      <c r="M662" s="135">
        <f>L662*SUM(K662,K663)</f>
        <v>174494.63999999998</v>
      </c>
      <c r="N662" s="288"/>
      <c r="O662" s="241"/>
      <c r="P662" s="40"/>
      <c r="Q662" s="42"/>
      <c r="R662" s="288"/>
      <c r="S662" s="86"/>
      <c r="T662" s="86"/>
      <c r="U662" s="86"/>
      <c r="V662" s="288"/>
      <c r="W662" s="67"/>
      <c r="X662" s="86"/>
      <c r="Y662" s="86"/>
    </row>
    <row r="663" spans="1:25" x14ac:dyDescent="0.25">
      <c r="A663" s="21">
        <v>658</v>
      </c>
      <c r="B663" s="19" t="s">
        <v>248</v>
      </c>
      <c r="C663" s="45">
        <f t="shared" si="103"/>
        <v>7.0000000000000009</v>
      </c>
      <c r="D663" s="44">
        <v>14368.8</v>
      </c>
      <c r="E663" s="84">
        <f>SUM('1501 Summary'!G402:S402)</f>
        <v>100581.6</v>
      </c>
      <c r="F663" s="288"/>
      <c r="G663" s="69"/>
      <c r="H663" s="69"/>
      <c r="I663" s="69"/>
      <c r="J663" s="288"/>
      <c r="K663" s="41">
        <f t="shared" si="102"/>
        <v>7.0000000000000009</v>
      </c>
      <c r="L663" s="38"/>
      <c r="M663" s="135"/>
      <c r="N663" s="288"/>
      <c r="O663" s="42"/>
      <c r="P663" s="40"/>
      <c r="Q663" s="42"/>
      <c r="R663" s="288"/>
      <c r="S663" s="86"/>
      <c r="T663" s="86"/>
      <c r="U663" s="86"/>
      <c r="V663" s="288"/>
      <c r="W663" s="67"/>
      <c r="X663" s="86"/>
      <c r="Y663" s="86"/>
    </row>
    <row r="664" spans="1:25" x14ac:dyDescent="0.25">
      <c r="A664" s="21">
        <v>659</v>
      </c>
      <c r="B664" s="19" t="s">
        <v>249</v>
      </c>
      <c r="C664" s="56">
        <v>0</v>
      </c>
      <c r="D664" s="44">
        <v>0</v>
      </c>
      <c r="E664" s="84">
        <f>SUM('1501 Summary'!Y402:AC402)</f>
        <v>0</v>
      </c>
      <c r="K664" s="41"/>
      <c r="L664" s="46"/>
      <c r="M664" s="135"/>
      <c r="O664" s="42"/>
      <c r="P664" s="40"/>
      <c r="Q664" s="42"/>
      <c r="S664" s="86"/>
      <c r="T664" s="86"/>
      <c r="U664" s="86"/>
      <c r="W664" s="67"/>
      <c r="X664" s="86"/>
      <c r="Y664" s="86"/>
    </row>
    <row r="665" spans="1:25" x14ac:dyDescent="0.25">
      <c r="A665" s="21">
        <v>660</v>
      </c>
      <c r="B665" s="19" t="s">
        <v>246</v>
      </c>
      <c r="C665" s="45">
        <f t="shared" si="103"/>
        <v>19563649.999999996</v>
      </c>
      <c r="D665" s="267">
        <v>2.0000000000000001E-4</v>
      </c>
      <c r="E665" s="84">
        <f>SUM('1501 Summary'!G403:W403)</f>
        <v>3912.7299999999996</v>
      </c>
      <c r="F665" s="288"/>
      <c r="G665" s="69"/>
      <c r="H665" s="69"/>
      <c r="I665" s="69"/>
      <c r="J665" s="288"/>
      <c r="K665" s="41">
        <f t="shared" si="102"/>
        <v>19563649.999999996</v>
      </c>
      <c r="L665" s="46"/>
      <c r="M665" s="135"/>
      <c r="N665" s="288"/>
      <c r="O665" s="42"/>
      <c r="P665" s="40"/>
      <c r="Q665" s="42"/>
      <c r="R665" s="288"/>
      <c r="S665" s="86"/>
      <c r="T665" s="86"/>
      <c r="U665" s="86"/>
      <c r="V665" s="288"/>
      <c r="W665" s="67"/>
      <c r="X665" s="86"/>
      <c r="Y665" s="86"/>
    </row>
    <row r="666" spans="1:25" x14ac:dyDescent="0.25">
      <c r="A666" s="21">
        <v>661</v>
      </c>
      <c r="B666" s="19" t="s">
        <v>247</v>
      </c>
      <c r="C666" s="56">
        <v>0</v>
      </c>
      <c r="D666" s="44">
        <v>0</v>
      </c>
      <c r="E666" s="84">
        <f>SUM('1501 Summary'!Y403:AC403)</f>
        <v>0</v>
      </c>
      <c r="K666" s="41"/>
      <c r="L666" s="46"/>
      <c r="M666" s="135"/>
      <c r="O666" s="42"/>
      <c r="P666" s="40"/>
      <c r="Q666" s="42"/>
      <c r="S666" s="86"/>
      <c r="T666" s="86"/>
      <c r="U666" s="86"/>
      <c r="W666" s="67"/>
      <c r="X666" s="86"/>
      <c r="Y666" s="86"/>
    </row>
    <row r="667" spans="1:25" x14ac:dyDescent="0.25">
      <c r="A667" s="21">
        <v>662</v>
      </c>
      <c r="B667" s="19" t="s">
        <v>254</v>
      </c>
      <c r="C667" s="56">
        <v>0</v>
      </c>
      <c r="D667" s="44">
        <v>0</v>
      </c>
      <c r="E667" s="84">
        <f>SUM('1501 Summary'!G404:W404)</f>
        <v>0</v>
      </c>
      <c r="F667" s="288"/>
      <c r="G667" s="69"/>
      <c r="H667" s="69"/>
      <c r="I667" s="69"/>
      <c r="J667" s="288"/>
      <c r="K667" s="41"/>
      <c r="L667" s="46"/>
      <c r="M667" s="135"/>
      <c r="N667" s="288"/>
      <c r="O667" s="42"/>
      <c r="P667" s="40"/>
      <c r="Q667" s="42"/>
      <c r="R667" s="288"/>
      <c r="S667" s="86"/>
      <c r="T667" s="86"/>
      <c r="U667" s="86"/>
      <c r="V667" s="288"/>
      <c r="W667" s="67"/>
      <c r="X667" s="86"/>
      <c r="Y667" s="86"/>
    </row>
    <row r="668" spans="1:25" x14ac:dyDescent="0.25">
      <c r="A668" s="21">
        <v>663</v>
      </c>
      <c r="B668" s="19" t="s">
        <v>255</v>
      </c>
      <c r="C668" s="45">
        <f t="shared" si="103"/>
        <v>392300</v>
      </c>
      <c r="D668" s="267">
        <v>4.0000000000000002E-4</v>
      </c>
      <c r="E668" s="84">
        <f>SUM('1501 Summary'!Y404:AC404)</f>
        <v>156.92000000000002</v>
      </c>
      <c r="K668" s="41">
        <f t="shared" si="102"/>
        <v>392300</v>
      </c>
      <c r="L668" s="46">
        <f t="shared" si="101"/>
        <v>4.0000000000000002E-4</v>
      </c>
      <c r="M668" s="135">
        <f>L668*SUM(K668,K665)</f>
        <v>7982.3799999999992</v>
      </c>
      <c r="O668" s="41"/>
      <c r="P668" s="40"/>
      <c r="Q668" s="42"/>
      <c r="S668" s="86"/>
      <c r="T668" s="86"/>
      <c r="U668" s="86"/>
      <c r="W668" s="218"/>
      <c r="X668" s="86"/>
      <c r="Y668" s="86"/>
    </row>
    <row r="669" spans="1:25" x14ac:dyDescent="0.25">
      <c r="A669" s="21">
        <v>664</v>
      </c>
      <c r="B669" s="19" t="s">
        <v>258</v>
      </c>
      <c r="C669" s="45">
        <f t="shared" si="103"/>
        <v>19722651.85680085</v>
      </c>
      <c r="D669" s="80">
        <v>1.4368799999999999E-2</v>
      </c>
      <c r="E669" s="84">
        <f>SUM('1501 Summary'!G405:W405)</f>
        <v>283390.84000000003</v>
      </c>
      <c r="F669" s="288"/>
      <c r="G669" s="69"/>
      <c r="H669" s="69"/>
      <c r="I669" s="69"/>
      <c r="J669" s="288"/>
      <c r="K669" s="41">
        <f t="shared" si="102"/>
        <v>19722651.85680085</v>
      </c>
      <c r="L669" s="46"/>
      <c r="M669" s="135"/>
      <c r="N669" s="288"/>
      <c r="O669" s="42"/>
      <c r="P669" s="40"/>
      <c r="Q669" s="42"/>
      <c r="R669" s="288"/>
      <c r="S669" s="86"/>
      <c r="T669" s="86"/>
      <c r="U669" s="86"/>
      <c r="V669" s="288"/>
      <c r="W669" s="218"/>
      <c r="X669" s="86"/>
      <c r="Y669" s="86"/>
    </row>
    <row r="670" spans="1:25" x14ac:dyDescent="0.25">
      <c r="A670" s="21">
        <v>665</v>
      </c>
      <c r="B670" s="110" t="s">
        <v>257</v>
      </c>
      <c r="C670" s="45">
        <f t="shared" si="103"/>
        <v>392299.81019448186</v>
      </c>
      <c r="D670" s="80">
        <v>1.4541200000000001E-2</v>
      </c>
      <c r="E670" s="145">
        <f>SUM('1501 Summary'!Y405:AC405)</f>
        <v>5704.51</v>
      </c>
      <c r="K670" s="41">
        <f t="shared" si="102"/>
        <v>392299.81019448186</v>
      </c>
      <c r="L670" s="46">
        <f t="shared" si="101"/>
        <v>1.4541200000000001E-2</v>
      </c>
      <c r="M670" s="136">
        <f>L670*SUM(K670,K669)</f>
        <v>292495.53518011252</v>
      </c>
      <c r="O670" s="41"/>
      <c r="P670" s="40"/>
      <c r="Q670" s="42"/>
      <c r="S670" s="86"/>
      <c r="T670" s="86"/>
      <c r="U670" s="86"/>
      <c r="W670" s="218"/>
      <c r="X670" s="86"/>
      <c r="Y670" s="86"/>
    </row>
    <row r="671" spans="1:25" x14ac:dyDescent="0.25">
      <c r="A671" s="21">
        <v>666</v>
      </c>
      <c r="B671" s="19" t="s">
        <v>10</v>
      </c>
      <c r="E671" s="84">
        <f>SUM(E659:E670)</f>
        <v>472827.70000000007</v>
      </c>
      <c r="F671" s="288"/>
      <c r="G671" s="69"/>
      <c r="H671" s="69"/>
      <c r="I671" s="69"/>
      <c r="J671" s="288"/>
      <c r="K671" s="41"/>
      <c r="L671" s="46"/>
      <c r="M671" s="135">
        <f>SUM(M659:M670)</f>
        <v>482472.55518011248</v>
      </c>
      <c r="N671" s="288"/>
      <c r="O671" s="42"/>
      <c r="P671" s="42"/>
      <c r="Q671" s="42"/>
      <c r="R671" s="288"/>
      <c r="S671" s="86"/>
      <c r="T671" s="86"/>
      <c r="U671" s="86"/>
      <c r="V671" s="288"/>
      <c r="W671" s="67"/>
      <c r="X671" s="86"/>
      <c r="Y671" s="86"/>
    </row>
    <row r="672" spans="1:25" x14ac:dyDescent="0.25">
      <c r="A672" s="21">
        <v>667</v>
      </c>
      <c r="E672" s="84"/>
      <c r="F672" s="288"/>
      <c r="G672" s="69"/>
      <c r="H672" s="69"/>
      <c r="I672" s="69"/>
      <c r="J672" s="288"/>
      <c r="K672" s="41"/>
      <c r="L672" s="46"/>
      <c r="M672" s="135"/>
      <c r="N672" s="288"/>
      <c r="O672" s="42"/>
      <c r="P672" s="42"/>
      <c r="Q672" s="42"/>
      <c r="R672" s="288"/>
      <c r="V672" s="288"/>
      <c r="W672" s="67"/>
      <c r="X672" s="86"/>
    </row>
    <row r="673" spans="1:25" x14ac:dyDescent="0.25">
      <c r="A673" s="21">
        <v>668</v>
      </c>
      <c r="B673" s="19" t="s">
        <v>12</v>
      </c>
      <c r="E673" s="84"/>
      <c r="K673" s="41"/>
      <c r="L673" s="46"/>
      <c r="M673" s="135"/>
      <c r="O673" s="42"/>
      <c r="P673" s="42"/>
      <c r="Q673" s="42"/>
      <c r="W673" s="67"/>
      <c r="X673" s="86"/>
    </row>
    <row r="674" spans="1:25" x14ac:dyDescent="0.25">
      <c r="A674" s="21">
        <v>669</v>
      </c>
      <c r="B674" s="19" t="s">
        <v>20</v>
      </c>
      <c r="E674" s="84">
        <f>'1501 Summary'!AD406</f>
        <v>21068.720000000001</v>
      </c>
      <c r="F674" s="277"/>
      <c r="G674" s="40"/>
      <c r="H674" s="40"/>
      <c r="I674" s="40"/>
      <c r="J674" s="277"/>
      <c r="K674" s="41"/>
      <c r="L674" s="46"/>
      <c r="M674" s="135"/>
      <c r="N674" s="277"/>
      <c r="O674" s="42"/>
      <c r="P674" s="42"/>
      <c r="Q674" s="42"/>
      <c r="R674" s="277"/>
      <c r="V674" s="277"/>
      <c r="W674" s="67"/>
      <c r="X674" s="86"/>
    </row>
    <row r="675" spans="1:25" x14ac:dyDescent="0.25">
      <c r="A675" s="21">
        <v>670</v>
      </c>
      <c r="B675" s="19" t="s">
        <v>245</v>
      </c>
      <c r="E675" s="84">
        <f>'1501 Summary'!AD408</f>
        <v>1596.13</v>
      </c>
      <c r="F675" s="277"/>
      <c r="G675" s="40"/>
      <c r="H675" s="40"/>
      <c r="I675" s="40"/>
      <c r="J675" s="277"/>
      <c r="K675" s="41"/>
      <c r="L675" s="46"/>
      <c r="M675" s="135"/>
      <c r="N675" s="277"/>
      <c r="O675" s="42"/>
      <c r="P675" s="42"/>
      <c r="Q675" s="42"/>
      <c r="R675" s="277"/>
      <c r="V675" s="277"/>
      <c r="W675" s="67"/>
      <c r="X675" s="86"/>
    </row>
    <row r="676" spans="1:25" x14ac:dyDescent="0.25">
      <c r="A676" s="21">
        <v>671</v>
      </c>
      <c r="B676" s="19" t="s">
        <v>144</v>
      </c>
      <c r="E676" s="84">
        <f>'1501 Summary'!AD407</f>
        <v>31525.4</v>
      </c>
      <c r="F676" s="277"/>
      <c r="G676" s="40"/>
      <c r="H676" s="40"/>
      <c r="I676" s="40"/>
      <c r="J676" s="277"/>
      <c r="K676" s="41"/>
      <c r="L676" s="46"/>
      <c r="M676" s="135"/>
      <c r="N676" s="277"/>
      <c r="O676" s="42"/>
      <c r="P676" s="42"/>
      <c r="Q676" s="42"/>
      <c r="R676" s="277"/>
      <c r="V676" s="277"/>
      <c r="W676" s="67"/>
      <c r="X676" s="86"/>
    </row>
    <row r="677" spans="1:25" x14ac:dyDescent="0.25">
      <c r="A677" s="21">
        <v>672</v>
      </c>
      <c r="B677" s="6" t="s">
        <v>55</v>
      </c>
      <c r="E677" s="84">
        <f>'Rev Recon Summary'!R440</f>
        <v>-525466.98</v>
      </c>
      <c r="F677" s="278"/>
      <c r="G677" s="56"/>
      <c r="H677" s="56"/>
      <c r="I677" s="56"/>
      <c r="J677" s="278"/>
      <c r="K677" s="41"/>
      <c r="L677" s="46"/>
      <c r="M677" s="135"/>
      <c r="N677" s="278"/>
      <c r="O677" s="42"/>
      <c r="P677" s="42"/>
      <c r="Q677" s="42"/>
      <c r="R677" s="278"/>
      <c r="V677" s="278"/>
      <c r="W677" s="67"/>
      <c r="X677" s="86"/>
    </row>
    <row r="678" spans="1:25" x14ac:dyDescent="0.25">
      <c r="A678" s="21">
        <v>673</v>
      </c>
      <c r="B678" s="6" t="s">
        <v>56</v>
      </c>
      <c r="E678" s="145">
        <f>'Rev Recon Summary'!R441</f>
        <v>495145.64000000007</v>
      </c>
      <c r="F678" s="278"/>
      <c r="G678" s="56"/>
      <c r="H678" s="56"/>
      <c r="I678" s="56"/>
      <c r="J678" s="278"/>
      <c r="K678" s="41"/>
      <c r="L678" s="46"/>
      <c r="M678" s="135"/>
      <c r="N678" s="278"/>
      <c r="O678" s="42"/>
      <c r="P678" s="42"/>
      <c r="Q678" s="42"/>
      <c r="R678" s="278"/>
      <c r="V678" s="278"/>
      <c r="W678" s="67"/>
      <c r="X678" s="86"/>
    </row>
    <row r="679" spans="1:25" x14ac:dyDescent="0.25">
      <c r="A679" s="21">
        <v>674</v>
      </c>
      <c r="B679" s="18" t="s">
        <v>93</v>
      </c>
      <c r="E679" s="84">
        <f>SUM(E675:E678)</f>
        <v>2800.1900000001187</v>
      </c>
      <c r="F679" s="277"/>
      <c r="G679" s="40"/>
      <c r="H679" s="40"/>
      <c r="I679" s="40"/>
      <c r="J679" s="277"/>
      <c r="K679" s="41"/>
      <c r="L679" s="46"/>
      <c r="M679" s="135"/>
      <c r="N679" s="277"/>
      <c r="O679" s="42"/>
      <c r="P679" s="42"/>
      <c r="Q679" s="42"/>
      <c r="R679" s="277"/>
      <c r="V679" s="277"/>
      <c r="W679" s="67"/>
      <c r="X679" s="86"/>
    </row>
    <row r="680" spans="1:25" x14ac:dyDescent="0.25">
      <c r="A680" s="21">
        <v>675</v>
      </c>
      <c r="B680" s="18"/>
      <c r="E680" s="84"/>
      <c r="K680" s="41"/>
      <c r="L680" s="46"/>
      <c r="M680" s="135"/>
      <c r="O680" s="42"/>
      <c r="P680" s="42"/>
      <c r="Q680" s="42"/>
      <c r="W680" s="67"/>
      <c r="X680" s="86"/>
    </row>
    <row r="681" spans="1:25" x14ac:dyDescent="0.25">
      <c r="A681" s="21">
        <v>676</v>
      </c>
      <c r="B681" s="104" t="s">
        <v>175</v>
      </c>
      <c r="C681" s="71">
        <f>E681-'Rev Recon Summary'!R442</f>
        <v>0</v>
      </c>
      <c r="D681" s="105" t="s">
        <v>45</v>
      </c>
      <c r="E681" s="145">
        <f>SUM(E671,E674,E679)</f>
        <v>496696.61000000016</v>
      </c>
      <c r="F681" s="295"/>
      <c r="G681" s="76"/>
      <c r="H681" s="76"/>
      <c r="I681" s="76"/>
      <c r="J681" s="295"/>
      <c r="K681" s="101"/>
      <c r="L681" s="134"/>
      <c r="M681" s="136"/>
      <c r="N681" s="295"/>
      <c r="O681" s="65"/>
      <c r="P681" s="65"/>
      <c r="Q681" s="65"/>
      <c r="R681" s="295"/>
      <c r="S681" s="105"/>
      <c r="T681" s="105"/>
      <c r="U681" s="105"/>
      <c r="V681" s="295"/>
      <c r="W681" s="85"/>
      <c r="X681" s="88"/>
      <c r="Y681" s="105"/>
    </row>
    <row r="682" spans="1:25" x14ac:dyDescent="0.25">
      <c r="A682" s="21">
        <v>677</v>
      </c>
      <c r="K682" s="41"/>
      <c r="L682" s="46"/>
      <c r="M682" s="135"/>
      <c r="O682" s="42"/>
      <c r="P682" s="42"/>
      <c r="Q682" s="42"/>
      <c r="W682" s="67"/>
      <c r="X682" s="86"/>
    </row>
    <row r="683" spans="1:25" x14ac:dyDescent="0.25">
      <c r="A683" s="21">
        <v>678</v>
      </c>
      <c r="B683" s="30" t="s">
        <v>176</v>
      </c>
      <c r="K683" s="41"/>
      <c r="L683" s="46"/>
      <c r="M683" s="135"/>
      <c r="O683" s="42"/>
      <c r="P683" s="42"/>
      <c r="Q683" s="42"/>
      <c r="W683" s="67"/>
      <c r="X683" s="86"/>
    </row>
    <row r="684" spans="1:25" x14ac:dyDescent="0.25">
      <c r="A684" s="21">
        <v>679</v>
      </c>
      <c r="B684" s="64" t="s">
        <v>246</v>
      </c>
      <c r="C684" s="23">
        <f>E684/D684</f>
        <v>9</v>
      </c>
      <c r="D684" s="23">
        <v>500</v>
      </c>
      <c r="E684" s="84">
        <f>SUM('1501 Summary'!G415:W415)</f>
        <v>4500</v>
      </c>
      <c r="F684" s="288"/>
      <c r="G684" s="69"/>
      <c r="H684" s="69"/>
      <c r="I684" s="69"/>
      <c r="J684" s="288"/>
      <c r="K684" s="41">
        <f t="shared" si="102"/>
        <v>9</v>
      </c>
      <c r="L684" s="67">
        <f t="shared" ref="L684:L731" si="104">D684</f>
        <v>500</v>
      </c>
      <c r="M684" s="135">
        <f>-L684*K684</f>
        <v>-4500</v>
      </c>
      <c r="N684" s="288"/>
      <c r="O684" s="42"/>
      <c r="P684" s="42"/>
      <c r="Q684" s="42"/>
      <c r="R684" s="288"/>
      <c r="S684" s="86"/>
      <c r="T684" s="86"/>
      <c r="U684" s="86"/>
      <c r="V684" s="288"/>
      <c r="W684" s="67"/>
      <c r="X684" s="86"/>
      <c r="Y684" s="86"/>
    </row>
    <row r="685" spans="1:25" x14ac:dyDescent="0.25">
      <c r="A685" s="21">
        <v>680</v>
      </c>
      <c r="B685" s="64" t="s">
        <v>247</v>
      </c>
      <c r="C685" s="23">
        <v>0</v>
      </c>
      <c r="D685" s="23">
        <v>0</v>
      </c>
      <c r="E685" s="84">
        <f>SUM('1501 Summary'!Y415:AC415)</f>
        <v>0</v>
      </c>
      <c r="K685" s="41">
        <f t="shared" si="102"/>
        <v>0</v>
      </c>
      <c r="L685" s="46">
        <f t="shared" si="104"/>
        <v>0</v>
      </c>
      <c r="M685" s="135">
        <f t="shared" ref="M685:M688" si="105">-L685*K685</f>
        <v>0</v>
      </c>
      <c r="O685" s="42"/>
      <c r="P685" s="42"/>
      <c r="Q685" s="42"/>
      <c r="S685" s="86"/>
      <c r="T685" s="86"/>
      <c r="U685" s="86"/>
      <c r="W685" s="67"/>
      <c r="X685" s="86"/>
      <c r="Y685" s="86"/>
    </row>
    <row r="686" spans="1:25" x14ac:dyDescent="0.25">
      <c r="A686" s="21">
        <v>681</v>
      </c>
      <c r="B686" s="64" t="s">
        <v>248</v>
      </c>
      <c r="C686" s="23">
        <f t="shared" ref="C686:C688" si="106">E686/D686</f>
        <v>9</v>
      </c>
      <c r="D686" s="23">
        <v>62100</v>
      </c>
      <c r="E686" s="84">
        <f>SUM('1501 Summary'!G416:W416)</f>
        <v>558900</v>
      </c>
      <c r="F686" s="288"/>
      <c r="G686" s="69"/>
      <c r="H686" s="69"/>
      <c r="I686" s="69"/>
      <c r="J686" s="288"/>
      <c r="K686" s="41">
        <f t="shared" si="102"/>
        <v>9</v>
      </c>
      <c r="L686" s="38">
        <f t="shared" si="104"/>
        <v>62100</v>
      </c>
      <c r="M686" s="135">
        <f t="shared" si="105"/>
        <v>-558900</v>
      </c>
      <c r="N686" s="288"/>
      <c r="O686" s="42"/>
      <c r="P686" s="42"/>
      <c r="Q686" s="42"/>
      <c r="R686" s="288"/>
      <c r="S686" s="86"/>
      <c r="T686" s="86"/>
      <c r="U686" s="86"/>
      <c r="V686" s="288"/>
      <c r="W686" s="67"/>
      <c r="X686" s="86"/>
      <c r="Y686" s="86"/>
    </row>
    <row r="687" spans="1:25" x14ac:dyDescent="0.25">
      <c r="A687" s="21">
        <v>682</v>
      </c>
      <c r="B687" s="64" t="s">
        <v>249</v>
      </c>
      <c r="C687" s="23">
        <v>0</v>
      </c>
      <c r="D687" s="23">
        <v>0</v>
      </c>
      <c r="E687" s="84">
        <f>SUM('1501 Summary'!Y416:AC416)</f>
        <v>0</v>
      </c>
      <c r="K687" s="41">
        <f t="shared" si="102"/>
        <v>0</v>
      </c>
      <c r="L687" s="46">
        <f t="shared" si="104"/>
        <v>0</v>
      </c>
      <c r="M687" s="135">
        <f t="shared" si="105"/>
        <v>0</v>
      </c>
      <c r="O687" s="42"/>
      <c r="P687" s="42"/>
      <c r="Q687" s="42"/>
      <c r="S687" s="86"/>
      <c r="T687" s="86"/>
      <c r="U687" s="86"/>
      <c r="W687" s="67"/>
      <c r="X687" s="86"/>
      <c r="Y687" s="86"/>
    </row>
    <row r="688" spans="1:25" x14ac:dyDescent="0.25">
      <c r="A688" s="21">
        <v>683</v>
      </c>
      <c r="B688" s="64" t="s">
        <v>266</v>
      </c>
      <c r="C688" s="23">
        <f t="shared" si="106"/>
        <v>9</v>
      </c>
      <c r="D688" s="58">
        <v>-20872.5</v>
      </c>
      <c r="E688" s="84">
        <f>SUM('1501 Summary'!G417:W417)</f>
        <v>-187852.5</v>
      </c>
      <c r="F688" s="288"/>
      <c r="G688" s="69"/>
      <c r="H688" s="69"/>
      <c r="I688" s="69"/>
      <c r="J688" s="288"/>
      <c r="K688" s="41">
        <f t="shared" si="102"/>
        <v>9</v>
      </c>
      <c r="L688" s="38">
        <f t="shared" si="104"/>
        <v>-20872.5</v>
      </c>
      <c r="M688" s="135">
        <f t="shared" si="105"/>
        <v>187852.5</v>
      </c>
      <c r="N688" s="288"/>
      <c r="O688" s="42"/>
      <c r="P688" s="42"/>
      <c r="Q688" s="42"/>
      <c r="R688" s="288"/>
      <c r="S688" s="86"/>
      <c r="T688" s="86"/>
      <c r="U688" s="86"/>
      <c r="V688" s="288"/>
      <c r="W688" s="67"/>
      <c r="X688" s="86"/>
      <c r="Y688" s="86"/>
    </row>
    <row r="689" spans="1:25" x14ac:dyDescent="0.25">
      <c r="A689" s="21">
        <v>684</v>
      </c>
      <c r="B689" s="110" t="s">
        <v>267</v>
      </c>
      <c r="C689" s="23">
        <v>0</v>
      </c>
      <c r="D689" s="23">
        <v>0</v>
      </c>
      <c r="E689" s="145">
        <f>SUM('1501 Summary'!Y417:AC417)</f>
        <v>0</v>
      </c>
      <c r="K689" s="41"/>
      <c r="L689" s="46"/>
      <c r="M689" s="105"/>
      <c r="O689" s="42"/>
      <c r="P689" s="42"/>
      <c r="Q689" s="42"/>
      <c r="S689" s="86"/>
      <c r="T689" s="86"/>
      <c r="U689" s="86"/>
      <c r="W689" s="67"/>
      <c r="X689" s="86"/>
      <c r="Y689" s="86"/>
    </row>
    <row r="690" spans="1:25" x14ac:dyDescent="0.25">
      <c r="A690" s="21">
        <v>685</v>
      </c>
      <c r="B690" s="19" t="s">
        <v>10</v>
      </c>
      <c r="E690" s="84">
        <f>SUM(E684:E689)</f>
        <v>375547.5</v>
      </c>
      <c r="F690" s="288"/>
      <c r="G690" s="69"/>
      <c r="H690" s="69"/>
      <c r="I690" s="69"/>
      <c r="J690" s="288"/>
      <c r="K690" s="41"/>
      <c r="L690" s="46"/>
      <c r="M690" s="135">
        <f>SUM(M684:M688)</f>
        <v>-375547.5</v>
      </c>
      <c r="N690" s="288"/>
      <c r="O690" s="42"/>
      <c r="P690" s="42"/>
      <c r="Q690" s="42"/>
      <c r="R690" s="288"/>
      <c r="S690" s="86"/>
      <c r="T690" s="86"/>
      <c r="U690" s="86"/>
      <c r="V690" s="288"/>
      <c r="W690" s="67"/>
      <c r="X690" s="86"/>
      <c r="Y690" s="86"/>
    </row>
    <row r="691" spans="1:25" x14ac:dyDescent="0.25">
      <c r="A691" s="21">
        <v>686</v>
      </c>
      <c r="E691" s="84"/>
      <c r="K691" s="41" t="s">
        <v>454</v>
      </c>
      <c r="L691" s="46"/>
      <c r="M691" s="135"/>
      <c r="O691" s="42"/>
      <c r="P691" s="42"/>
      <c r="Q691" s="42"/>
      <c r="W691" s="67"/>
      <c r="X691" s="86"/>
    </row>
    <row r="692" spans="1:25" x14ac:dyDescent="0.25">
      <c r="A692" s="21">
        <v>687</v>
      </c>
      <c r="B692" s="19" t="s">
        <v>12</v>
      </c>
      <c r="E692" s="84"/>
      <c r="K692" s="41" t="s">
        <v>455</v>
      </c>
      <c r="L692" s="46"/>
      <c r="M692" s="135"/>
      <c r="O692" s="42"/>
      <c r="P692" s="42"/>
      <c r="Q692" s="42"/>
      <c r="W692" s="67"/>
      <c r="X692" s="86"/>
    </row>
    <row r="693" spans="1:25" x14ac:dyDescent="0.25">
      <c r="A693" s="21">
        <v>688</v>
      </c>
      <c r="B693" s="19" t="s">
        <v>20</v>
      </c>
      <c r="E693" s="84">
        <f>'1501 Summary'!AD418</f>
        <v>16767.349999999999</v>
      </c>
      <c r="F693" s="277"/>
      <c r="G693" s="40"/>
      <c r="H693" s="40"/>
      <c r="I693" s="40"/>
      <c r="J693" s="277"/>
      <c r="K693" s="41"/>
      <c r="L693" s="46"/>
      <c r="M693" s="135"/>
      <c r="N693" s="277"/>
      <c r="O693" s="42"/>
      <c r="P693" s="42"/>
      <c r="Q693" s="42"/>
      <c r="R693" s="277"/>
      <c r="V693" s="277"/>
      <c r="W693" s="67"/>
      <c r="X693" s="86"/>
    </row>
    <row r="694" spans="1:25" x14ac:dyDescent="0.25">
      <c r="A694" s="21">
        <v>689</v>
      </c>
      <c r="B694" s="19" t="s">
        <v>245</v>
      </c>
      <c r="E694" s="84">
        <f>'1501 Summary'!AD419</f>
        <v>130.53</v>
      </c>
      <c r="F694" s="277"/>
      <c r="G694" s="40"/>
      <c r="H694" s="40"/>
      <c r="I694" s="40"/>
      <c r="J694" s="277"/>
      <c r="K694" s="41"/>
      <c r="L694" s="46"/>
      <c r="M694" s="135"/>
      <c r="N694" s="277"/>
      <c r="O694" s="42"/>
      <c r="P694" s="42"/>
      <c r="Q694" s="42"/>
      <c r="R694" s="277"/>
      <c r="V694" s="277"/>
      <c r="W694" s="67"/>
      <c r="X694" s="86"/>
    </row>
    <row r="695" spans="1:25" x14ac:dyDescent="0.25">
      <c r="A695" s="21">
        <v>690</v>
      </c>
      <c r="B695" s="6" t="s">
        <v>55</v>
      </c>
      <c r="E695" s="84">
        <f>'Rev Recon Summary'!R460</f>
        <v>-348738.39999999997</v>
      </c>
      <c r="F695" s="278"/>
      <c r="G695" s="56"/>
      <c r="H695" s="56"/>
      <c r="I695" s="56"/>
      <c r="J695" s="278"/>
      <c r="K695" s="41"/>
      <c r="L695" s="46"/>
      <c r="M695" s="135"/>
      <c r="N695" s="278"/>
      <c r="O695" s="42"/>
      <c r="P695" s="42"/>
      <c r="Q695" s="42"/>
      <c r="R695" s="278"/>
      <c r="V695" s="278"/>
      <c r="W695" s="67"/>
      <c r="X695" s="86"/>
    </row>
    <row r="696" spans="1:25" x14ac:dyDescent="0.25">
      <c r="A696" s="21">
        <v>691</v>
      </c>
      <c r="B696" s="6" t="s">
        <v>56</v>
      </c>
      <c r="E696" s="145">
        <f>'Rev Recon Summary'!R461</f>
        <v>305146.09999999998</v>
      </c>
      <c r="F696" s="278"/>
      <c r="G696" s="56"/>
      <c r="H696" s="56"/>
      <c r="I696" s="56"/>
      <c r="J696" s="278"/>
      <c r="K696" s="41"/>
      <c r="L696" s="46"/>
      <c r="M696" s="135"/>
      <c r="N696" s="278"/>
      <c r="O696" s="42"/>
      <c r="P696" s="42"/>
      <c r="Q696" s="42"/>
      <c r="R696" s="278"/>
      <c r="V696" s="278"/>
      <c r="W696" s="67"/>
      <c r="X696" s="86"/>
    </row>
    <row r="697" spans="1:25" x14ac:dyDescent="0.25">
      <c r="A697" s="21">
        <v>692</v>
      </c>
      <c r="B697" s="18" t="s">
        <v>93</v>
      </c>
      <c r="E697" s="84">
        <f>SUM(E694:E696)</f>
        <v>-43461.76999999996</v>
      </c>
      <c r="F697" s="277"/>
      <c r="G697" s="40"/>
      <c r="H697" s="40"/>
      <c r="I697" s="40"/>
      <c r="J697" s="277"/>
      <c r="K697" s="41"/>
      <c r="L697" s="46"/>
      <c r="M697" s="135"/>
      <c r="N697" s="277"/>
      <c r="O697" s="42"/>
      <c r="P697" s="42"/>
      <c r="Q697" s="42"/>
      <c r="R697" s="277"/>
      <c r="V697" s="277"/>
      <c r="W697" s="67"/>
      <c r="X697" s="86"/>
    </row>
    <row r="698" spans="1:25" x14ac:dyDescent="0.25">
      <c r="A698" s="21">
        <v>693</v>
      </c>
      <c r="B698" s="18"/>
      <c r="E698" s="84"/>
      <c r="F698" s="277"/>
      <c r="G698" s="40"/>
      <c r="H698" s="40"/>
      <c r="I698" s="40"/>
      <c r="J698" s="277"/>
      <c r="K698" s="41"/>
      <c r="L698" s="46"/>
      <c r="M698" s="135"/>
      <c r="N698" s="277"/>
      <c r="O698" s="42"/>
      <c r="P698" s="42"/>
      <c r="Q698" s="42"/>
      <c r="R698" s="277"/>
      <c r="V698" s="277"/>
      <c r="W698" s="67"/>
      <c r="X698" s="86"/>
    </row>
    <row r="699" spans="1:25" x14ac:dyDescent="0.25">
      <c r="A699" s="21">
        <v>694</v>
      </c>
      <c r="B699" s="104" t="s">
        <v>177</v>
      </c>
      <c r="C699" s="71">
        <f>E699-'Rev Recon Summary'!R462</f>
        <v>0</v>
      </c>
      <c r="D699" s="105" t="s">
        <v>45</v>
      </c>
      <c r="E699" s="145">
        <f>SUM(E690,E693,E697)</f>
        <v>348853.08</v>
      </c>
      <c r="F699" s="295"/>
      <c r="G699" s="76"/>
      <c r="H699" s="76"/>
      <c r="I699" s="76"/>
      <c r="J699" s="295"/>
      <c r="K699" s="101"/>
      <c r="L699" s="134"/>
      <c r="M699" s="136"/>
      <c r="N699" s="295"/>
      <c r="O699" s="65"/>
      <c r="P699" s="65"/>
      <c r="Q699" s="65"/>
      <c r="R699" s="295"/>
      <c r="S699" s="105"/>
      <c r="T699" s="105"/>
      <c r="U699" s="105"/>
      <c r="V699" s="295"/>
      <c r="W699" s="85"/>
      <c r="X699" s="88"/>
      <c r="Y699" s="105"/>
    </row>
    <row r="700" spans="1:25" x14ac:dyDescent="0.25">
      <c r="A700" s="21">
        <v>695</v>
      </c>
      <c r="B700" s="31"/>
      <c r="K700" s="41"/>
      <c r="L700" s="46"/>
      <c r="M700" s="135"/>
      <c r="O700" s="42"/>
      <c r="P700" s="42"/>
      <c r="Q700" s="42"/>
      <c r="W700" s="67"/>
      <c r="X700" s="86"/>
    </row>
    <row r="701" spans="1:25" x14ac:dyDescent="0.25">
      <c r="A701" s="21">
        <v>696</v>
      </c>
      <c r="K701" s="41"/>
      <c r="L701" s="46"/>
      <c r="M701" s="135"/>
      <c r="O701" s="42"/>
      <c r="P701" s="42"/>
      <c r="Q701" s="42"/>
      <c r="W701" s="67"/>
      <c r="X701" s="86"/>
    </row>
    <row r="702" spans="1:25" x14ac:dyDescent="0.25">
      <c r="A702" s="21">
        <v>697</v>
      </c>
      <c r="B702" s="30" t="s">
        <v>178</v>
      </c>
      <c r="K702" s="41"/>
      <c r="L702" s="46"/>
      <c r="M702" s="135"/>
      <c r="O702" s="42"/>
      <c r="P702" s="42"/>
      <c r="Q702" s="42"/>
      <c r="W702" s="67"/>
      <c r="X702" s="86"/>
    </row>
    <row r="703" spans="1:25" x14ac:dyDescent="0.25">
      <c r="A703" s="21">
        <v>698</v>
      </c>
      <c r="B703" s="19" t="s">
        <v>246</v>
      </c>
      <c r="C703" s="23">
        <f>E703/D703</f>
        <v>9</v>
      </c>
      <c r="D703" s="23">
        <v>500</v>
      </c>
      <c r="E703" s="84">
        <f>SUM('1501 Summary'!G426:W426)</f>
        <v>4500</v>
      </c>
      <c r="F703" s="288"/>
      <c r="G703" s="69"/>
      <c r="H703" s="69"/>
      <c r="I703" s="69"/>
      <c r="J703" s="288"/>
      <c r="K703" s="41">
        <f t="shared" si="102"/>
        <v>9</v>
      </c>
      <c r="L703" s="67"/>
      <c r="M703" s="135"/>
      <c r="N703" s="288"/>
      <c r="O703" s="42"/>
      <c r="P703" s="42"/>
      <c r="Q703" s="42"/>
      <c r="R703" s="288"/>
      <c r="S703" s="86"/>
      <c r="T703" s="86"/>
      <c r="U703" s="86"/>
      <c r="V703" s="288"/>
      <c r="W703" s="67"/>
      <c r="X703" s="86"/>
      <c r="Y703" s="86"/>
    </row>
    <row r="704" spans="1:25" x14ac:dyDescent="0.25">
      <c r="A704" s="21">
        <v>699</v>
      </c>
      <c r="B704" s="19" t="s">
        <v>247</v>
      </c>
      <c r="C704" s="23">
        <f t="shared" ref="C704:C710" si="107">E704/D704</f>
        <v>3</v>
      </c>
      <c r="D704" s="23">
        <v>625</v>
      </c>
      <c r="E704" s="84">
        <f>SUM('1501 Summary'!Y426:AC426)</f>
        <v>1875</v>
      </c>
      <c r="F704" s="288"/>
      <c r="G704" s="69"/>
      <c r="H704" s="69"/>
      <c r="I704" s="69"/>
      <c r="J704" s="288"/>
      <c r="K704" s="41">
        <f t="shared" si="102"/>
        <v>3</v>
      </c>
      <c r="L704" s="67">
        <f t="shared" si="104"/>
        <v>625</v>
      </c>
      <c r="M704" s="135">
        <f>L704*SUM(K704,K703)</f>
        <v>7500</v>
      </c>
      <c r="N704" s="288"/>
      <c r="O704" s="42"/>
      <c r="P704" s="40"/>
      <c r="Q704" s="42"/>
      <c r="R704" s="288"/>
      <c r="S704" s="86"/>
      <c r="T704" s="86"/>
      <c r="U704" s="86"/>
      <c r="V704" s="288"/>
      <c r="W704" s="67"/>
      <c r="X704" s="86"/>
      <c r="Y704" s="86"/>
    </row>
    <row r="705" spans="1:25" x14ac:dyDescent="0.25">
      <c r="A705" s="21">
        <v>700</v>
      </c>
      <c r="B705" s="19" t="s">
        <v>246</v>
      </c>
      <c r="C705" s="41">
        <f t="shared" si="107"/>
        <v>8557650</v>
      </c>
      <c r="D705" s="23">
        <v>2.0000000000000001E-4</v>
      </c>
      <c r="E705" s="84">
        <f>SUM('1501 Summary'!G427:W427)</f>
        <v>1711.5300000000002</v>
      </c>
      <c r="F705" s="288"/>
      <c r="G705" s="69"/>
      <c r="H705" s="69"/>
      <c r="I705" s="69"/>
      <c r="J705" s="288"/>
      <c r="K705" s="41">
        <f t="shared" si="102"/>
        <v>8557650</v>
      </c>
      <c r="L705" s="46"/>
      <c r="M705" s="135"/>
      <c r="N705" s="288"/>
      <c r="O705" s="42"/>
      <c r="P705" s="40"/>
      <c r="Q705" s="42"/>
      <c r="R705" s="288"/>
      <c r="S705" s="86"/>
      <c r="T705" s="86"/>
      <c r="U705" s="86"/>
      <c r="V705" s="288"/>
      <c r="W705" s="67"/>
      <c r="X705" s="86"/>
      <c r="Y705" s="86"/>
    </row>
    <row r="706" spans="1:25" x14ac:dyDescent="0.25">
      <c r="A706" s="21">
        <v>701</v>
      </c>
      <c r="B706" s="19" t="s">
        <v>247</v>
      </c>
      <c r="C706" s="41">
        <v>0</v>
      </c>
      <c r="D706" s="23">
        <v>0</v>
      </c>
      <c r="E706" s="84">
        <f>SUM('1501 Summary'!Y427:AC427)</f>
        <v>0</v>
      </c>
      <c r="F706" s="288"/>
      <c r="G706" s="69"/>
      <c r="H706" s="69"/>
      <c r="I706" s="69"/>
      <c r="J706" s="288"/>
      <c r="K706" s="41">
        <f t="shared" si="102"/>
        <v>0</v>
      </c>
      <c r="L706" s="46"/>
      <c r="M706" s="135"/>
      <c r="N706" s="288"/>
      <c r="O706" s="42"/>
      <c r="P706" s="40"/>
      <c r="Q706" s="42"/>
      <c r="R706" s="288"/>
      <c r="S706" s="86"/>
      <c r="T706" s="86"/>
      <c r="U706" s="86"/>
      <c r="V706" s="288"/>
      <c r="W706" s="67"/>
      <c r="X706" s="86"/>
      <c r="Y706" s="86"/>
    </row>
    <row r="707" spans="1:25" x14ac:dyDescent="0.25">
      <c r="A707" s="21">
        <v>702</v>
      </c>
      <c r="B707" s="19" t="s">
        <v>254</v>
      </c>
      <c r="C707" s="41">
        <v>0</v>
      </c>
      <c r="D707" s="23">
        <v>0</v>
      </c>
      <c r="E707" s="84">
        <f>SUM('1501 Summary'!G428:W428)</f>
        <v>0</v>
      </c>
      <c r="F707" s="288"/>
      <c r="G707" s="69"/>
      <c r="H707" s="69"/>
      <c r="I707" s="69"/>
      <c r="J707" s="288"/>
      <c r="K707" s="41">
        <f t="shared" si="102"/>
        <v>0</v>
      </c>
      <c r="L707" s="46"/>
      <c r="M707" s="135"/>
      <c r="N707" s="288"/>
      <c r="O707" s="42"/>
      <c r="P707" s="40"/>
      <c r="Q707" s="42"/>
      <c r="R707" s="288"/>
      <c r="S707" s="86"/>
      <c r="T707" s="86"/>
      <c r="U707" s="86"/>
      <c r="V707" s="288"/>
      <c r="W707" s="67"/>
      <c r="X707" s="86"/>
      <c r="Y707" s="86"/>
    </row>
    <row r="708" spans="1:25" x14ac:dyDescent="0.25">
      <c r="A708" s="21">
        <v>703</v>
      </c>
      <c r="B708" s="19" t="s">
        <v>255</v>
      </c>
      <c r="C708" s="41">
        <f t="shared" si="107"/>
        <v>65374.999999999993</v>
      </c>
      <c r="D708" s="23">
        <v>4.0000000000000002E-4</v>
      </c>
      <c r="E708" s="84">
        <f>SUM('1501 Summary'!Y428:AC428)</f>
        <v>26.15</v>
      </c>
      <c r="F708" s="288"/>
      <c r="G708" s="69"/>
      <c r="H708" s="69"/>
      <c r="I708" s="69"/>
      <c r="J708" s="288"/>
      <c r="K708" s="41">
        <f t="shared" si="102"/>
        <v>65374.999999999993</v>
      </c>
      <c r="L708" s="46">
        <f t="shared" si="104"/>
        <v>4.0000000000000002E-4</v>
      </c>
      <c r="M708" s="135">
        <f>L708*SUM(K708,K705)</f>
        <v>3449.21</v>
      </c>
      <c r="N708" s="288"/>
      <c r="O708" s="42"/>
      <c r="P708" s="40"/>
      <c r="Q708" s="42"/>
      <c r="R708" s="288"/>
      <c r="S708" s="86"/>
      <c r="T708" s="86"/>
      <c r="U708" s="86"/>
      <c r="V708" s="288"/>
      <c r="W708" s="218"/>
      <c r="X708" s="86"/>
      <c r="Y708" s="86"/>
    </row>
    <row r="709" spans="1:25" x14ac:dyDescent="0.25">
      <c r="A709" s="21">
        <v>704</v>
      </c>
      <c r="B709" s="19" t="s">
        <v>215</v>
      </c>
      <c r="C709" s="41">
        <f t="shared" si="107"/>
        <v>8622981</v>
      </c>
      <c r="D709" s="268">
        <v>0.01</v>
      </c>
      <c r="E709" s="84">
        <f>SUM('1501 Summary'!AD429)</f>
        <v>86229.81</v>
      </c>
      <c r="F709" s="288"/>
      <c r="G709" s="69"/>
      <c r="H709" s="69"/>
      <c r="I709" s="69"/>
      <c r="J709" s="288"/>
      <c r="K709" s="41">
        <f t="shared" si="102"/>
        <v>8622981</v>
      </c>
      <c r="L709" s="46">
        <f t="shared" si="104"/>
        <v>0.01</v>
      </c>
      <c r="M709" s="135">
        <f t="shared" ref="M709:M710" si="108">L709*K709</f>
        <v>86229.81</v>
      </c>
      <c r="N709" s="288"/>
      <c r="O709" s="42"/>
      <c r="P709" s="40"/>
      <c r="Q709" s="42"/>
      <c r="R709" s="288"/>
      <c r="S709" s="86"/>
      <c r="T709" s="86"/>
      <c r="U709" s="86"/>
      <c r="V709" s="288"/>
      <c r="W709" s="218"/>
      <c r="X709" s="86"/>
      <c r="Y709" s="86"/>
    </row>
    <row r="710" spans="1:25" x14ac:dyDescent="0.25">
      <c r="A710" s="21">
        <v>705</v>
      </c>
      <c r="B710" s="19" t="s">
        <v>214</v>
      </c>
      <c r="C710" s="41">
        <f t="shared" si="107"/>
        <v>6.0860482014388495</v>
      </c>
      <c r="D710" s="40">
        <v>13900</v>
      </c>
      <c r="E710" s="145">
        <f>SUM('1501 Summary'!AD430)</f>
        <v>84596.07</v>
      </c>
      <c r="F710" s="288"/>
      <c r="G710" s="69"/>
      <c r="H710" s="69"/>
      <c r="I710" s="69"/>
      <c r="J710" s="288"/>
      <c r="K710" s="41">
        <f t="shared" si="102"/>
        <v>6.0860482014388495</v>
      </c>
      <c r="L710" s="38">
        <f t="shared" si="104"/>
        <v>13900</v>
      </c>
      <c r="M710" s="136">
        <f t="shared" si="108"/>
        <v>84596.07</v>
      </c>
      <c r="N710" s="288"/>
      <c r="O710" s="42"/>
      <c r="P710" s="40"/>
      <c r="Q710" s="42"/>
      <c r="R710" s="288"/>
      <c r="S710" s="86"/>
      <c r="T710" s="86"/>
      <c r="U710" s="86"/>
      <c r="V710" s="288"/>
      <c r="W710" s="67"/>
      <c r="X710" s="86"/>
      <c r="Y710" s="86"/>
    </row>
    <row r="711" spans="1:25" x14ac:dyDescent="0.25">
      <c r="A711" s="21">
        <v>706</v>
      </c>
      <c r="B711" s="19" t="s">
        <v>10</v>
      </c>
      <c r="E711" s="84">
        <f>SUM(E703:E710)</f>
        <v>178938.56</v>
      </c>
      <c r="F711" s="288"/>
      <c r="G711" s="69"/>
      <c r="H711" s="69"/>
      <c r="I711" s="69"/>
      <c r="J711" s="288"/>
      <c r="K711" s="41"/>
      <c r="L711" s="46"/>
      <c r="M711" s="135">
        <f>SUM(M703:M710)</f>
        <v>181775.09</v>
      </c>
      <c r="N711" s="288"/>
      <c r="O711" s="42"/>
      <c r="P711" s="42"/>
      <c r="Q711" s="42"/>
      <c r="R711" s="288"/>
      <c r="S711" s="83"/>
      <c r="T711" s="83"/>
      <c r="U711" s="83"/>
      <c r="V711" s="288"/>
      <c r="W711" s="67"/>
      <c r="X711" s="86"/>
      <c r="Y711" s="86"/>
    </row>
    <row r="712" spans="1:25" x14ac:dyDescent="0.25">
      <c r="A712" s="21">
        <v>707</v>
      </c>
      <c r="E712" s="84"/>
      <c r="F712" s="288"/>
      <c r="G712" s="69"/>
      <c r="H712" s="69"/>
      <c r="I712" s="69"/>
      <c r="J712" s="288"/>
      <c r="K712" s="41"/>
      <c r="L712" s="46"/>
      <c r="M712" s="135"/>
      <c r="N712" s="288"/>
      <c r="O712" s="42"/>
      <c r="P712" s="42"/>
      <c r="Q712" s="42"/>
      <c r="R712" s="288"/>
      <c r="V712" s="288"/>
      <c r="W712" s="67"/>
      <c r="X712" s="86"/>
    </row>
    <row r="713" spans="1:25" x14ac:dyDescent="0.25">
      <c r="A713" s="21">
        <v>708</v>
      </c>
      <c r="B713" s="19" t="s">
        <v>12</v>
      </c>
      <c r="E713" s="84"/>
      <c r="F713" s="288"/>
      <c r="G713" s="69"/>
      <c r="H713" s="69"/>
      <c r="I713" s="69"/>
      <c r="J713" s="288"/>
      <c r="K713" s="41"/>
      <c r="L713" s="46"/>
      <c r="M713" s="135"/>
      <c r="N713" s="288"/>
      <c r="O713" s="42"/>
      <c r="P713" s="42"/>
      <c r="Q713" s="42"/>
      <c r="R713" s="288"/>
      <c r="V713" s="288"/>
      <c r="W713" s="67"/>
      <c r="X713" s="86"/>
    </row>
    <row r="714" spans="1:25" x14ac:dyDescent="0.25">
      <c r="A714" s="21">
        <v>709</v>
      </c>
      <c r="B714" s="19" t="s">
        <v>20</v>
      </c>
      <c r="E714" s="84">
        <f>'1501 Summary'!AD431</f>
        <v>7974.6400000000012</v>
      </c>
      <c r="F714" s="288"/>
      <c r="G714" s="69"/>
      <c r="H714" s="69"/>
      <c r="I714" s="69"/>
      <c r="J714" s="288"/>
      <c r="K714" s="41"/>
      <c r="L714" s="46"/>
      <c r="M714" s="135"/>
      <c r="N714" s="288"/>
      <c r="O714" s="42"/>
      <c r="P714" s="42"/>
      <c r="Q714" s="42"/>
      <c r="R714" s="288"/>
      <c r="V714" s="288"/>
      <c r="W714" s="67"/>
      <c r="X714" s="86"/>
    </row>
    <row r="715" spans="1:25" x14ac:dyDescent="0.25">
      <c r="A715" s="21">
        <v>710</v>
      </c>
      <c r="B715" s="19" t="s">
        <v>245</v>
      </c>
      <c r="E715" s="84">
        <f>'1501 Summary'!AD432</f>
        <v>396.99</v>
      </c>
      <c r="F715" s="288"/>
      <c r="G715" s="69"/>
      <c r="H715" s="69"/>
      <c r="I715" s="69"/>
      <c r="J715" s="288"/>
      <c r="K715" s="41"/>
      <c r="L715" s="46"/>
      <c r="M715" s="135"/>
      <c r="N715" s="288"/>
      <c r="O715" s="42"/>
      <c r="P715" s="42"/>
      <c r="Q715" s="42"/>
      <c r="R715" s="288"/>
      <c r="V715" s="288"/>
      <c r="W715" s="67"/>
      <c r="X715" s="86"/>
    </row>
    <row r="716" spans="1:25" x14ac:dyDescent="0.25">
      <c r="A716" s="21">
        <v>711</v>
      </c>
      <c r="B716" s="6" t="s">
        <v>55</v>
      </c>
      <c r="E716" s="84">
        <f>'Rev Recon Summary'!R480</f>
        <v>-186918.77</v>
      </c>
      <c r="F716" s="288"/>
      <c r="G716" s="69"/>
      <c r="H716" s="69"/>
      <c r="I716" s="69"/>
      <c r="J716" s="288"/>
      <c r="K716" s="41"/>
      <c r="L716" s="46"/>
      <c r="M716" s="135"/>
      <c r="N716" s="288"/>
      <c r="O716" s="42"/>
      <c r="P716" s="42"/>
      <c r="Q716" s="42"/>
      <c r="R716" s="288"/>
      <c r="V716" s="288"/>
      <c r="W716" s="67"/>
      <c r="X716" s="86"/>
    </row>
    <row r="717" spans="1:25" x14ac:dyDescent="0.25">
      <c r="A717" s="21">
        <v>712</v>
      </c>
      <c r="B717" s="6" t="s">
        <v>56</v>
      </c>
      <c r="E717" s="84">
        <f>'Rev Recon Summary'!R481</f>
        <v>186989.88999999998</v>
      </c>
      <c r="F717" s="288"/>
      <c r="G717" s="69"/>
      <c r="H717" s="69"/>
      <c r="I717" s="69"/>
      <c r="J717" s="288"/>
      <c r="K717" s="41"/>
      <c r="L717" s="46"/>
      <c r="M717" s="135"/>
      <c r="N717" s="288"/>
      <c r="O717" s="42"/>
      <c r="P717" s="42"/>
      <c r="Q717" s="42"/>
      <c r="R717" s="288"/>
      <c r="V717" s="288"/>
      <c r="W717" s="67"/>
      <c r="X717" s="86"/>
    </row>
    <row r="718" spans="1:25" x14ac:dyDescent="0.25">
      <c r="A718" s="21">
        <v>713</v>
      </c>
      <c r="B718" s="18" t="s">
        <v>93</v>
      </c>
      <c r="E718" s="84">
        <f>SUM(E714:E717)</f>
        <v>8442.75</v>
      </c>
      <c r="F718" s="288"/>
      <c r="G718" s="69"/>
      <c r="H718" s="69"/>
      <c r="I718" s="69"/>
      <c r="J718" s="288"/>
      <c r="K718" s="41"/>
      <c r="L718" s="46"/>
      <c r="M718" s="135"/>
      <c r="N718" s="288"/>
      <c r="O718" s="42"/>
      <c r="P718" s="42"/>
      <c r="Q718" s="42"/>
      <c r="R718" s="288"/>
      <c r="V718" s="288"/>
      <c r="W718" s="67"/>
      <c r="X718" s="86"/>
    </row>
    <row r="719" spans="1:25" x14ac:dyDescent="0.25">
      <c r="A719" s="21">
        <v>714</v>
      </c>
      <c r="B719" s="18"/>
      <c r="E719" s="84"/>
      <c r="K719" s="41"/>
      <c r="L719" s="46"/>
      <c r="M719" s="135"/>
      <c r="O719" s="42"/>
      <c r="P719" s="42"/>
      <c r="Q719" s="42"/>
      <c r="W719" s="67"/>
      <c r="X719" s="86"/>
    </row>
    <row r="720" spans="1:25" x14ac:dyDescent="0.25">
      <c r="A720" s="21">
        <v>715</v>
      </c>
      <c r="B720" s="104" t="s">
        <v>179</v>
      </c>
      <c r="C720" s="71">
        <f>E720-'Rev Recon Summary'!R482</f>
        <v>0</v>
      </c>
      <c r="D720" s="105" t="s">
        <v>45</v>
      </c>
      <c r="E720" s="145">
        <f>SUM(E711,E718)</f>
        <v>187381.31</v>
      </c>
      <c r="F720" s="295"/>
      <c r="G720" s="76"/>
      <c r="H720" s="76"/>
      <c r="I720" s="76"/>
      <c r="J720" s="295"/>
      <c r="K720" s="101"/>
      <c r="L720" s="134"/>
      <c r="M720" s="136"/>
      <c r="N720" s="295"/>
      <c r="O720" s="65"/>
      <c r="P720" s="65"/>
      <c r="Q720" s="65"/>
      <c r="R720" s="295"/>
      <c r="S720" s="105"/>
      <c r="T720" s="105"/>
      <c r="U720" s="105"/>
      <c r="V720" s="295"/>
      <c r="W720" s="85"/>
      <c r="X720" s="88"/>
      <c r="Y720" s="105"/>
    </row>
    <row r="721" spans="1:25" x14ac:dyDescent="0.25">
      <c r="A721" s="21">
        <v>716</v>
      </c>
      <c r="E721" s="84"/>
      <c r="K721" s="41"/>
      <c r="L721" s="46"/>
      <c r="M721" s="135"/>
      <c r="O721" s="42"/>
      <c r="P721" s="42"/>
      <c r="Q721" s="42"/>
      <c r="W721" s="67"/>
      <c r="X721" s="86"/>
    </row>
    <row r="722" spans="1:25" x14ac:dyDescent="0.25">
      <c r="A722" s="21">
        <v>717</v>
      </c>
      <c r="B722" s="30" t="s">
        <v>180</v>
      </c>
      <c r="E722" s="84"/>
      <c r="G722" s="23" t="s">
        <v>456</v>
      </c>
      <c r="K722" s="41"/>
      <c r="L722" s="46"/>
      <c r="M722" s="135"/>
      <c r="O722" s="42"/>
      <c r="P722" s="42"/>
      <c r="Q722" s="42"/>
      <c r="W722" s="67"/>
      <c r="X722" s="86"/>
    </row>
    <row r="723" spans="1:25" x14ac:dyDescent="0.25">
      <c r="A723" s="21">
        <v>718</v>
      </c>
      <c r="B723" s="19" t="s">
        <v>268</v>
      </c>
      <c r="C723" s="41">
        <f>E723/D723</f>
        <v>8</v>
      </c>
      <c r="D723" s="70">
        <v>500</v>
      </c>
      <c r="E723" s="84">
        <f>SUM('1501 Summary'!G439,'1501 Summary'!I439,'1501 Summary'!K439,'1501 Summary'!M439,'1501 Summary'!O439,'1501 Summary'!Q439,'1501 Summary'!S439,'1501 Summary'!U439)</f>
        <v>4000</v>
      </c>
      <c r="F723" s="277"/>
      <c r="G723" s="45">
        <f>-C723</f>
        <v>-8</v>
      </c>
      <c r="H723" s="40">
        <f>D723</f>
        <v>500</v>
      </c>
      <c r="I723" s="40">
        <f>H723*G723</f>
        <v>-4000</v>
      </c>
      <c r="J723" s="277"/>
      <c r="K723" s="41">
        <f t="shared" ref="K723:K731" si="109">C723+G723</f>
        <v>0</v>
      </c>
      <c r="L723" s="67">
        <f t="shared" si="104"/>
        <v>500</v>
      </c>
      <c r="M723" s="135">
        <f>-L723*K723</f>
        <v>0</v>
      </c>
      <c r="N723" s="277"/>
      <c r="O723" s="42"/>
      <c r="P723" s="42"/>
      <c r="Q723" s="42"/>
      <c r="R723" s="277"/>
      <c r="S723" s="67"/>
      <c r="T723" s="67"/>
      <c r="U723" s="67"/>
      <c r="V723" s="277"/>
      <c r="W723" s="67"/>
      <c r="X723" s="86"/>
      <c r="Y723" s="67"/>
    </row>
    <row r="724" spans="1:25" x14ac:dyDescent="0.25">
      <c r="A724" s="21">
        <v>719</v>
      </c>
      <c r="B724" s="19" t="s">
        <v>352</v>
      </c>
      <c r="C724" s="41">
        <f t="shared" ref="C724:C731" si="110">E724/D724</f>
        <v>1</v>
      </c>
      <c r="D724" s="70">
        <v>625</v>
      </c>
      <c r="E724" s="84">
        <f>SUM('1501 Summary'!W439)</f>
        <v>625</v>
      </c>
      <c r="F724" s="277"/>
      <c r="G724" s="45">
        <f t="shared" ref="G724:G731" si="111">-C724</f>
        <v>-1</v>
      </c>
      <c r="H724" s="40">
        <f t="shared" ref="H724:H731" si="112">D724</f>
        <v>625</v>
      </c>
      <c r="I724" s="40">
        <f t="shared" ref="I724:I731" si="113">H724*G724</f>
        <v>-625</v>
      </c>
      <c r="J724" s="277"/>
      <c r="K724" s="41">
        <f t="shared" si="109"/>
        <v>0</v>
      </c>
      <c r="L724" s="67">
        <f t="shared" si="104"/>
        <v>625</v>
      </c>
      <c r="M724" s="135">
        <f>-L724*K724</f>
        <v>0</v>
      </c>
      <c r="N724" s="277"/>
      <c r="O724" s="42"/>
      <c r="P724" s="42"/>
      <c r="Q724" s="42"/>
      <c r="R724" s="277"/>
      <c r="S724" s="67"/>
      <c r="T724" s="67"/>
      <c r="U724" s="67"/>
      <c r="V724" s="277"/>
      <c r="W724" s="67"/>
      <c r="X724" s="86"/>
      <c r="Y724" s="67"/>
    </row>
    <row r="725" spans="1:25" x14ac:dyDescent="0.25">
      <c r="A725" s="21">
        <v>720</v>
      </c>
      <c r="B725" s="19" t="s">
        <v>248</v>
      </c>
      <c r="C725" s="41">
        <f t="shared" si="110"/>
        <v>9</v>
      </c>
      <c r="D725" s="70">
        <v>60000</v>
      </c>
      <c r="E725" s="84">
        <f>'1501 Summary'!AD440</f>
        <v>540000</v>
      </c>
      <c r="F725" s="277"/>
      <c r="G725" s="45">
        <f t="shared" si="111"/>
        <v>-9</v>
      </c>
      <c r="H725" s="40">
        <f t="shared" si="112"/>
        <v>60000</v>
      </c>
      <c r="I725" s="40">
        <f t="shared" si="113"/>
        <v>-540000</v>
      </c>
      <c r="J725" s="277"/>
      <c r="K725" s="41">
        <f t="shared" si="109"/>
        <v>0</v>
      </c>
      <c r="L725" s="38">
        <f t="shared" si="104"/>
        <v>60000</v>
      </c>
      <c r="M725" s="135">
        <f t="shared" ref="M725:M731" si="114">-L725*K725</f>
        <v>0</v>
      </c>
      <c r="N725" s="277"/>
      <c r="O725" s="42"/>
      <c r="P725" s="42"/>
      <c r="Q725" s="42"/>
      <c r="R725" s="277"/>
      <c r="S725" s="67"/>
      <c r="T725" s="67"/>
      <c r="U725" s="67"/>
      <c r="V725" s="277"/>
      <c r="W725" s="67"/>
      <c r="X725" s="86"/>
      <c r="Y725" s="67"/>
    </row>
    <row r="726" spans="1:25" x14ac:dyDescent="0.25">
      <c r="A726" s="21">
        <v>721</v>
      </c>
      <c r="B726" s="19" t="s">
        <v>190</v>
      </c>
      <c r="C726" s="41">
        <f t="shared" si="110"/>
        <v>9</v>
      </c>
      <c r="D726" s="61">
        <v>20872.5</v>
      </c>
      <c r="E726" s="84">
        <f>'1501 Summary'!AD441</f>
        <v>187852.5</v>
      </c>
      <c r="F726" s="277"/>
      <c r="G726" s="45">
        <f t="shared" si="111"/>
        <v>-9</v>
      </c>
      <c r="H726" s="40">
        <f t="shared" si="112"/>
        <v>20872.5</v>
      </c>
      <c r="I726" s="40">
        <f t="shared" si="113"/>
        <v>-187852.5</v>
      </c>
      <c r="J726" s="277"/>
      <c r="K726" s="41">
        <f t="shared" si="109"/>
        <v>0</v>
      </c>
      <c r="L726" s="38">
        <f t="shared" si="104"/>
        <v>20872.5</v>
      </c>
      <c r="M726" s="135">
        <f t="shared" si="114"/>
        <v>0</v>
      </c>
      <c r="N726" s="277"/>
      <c r="O726" s="42"/>
      <c r="P726" s="42"/>
      <c r="Q726" s="42"/>
      <c r="R726" s="277"/>
      <c r="S726" s="67"/>
      <c r="T726" s="67"/>
      <c r="U726" s="67"/>
      <c r="V726" s="277"/>
      <c r="W726" s="67"/>
      <c r="X726" s="86"/>
      <c r="Y726" s="67"/>
    </row>
    <row r="727" spans="1:25" x14ac:dyDescent="0.25">
      <c r="A727" s="21">
        <v>722</v>
      </c>
      <c r="B727" s="19" t="s">
        <v>192</v>
      </c>
      <c r="C727" s="41">
        <f t="shared" si="110"/>
        <v>71011900</v>
      </c>
      <c r="D727" s="257">
        <v>4.0000000000000002E-4</v>
      </c>
      <c r="E727" s="84">
        <f>'1501 Summary'!AD442</f>
        <v>28404.76</v>
      </c>
      <c r="F727" s="277"/>
      <c r="G727" s="45">
        <f t="shared" si="111"/>
        <v>-71011900</v>
      </c>
      <c r="H727" s="297">
        <f t="shared" si="112"/>
        <v>4.0000000000000002E-4</v>
      </c>
      <c r="I727" s="40">
        <f t="shared" si="113"/>
        <v>-28404.760000000002</v>
      </c>
      <c r="J727" s="277"/>
      <c r="K727" s="41">
        <f t="shared" si="109"/>
        <v>0</v>
      </c>
      <c r="L727" s="46">
        <f t="shared" si="104"/>
        <v>4.0000000000000002E-4</v>
      </c>
      <c r="M727" s="135">
        <f t="shared" si="114"/>
        <v>0</v>
      </c>
      <c r="N727" s="277"/>
      <c r="O727" s="42"/>
      <c r="P727" s="42"/>
      <c r="Q727" s="42"/>
      <c r="R727" s="277"/>
      <c r="S727" s="67"/>
      <c r="T727" s="67"/>
      <c r="U727" s="67"/>
      <c r="V727" s="277"/>
      <c r="W727" s="67"/>
      <c r="X727" s="86"/>
      <c r="Y727" s="67"/>
    </row>
    <row r="728" spans="1:25" x14ac:dyDescent="0.25">
      <c r="A728" s="21">
        <v>723</v>
      </c>
      <c r="B728" s="19" t="s">
        <v>353</v>
      </c>
      <c r="C728" s="41">
        <f t="shared" si="110"/>
        <v>893036.6492146597</v>
      </c>
      <c r="D728" s="269">
        <v>5.7299999999999997E-2</v>
      </c>
      <c r="E728" s="84">
        <f>'1501 Summary'!AD443</f>
        <v>51171</v>
      </c>
      <c r="F728" s="277"/>
      <c r="G728" s="45">
        <f t="shared" si="111"/>
        <v>-893036.6492146597</v>
      </c>
      <c r="H728" s="297">
        <f t="shared" si="112"/>
        <v>5.7299999999999997E-2</v>
      </c>
      <c r="I728" s="40">
        <f t="shared" si="113"/>
        <v>-51171</v>
      </c>
      <c r="J728" s="277"/>
      <c r="K728" s="41">
        <f t="shared" si="109"/>
        <v>0</v>
      </c>
      <c r="L728" s="46">
        <f t="shared" si="104"/>
        <v>5.7299999999999997E-2</v>
      </c>
      <c r="M728" s="135">
        <f t="shared" si="114"/>
        <v>0</v>
      </c>
      <c r="N728" s="277"/>
      <c r="O728" s="42"/>
      <c r="P728" s="42"/>
      <c r="Q728" s="42"/>
      <c r="R728" s="277"/>
      <c r="S728" s="67"/>
      <c r="T728" s="67"/>
      <c r="U728" s="67"/>
      <c r="V728" s="277"/>
      <c r="W728" s="67"/>
      <c r="X728" s="86"/>
      <c r="Y728" s="67"/>
    </row>
    <row r="729" spans="1:25" x14ac:dyDescent="0.25">
      <c r="A729" s="21">
        <v>724</v>
      </c>
      <c r="B729" s="19" t="s">
        <v>354</v>
      </c>
      <c r="C729" s="41">
        <f t="shared" si="110"/>
        <v>1792288.6801779533</v>
      </c>
      <c r="D729" s="269">
        <v>2.0230000000000001E-2</v>
      </c>
      <c r="E729" s="84">
        <f>'1501 Summary'!AD444</f>
        <v>36258</v>
      </c>
      <c r="F729" s="277"/>
      <c r="G729" s="45">
        <f t="shared" si="111"/>
        <v>-1792288.6801779533</v>
      </c>
      <c r="H729" s="297">
        <f t="shared" si="112"/>
        <v>2.0230000000000001E-2</v>
      </c>
      <c r="I729" s="40">
        <f t="shared" si="113"/>
        <v>-36258</v>
      </c>
      <c r="J729" s="277"/>
      <c r="K729" s="41">
        <f t="shared" si="109"/>
        <v>0</v>
      </c>
      <c r="L729" s="46">
        <f t="shared" si="104"/>
        <v>2.0230000000000001E-2</v>
      </c>
      <c r="M729" s="135">
        <f t="shared" si="114"/>
        <v>0</v>
      </c>
      <c r="N729" s="277"/>
      <c r="O729" s="42"/>
      <c r="P729" s="42"/>
      <c r="Q729" s="42"/>
      <c r="R729" s="277"/>
      <c r="S729" s="67"/>
      <c r="T729" s="67"/>
      <c r="U729" s="67"/>
      <c r="V729" s="277"/>
      <c r="W729" s="67"/>
      <c r="X729" s="86"/>
      <c r="Y729" s="67"/>
    </row>
    <row r="730" spans="1:25" x14ac:dyDescent="0.25">
      <c r="A730" s="21">
        <v>725</v>
      </c>
      <c r="B730" s="19" t="s">
        <v>354</v>
      </c>
      <c r="C730" s="41">
        <f t="shared" si="110"/>
        <v>1799157.5400168491</v>
      </c>
      <c r="D730" s="269">
        <v>1.187E-2</v>
      </c>
      <c r="E730" s="84">
        <f>'1501 Summary'!AD445</f>
        <v>21356</v>
      </c>
      <c r="F730" s="277"/>
      <c r="G730" s="45">
        <f t="shared" si="111"/>
        <v>-1799157.5400168491</v>
      </c>
      <c r="H730" s="297">
        <f t="shared" si="112"/>
        <v>1.187E-2</v>
      </c>
      <c r="I730" s="40">
        <f t="shared" si="113"/>
        <v>-21356</v>
      </c>
      <c r="J730" s="277"/>
      <c r="K730" s="41">
        <f t="shared" si="109"/>
        <v>0</v>
      </c>
      <c r="L730" s="46">
        <f t="shared" si="104"/>
        <v>1.187E-2</v>
      </c>
      <c r="M730" s="135">
        <f t="shared" si="114"/>
        <v>0</v>
      </c>
      <c r="N730" s="277"/>
      <c r="O730" s="42"/>
      <c r="P730" s="42"/>
      <c r="Q730" s="42"/>
      <c r="R730" s="277"/>
      <c r="S730" s="67"/>
      <c r="T730" s="67"/>
      <c r="U730" s="67"/>
      <c r="V730" s="277"/>
      <c r="W730" s="67"/>
      <c r="X730" s="86"/>
      <c r="Y730" s="67"/>
    </row>
    <row r="731" spans="1:25" x14ac:dyDescent="0.25">
      <c r="A731" s="21">
        <v>726</v>
      </c>
      <c r="B731" s="77" t="s">
        <v>355</v>
      </c>
      <c r="C731" s="41">
        <f t="shared" si="110"/>
        <v>67988706.692913383</v>
      </c>
      <c r="D731" s="269">
        <v>5.0800000000000003E-3</v>
      </c>
      <c r="E731" s="145">
        <f>'1501 Summary'!AD446</f>
        <v>345382.63</v>
      </c>
      <c r="F731" s="277"/>
      <c r="G731" s="45">
        <f t="shared" si="111"/>
        <v>-67988706.692913383</v>
      </c>
      <c r="H731" s="297">
        <f t="shared" si="112"/>
        <v>5.0800000000000003E-3</v>
      </c>
      <c r="I731" s="78">
        <f t="shared" si="113"/>
        <v>-345382.63</v>
      </c>
      <c r="J731" s="277"/>
      <c r="K731" s="41">
        <f t="shared" si="109"/>
        <v>0</v>
      </c>
      <c r="L731" s="46">
        <f t="shared" si="104"/>
        <v>5.0800000000000003E-3</v>
      </c>
      <c r="M731" s="135">
        <f t="shared" si="114"/>
        <v>0</v>
      </c>
      <c r="N731" s="277"/>
      <c r="O731" s="42"/>
      <c r="P731" s="42"/>
      <c r="Q731" s="42"/>
      <c r="R731" s="277"/>
      <c r="S731" s="67"/>
      <c r="T731" s="67"/>
      <c r="U731" s="67"/>
      <c r="V731" s="277"/>
      <c r="W731" s="67"/>
      <c r="X731" s="86"/>
      <c r="Y731" s="67"/>
    </row>
    <row r="732" spans="1:25" x14ac:dyDescent="0.25">
      <c r="A732" s="21">
        <v>727</v>
      </c>
      <c r="B732" s="19" t="s">
        <v>10</v>
      </c>
      <c r="E732" s="84">
        <f>SUM(E723:E731)</f>
        <v>1215049.8900000001</v>
      </c>
      <c r="F732" s="277"/>
      <c r="G732" s="40"/>
      <c r="H732" s="40"/>
      <c r="I732" s="40">
        <f>SUM(I723:I731)</f>
        <v>-1215049.8900000001</v>
      </c>
      <c r="J732" s="277"/>
      <c r="K732" s="41"/>
      <c r="L732" s="46"/>
      <c r="M732" s="135">
        <f>SUM(M723:M731)</f>
        <v>0</v>
      </c>
      <c r="N732" s="277"/>
      <c r="O732" s="40"/>
      <c r="P732" s="40"/>
      <c r="Q732" s="42"/>
      <c r="R732" s="277"/>
      <c r="S732" s="67"/>
      <c r="T732" s="67"/>
      <c r="U732" s="67"/>
      <c r="V732" s="277"/>
      <c r="W732" s="67"/>
      <c r="X732" s="86"/>
      <c r="Y732" s="67"/>
    </row>
    <row r="733" spans="1:25" x14ac:dyDescent="0.25">
      <c r="A733" s="21">
        <v>728</v>
      </c>
      <c r="K733" s="41" t="s">
        <v>458</v>
      </c>
      <c r="L733" s="46"/>
      <c r="Q733" s="42"/>
      <c r="W733" s="67"/>
      <c r="X733" s="86"/>
    </row>
    <row r="734" spans="1:25" x14ac:dyDescent="0.25">
      <c r="A734" s="21">
        <v>729</v>
      </c>
      <c r="B734" s="19" t="s">
        <v>12</v>
      </c>
      <c r="E734" s="40"/>
      <c r="F734" s="277"/>
      <c r="G734" s="40"/>
      <c r="H734" s="40"/>
      <c r="I734" s="40"/>
      <c r="J734" s="277"/>
      <c r="K734" s="41">
        <v>520000</v>
      </c>
      <c r="L734" s="41">
        <v>8</v>
      </c>
      <c r="M734" s="41">
        <f>K734*L734</f>
        <v>4160000</v>
      </c>
      <c r="N734" s="277"/>
      <c r="O734" s="40"/>
      <c r="P734" s="40"/>
      <c r="Q734" s="42"/>
      <c r="R734" s="277"/>
      <c r="V734" s="277"/>
      <c r="W734" s="67"/>
      <c r="X734" s="86"/>
    </row>
    <row r="735" spans="1:25" x14ac:dyDescent="0.25">
      <c r="A735" s="21">
        <v>730</v>
      </c>
      <c r="B735" s="19" t="s">
        <v>224</v>
      </c>
      <c r="E735" s="135">
        <f>'1501 Summary'!AD447</f>
        <v>-8203.9500000000007</v>
      </c>
      <c r="F735" s="277"/>
      <c r="G735" s="40"/>
      <c r="H735" s="40"/>
      <c r="I735" s="40"/>
      <c r="J735" s="277"/>
      <c r="K735" s="298" t="s">
        <v>463</v>
      </c>
      <c r="L735" s="46"/>
      <c r="M735" s="40"/>
      <c r="N735" s="277"/>
      <c r="O735" s="40"/>
      <c r="P735" s="40"/>
      <c r="Q735" s="42"/>
      <c r="R735" s="277"/>
      <c r="V735" s="277"/>
      <c r="W735" s="67"/>
      <c r="X735" s="19"/>
    </row>
    <row r="736" spans="1:25" x14ac:dyDescent="0.25">
      <c r="A736" s="21">
        <v>731</v>
      </c>
      <c r="B736" s="19" t="s">
        <v>225</v>
      </c>
      <c r="E736" s="135">
        <f>'1501 Summary'!AD448</f>
        <v>-3886.08</v>
      </c>
      <c r="F736" s="277"/>
      <c r="G736" s="40"/>
      <c r="H736" s="40"/>
      <c r="I736" s="40"/>
      <c r="J736" s="277"/>
      <c r="K736" s="41"/>
      <c r="L736" s="46"/>
      <c r="M736" s="40"/>
      <c r="N736" s="277"/>
      <c r="O736" s="40"/>
      <c r="P736" s="40"/>
      <c r="Q736" s="42"/>
      <c r="R736" s="277"/>
      <c r="V736" s="277"/>
      <c r="W736" s="67"/>
      <c r="X736" s="19"/>
    </row>
    <row r="737" spans="1:25" x14ac:dyDescent="0.25">
      <c r="A737" s="21">
        <v>732</v>
      </c>
      <c r="B737" s="19" t="s">
        <v>226</v>
      </c>
      <c r="E737" s="135">
        <f>'1501 Summary'!AD449</f>
        <v>-7772.17</v>
      </c>
      <c r="F737" s="277"/>
      <c r="G737" s="40"/>
      <c r="H737" s="40"/>
      <c r="I737" s="40"/>
      <c r="J737" s="277"/>
      <c r="K737" s="41"/>
      <c r="L737" s="46"/>
      <c r="M737" s="40"/>
      <c r="N737" s="277"/>
      <c r="O737" s="40"/>
      <c r="P737" s="40"/>
      <c r="Q737" s="42"/>
      <c r="R737" s="277"/>
      <c r="V737" s="277"/>
      <c r="W737" s="67"/>
      <c r="X737" s="19"/>
    </row>
    <row r="738" spans="1:25" x14ac:dyDescent="0.25">
      <c r="A738" s="21">
        <v>733</v>
      </c>
      <c r="B738" s="19" t="s">
        <v>139</v>
      </c>
      <c r="E738" s="135">
        <f>'1501 Summary'!AD450</f>
        <v>19173.199999999997</v>
      </c>
      <c r="F738" s="277"/>
      <c r="G738" s="40"/>
      <c r="H738" s="40"/>
      <c r="I738" s="40"/>
      <c r="J738" s="277"/>
      <c r="K738" s="41"/>
      <c r="L738" s="46"/>
      <c r="M738" s="40"/>
      <c r="N738" s="277"/>
      <c r="O738" s="40"/>
      <c r="P738" s="40"/>
      <c r="Q738" s="42"/>
      <c r="R738" s="277"/>
      <c r="V738" s="277"/>
      <c r="W738" s="67"/>
      <c r="X738" s="19"/>
    </row>
    <row r="739" spans="1:25" x14ac:dyDescent="0.25">
      <c r="A739" s="21">
        <v>734</v>
      </c>
      <c r="B739" s="19" t="s">
        <v>140</v>
      </c>
      <c r="E739" s="135">
        <f>'1501 Summary'!AD451</f>
        <v>109580.54000000001</v>
      </c>
      <c r="F739" s="277"/>
      <c r="G739" s="40"/>
      <c r="H739" s="40"/>
      <c r="I739" s="40"/>
      <c r="J739" s="277"/>
      <c r="K739" s="41"/>
      <c r="L739" s="46"/>
      <c r="M739" s="40"/>
      <c r="N739" s="277"/>
      <c r="O739" s="40"/>
      <c r="P739" s="40"/>
      <c r="Q739" s="42"/>
      <c r="R739" s="277"/>
      <c r="V739" s="277"/>
      <c r="W739" s="67"/>
      <c r="X739" s="19"/>
    </row>
    <row r="740" spans="1:25" x14ac:dyDescent="0.25">
      <c r="A740" s="21">
        <v>735</v>
      </c>
      <c r="B740" s="18" t="s">
        <v>20</v>
      </c>
      <c r="E740" s="135">
        <f>'1501 Summary'!AD452</f>
        <v>54233.34</v>
      </c>
      <c r="F740" s="277"/>
      <c r="G740" s="40"/>
      <c r="H740" s="40"/>
      <c r="I740" s="40"/>
      <c r="J740" s="277"/>
      <c r="K740" s="41"/>
      <c r="L740" s="46"/>
      <c r="M740" s="40"/>
      <c r="N740" s="277"/>
      <c r="O740" s="40"/>
      <c r="P740" s="40"/>
      <c r="Q740" s="42"/>
      <c r="R740" s="277"/>
      <c r="V740" s="277"/>
      <c r="W740" s="67"/>
      <c r="X740" s="18"/>
    </row>
    <row r="741" spans="1:25" x14ac:dyDescent="0.25">
      <c r="A741" s="21">
        <v>736</v>
      </c>
      <c r="B741" s="18" t="s">
        <v>216</v>
      </c>
      <c r="E741" s="135">
        <f>'1501 Summary'!AD453</f>
        <v>540</v>
      </c>
      <c r="F741" s="277"/>
      <c r="G741" s="40"/>
      <c r="H741" s="40"/>
      <c r="I741" s="40"/>
      <c r="J741" s="277"/>
      <c r="K741" s="41"/>
      <c r="L741" s="46"/>
      <c r="M741" s="40"/>
      <c r="N741" s="277"/>
      <c r="O741" s="40"/>
      <c r="P741" s="40"/>
      <c r="Q741" s="42"/>
      <c r="R741" s="277"/>
      <c r="V741" s="277"/>
      <c r="W741" s="67"/>
      <c r="X741" s="18"/>
    </row>
    <row r="742" spans="1:25" x14ac:dyDescent="0.25">
      <c r="A742" s="21">
        <v>737</v>
      </c>
      <c r="B742" s="6" t="s">
        <v>13</v>
      </c>
      <c r="E742" s="135">
        <f>'Rev Recon Summary'!R499</f>
        <v>0</v>
      </c>
      <c r="F742" s="278"/>
      <c r="G742" s="56"/>
      <c r="H742" s="56"/>
      <c r="I742" s="56"/>
      <c r="J742" s="278"/>
      <c r="K742" s="41"/>
      <c r="L742" s="46"/>
      <c r="M742" s="56"/>
      <c r="N742" s="278"/>
      <c r="O742" s="56"/>
      <c r="P742" s="56"/>
      <c r="Q742" s="42"/>
      <c r="R742" s="278"/>
      <c r="V742" s="278"/>
      <c r="W742" s="67"/>
    </row>
    <row r="743" spans="1:25" x14ac:dyDescent="0.25">
      <c r="A743" s="21">
        <v>738</v>
      </c>
      <c r="B743" s="6" t="s">
        <v>55</v>
      </c>
      <c r="E743" s="135">
        <f>'Rev Recon Summary'!R500</f>
        <v>-1359608.7999999998</v>
      </c>
      <c r="F743" s="278"/>
      <c r="G743" s="56"/>
      <c r="H743" s="56"/>
      <c r="I743" s="56"/>
      <c r="J743" s="278"/>
      <c r="K743" s="41"/>
      <c r="L743" s="46"/>
      <c r="M743" s="56"/>
      <c r="N743" s="278"/>
      <c r="O743" s="56"/>
      <c r="P743" s="56"/>
      <c r="Q743" s="42"/>
      <c r="R743" s="278"/>
      <c r="V743" s="278"/>
      <c r="W743" s="67"/>
    </row>
    <row r="744" spans="1:25" x14ac:dyDescent="0.25">
      <c r="A744" s="21">
        <v>739</v>
      </c>
      <c r="B744" s="6" t="s">
        <v>56</v>
      </c>
      <c r="E744" s="136">
        <f>'Rev Recon Summary'!R501</f>
        <v>1197187.1000000001</v>
      </c>
      <c r="F744" s="278"/>
      <c r="G744" s="56"/>
      <c r="H744" s="56"/>
      <c r="I744" s="56"/>
      <c r="J744" s="278"/>
      <c r="K744" s="41"/>
      <c r="L744" s="46"/>
      <c r="M744" s="56"/>
      <c r="N744" s="278"/>
      <c r="O744" s="56"/>
      <c r="P744" s="56"/>
      <c r="Q744" s="42"/>
      <c r="R744" s="278"/>
      <c r="V744" s="278"/>
      <c r="W744" s="67"/>
    </row>
    <row r="745" spans="1:25" x14ac:dyDescent="0.25">
      <c r="A745" s="21">
        <v>740</v>
      </c>
      <c r="B745" s="18" t="s">
        <v>93</v>
      </c>
      <c r="E745" s="135">
        <f>SUM(E735:E744)</f>
        <v>1243.1800000001676</v>
      </c>
      <c r="F745" s="277"/>
      <c r="G745" s="40"/>
      <c r="H745" s="40"/>
      <c r="I745" s="40"/>
      <c r="J745" s="277"/>
      <c r="K745" s="41"/>
      <c r="L745" s="46"/>
      <c r="M745" s="40"/>
      <c r="N745" s="277"/>
      <c r="O745" s="40"/>
      <c r="P745" s="40"/>
      <c r="Q745" s="42"/>
      <c r="R745" s="277"/>
      <c r="V745" s="277"/>
      <c r="W745" s="67"/>
    </row>
    <row r="746" spans="1:25" x14ac:dyDescent="0.25">
      <c r="A746" s="21">
        <v>741</v>
      </c>
      <c r="B746" s="18"/>
      <c r="E746" s="135"/>
      <c r="K746" s="41"/>
      <c r="L746" s="46"/>
      <c r="Q746" s="42"/>
      <c r="W746" s="67"/>
    </row>
    <row r="747" spans="1:25" x14ac:dyDescent="0.25">
      <c r="A747" s="21">
        <v>742</v>
      </c>
      <c r="B747" s="104" t="s">
        <v>181</v>
      </c>
      <c r="C747" s="78">
        <f>E747-'Rev Recon Summary'!R502</f>
        <v>0</v>
      </c>
      <c r="D747" s="105" t="s">
        <v>45</v>
      </c>
      <c r="E747" s="136">
        <f>SUM(E732,E745)</f>
        <v>1216293.0700000003</v>
      </c>
      <c r="F747" s="290"/>
      <c r="G747" s="78"/>
      <c r="H747" s="78"/>
      <c r="I747" s="78"/>
      <c r="J747" s="290"/>
      <c r="K747" s="101"/>
      <c r="L747" s="134"/>
      <c r="M747" s="78"/>
      <c r="N747" s="290"/>
      <c r="O747" s="78"/>
      <c r="P747" s="78"/>
      <c r="Q747" s="65"/>
      <c r="R747" s="290"/>
      <c r="S747" s="105"/>
      <c r="T747" s="105"/>
      <c r="U747" s="105"/>
      <c r="V747" s="290"/>
      <c r="W747" s="78"/>
      <c r="X747" s="78"/>
      <c r="Y747" s="105"/>
    </row>
    <row r="748" spans="1:25" x14ac:dyDescent="0.25">
      <c r="A748" s="21">
        <v>743</v>
      </c>
      <c r="E748" s="135"/>
      <c r="K748" s="41"/>
      <c r="L748" s="46"/>
      <c r="Q748" s="42"/>
      <c r="S748" s="66" t="s">
        <v>469</v>
      </c>
      <c r="U748" s="83">
        <f>SUM(U358,U283,U157,U119,U76,U39)</f>
        <v>3665082.1399548231</v>
      </c>
    </row>
    <row r="749" spans="1:25" x14ac:dyDescent="0.25">
      <c r="A749" s="21">
        <v>744</v>
      </c>
      <c r="E749" s="135"/>
      <c r="K749" s="41"/>
      <c r="L749" s="46"/>
      <c r="Q749" s="42"/>
      <c r="S749" s="66" t="s">
        <v>468</v>
      </c>
      <c r="U749" s="42">
        <f>-SUM(E17,E48,E85,E125,E163,E196,E228,E256,E289,E324,E365,E401,E552,E587,E617)</f>
        <v>-2980735.8000000003</v>
      </c>
    </row>
    <row r="750" spans="1:25" x14ac:dyDescent="0.25">
      <c r="A750" s="21">
        <v>745</v>
      </c>
      <c r="B750" s="237" t="s">
        <v>356</v>
      </c>
      <c r="C750" s="36"/>
      <c r="D750" s="36"/>
      <c r="E750" s="482">
        <f>SUM(E732,E711,E690,E671,E647,E610,E580,E545,E525,E501,E477,E453,E429,E397,E358,E318,E283,E250,E222,E191,E157,E119,E77,E40,E11)</f>
        <v>93428701.320000008</v>
      </c>
      <c r="F750" s="296"/>
      <c r="G750" s="238"/>
      <c r="H750" s="238"/>
      <c r="I750" s="238"/>
      <c r="J750" s="296"/>
      <c r="K750" s="239"/>
      <c r="L750" s="238"/>
      <c r="M750" s="482">
        <f>SUM(M732,M711,M690,M671,M647,M610,M580,M545,M525,M501,M477,M453,M429,M397,M358,M318,M283,M250,M221,M191,M157,M119,M82,M45,M10)</f>
        <v>95624401.21853523</v>
      </c>
      <c r="N750" s="238">
        <f t="shared" ref="N750:R750" si="115">SUM(N732,N711,N690,N671,N647,N610,N580,N545,N525,N501,N477,N453,N429,N397,N358,N318,N283,N250,N221,N191,N157,N119,N82,N45,N10)</f>
        <v>0</v>
      </c>
      <c r="O750" s="238"/>
      <c r="P750" s="238" t="s">
        <v>730</v>
      </c>
      <c r="Q750" s="482">
        <f>SUM(Q732,Q711,Q690,Q671,Q647,Q610,Q580,Q545,Q525,Q501,Q477,Q453,Q429,Q397,Q358,Q318,Q283,Q250,Q221,Q191,Q157,Q119,Q82,Q45,Q10)</f>
        <v>678910.41053627897</v>
      </c>
      <c r="R750" s="238">
        <f t="shared" si="115"/>
        <v>0</v>
      </c>
      <c r="S750" s="325" t="s">
        <v>519</v>
      </c>
      <c r="T750" s="36"/>
      <c r="U750" s="326">
        <f>SUM(U748:U749)</f>
        <v>684346.33995482279</v>
      </c>
      <c r="V750" s="296"/>
      <c r="Y750" s="140">
        <f>SUM(Y358,Y283,Y157,Y119,Y82,Y45)</f>
        <v>12708529</v>
      </c>
    </row>
    <row r="751" spans="1:25" x14ac:dyDescent="0.25">
      <c r="A751" s="21">
        <v>746</v>
      </c>
      <c r="B751" s="31" t="s">
        <v>357</v>
      </c>
      <c r="E751" s="135">
        <f>SUM(E747,E720,E699,E681,E656,E632,E593,E563,E534,E510,E486,E462,E438,E414,E387,E340,E308,E274,E241,E215,E184,E146,E107,E68,E32)</f>
        <v>225972125.45999998</v>
      </c>
      <c r="F751" s="277"/>
      <c r="G751" s="40"/>
      <c r="H751" s="40"/>
      <c r="I751" s="40"/>
      <c r="J751" s="277"/>
      <c r="K751" s="41"/>
      <c r="L751" s="40"/>
      <c r="M751" s="40"/>
      <c r="N751" s="277"/>
      <c r="O751" s="40"/>
      <c r="P751" s="40"/>
      <c r="Q751" s="42"/>
      <c r="R751" s="277"/>
      <c r="V751" s="277"/>
    </row>
    <row r="752" spans="1:25" x14ac:dyDescent="0.25">
      <c r="A752" s="21">
        <v>747</v>
      </c>
      <c r="E752" s="135"/>
      <c r="K752" s="298" t="s">
        <v>459</v>
      </c>
      <c r="M752" s="135">
        <f>-E750</f>
        <v>-93428701.320000008</v>
      </c>
      <c r="Q752" s="42"/>
    </row>
    <row r="753" spans="1:22" x14ac:dyDescent="0.25">
      <c r="A753" s="21">
        <v>748</v>
      </c>
      <c r="B753" s="31" t="s">
        <v>66</v>
      </c>
      <c r="E753" s="135">
        <f>'Allocation Report Summary'!P12</f>
        <v>778716.70000000007</v>
      </c>
      <c r="F753" s="278"/>
      <c r="G753" s="56"/>
      <c r="H753" s="56"/>
      <c r="I753" s="56"/>
      <c r="J753" s="278"/>
      <c r="K753" s="66" t="s">
        <v>460</v>
      </c>
      <c r="L753" s="56"/>
      <c r="M753" s="135">
        <f>-SUM(E407,E379,E332,E300,E266,E236,E207,E178,E141,E101,E63,E26)</f>
        <v>-1044211.1199999999</v>
      </c>
      <c r="N753" s="278"/>
      <c r="O753" s="56"/>
      <c r="P753" s="56"/>
      <c r="Q753" s="42"/>
      <c r="R753" s="278"/>
      <c r="V753" s="278"/>
    </row>
    <row r="754" spans="1:22" x14ac:dyDescent="0.25">
      <c r="A754" s="21">
        <v>749</v>
      </c>
      <c r="B754" s="31" t="s">
        <v>70</v>
      </c>
      <c r="E754" s="135">
        <f>'Allocation Report Summary'!P14</f>
        <v>100</v>
      </c>
      <c r="F754" s="278"/>
      <c r="G754" s="56"/>
      <c r="H754" s="56"/>
      <c r="I754" s="56"/>
      <c r="J754" s="278"/>
      <c r="K754" t="s">
        <v>466</v>
      </c>
      <c r="L754" s="56"/>
      <c r="M754" s="136">
        <f>-WACAP2018!AK151</f>
        <v>1582282.8800000013</v>
      </c>
      <c r="N754" s="278"/>
      <c r="O754" s="56"/>
      <c r="P754" s="56"/>
      <c r="Q754" s="42"/>
      <c r="R754" s="278"/>
      <c r="V754" s="278"/>
    </row>
    <row r="755" spans="1:22" x14ac:dyDescent="0.25">
      <c r="A755" s="21">
        <v>750</v>
      </c>
      <c r="B755" s="31" t="s">
        <v>72</v>
      </c>
      <c r="E755" s="135">
        <f>'Allocation Report Summary'!P15</f>
        <v>85562.520000000019</v>
      </c>
      <c r="F755" s="278"/>
      <c r="G755" s="56"/>
      <c r="H755" s="56"/>
      <c r="I755" s="56"/>
      <c r="J755" s="278"/>
      <c r="K755" s="66" t="s">
        <v>467</v>
      </c>
      <c r="L755" s="56"/>
      <c r="M755" s="474">
        <f>SUM(M750:M754)</f>
        <v>2733771.6585352235</v>
      </c>
      <c r="N755" s="278"/>
      <c r="O755" s="56"/>
      <c r="P755" s="56"/>
      <c r="Q755" s="42"/>
      <c r="R755" s="278"/>
      <c r="V755" s="278"/>
    </row>
    <row r="756" spans="1:22" x14ac:dyDescent="0.25">
      <c r="A756" s="21">
        <v>751</v>
      </c>
      <c r="B756" s="31" t="s">
        <v>74</v>
      </c>
      <c r="E756" s="135">
        <f>'Allocation Report Summary'!P16</f>
        <v>72861.310000000012</v>
      </c>
      <c r="F756" s="278"/>
      <c r="G756" s="56"/>
      <c r="H756" s="56"/>
      <c r="I756" s="56"/>
      <c r="J756" s="278"/>
      <c r="K756" s="298"/>
      <c r="L756" s="56"/>
      <c r="M756" s="56"/>
      <c r="N756" s="278"/>
      <c r="O756" s="56"/>
      <c r="P756" s="56"/>
      <c r="Q756" s="42"/>
      <c r="R756" s="278"/>
      <c r="V756" s="278"/>
    </row>
    <row r="757" spans="1:22" x14ac:dyDescent="0.25">
      <c r="A757" s="21">
        <v>752</v>
      </c>
      <c r="B757" s="31" t="s">
        <v>359</v>
      </c>
      <c r="E757" s="135">
        <f>'Allocation Report Summary'!P18</f>
        <v>-2424725.08</v>
      </c>
      <c r="F757" s="278"/>
      <c r="G757" s="56"/>
      <c r="H757" s="56"/>
      <c r="I757" s="56"/>
      <c r="J757" s="278"/>
      <c r="K757" s="298"/>
      <c r="L757" s="56"/>
      <c r="M757" s="56"/>
      <c r="N757" s="278"/>
      <c r="O757" s="56"/>
      <c r="P757" s="56"/>
      <c r="Q757" s="42"/>
      <c r="R757" s="278"/>
      <c r="V757" s="278"/>
    </row>
    <row r="758" spans="1:22" x14ac:dyDescent="0.25">
      <c r="A758" s="21">
        <v>753</v>
      </c>
      <c r="B758" s="31"/>
      <c r="E758" s="135"/>
      <c r="K758" s="298"/>
      <c r="M758" s="56"/>
      <c r="Q758" s="42"/>
    </row>
    <row r="759" spans="1:22" x14ac:dyDescent="0.25">
      <c r="A759" s="21">
        <v>754</v>
      </c>
      <c r="B759" s="31" t="s">
        <v>358</v>
      </c>
      <c r="E759" s="135">
        <f>SUM(E751:E757)</f>
        <v>224484640.90999997</v>
      </c>
      <c r="F759" s="277"/>
      <c r="G759" s="40"/>
      <c r="H759" s="40"/>
      <c r="I759" s="40"/>
      <c r="J759" s="277"/>
      <c r="K759" s="41"/>
      <c r="L759" s="40"/>
      <c r="M759" s="40"/>
      <c r="N759" s="277"/>
      <c r="O759" s="40"/>
      <c r="P759" s="40"/>
      <c r="Q759" s="42"/>
      <c r="R759" s="277"/>
      <c r="V759" s="277"/>
    </row>
    <row r="760" spans="1:22" ht="92.25" customHeight="1" x14ac:dyDescent="0.25">
      <c r="A760" s="21">
        <v>755</v>
      </c>
      <c r="D760" s="23" t="s">
        <v>360</v>
      </c>
      <c r="E760" s="40">
        <f>E759-'Allocation Report Summary'!P20</f>
        <v>9.9999606609344482E-3</v>
      </c>
      <c r="K760" s="299"/>
      <c r="M760" s="300"/>
      <c r="Q760" s="42"/>
    </row>
    <row r="761" spans="1:22" x14ac:dyDescent="0.25">
      <c r="A761" s="21">
        <v>756</v>
      </c>
      <c r="F761" s="277"/>
      <c r="G761" s="40"/>
      <c r="H761" s="40"/>
      <c r="I761" s="40"/>
      <c r="J761" s="277"/>
      <c r="K761" s="40"/>
      <c r="L761" s="40"/>
      <c r="M761" s="40"/>
      <c r="N761" s="277"/>
      <c r="O761" s="40"/>
      <c r="P761" s="40"/>
      <c r="Q761" s="40"/>
      <c r="R761" s="277"/>
      <c r="V761" s="277"/>
    </row>
    <row r="762" spans="1:22" x14ac:dyDescent="0.25">
      <c r="E762" s="44"/>
      <c r="F762" s="280"/>
      <c r="G762" s="44"/>
      <c r="H762" s="44"/>
      <c r="I762" s="44"/>
      <c r="J762" s="280"/>
      <c r="K762" s="44"/>
      <c r="L762" s="44"/>
      <c r="M762" s="44"/>
      <c r="N762" s="280"/>
      <c r="O762" s="44"/>
      <c r="P762" s="44"/>
      <c r="Q762" s="44"/>
      <c r="R762" s="280"/>
      <c r="V762" s="280"/>
    </row>
    <row r="763" spans="1:22" x14ac:dyDescent="0.25">
      <c r="C763" s="40"/>
      <c r="E763" s="38"/>
    </row>
    <row r="764" spans="1:22" x14ac:dyDescent="0.25">
      <c r="E764" s="42"/>
    </row>
    <row r="765" spans="1:22" x14ac:dyDescent="0.25">
      <c r="E765" s="38"/>
    </row>
    <row r="766" spans="1:22" x14ac:dyDescent="0.25">
      <c r="E766" s="38"/>
    </row>
  </sheetData>
  <mergeCells count="5">
    <mergeCell ref="G3:I3"/>
    <mergeCell ref="W3:Y3"/>
    <mergeCell ref="K3:M3"/>
    <mergeCell ref="O3:Q3"/>
    <mergeCell ref="S3:U3"/>
  </mergeCells>
  <printOptions horizontalCentered="1"/>
  <pageMargins left="0.5" right="0.5" top="1" bottom="0.75" header="0.5" footer="0.3"/>
  <pageSetup scale="32" fitToHeight="0" orientation="landscape" useFirstPageNumber="1" horizontalDpi="1200" verticalDpi="1200" r:id="rId1"/>
  <headerFooter scaleWithDoc="0">
    <oddHeader>&amp;C&amp;10Cascade Natural Gas Corporation
SUMMARY OF REVENUES BY RATE SCHEDULE&amp;R&amp;9Docket No. UG-19____
Exhibit No. ___ (IDM-2)
Page &amp;P of 9</oddHeader>
  </headerFooter>
  <rowBreaks count="1" manualBreakCount="1">
    <brk id="341" max="3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636</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637</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
  <sheetViews>
    <sheetView workbookViewId="0"/>
  </sheetViews>
  <sheetFormatPr defaultRowHeight="15" x14ac:dyDescent="0.25"/>
  <cols>
    <col min="2" max="2" width="44.85546875" customWidth="1"/>
    <col min="4" max="4" width="16" style="115" bestFit="1" customWidth="1"/>
  </cols>
  <sheetData>
    <row r="1" spans="2:4" ht="18.75" x14ac:dyDescent="0.3">
      <c r="B1" s="561" t="s">
        <v>512</v>
      </c>
      <c r="C1" s="561"/>
      <c r="D1" s="561"/>
    </row>
    <row r="2" spans="2:4" x14ac:dyDescent="0.25">
      <c r="B2" s="562" t="s">
        <v>724</v>
      </c>
      <c r="C2" s="562"/>
      <c r="D2" s="562"/>
    </row>
    <row r="4" spans="2:4" x14ac:dyDescent="0.25">
      <c r="B4" s="475"/>
      <c r="C4" s="476"/>
      <c r="D4" s="505"/>
    </row>
    <row r="5" spans="2:4" ht="45" x14ac:dyDescent="0.25">
      <c r="B5" s="477" t="s">
        <v>624</v>
      </c>
      <c r="D5" s="507">
        <f>'Exh IDM-2 - Revenue Summary'!M750</f>
        <v>95624401.21853523</v>
      </c>
    </row>
    <row r="6" spans="2:4" x14ac:dyDescent="0.25">
      <c r="B6" s="478" t="s">
        <v>625</v>
      </c>
      <c r="D6" s="506"/>
    </row>
    <row r="7" spans="2:4" x14ac:dyDescent="0.25">
      <c r="B7" s="478"/>
      <c r="D7" s="508"/>
    </row>
    <row r="8" spans="2:4" x14ac:dyDescent="0.25">
      <c r="B8" s="477" t="s">
        <v>459</v>
      </c>
      <c r="D8" s="507">
        <f>-'Exh IDM-2 - Revenue Summary'!E750</f>
        <v>-93428701.320000008</v>
      </c>
    </row>
    <row r="9" spans="2:4" x14ac:dyDescent="0.25">
      <c r="B9" s="478" t="s">
        <v>626</v>
      </c>
      <c r="D9" s="506"/>
    </row>
    <row r="10" spans="2:4" x14ac:dyDescent="0.25">
      <c r="B10" s="478"/>
      <c r="D10" s="508"/>
    </row>
    <row r="11" spans="2:4" x14ac:dyDescent="0.25">
      <c r="B11" s="477" t="s">
        <v>627</v>
      </c>
      <c r="D11" s="507">
        <f>'Exh IDM-2 - Revenue Summary'!M753</f>
        <v>-1044211.1199999999</v>
      </c>
    </row>
    <row r="12" spans="2:4" x14ac:dyDescent="0.25">
      <c r="B12" s="478" t="s">
        <v>628</v>
      </c>
      <c r="D12" s="516"/>
    </row>
    <row r="13" spans="2:4" x14ac:dyDescent="0.25">
      <c r="B13" s="478"/>
      <c r="D13" s="507"/>
    </row>
    <row r="14" spans="2:4" x14ac:dyDescent="0.25">
      <c r="B14" s="477" t="s">
        <v>629</v>
      </c>
      <c r="D14" s="507">
        <f>-WACAP2018!AK151</f>
        <v>1582282.8800000013</v>
      </c>
    </row>
    <row r="15" spans="2:4" x14ac:dyDescent="0.25">
      <c r="B15" s="478" t="s">
        <v>630</v>
      </c>
      <c r="D15" s="509"/>
    </row>
    <row r="16" spans="2:4" x14ac:dyDescent="0.25">
      <c r="B16" s="478"/>
      <c r="D16" s="508"/>
    </row>
    <row r="17" spans="2:4" x14ac:dyDescent="0.25">
      <c r="B17" s="513" t="s">
        <v>712</v>
      </c>
      <c r="D17" s="510">
        <f>SUM(D5:D14)</f>
        <v>2733771.6585352235</v>
      </c>
    </row>
    <row r="18" spans="2:4" x14ac:dyDescent="0.25">
      <c r="B18" s="503" t="s">
        <v>707</v>
      </c>
      <c r="D18" s="508"/>
    </row>
    <row r="19" spans="2:4" x14ac:dyDescent="0.25">
      <c r="B19" s="504" t="s">
        <v>706</v>
      </c>
      <c r="D19" s="508"/>
    </row>
    <row r="20" spans="2:4" x14ac:dyDescent="0.25">
      <c r="B20" s="481"/>
      <c r="C20" s="476"/>
      <c r="D20" s="512"/>
    </row>
    <row r="21" spans="2:4" x14ac:dyDescent="0.25">
      <c r="B21" s="513" t="s">
        <v>713</v>
      </c>
      <c r="D21" s="510">
        <f>'Exh IDM-2 - Revenue Summary'!Q750</f>
        <v>678910.41053627897</v>
      </c>
    </row>
    <row r="22" spans="2:4" x14ac:dyDescent="0.25">
      <c r="B22" s="503" t="s">
        <v>702</v>
      </c>
      <c r="D22" s="506"/>
    </row>
    <row r="23" spans="2:4" x14ac:dyDescent="0.25">
      <c r="B23" s="504" t="s">
        <v>705</v>
      </c>
      <c r="D23" s="508"/>
    </row>
    <row r="24" spans="2:4" x14ac:dyDescent="0.25">
      <c r="B24" s="479"/>
      <c r="C24" s="480"/>
      <c r="D24" s="511"/>
    </row>
    <row r="25" spans="2:4" x14ac:dyDescent="0.25">
      <c r="B25" s="481"/>
      <c r="C25" s="476"/>
      <c r="D25" s="512"/>
    </row>
    <row r="26" spans="2:4" x14ac:dyDescent="0.25">
      <c r="B26" s="477" t="s">
        <v>708</v>
      </c>
      <c r="D26" s="507">
        <f>'Exh IDM-2 - Revenue Summary'!U748</f>
        <v>3665082.1399548231</v>
      </c>
    </row>
    <row r="27" spans="2:4" x14ac:dyDescent="0.25">
      <c r="B27" s="478" t="s">
        <v>709</v>
      </c>
      <c r="D27" s="507"/>
    </row>
    <row r="28" spans="2:4" x14ac:dyDescent="0.25">
      <c r="B28" s="478"/>
      <c r="D28" s="507"/>
    </row>
    <row r="29" spans="2:4" x14ac:dyDescent="0.25">
      <c r="B29" s="477" t="s">
        <v>710</v>
      </c>
      <c r="D29" s="507">
        <f>'Exh IDM-2 - Revenue Summary'!U749</f>
        <v>-2980735.8000000003</v>
      </c>
    </row>
    <row r="30" spans="2:4" x14ac:dyDescent="0.25">
      <c r="B30" s="478" t="s">
        <v>711</v>
      </c>
      <c r="D30" s="539"/>
    </row>
    <row r="31" spans="2:4" x14ac:dyDescent="0.25">
      <c r="B31" s="478"/>
      <c r="D31" s="507"/>
    </row>
    <row r="32" spans="2:4" x14ac:dyDescent="0.25">
      <c r="B32" s="513" t="s">
        <v>701</v>
      </c>
      <c r="D32" s="510">
        <f>'Exh IDM-2 - Revenue Summary'!U750</f>
        <v>684346.33995482279</v>
      </c>
    </row>
    <row r="33" spans="2:4" x14ac:dyDescent="0.25">
      <c r="B33" s="514" t="s">
        <v>704</v>
      </c>
      <c r="D33" s="506"/>
    </row>
    <row r="34" spans="2:4" x14ac:dyDescent="0.25">
      <c r="B34" s="504" t="s">
        <v>703</v>
      </c>
      <c r="D34" s="506"/>
    </row>
    <row r="35" spans="2:4" x14ac:dyDescent="0.25">
      <c r="B35" s="515"/>
      <c r="C35" s="480"/>
      <c r="D35" s="509"/>
    </row>
  </sheetData>
  <mergeCells count="2">
    <mergeCell ref="B1:D1"/>
    <mergeCell ref="B2:D2"/>
  </mergeCells>
  <pageMargins left="0.7" right="0.7" top="1.5" bottom="0.75" header="0.3" footer="0.3"/>
  <pageSetup orientation="portrait" r:id="rId1"/>
  <headerFooter scaleWithDoc="0">
    <oddHeader>&amp;RDocket No. UG-19____
Exhibit No. ___ (IDM-3)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638</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639</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80" zoomScaleNormal="80" workbookViewId="0">
      <pane xSplit="3" ySplit="5" topLeftCell="D6" activePane="bottomRight" state="frozen"/>
      <selection activeCell="A31" sqref="A31"/>
      <selection pane="topRight" activeCell="A31" sqref="A31"/>
      <selection pane="bottomLeft" activeCell="A31" sqref="A31"/>
      <selection pane="bottomRight" activeCell="D6" sqref="D6"/>
    </sheetView>
  </sheetViews>
  <sheetFormatPr defaultRowHeight="15" x14ac:dyDescent="0.25"/>
  <cols>
    <col min="2" max="2" width="28.5703125" customWidth="1"/>
    <col min="3" max="3" width="15.85546875" customWidth="1"/>
    <col min="4" max="4" width="28.7109375" customWidth="1"/>
    <col min="7" max="7" width="15.28515625" bestFit="1" customWidth="1"/>
    <col min="8" max="8" width="15.140625" style="328" customWidth="1"/>
    <col min="9" max="10" width="11.5703125" style="328" customWidth="1"/>
    <col min="11" max="11" width="13.7109375" style="328" customWidth="1"/>
    <col min="12" max="12" width="12.5703125" style="327" customWidth="1"/>
  </cols>
  <sheetData>
    <row r="1" spans="1:14" x14ac:dyDescent="0.25">
      <c r="A1" s="563" t="s">
        <v>512</v>
      </c>
      <c r="B1" s="564"/>
      <c r="C1" s="564"/>
      <c r="D1" s="564"/>
      <c r="E1" s="564"/>
      <c r="F1" s="564"/>
      <c r="G1" s="564"/>
      <c r="H1" s="564"/>
      <c r="I1" s="564"/>
      <c r="J1" s="564"/>
      <c r="K1" s="564"/>
      <c r="L1" s="565"/>
    </row>
    <row r="2" spans="1:14" x14ac:dyDescent="0.25">
      <c r="A2" s="566" t="s">
        <v>725</v>
      </c>
      <c r="B2" s="567"/>
      <c r="C2" s="567"/>
      <c r="D2" s="567"/>
      <c r="E2" s="567"/>
      <c r="F2" s="567"/>
      <c r="G2" s="567"/>
      <c r="H2" s="567"/>
      <c r="I2" s="567"/>
      <c r="J2" s="567"/>
      <c r="K2" s="567"/>
      <c r="L2" s="568"/>
    </row>
    <row r="3" spans="1:14" x14ac:dyDescent="0.25">
      <c r="A3" s="569"/>
      <c r="B3" s="570"/>
      <c r="C3" s="570"/>
      <c r="D3" s="570"/>
      <c r="E3" s="570"/>
      <c r="F3" s="570"/>
      <c r="G3" s="570"/>
      <c r="H3" s="570"/>
      <c r="I3" s="570"/>
      <c r="J3" s="570"/>
      <c r="K3" s="570"/>
      <c r="L3" s="571"/>
    </row>
    <row r="4" spans="1:14" ht="60" x14ac:dyDescent="0.25">
      <c r="A4" s="347" t="s">
        <v>511</v>
      </c>
      <c r="B4" s="351" t="s">
        <v>510</v>
      </c>
      <c r="C4" s="350" t="s">
        <v>509</v>
      </c>
      <c r="D4" s="350" t="s">
        <v>719</v>
      </c>
      <c r="E4" s="350" t="s">
        <v>1</v>
      </c>
      <c r="F4" s="350" t="s">
        <v>508</v>
      </c>
      <c r="G4" s="350" t="s">
        <v>513</v>
      </c>
      <c r="H4" s="349" t="s">
        <v>514</v>
      </c>
      <c r="I4" s="348" t="s">
        <v>721</v>
      </c>
      <c r="J4" s="349" t="s">
        <v>515</v>
      </c>
      <c r="K4" s="349" t="s">
        <v>507</v>
      </c>
      <c r="L4" s="348" t="s">
        <v>506</v>
      </c>
    </row>
    <row r="5" spans="1:14" x14ac:dyDescent="0.25">
      <c r="A5" s="330"/>
      <c r="B5" s="347" t="s">
        <v>505</v>
      </c>
      <c r="C5" s="347" t="s">
        <v>504</v>
      </c>
      <c r="D5" s="347" t="s">
        <v>503</v>
      </c>
      <c r="E5" s="347" t="s">
        <v>502</v>
      </c>
      <c r="F5" s="347" t="s">
        <v>501</v>
      </c>
      <c r="G5" s="346" t="s">
        <v>500</v>
      </c>
      <c r="H5" s="345" t="s">
        <v>499</v>
      </c>
      <c r="I5" s="344" t="s">
        <v>498</v>
      </c>
      <c r="J5" s="346" t="s">
        <v>497</v>
      </c>
      <c r="K5" s="344" t="s">
        <v>496</v>
      </c>
      <c r="L5" s="344" t="s">
        <v>720</v>
      </c>
    </row>
    <row r="6" spans="1:14" x14ac:dyDescent="0.25">
      <c r="A6" s="342"/>
      <c r="B6" s="343" t="s">
        <v>495</v>
      </c>
      <c r="C6" s="342"/>
      <c r="D6" s="342"/>
      <c r="E6" s="342"/>
      <c r="F6" s="342"/>
      <c r="G6" s="342"/>
      <c r="H6" s="341"/>
      <c r="I6" s="335"/>
      <c r="J6" s="335"/>
      <c r="K6" s="335"/>
      <c r="L6" s="332"/>
    </row>
    <row r="7" spans="1:14" x14ac:dyDescent="0.25">
      <c r="A7" s="336">
        <v>1</v>
      </c>
      <c r="B7" s="336" t="s">
        <v>494</v>
      </c>
      <c r="C7" s="340">
        <v>503</v>
      </c>
      <c r="D7" s="340"/>
      <c r="E7" s="336">
        <f>'Exh IDM-2 - Revenue Summary'!L44</f>
        <v>0.27205000000000001</v>
      </c>
      <c r="F7" s="339">
        <f>E7*(1+L8)</f>
        <v>0.32160327890882079</v>
      </c>
      <c r="G7" s="335">
        <f>'Exh IDM-2 - Revenue Summary'!O44</f>
        <v>131567022.09012201</v>
      </c>
      <c r="H7" s="352">
        <f>G7*E7</f>
        <v>35792808.359617695</v>
      </c>
      <c r="I7" s="335">
        <f>F7*G7</f>
        <v>42312385.700452499</v>
      </c>
      <c r="J7" s="335"/>
      <c r="K7" s="335" t="s">
        <v>476</v>
      </c>
      <c r="L7" s="332" t="s">
        <v>476</v>
      </c>
      <c r="N7" s="536"/>
    </row>
    <row r="8" spans="1:14" x14ac:dyDescent="0.25">
      <c r="A8" s="336">
        <v>2</v>
      </c>
      <c r="B8" s="336" t="s">
        <v>478</v>
      </c>
      <c r="C8" s="340"/>
      <c r="D8" s="340"/>
      <c r="E8" s="336"/>
      <c r="F8" s="339"/>
      <c r="G8" s="335">
        <f>SUM(G7)</f>
        <v>131567022.09012201</v>
      </c>
      <c r="H8" s="352">
        <f>SUM(H7)</f>
        <v>35792808.359617695</v>
      </c>
      <c r="I8" s="335">
        <f>SUM(I7)</f>
        <v>42312385.700452499</v>
      </c>
      <c r="J8" s="334">
        <f>H8/$H$43</f>
        <v>0.51300802326019035</v>
      </c>
      <c r="K8" s="357">
        <f>J8*$K$43</f>
        <v>6519577.3408348039</v>
      </c>
      <c r="L8" s="332">
        <f>K8/H8</f>
        <v>0.18214768942775519</v>
      </c>
      <c r="N8" s="536"/>
    </row>
    <row r="9" spans="1:14" x14ac:dyDescent="0.25">
      <c r="A9" s="336">
        <v>3</v>
      </c>
      <c r="B9" s="336"/>
      <c r="C9" s="340"/>
      <c r="D9" s="340"/>
      <c r="E9" s="336"/>
      <c r="F9" s="339"/>
      <c r="G9" s="335"/>
      <c r="H9" s="335"/>
      <c r="I9" s="335"/>
      <c r="J9" s="335"/>
      <c r="K9" s="335"/>
      <c r="L9" s="332"/>
      <c r="N9" s="536"/>
    </row>
    <row r="10" spans="1:14" x14ac:dyDescent="0.25">
      <c r="A10" s="336">
        <v>4</v>
      </c>
      <c r="B10" s="337" t="s">
        <v>493</v>
      </c>
      <c r="C10" s="340"/>
      <c r="D10" s="340"/>
      <c r="E10" s="336"/>
      <c r="F10" s="339"/>
      <c r="G10" s="335"/>
      <c r="H10" s="335"/>
      <c r="I10" s="335"/>
      <c r="J10" s="335"/>
      <c r="K10" s="335"/>
      <c r="L10" s="332"/>
      <c r="N10" s="536"/>
    </row>
    <row r="11" spans="1:14" x14ac:dyDescent="0.25">
      <c r="A11" s="336">
        <v>5</v>
      </c>
      <c r="B11" s="336" t="s">
        <v>486</v>
      </c>
      <c r="C11" s="340">
        <v>504</v>
      </c>
      <c r="D11" s="340"/>
      <c r="E11" s="336">
        <f>'Exh IDM-2 - Revenue Summary'!L81</f>
        <v>0.23141999999999999</v>
      </c>
      <c r="F11" s="339">
        <f t="shared" ref="F11:F37" si="0">E11*(1+L12)</f>
        <v>0.27357261828737106</v>
      </c>
      <c r="G11" s="335">
        <f>'Exh IDM-2 - Revenue Summary'!O81</f>
        <v>92551660.677303553</v>
      </c>
      <c r="H11" s="352">
        <f>G11*E11</f>
        <v>21418305.313941587</v>
      </c>
      <c r="I11" s="335">
        <f>F11*G11</f>
        <v>25319600.138334256</v>
      </c>
      <c r="J11" s="335"/>
      <c r="K11" s="335"/>
      <c r="L11" s="332" t="s">
        <v>476</v>
      </c>
      <c r="N11" s="536"/>
    </row>
    <row r="12" spans="1:14" x14ac:dyDescent="0.25">
      <c r="A12" s="336">
        <v>6</v>
      </c>
      <c r="B12" s="336" t="s">
        <v>478</v>
      </c>
      <c r="C12" s="340"/>
      <c r="D12" s="340"/>
      <c r="E12" s="336"/>
      <c r="F12" s="339"/>
      <c r="G12" s="335">
        <f>SUM(G11)</f>
        <v>92551660.677303553</v>
      </c>
      <c r="H12" s="352">
        <f>SUM(H11)</f>
        <v>21418305.313941587</v>
      </c>
      <c r="I12" s="335">
        <f>SUM(I11)</f>
        <v>25319600.138334256</v>
      </c>
      <c r="J12" s="334">
        <f>H12/$H$43</f>
        <v>0.30698240720013076</v>
      </c>
      <c r="K12" s="357">
        <f t="shared" ref="K12:K41" si="1">J12*$K$43</f>
        <v>3901294.8243926708</v>
      </c>
      <c r="L12" s="332">
        <f>K12/H12</f>
        <v>0.18214768942775519</v>
      </c>
      <c r="N12" s="536"/>
    </row>
    <row r="13" spans="1:14" x14ac:dyDescent="0.25">
      <c r="A13" s="336">
        <v>7</v>
      </c>
      <c r="B13" s="336"/>
      <c r="C13" s="340"/>
      <c r="D13" s="340"/>
      <c r="E13" s="336"/>
      <c r="F13" s="339"/>
      <c r="G13" s="335"/>
      <c r="H13" s="335"/>
      <c r="I13" s="335"/>
      <c r="J13" s="334"/>
      <c r="K13" s="335"/>
      <c r="L13" s="332"/>
      <c r="N13" s="536"/>
    </row>
    <row r="14" spans="1:14" x14ac:dyDescent="0.25">
      <c r="A14" s="336">
        <v>8</v>
      </c>
      <c r="B14" s="337" t="s">
        <v>487</v>
      </c>
      <c r="C14" s="340"/>
      <c r="D14" s="340"/>
      <c r="E14" s="336"/>
      <c r="F14" s="339"/>
      <c r="G14" s="335"/>
      <c r="H14" s="335"/>
      <c r="I14" s="335"/>
      <c r="J14" s="335"/>
      <c r="K14" s="335"/>
      <c r="L14" s="332"/>
      <c r="N14" s="536"/>
    </row>
    <row r="15" spans="1:14" x14ac:dyDescent="0.25">
      <c r="A15" s="336">
        <v>9</v>
      </c>
      <c r="B15" s="336" t="s">
        <v>486</v>
      </c>
      <c r="C15" s="340">
        <v>505</v>
      </c>
      <c r="D15" s="340" t="s">
        <v>485</v>
      </c>
      <c r="E15" s="336">
        <f>'Exh IDM-2 - Revenue Summary'!L116</f>
        <v>0.17851</v>
      </c>
      <c r="F15" s="339">
        <f t="shared" si="0"/>
        <v>0.21102518403974857</v>
      </c>
      <c r="G15" s="335">
        <f>'Exh IDM-2 - Revenue Summary'!O116</f>
        <v>1733986.7760029139</v>
      </c>
      <c r="H15" s="352">
        <f>G15*E15</f>
        <v>309533.97938428016</v>
      </c>
      <c r="I15" s="335">
        <f>F15*G15</f>
        <v>365914.87852850521</v>
      </c>
      <c r="J15" s="334">
        <f>H15/$H$43</f>
        <v>4.4364614617651687E-3</v>
      </c>
      <c r="K15" s="335">
        <f>J15*$K$43</f>
        <v>56380.899144225041</v>
      </c>
      <c r="L15" s="332">
        <f t="shared" ref="L15:L17" si="2">K15/H15</f>
        <v>0.18214768942775519</v>
      </c>
      <c r="N15" s="536"/>
    </row>
    <row r="16" spans="1:14" x14ac:dyDescent="0.25">
      <c r="A16" s="336">
        <v>10</v>
      </c>
      <c r="B16" s="336"/>
      <c r="C16" s="340"/>
      <c r="D16" s="340" t="s">
        <v>484</v>
      </c>
      <c r="E16" s="336">
        <f>'Exh IDM-2 - Revenue Summary'!L117</f>
        <v>0.14457</v>
      </c>
      <c r="F16" s="339">
        <f t="shared" si="0"/>
        <v>0.17090309146057056</v>
      </c>
      <c r="G16" s="335">
        <f>'Exh IDM-2 - Revenue Summary'!O117</f>
        <v>5632622.0203854125</v>
      </c>
      <c r="H16" s="352">
        <f t="shared" ref="H16:H17" si="3">G16*E16</f>
        <v>814308.16548711911</v>
      </c>
      <c r="I16" s="335">
        <f t="shared" ref="I16:I17" si="4">F16*G16</f>
        <v>962632.51631275192</v>
      </c>
      <c r="J16" s="334">
        <f t="shared" ref="J16:J17" si="5">H16/$H$43</f>
        <v>1.1671244628362011E-2</v>
      </c>
      <c r="K16" s="335">
        <f t="shared" si="1"/>
        <v>148324.35082563284</v>
      </c>
      <c r="L16" s="332">
        <f t="shared" si="2"/>
        <v>0.18214768942775517</v>
      </c>
      <c r="N16" s="536"/>
    </row>
    <row r="17" spans="1:14" x14ac:dyDescent="0.25">
      <c r="A17" s="336">
        <v>11</v>
      </c>
      <c r="B17" s="336"/>
      <c r="C17" s="340"/>
      <c r="D17" s="340" t="s">
        <v>479</v>
      </c>
      <c r="E17" s="336">
        <f>'Exh IDM-2 - Revenue Summary'!L118</f>
        <v>0.13944000000000001</v>
      </c>
      <c r="F17" s="339">
        <f t="shared" si="0"/>
        <v>0.16483867381380618</v>
      </c>
      <c r="G17" s="335">
        <f>'Exh IDM-2 - Revenue Summary'!O118</f>
        <v>4781351.3038846143</v>
      </c>
      <c r="H17" s="352">
        <f t="shared" si="3"/>
        <v>666711.62581367069</v>
      </c>
      <c r="I17" s="335">
        <f t="shared" si="4"/>
        <v>788151.60797025275</v>
      </c>
      <c r="J17" s="334">
        <f t="shared" si="5"/>
        <v>9.5557858943849609E-3</v>
      </c>
      <c r="K17" s="335">
        <f t="shared" si="1"/>
        <v>121439.98215658221</v>
      </c>
      <c r="L17" s="332">
        <f t="shared" si="2"/>
        <v>0.18214768942775517</v>
      </c>
      <c r="N17" s="536"/>
    </row>
    <row r="18" spans="1:14" x14ac:dyDescent="0.25">
      <c r="A18" s="336">
        <v>12</v>
      </c>
      <c r="B18" s="336" t="s">
        <v>478</v>
      </c>
      <c r="C18" s="340"/>
      <c r="D18" s="340"/>
      <c r="E18" s="336"/>
      <c r="F18" s="339"/>
      <c r="G18" s="335">
        <f>SUM(G15:G17)</f>
        <v>12147960.10027294</v>
      </c>
      <c r="H18" s="352">
        <f>SUM(H15:H17)</f>
        <v>1790553.77068507</v>
      </c>
      <c r="I18" s="335">
        <f>SUM(I15:I17)</f>
        <v>2116699.0028115097</v>
      </c>
      <c r="J18" s="334">
        <f>H18/$H$43</f>
        <v>2.5663491984512139E-2</v>
      </c>
      <c r="K18" s="357">
        <f t="shared" si="1"/>
        <v>326145.23212644004</v>
      </c>
      <c r="L18" s="332">
        <f>K18/H18</f>
        <v>0.18214768942775514</v>
      </c>
      <c r="N18" s="536"/>
    </row>
    <row r="19" spans="1:14" x14ac:dyDescent="0.25">
      <c r="A19" s="336">
        <v>13</v>
      </c>
      <c r="B19" s="336"/>
      <c r="C19" s="340"/>
      <c r="D19" s="340"/>
      <c r="E19" s="336"/>
      <c r="F19" s="339"/>
      <c r="G19" s="335"/>
      <c r="H19" s="335"/>
      <c r="I19" s="335"/>
      <c r="J19" s="335"/>
      <c r="K19" s="335"/>
      <c r="L19" s="332"/>
      <c r="N19" s="536"/>
    </row>
    <row r="20" spans="1:14" x14ac:dyDescent="0.25">
      <c r="A20" s="336">
        <v>14</v>
      </c>
      <c r="B20" s="337" t="s">
        <v>492</v>
      </c>
      <c r="C20" s="340"/>
      <c r="D20" s="340"/>
      <c r="E20" s="336"/>
      <c r="F20" s="339"/>
      <c r="G20" s="335"/>
      <c r="H20" s="335"/>
      <c r="I20" s="335"/>
      <c r="J20" s="335"/>
      <c r="K20" s="335"/>
      <c r="L20" s="332"/>
      <c r="N20" s="536"/>
    </row>
    <row r="21" spans="1:14" x14ac:dyDescent="0.25">
      <c r="A21" s="336">
        <v>15</v>
      </c>
      <c r="B21" s="336" t="s">
        <v>491</v>
      </c>
      <c r="C21" s="340">
        <v>511</v>
      </c>
      <c r="D21" s="340" t="s">
        <v>490</v>
      </c>
      <c r="E21" s="336">
        <f>'Exh IDM-2 - Revenue Summary'!L154</f>
        <v>0.14330000000000001</v>
      </c>
      <c r="F21" s="339">
        <f t="shared" si="0"/>
        <v>0.16940176389499734</v>
      </c>
      <c r="G21" s="335">
        <f>'Exh IDM-2 - Revenue Summary'!O154</f>
        <v>8739570.5516426321</v>
      </c>
      <c r="H21" s="352">
        <f>G21*E21</f>
        <v>1252380.4600503892</v>
      </c>
      <c r="I21" s="335">
        <f>F21*G21</f>
        <v>1480498.6671330368</v>
      </c>
      <c r="J21" s="334">
        <f>H21/$H$43</f>
        <v>1.7950008776204344E-2</v>
      </c>
      <c r="K21" s="335">
        <f t="shared" si="1"/>
        <v>228118.20708264742</v>
      </c>
      <c r="L21" s="332">
        <f t="shared" ref="L21:L23" si="6">K21/H21</f>
        <v>0.18214768942775517</v>
      </c>
      <c r="N21" s="536"/>
    </row>
    <row r="22" spans="1:14" x14ac:dyDescent="0.25">
      <c r="A22" s="336">
        <v>16</v>
      </c>
      <c r="B22" s="336"/>
      <c r="C22" s="340"/>
      <c r="D22" s="340" t="s">
        <v>489</v>
      </c>
      <c r="E22" s="336">
        <f>'Exh IDM-2 - Revenue Summary'!L155</f>
        <v>0.10983999999999999</v>
      </c>
      <c r="F22" s="339">
        <f t="shared" si="0"/>
        <v>0.12984710220674461</v>
      </c>
      <c r="G22" s="335">
        <f>'Exh IDM-2 - Revenue Summary'!O155</f>
        <v>4503350.1030213647</v>
      </c>
      <c r="H22" s="352">
        <f t="shared" ref="H22:H23" si="7">G22*E22</f>
        <v>494647.97531586664</v>
      </c>
      <c r="I22" s="335">
        <f t="shared" ref="I22:I23" si="8">F22*G22</f>
        <v>584746.96109976899</v>
      </c>
      <c r="J22" s="334">
        <f t="shared" ref="J22:J23" si="9">H22/$H$43</f>
        <v>7.0896471010848212E-3</v>
      </c>
      <c r="K22" s="335">
        <f t="shared" si="1"/>
        <v>90098.985783902375</v>
      </c>
      <c r="L22" s="332">
        <f t="shared" si="6"/>
        <v>0.18214768942775517</v>
      </c>
      <c r="N22" s="536"/>
    </row>
    <row r="23" spans="1:14" x14ac:dyDescent="0.25">
      <c r="A23" s="336">
        <v>17</v>
      </c>
      <c r="B23" s="336"/>
      <c r="C23" s="340"/>
      <c r="D23" s="340" t="s">
        <v>488</v>
      </c>
      <c r="E23" s="336">
        <f>'Exh IDM-2 - Revenue Summary'!L156</f>
        <v>2.7089999999999999E-2</v>
      </c>
      <c r="F23" s="339">
        <f t="shared" si="0"/>
        <v>3.2024380906597885E-2</v>
      </c>
      <c r="G23" s="335">
        <f>'Exh IDM-2 - Revenue Summary'!O156</f>
        <v>771997.67252671276</v>
      </c>
      <c r="H23" s="352">
        <f t="shared" si="7"/>
        <v>20913.416948748647</v>
      </c>
      <c r="I23" s="335">
        <f t="shared" si="8"/>
        <v>24722.747524002469</v>
      </c>
      <c r="J23" s="334">
        <f t="shared" si="9"/>
        <v>2.997459875374892E-4</v>
      </c>
      <c r="K23" s="335">
        <f t="shared" si="1"/>
        <v>3809.3305752538199</v>
      </c>
      <c r="L23" s="332">
        <f t="shared" si="6"/>
        <v>0.18214768942775517</v>
      </c>
      <c r="N23" s="536"/>
    </row>
    <row r="24" spans="1:14" x14ac:dyDescent="0.25">
      <c r="A24" s="336">
        <v>18</v>
      </c>
      <c r="B24" s="336" t="s">
        <v>477</v>
      </c>
      <c r="C24" s="340"/>
      <c r="D24" s="340"/>
      <c r="E24" s="336"/>
      <c r="F24" s="339"/>
      <c r="G24" s="335">
        <f>SUM(G21:G23)</f>
        <v>14014918.32719071</v>
      </c>
      <c r="H24" s="352">
        <f>SUM(H21:H23)</f>
        <v>1767941.8523150044</v>
      </c>
      <c r="I24" s="335">
        <f>SUM(I21:I23)</f>
        <v>2089968.3757568083</v>
      </c>
      <c r="J24" s="334">
        <f>H24/$H$43</f>
        <v>2.5339401864826656E-2</v>
      </c>
      <c r="K24" s="357">
        <f t="shared" si="1"/>
        <v>322026.52344180364</v>
      </c>
      <c r="L24" s="332">
        <f>K24/H24</f>
        <v>0.18214768942775517</v>
      </c>
      <c r="N24" s="536"/>
    </row>
    <row r="25" spans="1:14" x14ac:dyDescent="0.25">
      <c r="A25" s="336">
        <v>19</v>
      </c>
      <c r="B25" s="336"/>
      <c r="C25" s="340"/>
      <c r="D25" s="340"/>
      <c r="E25" s="336"/>
      <c r="F25" s="339"/>
      <c r="G25" s="335"/>
      <c r="H25" s="335"/>
      <c r="I25" s="335"/>
      <c r="J25" s="334"/>
      <c r="K25" s="335"/>
      <c r="L25" s="332"/>
      <c r="N25" s="536"/>
    </row>
    <row r="26" spans="1:14" x14ac:dyDescent="0.25">
      <c r="A26" s="336">
        <v>20</v>
      </c>
      <c r="B26" s="337" t="s">
        <v>483</v>
      </c>
      <c r="C26" s="340"/>
      <c r="D26" s="340"/>
      <c r="E26" s="336"/>
      <c r="F26" s="339"/>
      <c r="G26" s="335"/>
      <c r="H26" s="335"/>
      <c r="I26" s="335"/>
      <c r="J26" s="335"/>
      <c r="K26" s="335"/>
      <c r="L26" s="332"/>
      <c r="N26" s="536"/>
    </row>
    <row r="27" spans="1:14" x14ac:dyDescent="0.25">
      <c r="A27" s="336">
        <v>21</v>
      </c>
      <c r="B27" s="336" t="s">
        <v>482</v>
      </c>
      <c r="C27" s="340">
        <v>570</v>
      </c>
      <c r="D27" s="340" t="s">
        <v>481</v>
      </c>
      <c r="E27" s="336">
        <f>'Exh IDM-2 - Revenue Summary'!L281</f>
        <v>7.8950000000000006E-2</v>
      </c>
      <c r="F27" s="339">
        <f t="shared" si="0"/>
        <v>9.3330560080321284E-2</v>
      </c>
      <c r="G27" s="335">
        <f>'Exh IDM-2 - Revenue Summary'!O281</f>
        <v>1159981.0421854148</v>
      </c>
      <c r="H27" s="352">
        <f t="shared" ref="H27:H28" si="10">G27*E27</f>
        <v>91580.503280538513</v>
      </c>
      <c r="I27" s="335">
        <f t="shared" ref="I27:I28" si="11">F27*G27</f>
        <v>108261.68034971955</v>
      </c>
      <c r="J27" s="334">
        <f>H27/$H$43</f>
        <v>1.3125970023108923E-3</v>
      </c>
      <c r="K27" s="335">
        <f t="shared" si="1"/>
        <v>16681.177069181042</v>
      </c>
      <c r="L27" s="332">
        <f t="shared" ref="L27:L28" si="12">K27/H27</f>
        <v>0.18214768942775517</v>
      </c>
      <c r="N27" s="536"/>
    </row>
    <row r="28" spans="1:14" x14ac:dyDescent="0.25">
      <c r="A28" s="336">
        <v>22</v>
      </c>
      <c r="B28" s="336"/>
      <c r="C28" s="340"/>
      <c r="D28" s="340" t="s">
        <v>480</v>
      </c>
      <c r="E28" s="336">
        <f>'Exh IDM-2 - Revenue Summary'!L282</f>
        <v>2.248E-2</v>
      </c>
      <c r="F28" s="339">
        <f t="shared" si="0"/>
        <v>2.6574680058335937E-2</v>
      </c>
      <c r="G28" s="335">
        <f>'Exh IDM-2 - Revenue Summary'!O282</f>
        <v>866598.96930392005</v>
      </c>
      <c r="H28" s="352">
        <f t="shared" si="10"/>
        <v>19481.144829952122</v>
      </c>
      <c r="I28" s="335">
        <f t="shared" si="11"/>
        <v>23029.59034813536</v>
      </c>
      <c r="J28" s="334">
        <f>H28/$H$43</f>
        <v>2.7921764337817832E-4</v>
      </c>
      <c r="K28" s="335">
        <f t="shared" si="1"/>
        <v>3548.4455181832373</v>
      </c>
      <c r="L28" s="332">
        <f t="shared" si="12"/>
        <v>0.18214768942775517</v>
      </c>
      <c r="N28" s="536"/>
    </row>
    <row r="29" spans="1:14" x14ac:dyDescent="0.25">
      <c r="A29" s="336">
        <v>23</v>
      </c>
      <c r="B29" s="336" t="s">
        <v>478</v>
      </c>
      <c r="C29" s="340"/>
      <c r="D29" s="340"/>
      <c r="E29" s="336"/>
      <c r="F29" s="339"/>
      <c r="G29" s="335">
        <f>SUM(G27:G28)</f>
        <v>2026580.011489335</v>
      </c>
      <c r="H29" s="352">
        <f>SUM(H27:H28)</f>
        <v>111061.64811049064</v>
      </c>
      <c r="I29" s="335">
        <f>SUM(I27:I28)</f>
        <v>131291.27069785492</v>
      </c>
      <c r="J29" s="334">
        <f>H29/$H$43</f>
        <v>1.5918146456890708E-3</v>
      </c>
      <c r="K29" s="357">
        <f t="shared" si="1"/>
        <v>20229.62258736428</v>
      </c>
      <c r="L29" s="332">
        <f>K29/H29</f>
        <v>0.18214768942775517</v>
      </c>
      <c r="N29" s="536"/>
    </row>
    <row r="30" spans="1:14" x14ac:dyDescent="0.25">
      <c r="A30" s="336">
        <v>24</v>
      </c>
      <c r="B30" s="336"/>
      <c r="C30" s="340"/>
      <c r="D30" s="340"/>
      <c r="E30" s="336"/>
      <c r="F30" s="339"/>
      <c r="G30" s="335"/>
      <c r="H30" s="335"/>
      <c r="I30" s="335"/>
      <c r="J30" s="334"/>
      <c r="K30" s="335"/>
      <c r="L30" s="332"/>
      <c r="N30" s="536"/>
    </row>
    <row r="31" spans="1:14" x14ac:dyDescent="0.25">
      <c r="A31" s="336">
        <v>25</v>
      </c>
      <c r="B31" s="337" t="s">
        <v>475</v>
      </c>
      <c r="C31" s="340"/>
      <c r="D31" s="340"/>
      <c r="E31" s="336"/>
      <c r="F31" s="339"/>
      <c r="G31" s="357">
        <f>G8+G12+G24+G18+G29</f>
        <v>252308141.20637855</v>
      </c>
      <c r="H31" s="357">
        <f t="shared" ref="H31" si="13">H8+H12+H24+H18+H29</f>
        <v>60880670.944669843</v>
      </c>
      <c r="I31" s="357">
        <f>I8+I12+I24+I18+I29</f>
        <v>71969944.488052934</v>
      </c>
      <c r="J31" s="358">
        <f>H31/$H$43</f>
        <v>0.87258513895534884</v>
      </c>
      <c r="K31" s="357">
        <f t="shared" si="1"/>
        <v>11089273.543383081</v>
      </c>
      <c r="L31" s="359">
        <f>K31/H31</f>
        <v>0.18214768942775517</v>
      </c>
      <c r="N31" s="536"/>
    </row>
    <row r="32" spans="1:14" x14ac:dyDescent="0.25">
      <c r="A32" s="336">
        <v>26</v>
      </c>
      <c r="B32" s="336"/>
      <c r="C32" s="340"/>
      <c r="D32" s="340"/>
      <c r="E32" s="336"/>
      <c r="F32" s="339"/>
      <c r="G32" s="336"/>
      <c r="H32" s="335"/>
      <c r="I32" s="335"/>
      <c r="J32" s="335"/>
      <c r="K32" s="335"/>
      <c r="L32" s="332"/>
      <c r="N32" s="536"/>
    </row>
    <row r="33" spans="1:14" x14ac:dyDescent="0.25">
      <c r="A33" s="336">
        <v>27</v>
      </c>
      <c r="B33" s="337" t="s">
        <v>110</v>
      </c>
      <c r="C33" s="340"/>
      <c r="D33" s="340"/>
      <c r="E33" s="336"/>
      <c r="F33" s="339"/>
      <c r="G33" s="336"/>
      <c r="H33" s="335"/>
      <c r="I33" s="335"/>
      <c r="J33" s="335"/>
      <c r="K33" s="335"/>
      <c r="L33" s="332"/>
      <c r="N33" s="536"/>
    </row>
    <row r="34" spans="1:14" x14ac:dyDescent="0.25">
      <c r="A34" s="336">
        <v>28</v>
      </c>
      <c r="B34" s="336" t="s">
        <v>474</v>
      </c>
      <c r="C34" s="340">
        <v>663</v>
      </c>
      <c r="D34" s="340" t="s">
        <v>473</v>
      </c>
      <c r="E34" s="336">
        <f>'Exh IDM-2 - Revenue Summary'!L354</f>
        <v>5.3310000000000003E-2</v>
      </c>
      <c r="F34" s="339">
        <f t="shared" si="0"/>
        <v>6.3020293323393636E-2</v>
      </c>
      <c r="G34" s="209">
        <f>'Exh IDM-2 - Revenue Summary'!O354</f>
        <v>98378564.891732141</v>
      </c>
      <c r="H34" s="352">
        <f t="shared" ref="H34:H37" si="14">G34*E34</f>
        <v>5244561.2943782406</v>
      </c>
      <c r="I34" s="335">
        <f>F34*G34</f>
        <v>6199846.0162114743</v>
      </c>
      <c r="J34" s="334">
        <f>H34/$H$43</f>
        <v>7.516878797170258E-2</v>
      </c>
      <c r="K34" s="335">
        <f t="shared" si="1"/>
        <v>955284.72183323337</v>
      </c>
      <c r="L34" s="332">
        <f t="shared" ref="L34:L37" si="15">K34/H34</f>
        <v>0.18214768942775517</v>
      </c>
      <c r="N34" s="536"/>
    </row>
    <row r="35" spans="1:14" x14ac:dyDescent="0.25">
      <c r="A35" s="336">
        <v>29</v>
      </c>
      <c r="B35" s="336"/>
      <c r="C35" s="340"/>
      <c r="D35" s="340" t="s">
        <v>472</v>
      </c>
      <c r="E35" s="336">
        <f>'Exh IDM-2 - Revenue Summary'!L355</f>
        <v>1.9449999999999999E-2</v>
      </c>
      <c r="F35" s="339">
        <f t="shared" si="0"/>
        <v>2.2992772559369837E-2</v>
      </c>
      <c r="G35" s="209">
        <f>'Exh IDM-2 - Revenue Summary'!O355</f>
        <v>71561496.231790751</v>
      </c>
      <c r="H35" s="352">
        <f t="shared" si="14"/>
        <v>1391871.10170833</v>
      </c>
      <c r="I35" s="335">
        <f t="shared" ref="I35:I37" si="16">F35*G35</f>
        <v>1645397.2068657663</v>
      </c>
      <c r="J35" s="334">
        <f t="shared" ref="J35:J37" si="17">H35/$H$43</f>
        <v>1.9949288006301621E-2</v>
      </c>
      <c r="K35" s="335">
        <f t="shared" si="1"/>
        <v>253526.10515743634</v>
      </c>
      <c r="L35" s="332">
        <f t="shared" si="15"/>
        <v>0.18214768942775519</v>
      </c>
      <c r="N35" s="536"/>
    </row>
    <row r="36" spans="1:14" x14ac:dyDescent="0.25">
      <c r="A36" s="336">
        <v>30</v>
      </c>
      <c r="B36" s="336"/>
      <c r="C36" s="340"/>
      <c r="D36" s="340" t="s">
        <v>472</v>
      </c>
      <c r="E36" s="336">
        <f>'Exh IDM-2 - Revenue Summary'!L356</f>
        <v>1.1820000000000001E-2</v>
      </c>
      <c r="F36" s="339">
        <f t="shared" si="0"/>
        <v>1.3972985689036066E-2</v>
      </c>
      <c r="G36" s="209">
        <f>'Exh IDM-2 - Revenue Summary'!O356</f>
        <v>38711378.628469028</v>
      </c>
      <c r="H36" s="352">
        <f t="shared" si="14"/>
        <v>457568.49538850394</v>
      </c>
      <c r="I36" s="335">
        <f t="shared" si="16"/>
        <v>540913.53957845434</v>
      </c>
      <c r="J36" s="334">
        <f t="shared" si="17"/>
        <v>6.5581975844687017E-3</v>
      </c>
      <c r="K36" s="335">
        <f t="shared" si="1"/>
        <v>83345.044189950451</v>
      </c>
      <c r="L36" s="332">
        <f t="shared" si="15"/>
        <v>0.18214768942775519</v>
      </c>
      <c r="N36" s="536"/>
    </row>
    <row r="37" spans="1:14" x14ac:dyDescent="0.25">
      <c r="A37" s="336">
        <v>31</v>
      </c>
      <c r="B37" s="336"/>
      <c r="C37" s="340"/>
      <c r="D37" s="340" t="s">
        <v>471</v>
      </c>
      <c r="E37" s="336">
        <f>'Exh IDM-2 - Revenue Summary'!L357</f>
        <v>5.62E-3</v>
      </c>
      <c r="F37" s="339">
        <f t="shared" si="0"/>
        <v>6.6436700145839842E-3</v>
      </c>
      <c r="G37" s="209">
        <f>'Exh IDM-2 - Revenue Summary'!O357</f>
        <v>319536159.87201685</v>
      </c>
      <c r="H37" s="352">
        <f t="shared" si="14"/>
        <v>1795793.2184807346</v>
      </c>
      <c r="I37" s="335">
        <f t="shared" si="16"/>
        <v>2122892.8039170327</v>
      </c>
      <c r="J37" s="334">
        <f t="shared" si="17"/>
        <v>2.5738587482178128E-2</v>
      </c>
      <c r="K37" s="335">
        <f t="shared" si="1"/>
        <v>327099.5854362977</v>
      </c>
      <c r="L37" s="332">
        <f t="shared" si="15"/>
        <v>0.18214768942775514</v>
      </c>
      <c r="N37" s="536"/>
    </row>
    <row r="38" spans="1:14" x14ac:dyDescent="0.25">
      <c r="A38" s="336">
        <v>32</v>
      </c>
      <c r="B38" s="336" t="s">
        <v>26</v>
      </c>
      <c r="C38" s="340"/>
      <c r="D38" s="340"/>
      <c r="E38" s="336"/>
      <c r="F38" s="339"/>
      <c r="G38" s="335">
        <f>SUM(G34:G37)</f>
        <v>528187599.62400877</v>
      </c>
      <c r="H38" s="352">
        <f>SUM(H34:H37)</f>
        <v>8889794.10995581</v>
      </c>
      <c r="I38" s="335">
        <f>SUM(I34:I37)</f>
        <v>10509049.566572728</v>
      </c>
      <c r="J38" s="334">
        <f>H38/$H$43</f>
        <v>0.12741486104465105</v>
      </c>
      <c r="K38" s="357">
        <f t="shared" si="1"/>
        <v>1619255.4566169181</v>
      </c>
      <c r="L38" s="332">
        <f>K38/H38</f>
        <v>0.18214768942775517</v>
      </c>
      <c r="N38" s="536"/>
    </row>
    <row r="39" spans="1:14" x14ac:dyDescent="0.25">
      <c r="A39" s="336">
        <v>33</v>
      </c>
      <c r="B39" s="336"/>
      <c r="C39" s="340"/>
      <c r="D39" s="340"/>
      <c r="E39" s="336"/>
      <c r="F39" s="339"/>
      <c r="H39" s="335"/>
      <c r="I39" s="335"/>
      <c r="J39" s="335"/>
      <c r="K39" s="335"/>
      <c r="L39" s="332"/>
      <c r="N39" s="536"/>
    </row>
    <row r="40" spans="1:14" x14ac:dyDescent="0.25">
      <c r="A40" s="336">
        <v>34</v>
      </c>
      <c r="C40" s="338"/>
      <c r="D40" s="336"/>
      <c r="E40" s="336"/>
      <c r="F40" s="336"/>
      <c r="H40"/>
      <c r="I40" s="335"/>
      <c r="K40" s="335"/>
      <c r="L40" s="332"/>
      <c r="N40" s="536"/>
    </row>
    <row r="41" spans="1:14" x14ac:dyDescent="0.25">
      <c r="A41" s="336">
        <v>35</v>
      </c>
      <c r="B41" s="337" t="s">
        <v>470</v>
      </c>
      <c r="C41" s="336"/>
      <c r="D41" s="336"/>
      <c r="E41" s="336"/>
      <c r="F41" s="336"/>
      <c r="G41" s="357">
        <f>SUM(G38:G39)</f>
        <v>528187599.62400877</v>
      </c>
      <c r="H41" s="357">
        <f>SUM(H38:H39)</f>
        <v>8889794.10995581</v>
      </c>
      <c r="I41" s="357">
        <f>+I38</f>
        <v>10509049.566572728</v>
      </c>
      <c r="J41" s="358">
        <f>H41/$H$43</f>
        <v>0.12741486104465105</v>
      </c>
      <c r="K41" s="357">
        <f t="shared" si="1"/>
        <v>1619255.4566169181</v>
      </c>
      <c r="L41" s="359">
        <f>K41/H41</f>
        <v>0.18214768942775517</v>
      </c>
      <c r="N41" s="536"/>
    </row>
    <row r="42" spans="1:14" ht="15.75" thickBot="1" x14ac:dyDescent="0.3">
      <c r="A42" s="336">
        <v>36</v>
      </c>
      <c r="B42" s="337"/>
      <c r="C42" s="336"/>
      <c r="D42" s="336"/>
      <c r="E42" s="336"/>
      <c r="F42" s="336"/>
      <c r="G42" s="335"/>
      <c r="H42" s="335"/>
      <c r="I42" s="335"/>
      <c r="J42" s="334"/>
      <c r="K42" s="333"/>
      <c r="L42" s="332"/>
      <c r="N42" s="536"/>
    </row>
    <row r="43" spans="1:14" x14ac:dyDescent="0.25">
      <c r="A43" s="336">
        <v>37</v>
      </c>
      <c r="B43" s="331" t="s">
        <v>26</v>
      </c>
      <c r="C43" s="330"/>
      <c r="D43" s="330"/>
      <c r="E43" s="330"/>
      <c r="F43" s="330"/>
      <c r="G43" s="329">
        <f>G31+G41</f>
        <v>780495740.83038735</v>
      </c>
      <c r="H43" s="329">
        <f>H31+H41</f>
        <v>69770465.05462566</v>
      </c>
      <c r="I43" s="329">
        <f>+I31+I41</f>
        <v>82478994.05462566</v>
      </c>
      <c r="J43" s="353">
        <f>J31+J41</f>
        <v>0.99999999999999989</v>
      </c>
      <c r="K43" s="355">
        <v>12708529</v>
      </c>
      <c r="L43" s="354">
        <f>K43/H43</f>
        <v>0.18214768942775517</v>
      </c>
    </row>
    <row r="44" spans="1:14" x14ac:dyDescent="0.25">
      <c r="A44" s="336">
        <v>38</v>
      </c>
      <c r="K44" s="356" t="s">
        <v>517</v>
      </c>
      <c r="L44" s="540"/>
    </row>
    <row r="45" spans="1:14" x14ac:dyDescent="0.25">
      <c r="A45" s="541">
        <v>39</v>
      </c>
      <c r="B45" s="480"/>
      <c r="C45" s="480"/>
      <c r="D45" s="480"/>
      <c r="E45" s="480"/>
      <c r="F45" s="480"/>
      <c r="G45" s="480"/>
      <c r="H45" s="542"/>
      <c r="I45" s="542"/>
      <c r="J45" s="542"/>
      <c r="K45" s="543" t="s">
        <v>516</v>
      </c>
      <c r="L45" s="544"/>
    </row>
  </sheetData>
  <mergeCells count="3">
    <mergeCell ref="A1:L1"/>
    <mergeCell ref="A2:L2"/>
    <mergeCell ref="A3:L3"/>
  </mergeCells>
  <pageMargins left="0.7" right="0.7" top="1.5" bottom="0.75" header="0.3" footer="0.3"/>
  <pageSetup scale="50" fitToHeight="0" orientation="portrait" r:id="rId1"/>
  <headerFooter scaleWithDoc="0">
    <oddHeader>&amp;RDocket No. UG-19____
Exhibit No. ___ (IDM-4)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640</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652</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T66"/>
  <sheetViews>
    <sheetView zoomScaleNormal="100" zoomScalePageLayoutView="60" workbookViewId="0">
      <selection activeCell="A30" sqref="A30"/>
    </sheetView>
  </sheetViews>
  <sheetFormatPr defaultColWidth="12.28515625" defaultRowHeight="15" x14ac:dyDescent="0.25"/>
  <cols>
    <col min="1" max="1" width="3.7109375" style="115" bestFit="1" customWidth="1"/>
    <col min="2" max="2" width="17.28515625" style="115" bestFit="1" customWidth="1"/>
    <col min="3" max="3" width="2.85546875" bestFit="1" customWidth="1"/>
    <col min="4" max="4" width="22.7109375" bestFit="1" customWidth="1"/>
    <col min="5" max="5" width="16.7109375" customWidth="1"/>
    <col min="6" max="6" width="16.42578125" customWidth="1"/>
    <col min="7" max="7" width="16.7109375" customWidth="1"/>
    <col min="8" max="9" width="16.28515625" customWidth="1"/>
    <col min="10" max="10" width="20.140625" bestFit="1" customWidth="1"/>
    <col min="11" max="11" width="13.28515625" bestFit="1" customWidth="1"/>
    <col min="12" max="12" width="18" customWidth="1"/>
    <col min="13" max="13" width="16" customWidth="1"/>
    <col min="14" max="14" width="19.5703125" customWidth="1"/>
    <col min="15" max="15" width="16.140625" customWidth="1"/>
    <col min="16" max="16" width="6.28515625" customWidth="1"/>
    <col min="18" max="18" width="2.7109375" bestFit="1" customWidth="1"/>
  </cols>
  <sheetData>
    <row r="3" spans="1:14" ht="15.75" thickBot="1" x14ac:dyDescent="0.3"/>
    <row r="4" spans="1:14" ht="6.75" customHeight="1" x14ac:dyDescent="0.25">
      <c r="B4" s="221"/>
      <c r="C4" s="448"/>
      <c r="D4" s="448"/>
      <c r="E4" s="448"/>
      <c r="F4" s="448"/>
      <c r="G4" s="448"/>
      <c r="H4" s="448"/>
      <c r="I4" s="448"/>
      <c r="J4" s="447"/>
    </row>
    <row r="5" spans="1:14" s="115" customFormat="1" ht="18" customHeight="1" x14ac:dyDescent="0.25">
      <c r="B5" s="114" t="s">
        <v>374</v>
      </c>
      <c r="C5" s="115" t="s">
        <v>375</v>
      </c>
      <c r="D5" s="115" t="s">
        <v>34</v>
      </c>
      <c r="E5" s="115" t="s">
        <v>35</v>
      </c>
      <c r="F5" s="115" t="s">
        <v>37</v>
      </c>
      <c r="G5" s="115" t="s">
        <v>39</v>
      </c>
      <c r="H5" s="115" t="s">
        <v>50</v>
      </c>
      <c r="I5" s="115" t="s">
        <v>51</v>
      </c>
      <c r="J5" s="116" t="s">
        <v>79</v>
      </c>
    </row>
    <row r="6" spans="1:14" ht="15" customHeight="1" x14ac:dyDescent="0.25">
      <c r="B6" s="577" t="s">
        <v>716</v>
      </c>
      <c r="C6" s="567"/>
      <c r="D6" s="567"/>
      <c r="E6" s="567"/>
      <c r="F6" s="567"/>
      <c r="G6" s="567"/>
      <c r="H6" s="567"/>
      <c r="I6" s="567"/>
      <c r="J6" s="578"/>
    </row>
    <row r="7" spans="1:14" ht="58.5" customHeight="1" x14ac:dyDescent="0.25">
      <c r="A7" s="115">
        <v>1</v>
      </c>
      <c r="B7" s="525" t="s">
        <v>376</v>
      </c>
      <c r="D7" s="451" t="s">
        <v>615</v>
      </c>
      <c r="E7" s="466"/>
      <c r="F7" s="451" t="s">
        <v>619</v>
      </c>
      <c r="H7" s="115" t="s">
        <v>614</v>
      </c>
      <c r="J7" s="526" t="s">
        <v>613</v>
      </c>
      <c r="L7" s="533"/>
    </row>
    <row r="8" spans="1:14" x14ac:dyDescent="0.25">
      <c r="A8" s="115">
        <f t="shared" ref="A8:A65" si="0">A7+1</f>
        <v>2</v>
      </c>
      <c r="B8" s="114">
        <v>503</v>
      </c>
      <c r="D8" s="473">
        <f>'Exh IDM-2 - Revenue Summary'!X44</f>
        <v>42312385.700452499</v>
      </c>
      <c r="F8" s="328">
        <f>'Exh IDM-2 - Revenue Summary'!O44</f>
        <v>131567022.09012201</v>
      </c>
      <c r="G8" s="466"/>
      <c r="H8" s="464">
        <f>D8/F8</f>
        <v>0.32160327890882079</v>
      </c>
      <c r="J8" s="530">
        <f>'End of Period Calculations'!AB105/12</f>
        <v>191815.86000000002</v>
      </c>
      <c r="L8" s="535"/>
      <c r="M8" s="17"/>
      <c r="N8" s="534"/>
    </row>
    <row r="9" spans="1:14" x14ac:dyDescent="0.25">
      <c r="A9" s="115">
        <f t="shared" si="0"/>
        <v>3</v>
      </c>
      <c r="B9" s="114" t="s">
        <v>476</v>
      </c>
      <c r="D9" s="473"/>
      <c r="F9" s="328"/>
      <c r="G9" s="115"/>
      <c r="H9" s="464"/>
      <c r="J9" s="531"/>
      <c r="L9" s="535"/>
      <c r="M9" s="17"/>
      <c r="N9" s="534"/>
    </row>
    <row r="10" spans="1:14" x14ac:dyDescent="0.25">
      <c r="A10" s="115">
        <f t="shared" si="0"/>
        <v>4</v>
      </c>
      <c r="B10" s="114">
        <v>504</v>
      </c>
      <c r="D10" s="473">
        <f>'Exh IDM-2 - Revenue Summary'!X81</f>
        <v>25319600.138334256</v>
      </c>
      <c r="F10" s="328">
        <f>'Exh IDM-2 - Revenue Summary'!O81</f>
        <v>92551660.677303553</v>
      </c>
      <c r="G10" s="466"/>
      <c r="H10" s="464">
        <f>D10/F10</f>
        <v>0.27357261828737106</v>
      </c>
      <c r="J10" s="530">
        <f>'End of Period Calculations'!AB106/12</f>
        <v>26579.415384615382</v>
      </c>
      <c r="L10" s="533"/>
    </row>
    <row r="11" spans="1:14" x14ac:dyDescent="0.25">
      <c r="A11" s="115">
        <f t="shared" si="0"/>
        <v>5</v>
      </c>
      <c r="B11" s="114"/>
      <c r="D11" s="473"/>
      <c r="F11" s="328"/>
      <c r="G11" s="466"/>
      <c r="H11" s="464"/>
      <c r="J11" s="531"/>
      <c r="L11" s="533"/>
    </row>
    <row r="12" spans="1:14" x14ac:dyDescent="0.25">
      <c r="A12" s="115">
        <f t="shared" si="0"/>
        <v>6</v>
      </c>
      <c r="B12" s="114">
        <v>505</v>
      </c>
      <c r="D12" s="473">
        <f>SUM('Exh IDM-2 - Revenue Summary'!X116:X118)</f>
        <v>2116699.0028115097</v>
      </c>
      <c r="F12" s="328">
        <f>SUM('Exh IDM-2 - Revenue Summary'!O116:O118)</f>
        <v>12147960.10027294</v>
      </c>
      <c r="G12" s="466"/>
      <c r="H12" s="464">
        <f>D12/F12</f>
        <v>0.17424316390074016</v>
      </c>
      <c r="J12" s="532">
        <f>'End of Period Calculations'!AB108/12</f>
        <v>480</v>
      </c>
      <c r="L12" s="533"/>
      <c r="M12" s="81"/>
      <c r="N12" s="537"/>
    </row>
    <row r="13" spans="1:14" x14ac:dyDescent="0.25">
      <c r="A13" s="115">
        <f t="shared" si="0"/>
        <v>7</v>
      </c>
      <c r="B13" s="114"/>
      <c r="D13" s="473"/>
      <c r="F13" s="328"/>
      <c r="G13" s="466"/>
      <c r="H13" s="464"/>
      <c r="J13" s="531"/>
      <c r="L13" s="533"/>
      <c r="M13" s="536"/>
      <c r="N13" s="537"/>
    </row>
    <row r="14" spans="1:14" x14ac:dyDescent="0.25">
      <c r="A14" s="115">
        <f t="shared" si="0"/>
        <v>8</v>
      </c>
      <c r="B14" s="114">
        <v>511</v>
      </c>
      <c r="D14" s="473">
        <f>SUM('Exh IDM-2 - Revenue Summary'!X154:X156)</f>
        <v>2089968.3757568083</v>
      </c>
      <c r="F14" s="328">
        <f>SUM('Exh IDM-2 - Revenue Summary'!O154:O156)</f>
        <v>14014918.32719071</v>
      </c>
      <c r="G14" s="466"/>
      <c r="H14" s="464">
        <f>D14/F14</f>
        <v>0.14912454906726114</v>
      </c>
      <c r="J14" s="532">
        <f>'End of Period Calculations'!AB113/12</f>
        <v>86</v>
      </c>
      <c r="L14" s="533"/>
      <c r="N14" s="311"/>
    </row>
    <row r="15" spans="1:14" x14ac:dyDescent="0.25">
      <c r="A15" s="115">
        <f t="shared" si="0"/>
        <v>9</v>
      </c>
      <c r="B15" s="114"/>
      <c r="D15" s="473"/>
      <c r="F15" s="328"/>
      <c r="G15" s="466"/>
      <c r="H15" s="464"/>
      <c r="J15" s="531"/>
      <c r="L15" s="533"/>
    </row>
    <row r="16" spans="1:14" x14ac:dyDescent="0.25">
      <c r="A16" s="115">
        <f t="shared" si="0"/>
        <v>10</v>
      </c>
      <c r="B16" s="114">
        <v>570</v>
      </c>
      <c r="D16" s="473">
        <f>SUM('Exh IDM-2 - Revenue Summary'!X281:X282)</f>
        <v>131291.27069785492</v>
      </c>
      <c r="F16" s="328">
        <f>SUM('Exh IDM-2 - Revenue Summary'!O281:O282)</f>
        <v>2026580.011489335</v>
      </c>
      <c r="G16" s="466"/>
      <c r="H16" s="464">
        <f>D16/F16</f>
        <v>6.478464701789341E-2</v>
      </c>
      <c r="J16" s="532">
        <f>'End of Period Calculations'!AB118/12</f>
        <v>8</v>
      </c>
      <c r="N16" s="538"/>
    </row>
    <row r="17" spans="1:18" ht="15.75" thickBot="1" x14ac:dyDescent="0.3">
      <c r="A17" s="115">
        <f t="shared" si="0"/>
        <v>11</v>
      </c>
      <c r="B17" s="234"/>
      <c r="C17" s="235"/>
      <c r="D17" s="523"/>
      <c r="E17" s="235"/>
      <c r="F17" s="462"/>
      <c r="G17" s="524"/>
      <c r="H17" s="461"/>
      <c r="I17" s="235"/>
      <c r="J17" s="529"/>
    </row>
    <row r="18" spans="1:18" x14ac:dyDescent="0.25">
      <c r="A18" s="115">
        <f t="shared" si="0"/>
        <v>12</v>
      </c>
      <c r="B18" s="221"/>
      <c r="C18" s="448"/>
      <c r="D18" s="470"/>
      <c r="E18" s="448"/>
      <c r="F18" s="469"/>
      <c r="G18" s="448"/>
      <c r="H18" s="468"/>
      <c r="I18" s="448"/>
      <c r="J18" s="447"/>
    </row>
    <row r="19" spans="1:18" x14ac:dyDescent="0.25">
      <c r="A19" s="115">
        <f t="shared" si="0"/>
        <v>13</v>
      </c>
      <c r="B19" s="465" t="s">
        <v>612</v>
      </c>
      <c r="D19" s="449"/>
      <c r="F19" s="328"/>
      <c r="H19" s="464"/>
      <c r="J19" s="435"/>
    </row>
    <row r="20" spans="1:18" x14ac:dyDescent="0.25">
      <c r="A20" s="115">
        <f t="shared" si="0"/>
        <v>14</v>
      </c>
      <c r="B20" s="465">
        <v>-1</v>
      </c>
      <c r="D20" s="467" t="s">
        <v>618</v>
      </c>
      <c r="F20" s="328"/>
      <c r="G20" s="466"/>
      <c r="H20" s="464"/>
      <c r="J20" s="435"/>
    </row>
    <row r="21" spans="1:18" x14ac:dyDescent="0.25">
      <c r="A21" s="115">
        <f t="shared" si="0"/>
        <v>15</v>
      </c>
      <c r="B21" s="465">
        <v>-2</v>
      </c>
      <c r="D21" s="449" t="s">
        <v>620</v>
      </c>
      <c r="F21" s="328"/>
      <c r="H21" s="464"/>
      <c r="J21" s="435"/>
    </row>
    <row r="22" spans="1:18" x14ac:dyDescent="0.25">
      <c r="A22" s="115">
        <f t="shared" si="0"/>
        <v>16</v>
      </c>
      <c r="B22" s="465">
        <v>-3</v>
      </c>
      <c r="D22" s="449" t="s">
        <v>611</v>
      </c>
      <c r="F22" s="328"/>
      <c r="H22" s="464"/>
      <c r="J22" s="435"/>
    </row>
    <row r="23" spans="1:18" x14ac:dyDescent="0.25">
      <c r="A23" s="115">
        <f t="shared" si="0"/>
        <v>17</v>
      </c>
      <c r="B23" s="465">
        <v>-4</v>
      </c>
      <c r="D23" s="449" t="s">
        <v>621</v>
      </c>
      <c r="F23" s="328"/>
      <c r="H23" s="464"/>
      <c r="J23" s="435"/>
    </row>
    <row r="24" spans="1:18" ht="15.75" thickBot="1" x14ac:dyDescent="0.3">
      <c r="A24" s="115">
        <f t="shared" si="0"/>
        <v>18</v>
      </c>
      <c r="B24" s="446"/>
      <c r="C24" s="235"/>
      <c r="D24" s="463"/>
      <c r="E24" s="235"/>
      <c r="F24" s="462"/>
      <c r="G24" s="235"/>
      <c r="H24" s="461"/>
      <c r="I24" s="235"/>
      <c r="J24" s="236"/>
    </row>
    <row r="25" spans="1:18" ht="15.75" thickBot="1" x14ac:dyDescent="0.3">
      <c r="A25" s="115">
        <f t="shared" si="0"/>
        <v>19</v>
      </c>
      <c r="D25" s="449"/>
      <c r="F25" s="328"/>
    </row>
    <row r="26" spans="1:18" x14ac:dyDescent="0.25">
      <c r="A26" s="115">
        <f t="shared" si="0"/>
        <v>20</v>
      </c>
      <c r="B26" s="579" t="s">
        <v>717</v>
      </c>
      <c r="C26" s="580"/>
      <c r="D26" s="580"/>
      <c r="E26" s="580"/>
      <c r="F26" s="580"/>
      <c r="G26" s="580"/>
      <c r="H26" s="581"/>
    </row>
    <row r="27" spans="1:18" ht="15" customHeight="1" x14ac:dyDescent="0.25">
      <c r="A27" s="115">
        <f t="shared" si="0"/>
        <v>21</v>
      </c>
      <c r="B27" s="572" t="s">
        <v>617</v>
      </c>
      <c r="C27" s="575"/>
      <c r="D27" s="575"/>
      <c r="E27" s="575"/>
      <c r="F27" s="575"/>
      <c r="G27" s="575"/>
      <c r="H27" s="576"/>
      <c r="I27" s="452"/>
      <c r="J27" s="452"/>
      <c r="K27" s="452"/>
      <c r="L27" s="452"/>
      <c r="M27" s="452"/>
      <c r="N27" s="452"/>
      <c r="O27" s="328"/>
      <c r="P27" s="328"/>
      <c r="Q27" s="328"/>
      <c r="R27" s="328"/>
    </row>
    <row r="28" spans="1:18" x14ac:dyDescent="0.25">
      <c r="A28" s="115">
        <f t="shared" si="0"/>
        <v>22</v>
      </c>
      <c r="B28" s="114" t="s">
        <v>374</v>
      </c>
      <c r="C28" s="115" t="s">
        <v>375</v>
      </c>
      <c r="D28" s="115" t="s">
        <v>34</v>
      </c>
      <c r="E28" s="115" t="s">
        <v>35</v>
      </c>
      <c r="F28" s="115" t="s">
        <v>37</v>
      </c>
      <c r="G28" s="115" t="s">
        <v>39</v>
      </c>
      <c r="H28" s="116" t="s">
        <v>50</v>
      </c>
      <c r="I28" s="115"/>
      <c r="J28" s="115"/>
      <c r="K28" s="115"/>
      <c r="L28" s="115"/>
      <c r="M28" s="115"/>
      <c r="N28" s="115"/>
      <c r="O28" s="328"/>
      <c r="P28" s="328"/>
      <c r="Q28" s="328"/>
      <c r="R28" s="328"/>
    </row>
    <row r="29" spans="1:18" s="115" customFormat="1" ht="15.75" customHeight="1" x14ac:dyDescent="0.25">
      <c r="A29" s="115">
        <f t="shared" si="0"/>
        <v>23</v>
      </c>
      <c r="B29" s="114" t="s">
        <v>376</v>
      </c>
      <c r="D29" s="115">
        <v>503</v>
      </c>
      <c r="E29" s="115">
        <v>504</v>
      </c>
      <c r="F29" s="115">
        <v>505</v>
      </c>
      <c r="G29" s="115">
        <v>511</v>
      </c>
      <c r="H29" s="116">
        <v>570</v>
      </c>
      <c r="O29" s="328"/>
      <c r="P29" s="328"/>
      <c r="Q29" s="328"/>
      <c r="R29" s="328"/>
    </row>
    <row r="30" spans="1:18" x14ac:dyDescent="0.25">
      <c r="A30" s="115">
        <f t="shared" si="0"/>
        <v>24</v>
      </c>
      <c r="B30" s="519" t="s">
        <v>604</v>
      </c>
      <c r="C30" s="111"/>
      <c r="D30" s="17">
        <f>'End of Period Calculations'!D105</f>
        <v>22583970.553883139</v>
      </c>
      <c r="E30" s="17">
        <f>'End of Period Calculations'!D106</f>
        <v>15062223.505767643</v>
      </c>
      <c r="F30" s="17">
        <f>'End of Period Calculations'!D111</f>
        <v>1617046.255202807</v>
      </c>
      <c r="G30" s="17">
        <f>'End of Period Calculations'!D116</f>
        <v>2041837.1329582138</v>
      </c>
      <c r="H30" s="422">
        <f>'End of Period Calculations'!D120</f>
        <v>229390.41933174082</v>
      </c>
      <c r="I30" s="17"/>
      <c r="J30" s="16"/>
      <c r="O30" s="328"/>
      <c r="P30" s="328"/>
      <c r="Q30" s="328"/>
      <c r="R30" s="328"/>
    </row>
    <row r="31" spans="1:18" x14ac:dyDescent="0.25">
      <c r="A31" s="115">
        <f t="shared" si="0"/>
        <v>25</v>
      </c>
      <c r="B31" s="519" t="s">
        <v>603</v>
      </c>
      <c r="C31" s="111"/>
      <c r="D31" s="17">
        <f>'End of Period Calculations'!F105</f>
        <v>17686846.852574952</v>
      </c>
      <c r="E31" s="17">
        <f>'End of Period Calculations'!F106</f>
        <v>12545391.570208579</v>
      </c>
      <c r="F31" s="17">
        <f>'End of Period Calculations'!F111</f>
        <v>1289996.9489802322</v>
      </c>
      <c r="G31" s="17">
        <f>'End of Period Calculations'!F116</f>
        <v>1411253.7633763733</v>
      </c>
      <c r="H31" s="422">
        <f>'End of Period Calculations'!F120</f>
        <v>221211.38177179493</v>
      </c>
      <c r="I31" s="17"/>
      <c r="J31" s="16"/>
      <c r="O31" s="328"/>
      <c r="P31" s="328"/>
      <c r="Q31" s="328"/>
      <c r="R31" s="460"/>
    </row>
    <row r="32" spans="1:18" x14ac:dyDescent="0.25">
      <c r="A32" s="115">
        <f t="shared" si="0"/>
        <v>26</v>
      </c>
      <c r="B32" s="519" t="s">
        <v>610</v>
      </c>
      <c r="C32" s="111"/>
      <c r="D32" s="17">
        <f>'End of Period Calculations'!H105</f>
        <v>14398095.016699623</v>
      </c>
      <c r="E32" s="17">
        <f>'End of Period Calculations'!H106</f>
        <v>9134851.1968940068</v>
      </c>
      <c r="F32" s="17">
        <f>'End of Period Calculations'!H111</f>
        <v>1430328.3502892407</v>
      </c>
      <c r="G32" s="17">
        <f>'End of Period Calculations'!H116</f>
        <v>1659309.7822352236</v>
      </c>
      <c r="H32" s="422">
        <f>'End of Period Calculations'!H120</f>
        <v>215252.53712218866</v>
      </c>
      <c r="I32" s="17"/>
      <c r="J32" s="16"/>
      <c r="O32" s="458"/>
      <c r="Q32" s="328"/>
      <c r="R32" s="328"/>
    </row>
    <row r="33" spans="1:18" x14ac:dyDescent="0.25">
      <c r="A33" s="115">
        <f t="shared" si="0"/>
        <v>27</v>
      </c>
      <c r="B33" s="519" t="s">
        <v>601</v>
      </c>
      <c r="C33" s="111"/>
      <c r="D33" s="17">
        <f>'End of Period Calculations'!J105</f>
        <v>9897677.3183008675</v>
      </c>
      <c r="E33" s="17">
        <f>'End of Period Calculations'!J106</f>
        <v>6882254.5360852312</v>
      </c>
      <c r="F33" s="17">
        <f>'End of Period Calculations'!J111</f>
        <v>1123179.4192318043</v>
      </c>
      <c r="G33" s="17">
        <f>'End of Period Calculations'!J116</f>
        <v>1396883.611269288</v>
      </c>
      <c r="H33" s="422">
        <f>'End of Period Calculations'!J120</f>
        <v>213582.2582492209</v>
      </c>
      <c r="I33" s="17"/>
      <c r="J33" s="16"/>
      <c r="O33" s="458"/>
      <c r="Q33" s="328"/>
      <c r="R33" s="459"/>
    </row>
    <row r="34" spans="1:18" x14ac:dyDescent="0.25">
      <c r="A34" s="115">
        <f t="shared" si="0"/>
        <v>28</v>
      </c>
      <c r="B34" s="519" t="s">
        <v>600</v>
      </c>
      <c r="C34" s="111"/>
      <c r="D34" s="17">
        <f>'End of Period Calculations'!L105</f>
        <v>5928309.8502837559</v>
      </c>
      <c r="E34" s="17">
        <f>'End of Period Calculations'!L106</f>
        <v>3918036.3420420131</v>
      </c>
      <c r="F34" s="17">
        <f>'End of Period Calculations'!L111</f>
        <v>815133.09229619685</v>
      </c>
      <c r="G34" s="17">
        <f>'End of Period Calculations'!L116</f>
        <v>1066142.9719009297</v>
      </c>
      <c r="H34" s="422">
        <f>'End of Period Calculations'!L120</f>
        <v>177942.35629831892</v>
      </c>
      <c r="I34" s="17"/>
      <c r="J34" s="16"/>
      <c r="O34" s="458"/>
      <c r="P34" s="328"/>
      <c r="Q34" s="328"/>
      <c r="R34" s="328"/>
    </row>
    <row r="35" spans="1:18" x14ac:dyDescent="0.25">
      <c r="A35" s="115">
        <f t="shared" si="0"/>
        <v>29</v>
      </c>
      <c r="B35" s="519" t="s">
        <v>599</v>
      </c>
      <c r="C35" s="111"/>
      <c r="D35" s="17">
        <f>'End of Period Calculations'!N105</f>
        <v>3780553.0600667661</v>
      </c>
      <c r="E35" s="17">
        <f>'End of Period Calculations'!N106</f>
        <v>3451958.2463035439</v>
      </c>
      <c r="F35" s="17">
        <f>'End of Period Calculations'!N111</f>
        <v>605511.0954217033</v>
      </c>
      <c r="G35" s="17">
        <f>'End of Period Calculations'!N116</f>
        <v>760762.1460841489</v>
      </c>
      <c r="H35" s="422">
        <f>'End of Period Calculations'!N120</f>
        <v>128467.46818872199</v>
      </c>
      <c r="I35" s="17"/>
      <c r="J35" s="16"/>
      <c r="O35" s="458"/>
      <c r="P35" s="459"/>
      <c r="Q35" s="328"/>
      <c r="R35" s="328"/>
    </row>
    <row r="36" spans="1:18" x14ac:dyDescent="0.25">
      <c r="A36" s="115">
        <f t="shared" si="0"/>
        <v>30</v>
      </c>
      <c r="B36" s="519" t="s">
        <v>609</v>
      </c>
      <c r="C36" s="111"/>
      <c r="D36" s="17">
        <f>'End of Period Calculations'!P105</f>
        <v>2905523.6940047569</v>
      </c>
      <c r="E36" s="17">
        <f>'End of Period Calculations'!P106</f>
        <v>2866629.3633415252</v>
      </c>
      <c r="F36" s="17">
        <f>'End of Period Calculations'!P111</f>
        <v>535746.00745515723</v>
      </c>
      <c r="G36" s="17">
        <f>'End of Period Calculations'!P116</f>
        <v>659116.96610983904</v>
      </c>
      <c r="H36" s="422">
        <f>'End of Period Calculations'!P120</f>
        <v>103037.05122856449</v>
      </c>
      <c r="I36" s="17"/>
      <c r="J36" s="16"/>
      <c r="O36" s="458"/>
      <c r="P36" s="328"/>
      <c r="Q36" s="328"/>
      <c r="R36" s="459"/>
    </row>
    <row r="37" spans="1:18" x14ac:dyDescent="0.25">
      <c r="A37" s="115">
        <f t="shared" si="0"/>
        <v>31</v>
      </c>
      <c r="B37" s="519" t="s">
        <v>608</v>
      </c>
      <c r="C37" s="111"/>
      <c r="D37" s="17">
        <f>'End of Period Calculations'!R105</f>
        <v>1428373.1762518128</v>
      </c>
      <c r="E37" s="17">
        <f>'End of Period Calculations'!R106</f>
        <v>1603251.5715511125</v>
      </c>
      <c r="F37" s="17">
        <f>'End of Period Calculations'!R111</f>
        <v>568323.98476393218</v>
      </c>
      <c r="G37" s="17">
        <f>'End of Period Calculations'!R116</f>
        <v>666022.79004396545</v>
      </c>
      <c r="H37" s="422">
        <f>'End of Period Calculations'!R120</f>
        <v>110230.3244211306</v>
      </c>
      <c r="I37" s="17"/>
      <c r="J37" s="16"/>
      <c r="O37" s="458"/>
      <c r="P37" s="328"/>
      <c r="Q37" s="328"/>
      <c r="R37" s="328"/>
    </row>
    <row r="38" spans="1:18" x14ac:dyDescent="0.25">
      <c r="A38" s="115">
        <f t="shared" si="0"/>
        <v>32</v>
      </c>
      <c r="B38" s="519" t="s">
        <v>607</v>
      </c>
      <c r="C38" s="111"/>
      <c r="D38" s="17">
        <f>'End of Period Calculations'!T105</f>
        <v>4103551.258159365</v>
      </c>
      <c r="E38" s="17">
        <f>'End of Period Calculations'!T106</f>
        <v>3921678.0600266438</v>
      </c>
      <c r="F38" s="17">
        <f>'End of Period Calculations'!T111</f>
        <v>651151.92846583552</v>
      </c>
      <c r="G38" s="17">
        <f>'End of Period Calculations'!T116</f>
        <v>627756.92932288256</v>
      </c>
      <c r="H38" s="422">
        <f>'End of Period Calculations'!T120</f>
        <v>93391.070692068271</v>
      </c>
      <c r="I38" s="17"/>
      <c r="J38" s="16"/>
      <c r="O38" s="197"/>
      <c r="P38" s="328"/>
      <c r="Q38" s="328"/>
      <c r="R38" s="197"/>
    </row>
    <row r="39" spans="1:18" x14ac:dyDescent="0.25">
      <c r="A39" s="115">
        <f t="shared" si="0"/>
        <v>33</v>
      </c>
      <c r="B39" s="519" t="s">
        <v>595</v>
      </c>
      <c r="C39" s="111"/>
      <c r="D39" s="17">
        <f>'End of Period Calculations'!V105</f>
        <v>8795495.2079919372</v>
      </c>
      <c r="E39" s="17">
        <f>'End of Period Calculations'!V106</f>
        <v>6902607.3037800584</v>
      </c>
      <c r="F39" s="17">
        <f>'End of Period Calculations'!V111</f>
        <v>1042643.1454299705</v>
      </c>
      <c r="G39" s="17">
        <f>'End of Period Calculations'!V116</f>
        <v>1060123.0086797269</v>
      </c>
      <c r="H39" s="422">
        <f>'End of Period Calculations'!V120</f>
        <v>118645.13504650675</v>
      </c>
      <c r="I39" s="17"/>
      <c r="J39" s="16"/>
      <c r="O39" s="458"/>
      <c r="P39" s="328"/>
      <c r="Q39" s="328"/>
    </row>
    <row r="40" spans="1:18" x14ac:dyDescent="0.25">
      <c r="A40" s="115">
        <f t="shared" si="0"/>
        <v>34</v>
      </c>
      <c r="B40" s="519" t="s">
        <v>594</v>
      </c>
      <c r="C40" s="111"/>
      <c r="D40" s="17">
        <f>'End of Period Calculations'!X105</f>
        <v>17574429.859745499</v>
      </c>
      <c r="E40" s="17">
        <f>'End of Period Calculations'!X106</f>
        <v>11278001.753868425</v>
      </c>
      <c r="F40" s="17">
        <f>'End of Period Calculations'!X111</f>
        <v>993530.68797836616</v>
      </c>
      <c r="G40" s="17">
        <f>'End of Period Calculations'!X116</f>
        <v>976771.62089706829</v>
      </c>
      <c r="H40" s="422">
        <f>'End of Period Calculations'!X120</f>
        <v>197742.02240708229</v>
      </c>
      <c r="I40" s="17"/>
      <c r="J40" s="16"/>
      <c r="O40" s="458"/>
      <c r="P40" s="328"/>
      <c r="Q40" s="328"/>
      <c r="R40" s="328"/>
    </row>
    <row r="41" spans="1:18" x14ac:dyDescent="0.25">
      <c r="A41" s="115">
        <f t="shared" si="0"/>
        <v>35</v>
      </c>
      <c r="B41" s="519" t="s">
        <v>593</v>
      </c>
      <c r="C41" s="111"/>
      <c r="D41" s="17">
        <f>'End of Period Calculations'!Z105</f>
        <v>22484196.242159527</v>
      </c>
      <c r="E41" s="17">
        <f>'End of Period Calculations'!Z106</f>
        <v>14984777.227434775</v>
      </c>
      <c r="F41" s="17">
        <f>'End of Period Calculations'!Z111</f>
        <v>1475369.1847576951</v>
      </c>
      <c r="G41" s="17">
        <f>'End of Period Calculations'!Z116</f>
        <v>1688937.6043130492</v>
      </c>
      <c r="H41" s="422">
        <f>'End of Period Calculations'!Z120</f>
        <v>217687.98673199624</v>
      </c>
      <c r="I41" s="17"/>
      <c r="J41" s="16"/>
      <c r="O41" s="197"/>
      <c r="P41" s="328"/>
      <c r="Q41" s="328"/>
    </row>
    <row r="42" spans="1:18" ht="15.75" thickBot="1" x14ac:dyDescent="0.3">
      <c r="A42" s="115">
        <f t="shared" si="0"/>
        <v>36</v>
      </c>
      <c r="B42" s="520" t="s">
        <v>26</v>
      </c>
      <c r="C42" s="235"/>
      <c r="D42" s="521">
        <f>SUM(D30:D41)</f>
        <v>131567022.09012201</v>
      </c>
      <c r="E42" s="521">
        <f>SUM(E30:E41)</f>
        <v>92551660.677303553</v>
      </c>
      <c r="F42" s="521">
        <f>SUM(F30:F41)</f>
        <v>12147960.10027294</v>
      </c>
      <c r="G42" s="521">
        <f>SUM(G30:G41)</f>
        <v>14014918.327190708</v>
      </c>
      <c r="H42" s="522">
        <f>SUM(H30:H41)</f>
        <v>2026580.0114893347</v>
      </c>
      <c r="I42" s="16"/>
      <c r="J42" s="16"/>
      <c r="O42" s="197"/>
      <c r="P42" s="328"/>
      <c r="Q42" s="328"/>
    </row>
    <row r="43" spans="1:18" x14ac:dyDescent="0.25">
      <c r="A43" s="115">
        <f t="shared" si="0"/>
        <v>37</v>
      </c>
      <c r="B43" s="221" t="s">
        <v>606</v>
      </c>
      <c r="C43" s="456"/>
      <c r="D43" s="455"/>
      <c r="E43" s="455"/>
      <c r="F43" s="454"/>
      <c r="G43" s="197"/>
      <c r="H43" s="197"/>
      <c r="I43" s="197"/>
      <c r="J43" s="197"/>
      <c r="K43" s="197"/>
      <c r="L43" s="197"/>
      <c r="M43" s="197"/>
      <c r="N43" s="197"/>
      <c r="O43" s="197"/>
      <c r="P43" s="328"/>
      <c r="Q43" s="328"/>
    </row>
    <row r="44" spans="1:18" ht="15.75" thickBot="1" x14ac:dyDescent="0.3">
      <c r="A44" s="115">
        <f t="shared" si="0"/>
        <v>38</v>
      </c>
      <c r="B44" s="446">
        <v>-5</v>
      </c>
      <c r="C44" s="453"/>
      <c r="D44" s="235" t="s">
        <v>622</v>
      </c>
      <c r="E44" s="235"/>
      <c r="F44" s="236"/>
    </row>
    <row r="45" spans="1:18" ht="15.75" thickBot="1" x14ac:dyDescent="0.3">
      <c r="A45" s="115">
        <f t="shared" si="0"/>
        <v>39</v>
      </c>
      <c r="B45" s="466"/>
      <c r="C45" s="457"/>
    </row>
    <row r="46" spans="1:18" x14ac:dyDescent="0.25">
      <c r="A46" s="115">
        <f t="shared" si="0"/>
        <v>40</v>
      </c>
      <c r="B46" s="579" t="s">
        <v>718</v>
      </c>
      <c r="C46" s="580"/>
      <c r="D46" s="580"/>
      <c r="E46" s="580"/>
      <c r="F46" s="580"/>
      <c r="G46" s="580"/>
      <c r="H46" s="580"/>
      <c r="I46" s="580"/>
      <c r="J46" s="580"/>
      <c r="K46" s="580"/>
      <c r="L46" s="580"/>
      <c r="M46" s="580"/>
      <c r="N46" s="580"/>
      <c r="O46" s="581"/>
    </row>
    <row r="47" spans="1:18" x14ac:dyDescent="0.25">
      <c r="A47" s="115">
        <f t="shared" si="0"/>
        <v>41</v>
      </c>
      <c r="B47" s="114" t="s">
        <v>374</v>
      </c>
      <c r="C47" s="115" t="s">
        <v>375</v>
      </c>
      <c r="D47" s="115" t="s">
        <v>34</v>
      </c>
      <c r="E47" s="115" t="s">
        <v>35</v>
      </c>
      <c r="F47" s="115" t="s">
        <v>37</v>
      </c>
      <c r="G47" s="115" t="s">
        <v>39</v>
      </c>
      <c r="H47" s="115" t="s">
        <v>50</v>
      </c>
      <c r="I47" s="115" t="s">
        <v>51</v>
      </c>
      <c r="J47" s="115" t="s">
        <v>79</v>
      </c>
      <c r="K47" s="115" t="s">
        <v>52</v>
      </c>
      <c r="L47" s="115" t="s">
        <v>41</v>
      </c>
      <c r="M47" s="115" t="s">
        <v>43</v>
      </c>
      <c r="N47" s="115" t="s">
        <v>44</v>
      </c>
      <c r="O47" s="116" t="s">
        <v>386</v>
      </c>
    </row>
    <row r="48" spans="1:18" x14ac:dyDescent="0.25">
      <c r="A48" s="115">
        <f t="shared" si="0"/>
        <v>42</v>
      </c>
      <c r="B48" s="572" t="s">
        <v>605</v>
      </c>
      <c r="C48" s="573"/>
      <c r="D48" s="573"/>
      <c r="E48" s="573"/>
      <c r="F48" s="573"/>
      <c r="G48" s="573"/>
      <c r="H48" s="573"/>
      <c r="I48" s="573"/>
      <c r="J48" s="573"/>
      <c r="K48" s="573"/>
      <c r="L48" s="573"/>
      <c r="M48" s="573"/>
      <c r="N48" s="573"/>
      <c r="O48" s="574"/>
    </row>
    <row r="49" spans="1:20" x14ac:dyDescent="0.25">
      <c r="A49" s="115">
        <f t="shared" si="0"/>
        <v>43</v>
      </c>
      <c r="B49" s="525"/>
      <c r="C49" s="452"/>
      <c r="D49" s="451" t="s">
        <v>604</v>
      </c>
      <c r="E49" s="451" t="s">
        <v>603</v>
      </c>
      <c r="F49" s="451" t="s">
        <v>602</v>
      </c>
      <c r="G49" s="451" t="s">
        <v>601</v>
      </c>
      <c r="H49" s="451" t="s">
        <v>600</v>
      </c>
      <c r="I49" s="451" t="s">
        <v>599</v>
      </c>
      <c r="J49" s="451" t="s">
        <v>598</v>
      </c>
      <c r="K49" s="451" t="s">
        <v>597</v>
      </c>
      <c r="L49" s="451" t="s">
        <v>596</v>
      </c>
      <c r="M49" s="451" t="s">
        <v>595</v>
      </c>
      <c r="N49" s="451" t="s">
        <v>594</v>
      </c>
      <c r="O49" s="526" t="s">
        <v>593</v>
      </c>
    </row>
    <row r="50" spans="1:20" x14ac:dyDescent="0.25">
      <c r="A50" s="115">
        <f t="shared" si="0"/>
        <v>44</v>
      </c>
      <c r="B50" s="114">
        <v>503</v>
      </c>
      <c r="D50" s="450">
        <f>(D30*H8)/J8</f>
        <v>37.864851117676473</v>
      </c>
      <c r="E50" s="450">
        <f>(D31*H8)/J8</f>
        <v>29.6542107693611</v>
      </c>
      <c r="F50" s="450">
        <f>(D32*H8)/J8</f>
        <v>24.140207005882367</v>
      </c>
      <c r="G50" s="450">
        <f>(D33*H8)/J8</f>
        <v>16.594693885828956</v>
      </c>
      <c r="H50" s="450">
        <f>(D34*H8)/J8</f>
        <v>9.9395528932733512</v>
      </c>
      <c r="I50" s="450">
        <f>(D35*H8)/J8</f>
        <v>6.3385700233872635</v>
      </c>
      <c r="J50" s="450">
        <f>(D36*H8)/J8</f>
        <v>4.8714738548689303</v>
      </c>
      <c r="K50" s="450">
        <f>(D37*H8)/J8</f>
        <v>2.3948462707306368</v>
      </c>
      <c r="L50" s="450">
        <f>(D38*H8)/J8</f>
        <v>6.8801168985425329</v>
      </c>
      <c r="M50" s="450">
        <f>(D39*H8)/J8</f>
        <v>14.746747732523408</v>
      </c>
      <c r="N50" s="450">
        <f>(D40*H8)/J8</f>
        <v>29.465729621352683</v>
      </c>
      <c r="O50" s="527">
        <f>(D41*H8)/J8</f>
        <v>37.697567005710006</v>
      </c>
      <c r="P50" s="449"/>
      <c r="Q50" s="449"/>
      <c r="R50" s="449"/>
    </row>
    <row r="51" spans="1:20" x14ac:dyDescent="0.25">
      <c r="A51" s="115">
        <f t="shared" si="0"/>
        <v>45</v>
      </c>
      <c r="B51" s="114"/>
      <c r="D51" s="450"/>
      <c r="E51" s="450"/>
      <c r="F51" s="450"/>
      <c r="G51" s="450"/>
      <c r="H51" s="450"/>
      <c r="I51" s="450"/>
      <c r="J51" s="450"/>
      <c r="K51" s="450"/>
      <c r="L51" s="450"/>
      <c r="M51" s="450"/>
      <c r="N51" s="450"/>
      <c r="O51" s="527"/>
    </row>
    <row r="52" spans="1:20" x14ac:dyDescent="0.25">
      <c r="A52" s="115">
        <f t="shared" si="0"/>
        <v>46</v>
      </c>
      <c r="B52" s="114"/>
      <c r="D52" s="115"/>
      <c r="E52" s="115"/>
      <c r="F52" s="115"/>
      <c r="G52" s="115"/>
      <c r="H52" s="115"/>
      <c r="I52" s="115"/>
      <c r="J52" s="115"/>
      <c r="K52" s="115"/>
      <c r="L52" s="115"/>
      <c r="M52" s="115"/>
      <c r="N52" s="115"/>
      <c r="O52" s="116"/>
    </row>
    <row r="53" spans="1:20" x14ac:dyDescent="0.25">
      <c r="A53" s="115">
        <f t="shared" si="0"/>
        <v>47</v>
      </c>
      <c r="B53" s="114">
        <v>504</v>
      </c>
      <c r="D53" s="450">
        <f>(E30*H10)/J10</f>
        <v>155.0301939329907</v>
      </c>
      <c r="E53" s="450">
        <f>(E31*H10)/J10</f>
        <v>129.12532385075775</v>
      </c>
      <c r="F53" s="450">
        <f>(E32*H10)/J10</f>
        <v>94.021825666124641</v>
      </c>
      <c r="G53" s="450">
        <f>(E33*H10)/J10</f>
        <v>70.836636769925633</v>
      </c>
      <c r="H53" s="450">
        <f>(E34*H10)/J10</f>
        <v>40.326976539067239</v>
      </c>
      <c r="I53" s="450">
        <f>(E35*H10)/J10</f>
        <v>35.529797852760701</v>
      </c>
      <c r="J53" s="450">
        <f>(E36*H10)/J10</f>
        <v>29.505212557937863</v>
      </c>
      <c r="K53" s="450">
        <f>(E37*H10)/J10</f>
        <v>16.50170719919042</v>
      </c>
      <c r="L53" s="450">
        <f>(E38*H10)/J10</f>
        <v>40.364459467480181</v>
      </c>
      <c r="M53" s="450">
        <f>(E39*H10)/J10</f>
        <v>71.046120683213331</v>
      </c>
      <c r="N53" s="450">
        <f>(E40*H10)/J10</f>
        <v>116.08052412775046</v>
      </c>
      <c r="O53" s="527">
        <f>(E41*H10)/J10</f>
        <v>154.2330665005943</v>
      </c>
    </row>
    <row r="54" spans="1:20" x14ac:dyDescent="0.25">
      <c r="A54" s="115">
        <f t="shared" si="0"/>
        <v>48</v>
      </c>
      <c r="B54" s="114"/>
      <c r="D54" s="450"/>
      <c r="E54" s="450"/>
      <c r="F54" s="450"/>
      <c r="G54" s="450"/>
      <c r="H54" s="450"/>
      <c r="I54" s="450"/>
      <c r="J54" s="450"/>
      <c r="K54" s="450"/>
      <c r="L54" s="450"/>
      <c r="M54" s="450"/>
      <c r="N54" s="450"/>
      <c r="O54" s="527"/>
    </row>
    <row r="55" spans="1:20" x14ac:dyDescent="0.25">
      <c r="A55" s="115">
        <f t="shared" si="0"/>
        <v>49</v>
      </c>
      <c r="B55" s="114"/>
      <c r="D55" s="115"/>
      <c r="E55" s="115"/>
      <c r="F55" s="115"/>
      <c r="G55" s="115"/>
      <c r="H55" s="115"/>
      <c r="I55" s="115"/>
      <c r="J55" s="115"/>
      <c r="K55" s="115"/>
      <c r="L55" s="115"/>
      <c r="M55" s="115"/>
      <c r="N55" s="115"/>
      <c r="O55" s="116"/>
    </row>
    <row r="56" spans="1:20" x14ac:dyDescent="0.25">
      <c r="A56" s="115">
        <f t="shared" si="0"/>
        <v>50</v>
      </c>
      <c r="B56" s="114">
        <v>505</v>
      </c>
      <c r="D56" s="450">
        <f>(F30*H12)/J12</f>
        <v>586.99844933412669</v>
      </c>
      <c r="E56" s="450">
        <f>(F31*H12)/J12</f>
        <v>468.27739544295281</v>
      </c>
      <c r="F56" s="450">
        <f>(F32*H12)/J12</f>
        <v>519.21861910692382</v>
      </c>
      <c r="G56" s="450">
        <f>(F33*H12)/J12</f>
        <v>407.72153257321963</v>
      </c>
      <c r="H56" s="450">
        <f>(F34*H12)/J12</f>
        <v>295.89868542059037</v>
      </c>
      <c r="I56" s="450">
        <f>(F35*H12)/J12</f>
        <v>219.80451884016784</v>
      </c>
      <c r="J56" s="450">
        <f>(F36*H12)/J12</f>
        <v>194.47933205453359</v>
      </c>
      <c r="K56" s="450">
        <f>(F37*H12)/J12</f>
        <v>206.30535255404914</v>
      </c>
      <c r="L56" s="450">
        <f>(F38*H12)/J12</f>
        <v>236.37244207490753</v>
      </c>
      <c r="M56" s="450">
        <f>(F39*H12)/J12</f>
        <v>378.48633433153663</v>
      </c>
      <c r="N56" s="450">
        <f>(F40*H12)/J12</f>
        <v>360.65818855381161</v>
      </c>
      <c r="O56" s="527">
        <f>(F41*H12)/J12</f>
        <v>535.56873890382599</v>
      </c>
    </row>
    <row r="57" spans="1:20" x14ac:dyDescent="0.25">
      <c r="A57" s="115">
        <f t="shared" si="0"/>
        <v>51</v>
      </c>
      <c r="B57" s="114"/>
      <c r="D57" s="450"/>
      <c r="E57" s="450"/>
      <c r="F57" s="450"/>
      <c r="G57" s="450"/>
      <c r="H57" s="450"/>
      <c r="I57" s="450"/>
      <c r="J57" s="450"/>
      <c r="K57" s="450"/>
      <c r="L57" s="450"/>
      <c r="M57" s="450"/>
      <c r="N57" s="450"/>
      <c r="O57" s="527"/>
    </row>
    <row r="58" spans="1:20" x14ac:dyDescent="0.25">
      <c r="A58" s="115">
        <f t="shared" si="0"/>
        <v>52</v>
      </c>
      <c r="B58" s="114"/>
      <c r="D58" s="450"/>
      <c r="E58" s="450"/>
      <c r="F58" s="450"/>
      <c r="G58" s="450"/>
      <c r="H58" s="450"/>
      <c r="I58" s="450"/>
      <c r="J58" s="450"/>
      <c r="K58" s="450"/>
      <c r="L58" s="450"/>
      <c r="M58" s="450"/>
      <c r="N58" s="450"/>
      <c r="O58" s="527"/>
      <c r="P58" s="449"/>
      <c r="Q58" s="449"/>
      <c r="R58" s="449"/>
      <c r="S58" s="449"/>
    </row>
    <row r="59" spans="1:20" x14ac:dyDescent="0.25">
      <c r="A59" s="115">
        <f t="shared" si="0"/>
        <v>53</v>
      </c>
      <c r="B59" s="114">
        <v>511</v>
      </c>
      <c r="D59" s="450">
        <f>(G30*H14)/J14</f>
        <v>3540.5586246649177</v>
      </c>
      <c r="E59" s="450">
        <f>(G31*H14)/J14</f>
        <v>2447.1230358485686</v>
      </c>
      <c r="F59" s="450">
        <f>(G32*H14)/J14</f>
        <v>2877.253756264221</v>
      </c>
      <c r="G59" s="450">
        <f>(G33*H14)/J14</f>
        <v>2422.2051003486031</v>
      </c>
      <c r="H59" s="450">
        <f>(G34*H14)/J14</f>
        <v>1848.6987200692536</v>
      </c>
      <c r="I59" s="450">
        <f>(G35*H14)/J14</f>
        <v>1319.1664183981459</v>
      </c>
      <c r="J59" s="450">
        <f>(G36*H14)/J14</f>
        <v>1142.9130273687324</v>
      </c>
      <c r="K59" s="450">
        <f>(G37*H14)/J14</f>
        <v>1154.8877701607614</v>
      </c>
      <c r="L59" s="450">
        <f>(G38*H14)/J14</f>
        <v>1088.5345233618998</v>
      </c>
      <c r="M59" s="450">
        <f>(G39*H14)/J14</f>
        <v>1838.2600654092143</v>
      </c>
      <c r="N59" s="450">
        <f>(G40*H14)/J14</f>
        <v>1693.7282268368961</v>
      </c>
      <c r="O59" s="527">
        <f>(G41*H14)/J14</f>
        <v>2928.6285889060905</v>
      </c>
      <c r="P59" s="449"/>
      <c r="Q59" s="449"/>
      <c r="R59" s="449"/>
      <c r="S59" s="449"/>
    </row>
    <row r="60" spans="1:20" x14ac:dyDescent="0.25">
      <c r="A60" s="115">
        <f t="shared" si="0"/>
        <v>54</v>
      </c>
      <c r="B60" s="114"/>
      <c r="D60" s="450"/>
      <c r="E60" s="450"/>
      <c r="F60" s="450"/>
      <c r="G60" s="450"/>
      <c r="H60" s="450"/>
      <c r="I60" s="450"/>
      <c r="J60" s="450"/>
      <c r="K60" s="450"/>
      <c r="L60" s="450"/>
      <c r="M60" s="450"/>
      <c r="N60" s="450"/>
      <c r="O60" s="527"/>
    </row>
    <row r="61" spans="1:20" x14ac:dyDescent="0.25">
      <c r="A61" s="115">
        <f t="shared" si="0"/>
        <v>55</v>
      </c>
      <c r="B61" s="114"/>
      <c r="D61" s="115"/>
      <c r="E61" s="115"/>
      <c r="F61" s="115"/>
      <c r="G61" s="115"/>
      <c r="H61" s="115"/>
      <c r="I61" s="115"/>
      <c r="J61" s="115"/>
      <c r="K61" s="115"/>
      <c r="L61" s="115"/>
      <c r="M61" s="115"/>
      <c r="N61" s="115"/>
      <c r="O61" s="116"/>
    </row>
    <row r="62" spans="1:20" x14ac:dyDescent="0.25">
      <c r="A62" s="115">
        <f t="shared" si="0"/>
        <v>56</v>
      </c>
      <c r="B62" s="114">
        <v>570</v>
      </c>
      <c r="D62" s="450">
        <f>(H30*H16)/J16</f>
        <v>1857.6221682116727</v>
      </c>
      <c r="E62" s="450">
        <f>(H31*H16)/J16</f>
        <v>1791.3876605532744</v>
      </c>
      <c r="F62" s="450">
        <f>(H32*H16)/J16</f>
        <v>1743.1324546458738</v>
      </c>
      <c r="G62" s="450">
        <f>(H33*H16)/J16</f>
        <v>1729.6064012450411</v>
      </c>
      <c r="H62" s="450">
        <f>(H34*H16)/J16</f>
        <v>1440.9915927898517</v>
      </c>
      <c r="I62" s="450">
        <f>(H35*H16)/J16</f>
        <v>1040.3399474861005</v>
      </c>
      <c r="J62" s="450">
        <f>(H36*H16)/J16</f>
        <v>834.40237420089386</v>
      </c>
      <c r="K62" s="450">
        <f>(H37*H16)/J16</f>
        <v>892.65408228635272</v>
      </c>
      <c r="L62" s="450">
        <f>(H38*H16)/J16</f>
        <v>756.28844367609668</v>
      </c>
      <c r="M62" s="450">
        <f>(H39*H16)/J16</f>
        <v>960.79789929727929</v>
      </c>
      <c r="N62" s="450">
        <f>(H40*H16)/J16</f>
        <v>1601.3308902808994</v>
      </c>
      <c r="O62" s="527">
        <f>(H41*H16)/J16</f>
        <v>1762.85492255853</v>
      </c>
      <c r="P62" s="449"/>
      <c r="Q62" s="449"/>
      <c r="R62" s="449"/>
      <c r="S62" s="449"/>
      <c r="T62" s="449"/>
    </row>
    <row r="63" spans="1:20" ht="15.75" thickBot="1" x14ac:dyDescent="0.3">
      <c r="A63" s="115">
        <f t="shared" si="0"/>
        <v>57</v>
      </c>
      <c r="B63" s="234"/>
      <c r="C63" s="235"/>
      <c r="D63" s="463"/>
      <c r="E63" s="463"/>
      <c r="F63" s="463"/>
      <c r="G63" s="463"/>
      <c r="H63" s="463"/>
      <c r="I63" s="463"/>
      <c r="J63" s="463"/>
      <c r="K63" s="463"/>
      <c r="L63" s="463"/>
      <c r="M63" s="463"/>
      <c r="N63" s="463"/>
      <c r="O63" s="528"/>
    </row>
    <row r="64" spans="1:20" x14ac:dyDescent="0.25">
      <c r="A64" s="115">
        <f t="shared" si="0"/>
        <v>58</v>
      </c>
      <c r="B64" s="114" t="s">
        <v>592</v>
      </c>
      <c r="J64" s="435"/>
    </row>
    <row r="65" spans="1:10" x14ac:dyDescent="0.25">
      <c r="A65" s="115">
        <f t="shared" si="0"/>
        <v>59</v>
      </c>
      <c r="B65" s="465">
        <v>-6</v>
      </c>
      <c r="D65" t="s">
        <v>623</v>
      </c>
      <c r="J65" s="435"/>
    </row>
    <row r="66" spans="1:10" ht="15.75" thickBot="1" x14ac:dyDescent="0.3">
      <c r="B66" s="234"/>
      <c r="C66" s="235"/>
      <c r="D66" s="235"/>
      <c r="E66" s="235"/>
      <c r="F66" s="235"/>
      <c r="G66" s="235"/>
      <c r="H66" s="235"/>
      <c r="I66" s="235"/>
      <c r="J66" s="236"/>
    </row>
  </sheetData>
  <mergeCells count="5">
    <mergeCell ref="B48:O48"/>
    <mergeCell ref="B27:H27"/>
    <mergeCell ref="B6:J6"/>
    <mergeCell ref="B26:H26"/>
    <mergeCell ref="B46:O46"/>
  </mergeCells>
  <pageMargins left="0.7" right="0.7" top="0.75" bottom="0.75" header="0.3" footer="0.3"/>
  <pageSetup scale="50" orientation="landscape" r:id="rId1"/>
  <headerFooter scaleWithDoc="0">
    <oddHeader xml:space="preserve">&amp;C&amp;"-,Bold"      Cascade Natural Gas Corporation             
Decoupling Mechanism, Authorized Revenue Per Customer    
&amp;RDocket No. UG-19____
Exhibit No. ___ (IDM-5)
Page 1 of 1
</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
  <sheetViews>
    <sheetView workbookViewId="0">
      <selection activeCell="A31" sqref="A31"/>
    </sheetView>
  </sheetViews>
  <sheetFormatPr defaultRowHeight="15" x14ac:dyDescent="0.25"/>
  <sheetData/>
  <printOptions horizontalCentered="1"/>
  <pageMargins left="0.5" right="0.5" top="0.75" bottom="0.75" header="0.5" footer="0.3"/>
  <pageSetup fitToHeight="0" orientation="landscape" horizontalDpi="1200" verticalDpi="1200" r:id="rId1"/>
  <headerFooter scaleWithDoc="0">
    <oddHeader>&amp;C&amp;10Cascade Natural Gas Corporation
Revenue Proof&amp;R&amp;9CNGC/401
Myhrum/Page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2019-03-29T07:00:00+00:00</OpenedDate>
    <SignificantOrder xmlns="dc463f71-b30c-4ab2-9473-d307f9d35888">false</SignificantOrder>
    <Date1 xmlns="dc463f71-b30c-4ab2-9473-d307f9d35888">2019-03-29T07:00:00+00:00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190210</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C2A143B775EEB47B26371B22E6028EB" ma:contentTypeVersion="48" ma:contentTypeDescription="" ma:contentTypeScope="" ma:versionID="57225535d4ae0bfbfa2efb1b5fb9ed5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FCBABF-8DDF-4531-8B08-1490BD5697E4}">
  <ds:schemaRefs>
    <ds:schemaRef ds:uri="http://schemas.microsoft.com/sharepoint/v3/contenttype/forms"/>
  </ds:schemaRefs>
</ds:datastoreItem>
</file>

<file path=customXml/itemProps2.xml><?xml version="1.0" encoding="utf-8"?>
<ds:datastoreItem xmlns:ds="http://schemas.openxmlformats.org/officeDocument/2006/customXml" ds:itemID="{454F412B-D453-4E4F-BDF7-0B92F1E0B637}">
  <ds:schemaRefs>
    <ds:schemaRef ds:uri="http://schemas.openxmlformats.org/package/2006/metadata/core-properties"/>
    <ds:schemaRef ds:uri="25d9b2a2-6584-4708-8a11-b3efe29705c4"/>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0a9d502d-f25e-40c1-b04b-e3e8f78f831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7645255-0F22-4103-A0F0-6D0905E56245}"/>
</file>

<file path=customXml/itemProps4.xml><?xml version="1.0" encoding="utf-8"?>
<ds:datastoreItem xmlns:ds="http://schemas.openxmlformats.org/officeDocument/2006/customXml" ds:itemID="{6A77A749-BC40-41F8-A544-0B04C6CADB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IDM-2 Cover Page</vt:lpstr>
      <vt:lpstr>Exh IDM-2 - Revenue Summary</vt:lpstr>
      <vt:lpstr>IDM-3 Cover Page</vt:lpstr>
      <vt:lpstr>Exh IDM-3 - Revenue Adjustments</vt:lpstr>
      <vt:lpstr>IDM-4 Cover Page</vt:lpstr>
      <vt:lpstr>Exh IDM-4 -Revenue Distribution</vt:lpstr>
      <vt:lpstr>IDM-5 Cover Page</vt:lpstr>
      <vt:lpstr>Exh IDM-5 Decoup. Exhibit</vt:lpstr>
      <vt:lpstr>WORKPAPERS---&gt;</vt:lpstr>
      <vt:lpstr>Index</vt:lpstr>
      <vt:lpstr>1501 Summary</vt:lpstr>
      <vt:lpstr>Rev Recon Summary</vt:lpstr>
      <vt:lpstr>End of Period Calculations</vt:lpstr>
      <vt:lpstr>Allocation Report Summary</vt:lpstr>
      <vt:lpstr>Weather Normalization</vt:lpstr>
      <vt:lpstr>WACAP2018</vt:lpstr>
      <vt:lpstr>'1501 Summary'!Print_Area</vt:lpstr>
      <vt:lpstr>'Allocation Report Summary'!Print_Area</vt:lpstr>
      <vt:lpstr>'Exh IDM-2 - Revenue Summary'!Print_Area</vt:lpstr>
      <vt:lpstr>'Exh IDM-5 Decoup. Exhibit'!Print_Area</vt:lpstr>
      <vt:lpstr>'IDM-2 Cover Page'!Print_Area</vt:lpstr>
      <vt:lpstr>'IDM-3 Cover Page'!Print_Area</vt:lpstr>
      <vt:lpstr>'IDM-4 Cover Page'!Print_Area</vt:lpstr>
      <vt:lpstr>'IDM-5 Cover Page'!Print_Area</vt:lpstr>
      <vt:lpstr>Index!Print_Area</vt:lpstr>
      <vt:lpstr>WACAP2018!Print_Area</vt:lpstr>
      <vt:lpstr>'Exh IDM-2 - Revenue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Macias</dc:creator>
  <cp:lastModifiedBy>Peters, Maryalice</cp:lastModifiedBy>
  <cp:lastPrinted>2019-03-28T20:51:28Z</cp:lastPrinted>
  <dcterms:created xsi:type="dcterms:W3CDTF">2017-12-06T18:16:11Z</dcterms:created>
  <dcterms:modified xsi:type="dcterms:W3CDTF">2019-03-29T16:18:13Z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0x0101006E56B4D1795A2E4DB2F0B01679ED314A004C2A143B775EEB47B26371B22E6028EB</vt:lpwstr>
  </property>
  <property fmtid="{D5CDD505-2E9C-101B-9397-08002B2CF9AE}" pid="3" name="_dlc_DocIdItemGuid">
    <vt:lpwstr>540b8544-5d2e-4896-8ead-1dd507e4c4db</vt:lpwstr>
  </property>
  <property fmtid="{D5CDD505-2E9C-101B-9397-08002B2CF9AE}" pid="4" name="_docset_NoMedatataSyncRequired">
    <vt:lpwstr>False</vt:lpwstr>
  </property>
  <property fmtid="{D5CDD505-2E9C-101B-9397-08002B2CF9AE}" pid="5" name="IsEFSEC">
    <vt:bool>false</vt:bool>
  </property>
</Properties>
</file>