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2018 WA REC Revenue Annual Adjustment\Filing 6-14-18\"/>
    </mc:Choice>
  </mc:AlternateContent>
  <bookViews>
    <workbookView xWindow="315" yWindow="90" windowWidth="16260" windowHeight="7080" tabRatio="715"/>
  </bookViews>
  <sheets>
    <sheet name="Rate Design" sheetId="2" r:id="rId1"/>
    <sheet name="7-2018 thru 6-2019 RECs" sheetId="1" r:id="rId2"/>
    <sheet name="3-2018 thru 6-2018 RECs" sheetId="8" r:id="rId3"/>
    <sheet name="Forecast Balance" sheetId="5" r:id="rId4"/>
    <sheet name="Forecasted Revenue" sheetId="6" r:id="rId5"/>
    <sheet name="kWh Forecast" sheetId="3" r:id="rId6"/>
    <sheet name="CF WA Elec" sheetId="9" r:id="rId7"/>
  </sheets>
  <externalReferences>
    <externalReference r:id="rId8"/>
    <externalReference r:id="rId9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3">'Forecast Balance'!$A$1:$T$27</definedName>
    <definedName name="_xlnm.Print_Area" localSheetId="4">'Forecasted Revenue'!$A$1:$S$43</definedName>
    <definedName name="_xlnm.Print_Area" localSheetId="5">'kWh Forecast'!$A$1:$R$56</definedName>
    <definedName name="_xlnm.Print_Area" localSheetId="0">'Rate Design'!$A$1:$J$46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J4" i="5" l="1"/>
  <c r="K4" i="5"/>
  <c r="L4" i="5"/>
  <c r="M4" i="5"/>
  <c r="N4" i="5"/>
  <c r="O4" i="5"/>
  <c r="P4" i="5"/>
  <c r="Q4" i="5"/>
  <c r="R4" i="5"/>
  <c r="S4" i="5"/>
  <c r="T4" i="5"/>
  <c r="I4" i="5"/>
  <c r="E3" i="5" l="1"/>
  <c r="F3" i="5"/>
  <c r="G3" i="5"/>
  <c r="D25" i="5" l="1"/>
  <c r="C25" i="5" l="1"/>
  <c r="N41" i="2" l="1"/>
  <c r="C42" i="2"/>
  <c r="N40" i="2"/>
  <c r="T11" i="6" l="1"/>
  <c r="T6" i="6"/>
  <c r="T7" i="6"/>
  <c r="T8" i="6"/>
  <c r="T9" i="6"/>
  <c r="T10" i="6"/>
  <c r="T5" i="6"/>
  <c r="H4" i="5" l="1"/>
  <c r="G4" i="5"/>
  <c r="G5" i="5" s="1"/>
  <c r="F4" i="5"/>
  <c r="O42" i="3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E4" i="5" l="1"/>
  <c r="C5" i="5"/>
  <c r="C6" i="5" s="1"/>
  <c r="D5" i="5"/>
  <c r="D6" i="5" l="1"/>
  <c r="A1" i="9"/>
  <c r="E17" i="9" l="1"/>
  <c r="E19" i="9" s="1"/>
  <c r="E21" i="9" l="1"/>
  <c r="E23" i="9" s="1"/>
  <c r="C32" i="6"/>
  <c r="B18" i="3" l="1"/>
  <c r="E2" i="1" l="1"/>
  <c r="B17" i="5" l="1"/>
  <c r="R51" i="3"/>
  <c r="Q49" i="3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R41" i="3"/>
  <c r="R40" i="3"/>
  <c r="R39" i="3"/>
  <c r="R38" i="3"/>
  <c r="R37" i="3"/>
  <c r="R36" i="3"/>
  <c r="R35" i="3"/>
  <c r="R34" i="3"/>
  <c r="R33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R25" i="3"/>
  <c r="Q23" i="3"/>
  <c r="S10" i="6" s="1"/>
  <c r="P23" i="3"/>
  <c r="O23" i="3"/>
  <c r="Q10" i="6" s="1"/>
  <c r="N23" i="3"/>
  <c r="P10" i="6" s="1"/>
  <c r="M23" i="3"/>
  <c r="O10" i="6" s="1"/>
  <c r="L23" i="3"/>
  <c r="N10" i="6" s="1"/>
  <c r="K23" i="3"/>
  <c r="M10" i="6" s="1"/>
  <c r="J23" i="3"/>
  <c r="L10" i="6" s="1"/>
  <c r="I23" i="3"/>
  <c r="K10" i="6" s="1"/>
  <c r="H23" i="3"/>
  <c r="J10" i="6" s="1"/>
  <c r="G23" i="3"/>
  <c r="I10" i="6" s="1"/>
  <c r="F23" i="3"/>
  <c r="H10" i="6" s="1"/>
  <c r="Q22" i="3"/>
  <c r="S9" i="6" s="1"/>
  <c r="P22" i="3"/>
  <c r="R9" i="6" s="1"/>
  <c r="O22" i="3"/>
  <c r="N22" i="3"/>
  <c r="P9" i="6" s="1"/>
  <c r="M22" i="3"/>
  <c r="O9" i="6" s="1"/>
  <c r="L22" i="3"/>
  <c r="N9" i="6" s="1"/>
  <c r="K22" i="3"/>
  <c r="M9" i="6" s="1"/>
  <c r="J22" i="3"/>
  <c r="I22" i="3"/>
  <c r="K9" i="6" s="1"/>
  <c r="H22" i="3"/>
  <c r="J9" i="6" s="1"/>
  <c r="G22" i="3"/>
  <c r="I9" i="6" s="1"/>
  <c r="F22" i="3"/>
  <c r="H9" i="6" s="1"/>
  <c r="Q21" i="3"/>
  <c r="S8" i="6" s="1"/>
  <c r="P21" i="3"/>
  <c r="R8" i="6" s="1"/>
  <c r="O21" i="3"/>
  <c r="Q8" i="6" s="1"/>
  <c r="N21" i="3"/>
  <c r="P8" i="6" s="1"/>
  <c r="M21" i="3"/>
  <c r="O8" i="6" s="1"/>
  <c r="L21" i="3"/>
  <c r="N8" i="6" s="1"/>
  <c r="K21" i="3"/>
  <c r="M8" i="6" s="1"/>
  <c r="J21" i="3"/>
  <c r="L8" i="6" s="1"/>
  <c r="I21" i="3"/>
  <c r="K8" i="6" s="1"/>
  <c r="H21" i="3"/>
  <c r="J8" i="6" s="1"/>
  <c r="G21" i="3"/>
  <c r="I8" i="6" s="1"/>
  <c r="F21" i="3"/>
  <c r="H8" i="6" s="1"/>
  <c r="Q20" i="3"/>
  <c r="S7" i="6" s="1"/>
  <c r="P20" i="3"/>
  <c r="R7" i="6" s="1"/>
  <c r="O20" i="3"/>
  <c r="Q7" i="6" s="1"/>
  <c r="N20" i="3"/>
  <c r="P7" i="6" s="1"/>
  <c r="M20" i="3"/>
  <c r="O7" i="6" s="1"/>
  <c r="L20" i="3"/>
  <c r="N7" i="6" s="1"/>
  <c r="K20" i="3"/>
  <c r="M7" i="6" s="1"/>
  <c r="J20" i="3"/>
  <c r="L7" i="6" s="1"/>
  <c r="I20" i="3"/>
  <c r="K7" i="6" s="1"/>
  <c r="H20" i="3"/>
  <c r="J7" i="6" s="1"/>
  <c r="G20" i="3"/>
  <c r="I7" i="6" s="1"/>
  <c r="F20" i="3"/>
  <c r="H7" i="6" s="1"/>
  <c r="Q19" i="3"/>
  <c r="S6" i="6" s="1"/>
  <c r="P19" i="3"/>
  <c r="R6" i="6" s="1"/>
  <c r="O19" i="3"/>
  <c r="Q6" i="6" s="1"/>
  <c r="N19" i="3"/>
  <c r="P6" i="6" s="1"/>
  <c r="M19" i="3"/>
  <c r="O6" i="6" s="1"/>
  <c r="L19" i="3"/>
  <c r="N6" i="6" s="1"/>
  <c r="K19" i="3"/>
  <c r="M6" i="6" s="1"/>
  <c r="J19" i="3"/>
  <c r="L6" i="6" s="1"/>
  <c r="I19" i="3"/>
  <c r="K6" i="6" s="1"/>
  <c r="H19" i="3"/>
  <c r="J6" i="6" s="1"/>
  <c r="G19" i="3"/>
  <c r="I6" i="6" s="1"/>
  <c r="F19" i="3"/>
  <c r="Q18" i="3"/>
  <c r="S5" i="6" s="1"/>
  <c r="P18" i="3"/>
  <c r="O18" i="3"/>
  <c r="Q5" i="6" s="1"/>
  <c r="N18" i="3"/>
  <c r="N26" i="3" s="1"/>
  <c r="M18" i="3"/>
  <c r="O5" i="6" s="1"/>
  <c r="L18" i="3"/>
  <c r="K18" i="3"/>
  <c r="M5" i="6" s="1"/>
  <c r="J18" i="3"/>
  <c r="J26" i="3" s="1"/>
  <c r="I18" i="3"/>
  <c r="K5" i="6" s="1"/>
  <c r="H18" i="3"/>
  <c r="G18" i="3"/>
  <c r="I5" i="6" s="1"/>
  <c r="F18" i="3"/>
  <c r="F26" i="3" s="1"/>
  <c r="R15" i="3"/>
  <c r="R14" i="3"/>
  <c r="R13" i="3"/>
  <c r="R12" i="3"/>
  <c r="R11" i="3"/>
  <c r="R10" i="3"/>
  <c r="R9" i="3"/>
  <c r="R8" i="3"/>
  <c r="R7" i="3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G15" i="6"/>
  <c r="F15" i="6"/>
  <c r="E15" i="6"/>
  <c r="D15" i="6"/>
  <c r="R10" i="6"/>
  <c r="Q9" i="6"/>
  <c r="L9" i="6"/>
  <c r="E2" i="8"/>
  <c r="C22" i="2"/>
  <c r="A19" i="2"/>
  <c r="A18" i="2"/>
  <c r="A17" i="2"/>
  <c r="A16" i="2"/>
  <c r="A15" i="2"/>
  <c r="A14" i="2"/>
  <c r="A13" i="2"/>
  <c r="A12" i="2"/>
  <c r="A11" i="2"/>
  <c r="A10" i="2"/>
  <c r="A9" i="2"/>
  <c r="A8" i="2"/>
  <c r="I50" i="3" l="1"/>
  <c r="M50" i="3"/>
  <c r="Q52" i="3"/>
  <c r="F52" i="3"/>
  <c r="J52" i="3"/>
  <c r="N52" i="3"/>
  <c r="G52" i="3"/>
  <c r="K52" i="3"/>
  <c r="O52" i="3"/>
  <c r="H50" i="3"/>
  <c r="L50" i="3"/>
  <c r="P50" i="3"/>
  <c r="P5" i="6"/>
  <c r="R16" i="3"/>
  <c r="C7" i="5"/>
  <c r="C8" i="5" s="1"/>
  <c r="D7" i="5"/>
  <c r="R42" i="3"/>
  <c r="R19" i="3"/>
  <c r="E10" i="2" s="1"/>
  <c r="J24" i="3"/>
  <c r="L5" i="6"/>
  <c r="L11" i="6" s="1"/>
  <c r="H5" i="6"/>
  <c r="H6" i="6"/>
  <c r="R45" i="3"/>
  <c r="E12" i="2" s="1"/>
  <c r="Q50" i="3"/>
  <c r="R46" i="3"/>
  <c r="F12" i="2" s="1"/>
  <c r="R47" i="3"/>
  <c r="G12" i="2" s="1"/>
  <c r="R48" i="3"/>
  <c r="H12" i="2" s="1"/>
  <c r="R49" i="3"/>
  <c r="F50" i="3"/>
  <c r="J50" i="3"/>
  <c r="N50" i="3"/>
  <c r="H52" i="3"/>
  <c r="L52" i="3"/>
  <c r="P52" i="3"/>
  <c r="G50" i="3"/>
  <c r="K50" i="3"/>
  <c r="O50" i="3"/>
  <c r="I52" i="3"/>
  <c r="M52" i="3"/>
  <c r="R44" i="3"/>
  <c r="I11" i="6"/>
  <c r="Q11" i="6"/>
  <c r="R20" i="3"/>
  <c r="F10" i="2" s="1"/>
  <c r="M11" i="6"/>
  <c r="G24" i="3"/>
  <c r="K24" i="3"/>
  <c r="O24" i="3"/>
  <c r="R21" i="3"/>
  <c r="G10" i="2" s="1"/>
  <c r="R22" i="3"/>
  <c r="H10" i="2" s="1"/>
  <c r="R23" i="3"/>
  <c r="I10" i="2" s="1"/>
  <c r="F24" i="3"/>
  <c r="H24" i="3"/>
  <c r="J5" i="6"/>
  <c r="L24" i="3"/>
  <c r="N5" i="6"/>
  <c r="P24" i="3"/>
  <c r="R5" i="6"/>
  <c r="H26" i="3"/>
  <c r="I26" i="3"/>
  <c r="M26" i="3"/>
  <c r="Q26" i="3"/>
  <c r="N24" i="3"/>
  <c r="L26" i="3"/>
  <c r="P26" i="3"/>
  <c r="P11" i="6"/>
  <c r="I24" i="3"/>
  <c r="M24" i="3"/>
  <c r="Q24" i="3"/>
  <c r="G26" i="3"/>
  <c r="K26" i="3"/>
  <c r="O26" i="3"/>
  <c r="K11" i="6"/>
  <c r="O11" i="6"/>
  <c r="S11" i="6"/>
  <c r="R18" i="3"/>
  <c r="D8" i="5" l="1"/>
  <c r="S12" i="6"/>
  <c r="P12" i="6"/>
  <c r="M12" i="6"/>
  <c r="H11" i="6"/>
  <c r="H12" i="6" s="1"/>
  <c r="R26" i="3"/>
  <c r="K12" i="6"/>
  <c r="L12" i="6"/>
  <c r="R52" i="3"/>
  <c r="D12" i="2"/>
  <c r="C12" i="2" s="1"/>
  <c r="R50" i="3"/>
  <c r="R24" i="3"/>
  <c r="D10" i="2"/>
  <c r="R11" i="6"/>
  <c r="R12" i="6" s="1"/>
  <c r="J11" i="6"/>
  <c r="J12" i="6" s="1"/>
  <c r="I12" i="6"/>
  <c r="N11" i="6"/>
  <c r="N12" i="6" s="1"/>
  <c r="O12" i="6"/>
  <c r="Q12" i="6"/>
  <c r="D23" i="3"/>
  <c r="F10" i="6"/>
  <c r="F29" i="6" s="1"/>
  <c r="F38" i="6" s="1"/>
  <c r="D19" i="3"/>
  <c r="F6" i="6" s="1"/>
  <c r="F25" i="6" s="1"/>
  <c r="F34" i="6" s="1"/>
  <c r="C22" i="3"/>
  <c r="E9" i="6" s="1"/>
  <c r="E28" i="6" s="1"/>
  <c r="E37" i="6" s="1"/>
  <c r="B23" i="3"/>
  <c r="D10" i="6" s="1"/>
  <c r="D29" i="6" s="1"/>
  <c r="D38" i="6" s="1"/>
  <c r="C19" i="3"/>
  <c r="E6" i="6" s="1"/>
  <c r="E25" i="6" s="1"/>
  <c r="E34" i="6" s="1"/>
  <c r="B22" i="3"/>
  <c r="D9" i="6" s="1"/>
  <c r="D28" i="6" s="1"/>
  <c r="D37" i="6" s="1"/>
  <c r="C21" i="3"/>
  <c r="E8" i="6" s="1"/>
  <c r="E27" i="6" s="1"/>
  <c r="E36" i="6" s="1"/>
  <c r="E23" i="3"/>
  <c r="G10" i="6" s="1"/>
  <c r="G29" i="6" s="1"/>
  <c r="G38" i="6" s="1"/>
  <c r="E20" i="3"/>
  <c r="G7" i="6" s="1"/>
  <c r="G26" i="6" s="1"/>
  <c r="G35" i="6" s="1"/>
  <c r="B21" i="3"/>
  <c r="D8" i="6" s="1"/>
  <c r="D27" i="6" s="1"/>
  <c r="D36" i="6" s="1"/>
  <c r="D22" i="3"/>
  <c r="F9" i="6" s="1"/>
  <c r="F28" i="6" s="1"/>
  <c r="F37" i="6" s="1"/>
  <c r="B19" i="3"/>
  <c r="E21" i="3"/>
  <c r="G8" i="6" s="1"/>
  <c r="G27" i="6" s="1"/>
  <c r="G36" i="6" s="1"/>
  <c r="B20" i="3"/>
  <c r="D7" i="6" s="1"/>
  <c r="D26" i="6" s="1"/>
  <c r="D35" i="6" s="1"/>
  <c r="D18" i="3"/>
  <c r="F5" i="6" s="1"/>
  <c r="D20" i="3"/>
  <c r="F7" i="6" s="1"/>
  <c r="F26" i="6" s="1"/>
  <c r="F35" i="6" s="1"/>
  <c r="C23" i="3"/>
  <c r="E10" i="6" s="1"/>
  <c r="E29" i="6" s="1"/>
  <c r="E38" i="6" s="1"/>
  <c r="C20" i="3"/>
  <c r="E7" i="6" s="1"/>
  <c r="E26" i="6" s="1"/>
  <c r="E35" i="6" s="1"/>
  <c r="D21" i="3"/>
  <c r="F8" i="6" s="1"/>
  <c r="F27" i="6" s="1"/>
  <c r="F36" i="6" s="1"/>
  <c r="E22" i="3"/>
  <c r="G9" i="6" s="1"/>
  <c r="G28" i="6" s="1"/>
  <c r="G37" i="6" s="1"/>
  <c r="E19" i="3"/>
  <c r="G6" i="6" s="1"/>
  <c r="G25" i="6" s="1"/>
  <c r="G34" i="6" s="1"/>
  <c r="E18" i="3"/>
  <c r="C18" i="3"/>
  <c r="E5" i="6" s="1"/>
  <c r="D6" i="6" l="1"/>
  <c r="D25" i="6" s="1"/>
  <c r="D34" i="6" s="1"/>
  <c r="B26" i="3"/>
  <c r="D9" i="2"/>
  <c r="D11" i="2" s="1"/>
  <c r="D16" i="2" s="1"/>
  <c r="D25" i="2" s="1"/>
  <c r="C44" i="2" s="1"/>
  <c r="E26" i="3"/>
  <c r="C10" i="2"/>
  <c r="G5" i="6"/>
  <c r="G24" i="6" s="1"/>
  <c r="D26" i="3"/>
  <c r="B24" i="3"/>
  <c r="E11" i="6"/>
  <c r="E24" i="6"/>
  <c r="F11" i="6"/>
  <c r="E24" i="3"/>
  <c r="C24" i="3"/>
  <c r="G11" i="6"/>
  <c r="C26" i="3"/>
  <c r="D24" i="3"/>
  <c r="D5" i="6"/>
  <c r="F24" i="6"/>
  <c r="G33" i="6" l="1"/>
  <c r="G39" i="6" s="1"/>
  <c r="H3" i="5" s="1"/>
  <c r="H5" i="5" s="1"/>
  <c r="G30" i="6"/>
  <c r="E9" i="2"/>
  <c r="E11" i="2" s="1"/>
  <c r="F9" i="2"/>
  <c r="F11" i="2" s="1"/>
  <c r="H9" i="2"/>
  <c r="H11" i="2" s="1"/>
  <c r="G9" i="2"/>
  <c r="G11" i="2" s="1"/>
  <c r="I9" i="2"/>
  <c r="I11" i="2" s="1"/>
  <c r="I16" i="2" s="1"/>
  <c r="F30" i="6"/>
  <c r="F33" i="6"/>
  <c r="F39" i="6" s="1"/>
  <c r="D24" i="6"/>
  <c r="D11" i="6"/>
  <c r="E30" i="6"/>
  <c r="E33" i="6"/>
  <c r="E39" i="6" s="1"/>
  <c r="F5" i="5" s="1"/>
  <c r="C8" i="2" l="1"/>
  <c r="F16" i="2"/>
  <c r="F13" i="2"/>
  <c r="F14" i="2"/>
  <c r="S20" i="6"/>
  <c r="S29" i="6" s="1"/>
  <c r="S38" i="6" s="1"/>
  <c r="N20" i="6"/>
  <c r="N29" i="6" s="1"/>
  <c r="N38" i="6" s="1"/>
  <c r="H20" i="6"/>
  <c r="H29" i="6" s="1"/>
  <c r="H38" i="6" s="1"/>
  <c r="I20" i="6"/>
  <c r="I29" i="6" s="1"/>
  <c r="I38" i="6" s="1"/>
  <c r="O20" i="6"/>
  <c r="O29" i="6" s="1"/>
  <c r="O38" i="6" s="1"/>
  <c r="J20" i="6"/>
  <c r="J29" i="6" s="1"/>
  <c r="J38" i="6" s="1"/>
  <c r="Q20" i="6"/>
  <c r="Q29" i="6" s="1"/>
  <c r="Q38" i="6" s="1"/>
  <c r="K20" i="6"/>
  <c r="K29" i="6" s="1"/>
  <c r="K38" i="6" s="1"/>
  <c r="P20" i="6"/>
  <c r="P29" i="6" s="1"/>
  <c r="P38" i="6" s="1"/>
  <c r="I18" i="2"/>
  <c r="I19" i="2" s="1"/>
  <c r="I23" i="2" s="1"/>
  <c r="O51" i="2" s="1"/>
  <c r="R20" i="6"/>
  <c r="R29" i="6" s="1"/>
  <c r="R38" i="6" s="1"/>
  <c r="L20" i="6"/>
  <c r="L29" i="6" s="1"/>
  <c r="L38" i="6" s="1"/>
  <c r="M20" i="6"/>
  <c r="M29" i="6" s="1"/>
  <c r="M38" i="6" s="1"/>
  <c r="E13" i="2"/>
  <c r="E14" i="2"/>
  <c r="E16" i="2"/>
  <c r="G16" i="2"/>
  <c r="G13" i="2"/>
  <c r="G14" i="2"/>
  <c r="H16" i="2"/>
  <c r="H13" i="2"/>
  <c r="H14" i="2"/>
  <c r="D30" i="6"/>
  <c r="D33" i="6"/>
  <c r="D39" i="6" s="1"/>
  <c r="E5" i="5" s="1"/>
  <c r="E7" i="5" s="1"/>
  <c r="R18" i="6" l="1"/>
  <c r="R27" i="6" s="1"/>
  <c r="R36" i="6" s="1"/>
  <c r="L18" i="6"/>
  <c r="L27" i="6" s="1"/>
  <c r="L36" i="6" s="1"/>
  <c r="G18" i="2"/>
  <c r="G19" i="2" s="1"/>
  <c r="G23" i="2" s="1"/>
  <c r="O49" i="2" s="1"/>
  <c r="S18" i="6"/>
  <c r="S27" i="6" s="1"/>
  <c r="S36" i="6" s="1"/>
  <c r="N18" i="6"/>
  <c r="N27" i="6" s="1"/>
  <c r="N36" i="6" s="1"/>
  <c r="H18" i="6"/>
  <c r="H27" i="6" s="1"/>
  <c r="H36" i="6" s="1"/>
  <c r="M18" i="6"/>
  <c r="M27" i="6" s="1"/>
  <c r="M36" i="6" s="1"/>
  <c r="O18" i="6"/>
  <c r="O27" i="6" s="1"/>
  <c r="O36" i="6" s="1"/>
  <c r="J18" i="6"/>
  <c r="J27" i="6" s="1"/>
  <c r="J36" i="6" s="1"/>
  <c r="I18" i="6"/>
  <c r="I27" i="6" s="1"/>
  <c r="I36" i="6" s="1"/>
  <c r="K18" i="6"/>
  <c r="K27" i="6" s="1"/>
  <c r="K36" i="6" s="1"/>
  <c r="P18" i="6"/>
  <c r="P27" i="6" s="1"/>
  <c r="P36" i="6" s="1"/>
  <c r="Q18" i="6"/>
  <c r="Q27" i="6" s="1"/>
  <c r="Q36" i="6" s="1"/>
  <c r="E6" i="5"/>
  <c r="F7" i="5" s="1"/>
  <c r="R19" i="6"/>
  <c r="R28" i="6" s="1"/>
  <c r="R37" i="6" s="1"/>
  <c r="L19" i="6"/>
  <c r="L28" i="6" s="1"/>
  <c r="L37" i="6" s="1"/>
  <c r="Q19" i="6"/>
  <c r="Q28" i="6" s="1"/>
  <c r="Q37" i="6" s="1"/>
  <c r="S19" i="6"/>
  <c r="S28" i="6" s="1"/>
  <c r="S37" i="6" s="1"/>
  <c r="N19" i="6"/>
  <c r="N28" i="6" s="1"/>
  <c r="N37" i="6" s="1"/>
  <c r="H19" i="6"/>
  <c r="H28" i="6" s="1"/>
  <c r="H37" i="6" s="1"/>
  <c r="H18" i="2"/>
  <c r="H19" i="2" s="1"/>
  <c r="H23" i="2" s="1"/>
  <c r="O50" i="2" s="1"/>
  <c r="O19" i="6"/>
  <c r="O28" i="6" s="1"/>
  <c r="O37" i="6" s="1"/>
  <c r="J19" i="6"/>
  <c r="J28" i="6" s="1"/>
  <c r="J37" i="6" s="1"/>
  <c r="M19" i="6"/>
  <c r="M28" i="6" s="1"/>
  <c r="M37" i="6" s="1"/>
  <c r="K19" i="6"/>
  <c r="K28" i="6" s="1"/>
  <c r="K37" i="6" s="1"/>
  <c r="P19" i="6"/>
  <c r="P28" i="6" s="1"/>
  <c r="P37" i="6" s="1"/>
  <c r="I19" i="6"/>
  <c r="I28" i="6" s="1"/>
  <c r="I37" i="6" s="1"/>
  <c r="K16" i="6"/>
  <c r="K25" i="6" s="1"/>
  <c r="K34" i="6" s="1"/>
  <c r="P16" i="6"/>
  <c r="P25" i="6" s="1"/>
  <c r="P34" i="6" s="1"/>
  <c r="E18" i="2"/>
  <c r="E19" i="2" s="1"/>
  <c r="E23" i="2" s="1"/>
  <c r="O47" i="2" s="1"/>
  <c r="R16" i="6"/>
  <c r="R25" i="6" s="1"/>
  <c r="R34" i="6" s="1"/>
  <c r="L16" i="6"/>
  <c r="L25" i="6" s="1"/>
  <c r="L34" i="6" s="1"/>
  <c r="M16" i="6"/>
  <c r="M25" i="6" s="1"/>
  <c r="M34" i="6" s="1"/>
  <c r="S16" i="6"/>
  <c r="S25" i="6" s="1"/>
  <c r="S34" i="6" s="1"/>
  <c r="N16" i="6"/>
  <c r="N25" i="6" s="1"/>
  <c r="N34" i="6" s="1"/>
  <c r="H16" i="6"/>
  <c r="H25" i="6" s="1"/>
  <c r="H34" i="6" s="1"/>
  <c r="I16" i="6"/>
  <c r="I25" i="6" s="1"/>
  <c r="I34" i="6" s="1"/>
  <c r="O16" i="6"/>
  <c r="O25" i="6" s="1"/>
  <c r="O34" i="6" s="1"/>
  <c r="J16" i="6"/>
  <c r="J25" i="6" s="1"/>
  <c r="J34" i="6" s="1"/>
  <c r="Q16" i="6"/>
  <c r="Q25" i="6" s="1"/>
  <c r="Q34" i="6" s="1"/>
  <c r="D13" i="2"/>
  <c r="D14" i="2"/>
  <c r="K17" i="6"/>
  <c r="K26" i="6" s="1"/>
  <c r="K35" i="6" s="1"/>
  <c r="P17" i="6"/>
  <c r="P26" i="6" s="1"/>
  <c r="P35" i="6" s="1"/>
  <c r="M17" i="6"/>
  <c r="M26" i="6" s="1"/>
  <c r="M35" i="6" s="1"/>
  <c r="R17" i="6"/>
  <c r="R26" i="6" s="1"/>
  <c r="R35" i="6" s="1"/>
  <c r="L17" i="6"/>
  <c r="L26" i="6" s="1"/>
  <c r="L35" i="6" s="1"/>
  <c r="I17" i="6"/>
  <c r="I26" i="6" s="1"/>
  <c r="I35" i="6" s="1"/>
  <c r="S17" i="6"/>
  <c r="S26" i="6" s="1"/>
  <c r="S35" i="6" s="1"/>
  <c r="N17" i="6"/>
  <c r="N26" i="6" s="1"/>
  <c r="N35" i="6" s="1"/>
  <c r="H17" i="6"/>
  <c r="H26" i="6" s="1"/>
  <c r="H35" i="6" s="1"/>
  <c r="F18" i="2"/>
  <c r="F19" i="2" s="1"/>
  <c r="F23" i="2" s="1"/>
  <c r="O48" i="2" s="1"/>
  <c r="O17" i="6"/>
  <c r="O26" i="6" s="1"/>
  <c r="O35" i="6" s="1"/>
  <c r="J17" i="6"/>
  <c r="J26" i="6" s="1"/>
  <c r="J35" i="6" s="1"/>
  <c r="Q17" i="6"/>
  <c r="Q26" i="6" s="1"/>
  <c r="Q35" i="6" s="1"/>
  <c r="F6" i="5" l="1"/>
  <c r="G7" i="5" s="1"/>
  <c r="E8" i="5"/>
  <c r="D26" i="2"/>
  <c r="R15" i="6"/>
  <c r="R24" i="6" s="1"/>
  <c r="L15" i="6"/>
  <c r="L24" i="6" s="1"/>
  <c r="Q15" i="6"/>
  <c r="Q24" i="6" s="1"/>
  <c r="S15" i="6"/>
  <c r="S24" i="6" s="1"/>
  <c r="N15" i="6"/>
  <c r="N24" i="6" s="1"/>
  <c r="H15" i="6"/>
  <c r="H24" i="6" s="1"/>
  <c r="H33" i="6" s="1"/>
  <c r="D18" i="2"/>
  <c r="O15" i="6"/>
  <c r="O24" i="6" s="1"/>
  <c r="J15" i="6"/>
  <c r="J24" i="6" s="1"/>
  <c r="M15" i="6"/>
  <c r="M24" i="6" s="1"/>
  <c r="K15" i="6"/>
  <c r="K24" i="6" s="1"/>
  <c r="P15" i="6"/>
  <c r="P24" i="6" s="1"/>
  <c r="I15" i="6"/>
  <c r="I24" i="6" s="1"/>
  <c r="D19" i="2" l="1"/>
  <c r="C19" i="2" s="1"/>
  <c r="O40" i="2"/>
  <c r="P40" i="2" s="1"/>
  <c r="O41" i="2"/>
  <c r="M30" i="6"/>
  <c r="M33" i="6"/>
  <c r="M39" i="6" s="1"/>
  <c r="N3" i="5" s="1"/>
  <c r="N5" i="5" s="1"/>
  <c r="H39" i="6"/>
  <c r="I3" i="5" s="1"/>
  <c r="H30" i="6"/>
  <c r="L33" i="6"/>
  <c r="L39" i="6" s="1"/>
  <c r="M3" i="5" s="1"/>
  <c r="M5" i="5" s="1"/>
  <c r="L30" i="6"/>
  <c r="I30" i="6"/>
  <c r="I33" i="6"/>
  <c r="I39" i="6" s="1"/>
  <c r="J3" i="5" s="1"/>
  <c r="J5" i="5" s="1"/>
  <c r="J33" i="6"/>
  <c r="J39" i="6" s="1"/>
  <c r="K3" i="5" s="1"/>
  <c r="K5" i="5" s="1"/>
  <c r="J30" i="6"/>
  <c r="N33" i="6"/>
  <c r="N39" i="6" s="1"/>
  <c r="O3" i="5" s="1"/>
  <c r="O5" i="5" s="1"/>
  <c r="N30" i="6"/>
  <c r="R33" i="6"/>
  <c r="R39" i="6" s="1"/>
  <c r="S3" i="5" s="1"/>
  <c r="S5" i="5" s="1"/>
  <c r="R30" i="6"/>
  <c r="F8" i="5"/>
  <c r="G6" i="5"/>
  <c r="H7" i="5" s="1"/>
  <c r="P30" i="6"/>
  <c r="P33" i="6"/>
  <c r="P39" i="6" s="1"/>
  <c r="Q3" i="5" s="1"/>
  <c r="Q5" i="5" s="1"/>
  <c r="O33" i="6"/>
  <c r="O39" i="6" s="1"/>
  <c r="P3" i="5" s="1"/>
  <c r="P5" i="5" s="1"/>
  <c r="O30" i="6"/>
  <c r="S33" i="6"/>
  <c r="S39" i="6" s="1"/>
  <c r="T3" i="5" s="1"/>
  <c r="T5" i="5" s="1"/>
  <c r="S30" i="6"/>
  <c r="C46" i="2"/>
  <c r="K33" i="6"/>
  <c r="K39" i="6" s="1"/>
  <c r="L3" i="5" s="1"/>
  <c r="L5" i="5" s="1"/>
  <c r="K30" i="6"/>
  <c r="C23" i="2"/>
  <c r="O52" i="2" s="1"/>
  <c r="D23" i="2"/>
  <c r="O46" i="2" s="1"/>
  <c r="Q33" i="6"/>
  <c r="Q39" i="6" s="1"/>
  <c r="R3" i="5" s="1"/>
  <c r="R5" i="5" s="1"/>
  <c r="Q30" i="6"/>
  <c r="O42" i="2" l="1"/>
  <c r="P42" i="2" s="1"/>
  <c r="P41" i="2"/>
  <c r="B18" i="5"/>
  <c r="G8" i="5"/>
  <c r="H6" i="5"/>
  <c r="I5" i="5"/>
  <c r="I7" i="5" l="1"/>
  <c r="H8" i="5"/>
  <c r="B16" i="5" l="1"/>
  <c r="I6" i="5"/>
  <c r="J7" i="5" s="1"/>
  <c r="I8" i="5" l="1"/>
  <c r="J6" i="5"/>
  <c r="K7" i="5" s="1"/>
  <c r="K6" i="5" l="1"/>
  <c r="L7" i="5" s="1"/>
  <c r="J8" i="5"/>
  <c r="L6" i="5" l="1"/>
  <c r="M7" i="5" s="1"/>
  <c r="K8" i="5"/>
  <c r="M6" i="5" l="1"/>
  <c r="N7" i="5" s="1"/>
  <c r="L8" i="5"/>
  <c r="M8" i="5" l="1"/>
  <c r="N6" i="5"/>
  <c r="O7" i="5" s="1"/>
  <c r="N8" i="5" l="1"/>
  <c r="O6" i="5" l="1"/>
  <c r="O8" i="5" l="1"/>
  <c r="P7" i="5"/>
  <c r="P6" i="5"/>
  <c r="Q7" i="5" s="1"/>
  <c r="P8" i="5" l="1"/>
  <c r="Q6" i="5"/>
  <c r="R7" i="5" s="1"/>
  <c r="Q8" i="5" l="1"/>
  <c r="R6" i="5"/>
  <c r="R8" i="5" l="1"/>
  <c r="S7" i="5"/>
  <c r="S6" i="5"/>
  <c r="T7" i="5" l="1"/>
  <c r="B19" i="5" s="1"/>
  <c r="T6" i="5"/>
  <c r="S8" i="5"/>
  <c r="T8" i="5" l="1"/>
  <c r="B20" i="5"/>
  <c r="U30" i="6"/>
  <c r="U39" i="6"/>
  <c r="B49" i="3" l="1"/>
  <c r="E48" i="3"/>
  <c r="D49" i="3"/>
  <c r="C49" i="3"/>
  <c r="D48" i="3"/>
  <c r="D52" i="3" s="1"/>
  <c r="E49" i="3"/>
  <c r="E50" i="3" s="1"/>
  <c r="C48" i="3"/>
  <c r="B48" i="3"/>
  <c r="B52" i="3" s="1"/>
  <c r="C52" i="3" l="1"/>
  <c r="C50" i="3"/>
  <c r="D50" i="3"/>
  <c r="B50" i="3"/>
  <c r="E52" i="3"/>
</calcChain>
</file>

<file path=xl/comments1.xml><?xml version="1.0" encoding="utf-8"?>
<comments xmlns="http://schemas.openxmlformats.org/spreadsheetml/2006/main">
  <authors>
    <author>annette brandon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COD: 2.89% x (1-.21) = 2.28
COE: 4.61%
Total 6.89%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COD: 2.89% x (1-.21) = 2.28
COE: 4.61%
Total 6.89%</t>
        </r>
      </text>
    </comment>
  </commentList>
</comments>
</file>

<file path=xl/sharedStrings.xml><?xml version="1.0" encoding="utf-8"?>
<sst xmlns="http://schemas.openxmlformats.org/spreadsheetml/2006/main" count="241" uniqueCount="169">
  <si>
    <t>Total</t>
  </si>
  <si>
    <t>aMW</t>
  </si>
  <si>
    <t>Rate</t>
  </si>
  <si>
    <t>REC Revenues Rebate Allocation - Generation Level Consumption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</si>
  <si>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</si>
  <si>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</si>
  <si>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</si>
  <si>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</si>
  <si>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</si>
  <si>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</si>
  <si>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</si>
  <si>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</si>
  <si>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</si>
  <si>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</si>
  <si>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</si>
  <si>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</si>
  <si>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</si>
  <si>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</si>
  <si>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</si>
  <si>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</si>
  <si>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</si>
  <si>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</si>
  <si>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</si>
  <si>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</si>
  <si>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</si>
  <si>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</si>
  <si>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</si>
  <si>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J</t>
  </si>
  <si>
    <t>Generation Allocated</t>
  </si>
  <si>
    <t>Total Generation Percentage</t>
  </si>
  <si>
    <t>(1)</t>
  </si>
  <si>
    <t>Annual Load (Rate Year)</t>
  </si>
  <si>
    <t>(2)</t>
  </si>
  <si>
    <t>Cents Per kWh Rate</t>
  </si>
  <si>
    <t>Total Bills</t>
  </si>
  <si>
    <t>Avg Monthly Credit Per Customer</t>
  </si>
  <si>
    <t>Avg Annual Credit Per Customer</t>
  </si>
  <si>
    <t>Proposed Cents per kWh Rate</t>
  </si>
  <si>
    <t>Present Cents per kWh Rate</t>
  </si>
  <si>
    <t>Difference in Rate</t>
  </si>
  <si>
    <t>Change in Revenue</t>
  </si>
  <si>
    <t>Gross Up Factor</t>
  </si>
  <si>
    <t>Grossed Up Revenue Requirement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</si>
  <si>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</si>
  <si>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</si>
  <si>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</si>
  <si>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</si>
  <si>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</si>
  <si>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</si>
  <si>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</si>
  <si>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</si>
  <si>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</si>
  <si>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</si>
  <si>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</si>
  <si>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</si>
  <si>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</si>
  <si>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</si>
  <si>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</si>
  <si>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</si>
  <si>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</si>
  <si>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</si>
  <si>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Billed Percentage Change</t>
  </si>
  <si>
    <t>Residential Bill Percentage Change</t>
  </si>
  <si>
    <t>System Total</t>
  </si>
  <si>
    <t>PT Ratio</t>
  </si>
  <si>
    <t>Washington Share</t>
  </si>
  <si>
    <t>End March</t>
  </si>
  <si>
    <t>End April</t>
  </si>
  <si>
    <t>End May</t>
  </si>
  <si>
    <t>End June</t>
  </si>
  <si>
    <t>End July</t>
  </si>
  <si>
    <t>End August</t>
  </si>
  <si>
    <t>End September</t>
  </si>
  <si>
    <t>End October</t>
  </si>
  <si>
    <t>End November</t>
  </si>
  <si>
    <t>End December</t>
  </si>
  <si>
    <t>End January</t>
  </si>
  <si>
    <t>End February</t>
  </si>
  <si>
    <t>Net change in balance</t>
  </si>
  <si>
    <t>Interest on Previous Months Balance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</si>
  <si>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</si>
  <si>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</si>
  <si>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</si>
  <si>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</si>
  <si>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</si>
  <si>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</si>
  <si>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</si>
  <si>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</si>
  <si>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Forecast End of June Balance</t>
  </si>
  <si>
    <t>Forecast Annual REC Sales</t>
  </si>
  <si>
    <t>Per rate order, REC rate is after tax cost of capital</t>
  </si>
  <si>
    <t>The monthly rate is:</t>
  </si>
  <si>
    <t>Interest</t>
  </si>
  <si>
    <t>REC Balance to be Recovered</t>
  </si>
  <si>
    <t>Forecasted Interest Calculation</t>
  </si>
  <si>
    <t>Total REC Balance to be Recovered</t>
  </si>
  <si>
    <t>goal seek to zero by changing (Rate Design - C9)</t>
  </si>
  <si>
    <t>Total Projected REC Balance as of June 2017</t>
  </si>
  <si>
    <t>Gross REC Revenue Amortization Credit</t>
  </si>
  <si>
    <t>REC Revenue Amortization Rates</t>
  </si>
  <si>
    <t>Expected net elec REC Amortization credit</t>
  </si>
  <si>
    <t>Cumulative Balance (Before Interest)</t>
  </si>
  <si>
    <t>Compound</t>
  </si>
  <si>
    <t>REC Revenue Balance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</si>
  <si>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</si>
  <si>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</si>
  <si>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</si>
  <si>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</si>
  <si>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</si>
  <si>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</si>
  <si>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</si>
  <si>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</si>
  <si>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2017 Rebate Amount (Grossed Up)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</si>
  <si>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</si>
  <si>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</si>
  <si>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</si>
  <si>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</si>
  <si>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</si>
  <si>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</si>
  <si>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</si>
  <si>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</si>
  <si>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</si>
  <si>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UE-150204</t>
  </si>
  <si>
    <t xml:space="preserve">EREVE Feb Mid-month 2.14.18 </t>
  </si>
  <si>
    <t>SCHEDULE 1, 2</t>
  </si>
  <si>
    <t>Updated 02.21.2018</t>
  </si>
  <si>
    <t>WA001/WA002</t>
  </si>
  <si>
    <t>July 2018 - June 2019 REC Revenue Forecast</t>
  </si>
  <si>
    <t>July 2018 - June 2019 Amortization Credit</t>
  </si>
  <si>
    <t>July 1, 2018 through June 30, 2019 Forecasted Loads (input)</t>
  </si>
  <si>
    <t>Residential Schedule 001/002</t>
  </si>
  <si>
    <t xml:space="preserve">Net REC Revenue Amortization Credit </t>
  </si>
  <si>
    <t>Bill at 938 kWhs</t>
  </si>
  <si>
    <t>Residential Bill Impact (938 kWh's)</t>
  </si>
  <si>
    <t>Electric Service</t>
  </si>
  <si>
    <t>Current Bill Rate</t>
  </si>
  <si>
    <t>Proposed Increase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</si>
  <si>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</si>
  <si>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</si>
  <si>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</si>
  <si>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</si>
  <si>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</si>
  <si>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</si>
  <si>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</si>
  <si>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</si>
  <si>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25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</si>
  <si>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</si>
  <si>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</si>
  <si>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</si>
  <si>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</si>
  <si>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</si>
  <si>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</si>
  <si>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</si>
  <si>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</si>
  <si>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</si>
  <si>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Increase in Billed Revenue</t>
  </si>
  <si>
    <t>Overall</t>
  </si>
  <si>
    <t xml:space="preserve"> UE-170485</t>
  </si>
  <si>
    <t>TWELVE MONTHS ENDED DECEMBER 31, 2016</t>
  </si>
  <si>
    <t>Approved in UE-170485</t>
  </si>
  <si>
    <t>(revised UE-170485)</t>
  </si>
  <si>
    <t>UE-170485 Cost of Service Study</t>
  </si>
  <si>
    <t>UE-170485</t>
  </si>
  <si>
    <t>Projected end of June 2018 Balance</t>
  </si>
  <si>
    <t>UE-170486</t>
  </si>
  <si>
    <t>May 1st</t>
  </si>
  <si>
    <t>Prior</t>
  </si>
  <si>
    <t>Confidential per WAC 480-07-160</t>
  </si>
  <si>
    <t>Present Billed Revenue UE-170485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</si>
</sst>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  <numFmt numFmtId="169" formatCode="_(* #,##0_);_(* \(#,##0\);_(* &quot;-&quot;??_);_(@_)"/>
    <numFmt numFmtId="170" formatCode="mmm\ yy"/>
    <numFmt numFmtId="171" formatCode="0.000000"/>
    <numFmt numFmtId="172" formatCode="0.0%"/>
    <numFmt numFmtId="173" formatCode="0.00000"/>
    <numFmt numFmtId="174" formatCode="0.0000000"/>
    <numFmt numFmtId="175" formatCode="0.000%"/>
  </numFmts>
  <fonts count="2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173">
    <xf numFmtId="0" fontId="0" fillId="0" borderId="0" xfId="0"/>
    <xf numFmtId="167" fontId="0" fillId="0" borderId="0" xfId="2" applyNumberFormat="1" applyFont="1"/>
    <xf numFmtId="0" fontId="8" fillId="0" borderId="0" xfId="0" applyFont="1"/>
    <xf numFmtId="0" fontId="0" fillId="0" borderId="0" xfId="0" applyBorder="1"/>
    <xf numFmtId="0" fontId="8" fillId="0" borderId="11" xfId="0" applyFont="1" applyBorder="1"/>
    <xf numFmtId="0" fontId="0" fillId="0" borderId="8" xfId="0" applyBorder="1"/>
    <xf numFmtId="167" fontId="8" fillId="0" borderId="0" xfId="2" applyNumberFormat="1" applyFont="1"/>
    <xf numFmtId="167" fontId="8" fillId="0" borderId="0" xfId="2" applyNumberFormat="1" applyFont="1" applyFill="1"/>
    <xf numFmtId="167" fontId="8" fillId="0" borderId="0" xfId="2" applyNumberFormat="1" applyFont="1" applyBorder="1"/>
    <xf numFmtId="0" fontId="8" fillId="0" borderId="0" xfId="0" applyFont="1" applyAlignment="1">
      <alignment horizontal="right"/>
    </xf>
    <xf numFmtId="167" fontId="8" fillId="0" borderId="0" xfId="0" applyNumberFormat="1" applyFont="1"/>
    <xf numFmtId="0" fontId="8" fillId="0" borderId="0" xfId="0" applyFont="1" applyFill="1"/>
    <xf numFmtId="167" fontId="8" fillId="0" borderId="11" xfId="2" applyNumberFormat="1" applyFont="1" applyFill="1" applyBorder="1"/>
    <xf numFmtId="167" fontId="8" fillId="0" borderId="11" xfId="2" applyNumberFormat="1" applyFont="1" applyBorder="1"/>
    <xf numFmtId="167" fontId="8" fillId="0" borderId="14" xfId="0" applyNumberFormat="1" applyFont="1" applyFill="1" applyBorder="1"/>
    <xf numFmtId="167" fontId="9" fillId="0" borderId="0" xfId="2" applyNumberFormat="1" applyFont="1" applyFill="1"/>
    <xf numFmtId="167" fontId="9" fillId="0" borderId="0" xfId="2" applyNumberFormat="1" applyFont="1" applyFill="1" applyBorder="1"/>
    <xf numFmtId="0" fontId="5" fillId="0" borderId="0" xfId="0" applyFont="1"/>
    <xf numFmtId="0" fontId="10" fillId="0" borderId="0" xfId="0" applyFont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0" xfId="0" applyFont="1" applyFill="1" applyBorder="1"/>
    <xf numFmtId="0" fontId="11" fillId="0" borderId="9" xfId="4" applyFont="1" applyFill="1" applyBorder="1" applyAlignment="1">
      <alignment horizontal="center"/>
    </xf>
    <xf numFmtId="0" fontId="11" fillId="0" borderId="10" xfId="4" applyFont="1" applyFill="1" applyBorder="1" applyAlignment="1">
      <alignment horizontal="center"/>
    </xf>
    <xf numFmtId="0" fontId="11" fillId="0" borderId="10" xfId="0" applyFont="1" applyFill="1" applyBorder="1"/>
    <xf numFmtId="0" fontId="11" fillId="0" borderId="11" xfId="4" applyFont="1" applyFill="1" applyBorder="1" applyAlignment="1">
      <alignment horizontal="center"/>
    </xf>
    <xf numFmtId="0" fontId="11" fillId="0" borderId="12" xfId="4" applyFont="1" applyFill="1" applyBorder="1" applyAlignment="1">
      <alignment horizontal="center"/>
    </xf>
    <xf numFmtId="0" fontId="11" fillId="0" borderId="14" xfId="4" applyFont="1" applyFill="1" applyBorder="1" applyAlignment="1">
      <alignment horizontal="center"/>
    </xf>
    <xf numFmtId="0" fontId="11" fillId="0" borderId="15" xfId="4" applyFont="1" applyFill="1" applyBorder="1" applyAlignment="1">
      <alignment horizontal="center" wrapText="1"/>
    </xf>
    <xf numFmtId="0" fontId="11" fillId="0" borderId="16" xfId="4" applyFont="1" applyFill="1" applyBorder="1" applyAlignment="1">
      <alignment horizontal="center"/>
    </xf>
    <xf numFmtId="0" fontId="11" fillId="0" borderId="17" xfId="4" applyFont="1" applyFill="1" applyBorder="1" applyAlignment="1">
      <alignment horizontal="center"/>
    </xf>
    <xf numFmtId="0" fontId="11" fillId="0" borderId="18" xfId="4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2" fillId="0" borderId="0" xfId="0" applyFont="1" applyFill="1" applyBorder="1"/>
    <xf numFmtId="10" fontId="11" fillId="0" borderId="9" xfId="0" applyNumberFormat="1" applyFont="1" applyFill="1" applyBorder="1"/>
    <xf numFmtId="49" fontId="10" fillId="0" borderId="10" xfId="0" applyNumberFormat="1" applyFont="1" applyBorder="1" applyAlignment="1">
      <alignment horizontal="center"/>
    </xf>
    <xf numFmtId="167" fontId="13" fillId="0" borderId="19" xfId="2" applyNumberFormat="1" applyFont="1" applyFill="1" applyBorder="1"/>
    <xf numFmtId="37" fontId="11" fillId="0" borderId="9" xfId="5" applyNumberFormat="1" applyFont="1" applyFill="1" applyBorder="1"/>
    <xf numFmtId="0" fontId="11" fillId="0" borderId="9" xfId="0" applyFont="1" applyFill="1" applyBorder="1"/>
    <xf numFmtId="37" fontId="11" fillId="0" borderId="9" xfId="6" applyNumberFormat="1" applyFont="1" applyFill="1" applyBorder="1"/>
    <xf numFmtId="0" fontId="11" fillId="0" borderId="0" xfId="0" applyFont="1" applyFill="1"/>
    <xf numFmtId="168" fontId="11" fillId="0" borderId="9" xfId="0" applyNumberFormat="1" applyFont="1" applyFill="1" applyBorder="1"/>
    <xf numFmtId="167" fontId="11" fillId="0" borderId="13" xfId="0" applyNumberFormat="1" applyFont="1" applyFill="1" applyBorder="1"/>
    <xf numFmtId="167" fontId="11" fillId="0" borderId="12" xfId="0" applyNumberFormat="1" applyFont="1" applyFill="1" applyBorder="1"/>
    <xf numFmtId="0" fontId="11" fillId="0" borderId="12" xfId="0" applyFont="1" applyFill="1" applyBorder="1"/>
    <xf numFmtId="0" fontId="11" fillId="0" borderId="0" xfId="0" applyFont="1" applyFill="1" applyBorder="1" applyAlignment="1">
      <alignment horizontal="center"/>
    </xf>
    <xf numFmtId="167" fontId="15" fillId="0" borderId="0" xfId="2" applyNumberFormat="1" applyFont="1"/>
    <xf numFmtId="172" fontId="5" fillId="0" borderId="0" xfId="3" applyNumberFormat="1" applyFont="1"/>
    <xf numFmtId="44" fontId="5" fillId="0" borderId="0" xfId="2" applyFont="1"/>
    <xf numFmtId="49" fontId="10" fillId="0" borderId="0" xfId="0" applyNumberFormat="1" applyFont="1" applyBorder="1" applyAlignment="1">
      <alignment horizontal="center"/>
    </xf>
    <xf numFmtId="37" fontId="5" fillId="0" borderId="0" xfId="0" applyNumberFormat="1" applyFont="1"/>
    <xf numFmtId="44" fontId="5" fillId="0" borderId="0" xfId="0" applyNumberFormat="1" applyFont="1"/>
    <xf numFmtId="0" fontId="5" fillId="3" borderId="0" xfId="0" applyFont="1" applyFill="1"/>
    <xf numFmtId="0" fontId="16" fillId="3" borderId="0" xfId="0" applyFont="1" applyFill="1" applyAlignment="1">
      <alignment horizontal="right"/>
    </xf>
    <xf numFmtId="164" fontId="16" fillId="3" borderId="0" xfId="0" applyNumberFormat="1" applyFont="1" applyFill="1"/>
    <xf numFmtId="165" fontId="5" fillId="0" borderId="0" xfId="0" applyNumberFormat="1" applyFont="1"/>
    <xf numFmtId="5" fontId="5" fillId="0" borderId="0" xfId="1" applyNumberFormat="1" applyFont="1"/>
    <xf numFmtId="166" fontId="5" fillId="0" borderId="0" xfId="1" applyNumberFormat="1" applyFont="1"/>
    <xf numFmtId="166" fontId="5" fillId="0" borderId="0" xfId="0" applyNumberFormat="1" applyFont="1"/>
    <xf numFmtId="5" fontId="5" fillId="0" borderId="0" xfId="0" applyNumberFormat="1" applyFont="1"/>
    <xf numFmtId="0" fontId="10" fillId="2" borderId="1" xfId="0" applyFont="1" applyFill="1" applyBorder="1"/>
    <xf numFmtId="0" fontId="10" fillId="2" borderId="2" xfId="0" applyFont="1" applyFill="1" applyBorder="1"/>
    <xf numFmtId="5" fontId="10" fillId="2" borderId="3" xfId="0" applyNumberFormat="1" applyFont="1" applyFill="1" applyBorder="1"/>
    <xf numFmtId="0" fontId="10" fillId="0" borderId="0" xfId="0" applyFont="1" applyFill="1" applyBorder="1"/>
    <xf numFmtId="5" fontId="10" fillId="0" borderId="0" xfId="0" applyNumberFormat="1" applyFont="1" applyFill="1" applyBorder="1"/>
    <xf numFmtId="10" fontId="10" fillId="0" borderId="0" xfId="3" applyNumberFormat="1" applyFont="1" applyFill="1" applyBorder="1"/>
    <xf numFmtId="0" fontId="13" fillId="0" borderId="0" xfId="0" applyFont="1"/>
    <xf numFmtId="17" fontId="5" fillId="0" borderId="0" xfId="0" applyNumberFormat="1" applyFont="1" applyAlignment="1">
      <alignment horizontal="center"/>
    </xf>
    <xf numFmtId="169" fontId="5" fillId="0" borderId="0" xfId="0" applyNumberFormat="1" applyFont="1" applyFill="1"/>
    <xf numFmtId="169" fontId="5" fillId="0" borderId="5" xfId="0" applyNumberFormat="1" applyFont="1" applyBorder="1"/>
    <xf numFmtId="169" fontId="5" fillId="0" borderId="0" xfId="0" applyNumberFormat="1" applyFont="1"/>
    <xf numFmtId="173" fontId="5" fillId="0" borderId="0" xfId="0" applyNumberFormat="1" applyFont="1"/>
    <xf numFmtId="10" fontId="5" fillId="0" borderId="0" xfId="0" applyNumberFormat="1" applyFont="1"/>
    <xf numFmtId="167" fontId="5" fillId="0" borderId="0" xfId="2" applyNumberFormat="1" applyFont="1"/>
    <xf numFmtId="167" fontId="5" fillId="0" borderId="0" xfId="0" applyNumberFormat="1" applyFont="1"/>
    <xf numFmtId="171" fontId="5" fillId="0" borderId="0" xfId="0" applyNumberFormat="1" applyFont="1"/>
    <xf numFmtId="167" fontId="5" fillId="0" borderId="11" xfId="2" applyNumberFormat="1" applyFont="1" applyBorder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/>
    <xf numFmtId="167" fontId="11" fillId="0" borderId="9" xfId="2" applyNumberFormat="1" applyFont="1" applyFill="1" applyBorder="1"/>
    <xf numFmtId="44" fontId="11" fillId="0" borderId="9" xfId="2" applyFont="1" applyFill="1" applyBorder="1"/>
    <xf numFmtId="0" fontId="17" fillId="0" borderId="0" xfId="0" applyFont="1" applyAlignment="1">
      <alignment horizontal="right"/>
    </xf>
    <xf numFmtId="167" fontId="17" fillId="0" borderId="0" xfId="2" applyNumberFormat="1" applyFont="1" applyFill="1"/>
    <xf numFmtId="167" fontId="17" fillId="0" borderId="0" xfId="2" applyNumberFormat="1" applyFont="1" applyAlignment="1">
      <alignment horizontal="right"/>
    </xf>
    <xf numFmtId="167" fontId="17" fillId="0" borderId="0" xfId="0" applyNumberFormat="1" applyFont="1" applyFill="1" applyBorder="1"/>
    <xf numFmtId="167" fontId="17" fillId="0" borderId="11" xfId="0" applyNumberFormat="1" applyFont="1" applyFill="1" applyBorder="1"/>
    <xf numFmtId="167" fontId="17" fillId="0" borderId="0" xfId="0" applyNumberFormat="1" applyFont="1" applyFill="1"/>
    <xf numFmtId="0" fontId="17" fillId="0" borderId="0" xfId="0" applyFont="1"/>
    <xf numFmtId="0" fontId="17" fillId="0" borderId="0" xfId="0" applyFont="1" applyFill="1"/>
    <xf numFmtId="175" fontId="20" fillId="4" borderId="21" xfId="3" applyNumberFormat="1" applyFont="1" applyFill="1" applyBorder="1"/>
    <xf numFmtId="0" fontId="18" fillId="0" borderId="23" xfId="0" applyFont="1" applyFill="1" applyBorder="1"/>
    <xf numFmtId="0" fontId="19" fillId="0" borderId="24" xfId="0" applyFont="1" applyFill="1" applyBorder="1"/>
    <xf numFmtId="174" fontId="18" fillId="0" borderId="24" xfId="0" applyNumberFormat="1" applyFont="1" applyFill="1" applyBorder="1"/>
    <xf numFmtId="0" fontId="4" fillId="0" borderId="0" xfId="0" applyFont="1"/>
    <xf numFmtId="170" fontId="14" fillId="0" borderId="0" xfId="0" applyNumberFormat="1" applyFont="1">
      <alignment readingOrder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 indent="1" readingOrder="1"/>
    </xf>
    <xf numFmtId="0" fontId="11" fillId="0" borderId="0" xfId="0" applyFont="1" applyFill="1" applyAlignment="1">
      <alignment horizontal="left" indent="1" readingOrder="1"/>
    </xf>
    <xf numFmtId="0" fontId="11" fillId="0" borderId="0" xfId="0" applyFont="1" applyBorder="1" applyAlignment="1">
      <alignment horizontal="left" indent="1" readingOrder="1"/>
    </xf>
    <xf numFmtId="0" fontId="11" fillId="0" borderId="0" xfId="0" applyFont="1" applyFill="1" applyBorder="1" applyAlignment="1">
      <alignment horizontal="left" indent="1" readingOrder="1"/>
    </xf>
    <xf numFmtId="0" fontId="11" fillId="0" borderId="0" xfId="0" applyFont="1"/>
    <xf numFmtId="169" fontId="4" fillId="0" borderId="0" xfId="0" applyNumberFormat="1" applyFont="1"/>
    <xf numFmtId="169" fontId="11" fillId="0" borderId="0" xfId="0" applyNumberFormat="1" applyFont="1"/>
    <xf numFmtId="9" fontId="4" fillId="0" borderId="0" xfId="3" applyFont="1"/>
    <xf numFmtId="171" fontId="14" fillId="0" borderId="0" xfId="5" applyNumberFormat="1" applyFont="1"/>
    <xf numFmtId="14" fontId="14" fillId="0" borderId="0" xfId="5" applyNumberFormat="1" applyFont="1"/>
    <xf numFmtId="0" fontId="14" fillId="0" borderId="0" xfId="5" applyFont="1"/>
    <xf numFmtId="171" fontId="14" fillId="0" borderId="0" xfId="5" applyNumberFormat="1" applyFont="1" applyAlignment="1">
      <alignment horizontal="right"/>
    </xf>
    <xf numFmtId="171" fontId="11" fillId="0" borderId="0" xfId="5" applyNumberFormat="1" applyFont="1"/>
    <xf numFmtId="0" fontId="11" fillId="0" borderId="0" xfId="5" applyFont="1"/>
    <xf numFmtId="171" fontId="11" fillId="0" borderId="16" xfId="5" applyNumberFormat="1" applyFont="1" applyBorder="1"/>
    <xf numFmtId="0" fontId="21" fillId="0" borderId="0" xfId="5" applyFont="1"/>
    <xf numFmtId="4" fontId="22" fillId="0" borderId="0" xfId="5" applyNumberFormat="1" applyFont="1" applyAlignment="1">
      <alignment horizontal="left"/>
    </xf>
    <xf numFmtId="44" fontId="5" fillId="0" borderId="0" xfId="0" applyNumberFormat="1" applyFont="1" applyFill="1"/>
    <xf numFmtId="44" fontId="11" fillId="0" borderId="0" xfId="2" applyFont="1"/>
    <xf numFmtId="44" fontId="0" fillId="0" borderId="0" xfId="2" applyFont="1"/>
    <xf numFmtId="168" fontId="5" fillId="0" borderId="0" xfId="2" applyNumberFormat="1" applyFont="1"/>
    <xf numFmtId="168" fontId="11" fillId="0" borderId="0" xfId="2" applyNumberFormat="1" applyFont="1"/>
    <xf numFmtId="168" fontId="0" fillId="0" borderId="0" xfId="2" applyNumberFormat="1" applyFont="1"/>
    <xf numFmtId="0" fontId="16" fillId="0" borderId="0" xfId="0" applyFont="1"/>
    <xf numFmtId="0" fontId="16" fillId="0" borderId="0" xfId="5" applyFont="1"/>
    <xf numFmtId="0" fontId="23" fillId="0" borderId="0" xfId="0" applyFont="1"/>
    <xf numFmtId="0" fontId="23" fillId="0" borderId="0" xfId="5" applyFont="1"/>
    <xf numFmtId="0" fontId="23" fillId="0" borderId="0" xfId="0" applyFont="1" applyFill="1"/>
    <xf numFmtId="167" fontId="0" fillId="0" borderId="8" xfId="0" applyNumberFormat="1" applyBorder="1"/>
    <xf numFmtId="172" fontId="3" fillId="0" borderId="0" xfId="3" applyNumberFormat="1" applyFont="1"/>
    <xf numFmtId="0" fontId="18" fillId="0" borderId="20" xfId="0" applyFont="1" applyFill="1" applyBorder="1" applyAlignment="1">
      <alignment vertical="center"/>
    </xf>
    <xf numFmtId="171" fontId="22" fillId="0" borderId="0" xfId="5" applyNumberFormat="1" applyFont="1"/>
    <xf numFmtId="171" fontId="15" fillId="5" borderId="0" xfId="0" applyNumberFormat="1" applyFont="1" applyFill="1"/>
    <xf numFmtId="0" fontId="2" fillId="0" borderId="0" xfId="0" applyFont="1" applyFill="1" applyBorder="1"/>
    <xf numFmtId="0" fontId="18" fillId="5" borderId="0" xfId="0" applyFont="1" applyFill="1" applyBorder="1" applyAlignment="1">
      <alignment vertical="center" wrapText="1"/>
    </xf>
    <xf numFmtId="169" fontId="4" fillId="0" borderId="0" xfId="1" applyNumberFormat="1" applyFont="1"/>
    <xf numFmtId="169" fontId="15" fillId="0" borderId="0" xfId="1" applyNumberFormat="1" applyFont="1" applyFill="1">
      <alignment readingOrder="1"/>
    </xf>
    <xf numFmtId="169" fontId="15" fillId="0" borderId="0" xfId="1" applyNumberFormat="1" applyFont="1" applyFill="1"/>
    <xf numFmtId="169" fontId="15" fillId="0" borderId="0" xfId="0" applyNumberFormat="1" applyFont="1" applyFill="1"/>
    <xf numFmtId="2" fontId="4" fillId="0" borderId="0" xfId="0" applyNumberFormat="1" applyFont="1"/>
    <xf numFmtId="3" fontId="15" fillId="0" borderId="0" xfId="4" applyNumberFormat="1" applyFont="1" applyFill="1"/>
    <xf numFmtId="3" fontId="16" fillId="0" borderId="0" xfId="4" applyNumberFormat="1" applyFont="1" applyFill="1"/>
    <xf numFmtId="44" fontId="15" fillId="0" borderId="0" xfId="2" applyFont="1" applyFill="1"/>
    <xf numFmtId="168" fontId="15" fillId="0" borderId="0" xfId="2" applyNumberFormat="1" applyFont="1" applyFill="1"/>
    <xf numFmtId="0" fontId="24" fillId="0" borderId="0" xfId="0" applyFont="1" applyAlignment="1">
      <alignment horizontal="center"/>
    </xf>
    <xf numFmtId="0" fontId="24" fillId="0" borderId="0" xfId="0" applyFont="1"/>
    <xf numFmtId="0" fontId="18" fillId="0" borderId="0" xfId="0" applyFont="1" applyFill="1" applyBorder="1" applyAlignment="1">
      <alignment vertical="center" wrapText="1"/>
    </xf>
    <xf numFmtId="171" fontId="14" fillId="5" borderId="0" xfId="5" applyNumberFormat="1" applyFont="1" applyFill="1"/>
    <xf numFmtId="168" fontId="14" fillId="0" borderId="17" xfId="2" applyNumberFormat="1" applyFont="1" applyFill="1" applyBorder="1"/>
    <xf numFmtId="168" fontId="15" fillId="0" borderId="9" xfId="0" applyNumberFormat="1" applyFont="1" applyFill="1" applyBorder="1"/>
    <xf numFmtId="0" fontId="5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/>
    <xf numFmtId="44" fontId="25" fillId="0" borderId="0" xfId="2" applyFont="1"/>
    <xf numFmtId="168" fontId="25" fillId="0" borderId="0" xfId="2" applyNumberFormat="1" applyFont="1"/>
    <xf numFmtId="0" fontId="25" fillId="0" borderId="0" xfId="0" applyFont="1" applyAlignment="1">
      <alignment horizontal="center" vertical="center"/>
    </xf>
    <xf numFmtId="16" fontId="25" fillId="0" borderId="0" xfId="0" quotePrefix="1" applyNumberFormat="1" applyFont="1" applyAlignment="1">
      <alignment horizontal="center"/>
    </xf>
    <xf numFmtId="172" fontId="25" fillId="0" borderId="0" xfId="0" applyNumberFormat="1" applyFont="1"/>
    <xf numFmtId="0" fontId="25" fillId="0" borderId="0" xfId="0" quotePrefix="1" applyFont="1" applyAlignment="1">
      <alignment horizontal="center"/>
    </xf>
    <xf numFmtId="0" fontId="26" fillId="0" borderId="0" xfId="0" applyFont="1"/>
    <xf numFmtId="172" fontId="26" fillId="0" borderId="0" xfId="0" applyNumberFormat="1" applyFont="1"/>
    <xf numFmtId="10" fontId="11" fillId="5" borderId="9" xfId="3" applyNumberFormat="1" applyFont="1" applyFill="1" applyBorder="1"/>
    <xf numFmtId="10" fontId="11" fillId="0" borderId="0" xfId="5" applyNumberFormat="1" applyFont="1" applyFill="1"/>
    <xf numFmtId="171" fontId="15" fillId="0" borderId="0" xfId="0" applyNumberFormat="1" applyFont="1" applyFill="1"/>
    <xf numFmtId="0" fontId="5" fillId="0" borderId="0" xfId="0" applyFont="1" applyAlignment="1">
      <alignment horizontal="center"/>
    </xf>
    <xf numFmtId="10" fontId="5" fillId="0" borderId="11" xfId="0" applyNumberFormat="1" applyFont="1" applyBorder="1"/>
    <xf numFmtId="5" fontId="10" fillId="0" borderId="3" xfId="0" applyNumberFormat="1" applyFont="1" applyFill="1" applyBorder="1"/>
    <xf numFmtId="175" fontId="20" fillId="4" borderId="22" xfId="3" applyNumberFormat="1" applyFont="1" applyFill="1" applyBorder="1"/>
    <xf numFmtId="174" fontId="18" fillId="0" borderId="25" xfId="0" applyNumberFormat="1" applyFont="1" applyFill="1" applyBorder="1"/>
    <xf numFmtId="0" fontId="18" fillId="0" borderId="2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zoomScaleNormal="100" workbookViewId="0"/>
  </sheetViews>
  <sheetFormatPr defaultRowHeight="15" x14ac:dyDescent="0.25"/>
  <cols>
    <col min="1" max="1" width="9.140625" style="17"/>
    <col min="2" max="2" width="36.42578125" style="17" customWidth="1"/>
    <col min="3" max="3" width="17.85546875" style="17" customWidth="1"/>
    <col min="4" max="9" width="17" style="17" customWidth="1"/>
    <col min="10" max="10" width="4.85546875" style="17" customWidth="1"/>
    <col min="11" max="12" width="9.140625" style="17"/>
    <col min="13" max="13" width="10.5703125" style="17" customWidth="1"/>
    <col min="14" max="14" width="30" style="17" customWidth="1"/>
    <col min="15" max="15" width="15.5703125" style="17" customWidth="1"/>
    <col min="16" max="16" width="13.140625" style="17" customWidth="1"/>
    <col min="17" max="16384" width="9.140625" style="17"/>
  </cols>
  <sheetData>
    <row r="1" spans="1:11" x14ac:dyDescent="0.25">
      <c r="C1" s="18" t="s">
        <v>3</v>
      </c>
      <c r="D1" s="18"/>
    </row>
    <row r="3" spans="1:11" x14ac:dyDescent="0.25">
      <c r="A3" s="19"/>
      <c r="B3" s="20"/>
      <c r="C3" s="21"/>
      <c r="D3" s="21"/>
      <c r="E3" s="21"/>
      <c r="F3" s="21"/>
      <c r="G3" s="21"/>
      <c r="H3" s="21"/>
      <c r="I3" s="21"/>
      <c r="J3" s="22"/>
    </row>
    <row r="4" spans="1:11" x14ac:dyDescent="0.25">
      <c r="A4" s="23"/>
      <c r="B4" s="24"/>
      <c r="C4" s="25" t="s">
        <v>4</v>
      </c>
      <c r="D4" s="25" t="s">
        <v>5</v>
      </c>
      <c r="E4" s="25" t="s">
        <v>6</v>
      </c>
      <c r="F4" s="25" t="s">
        <v>7</v>
      </c>
      <c r="G4" s="25" t="s">
        <v>8</v>
      </c>
      <c r="H4" s="25" t="s">
        <v>9</v>
      </c>
      <c r="I4" s="25" t="s">
        <v>10</v>
      </c>
      <c r="J4" s="27"/>
    </row>
    <row r="5" spans="1:11" x14ac:dyDescent="0.25">
      <c r="A5" s="23"/>
      <c r="B5" s="28" t="s">
        <v>11</v>
      </c>
      <c r="C5" s="29" t="s">
        <v>12</v>
      </c>
      <c r="D5" s="29" t="s">
        <v>124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30"/>
    </row>
    <row r="6" spans="1:11" x14ac:dyDescent="0.25">
      <c r="A6" s="31" t="s">
        <v>18</v>
      </c>
      <c r="B6" s="32" t="s">
        <v>19</v>
      </c>
      <c r="C6" s="33" t="s">
        <v>20</v>
      </c>
      <c r="D6" s="33" t="s">
        <v>21</v>
      </c>
      <c r="E6" s="33" t="s">
        <v>22</v>
      </c>
      <c r="F6" s="33" t="s">
        <v>23</v>
      </c>
      <c r="G6" s="33" t="s">
        <v>24</v>
      </c>
      <c r="H6" s="33" t="s">
        <v>25</v>
      </c>
      <c r="I6" s="33" t="s">
        <v>26</v>
      </c>
      <c r="J6" s="34" t="s">
        <v>27</v>
      </c>
    </row>
    <row r="7" spans="1:11" x14ac:dyDescent="0.25">
      <c r="A7" s="35">
        <v>1</v>
      </c>
      <c r="B7" s="36" t="s">
        <v>28</v>
      </c>
      <c r="C7" s="25"/>
      <c r="D7" s="25"/>
      <c r="E7" s="25"/>
      <c r="F7" s="25"/>
      <c r="G7" s="25"/>
      <c r="H7" s="25"/>
      <c r="I7" s="25"/>
      <c r="J7" s="26"/>
    </row>
    <row r="8" spans="1:11" ht="15.75" thickBot="1" x14ac:dyDescent="0.3">
      <c r="A8" s="35">
        <f>A7+1</f>
        <v>2</v>
      </c>
      <c r="B8" s="24" t="s">
        <v>29</v>
      </c>
      <c r="C8" s="37">
        <f>SUM(D8:I8)</f>
        <v>1</v>
      </c>
      <c r="D8" s="163">
        <v>0.41959785917416947</v>
      </c>
      <c r="E8" s="163">
        <v>0.11072160155075182</v>
      </c>
      <c r="F8" s="163">
        <v>0.24995375820649657</v>
      </c>
      <c r="G8" s="163">
        <v>0.1919032787790893</v>
      </c>
      <c r="H8" s="163">
        <v>2.3715939980936952E-2</v>
      </c>
      <c r="I8" s="163">
        <v>4.1075623085558592E-3</v>
      </c>
      <c r="J8" s="38" t="s">
        <v>30</v>
      </c>
      <c r="K8" s="17" t="s">
        <v>160</v>
      </c>
    </row>
    <row r="9" spans="1:11" ht="15.75" thickBot="1" x14ac:dyDescent="0.3">
      <c r="A9" s="35">
        <f t="shared" ref="A9:A19" si="0">A8+1</f>
        <v>3</v>
      </c>
      <c r="B9" s="24" t="s">
        <v>112</v>
      </c>
      <c r="C9" s="39">
        <v>-2036914.903223403</v>
      </c>
      <c r="D9" s="84">
        <f>$C$9*D8</f>
        <v>-854685.13271250052</v>
      </c>
      <c r="E9" s="84">
        <f t="shared" ref="E9:I9" si="1">$C$9*E8</f>
        <v>-225530.48030748984</v>
      </c>
      <c r="F9" s="84">
        <f t="shared" si="1"/>
        <v>-509134.53520751186</v>
      </c>
      <c r="G9" s="84">
        <f t="shared" si="1"/>
        <v>-390890.64852256241</v>
      </c>
      <c r="H9" s="84">
        <f t="shared" si="1"/>
        <v>-48307.351591122228</v>
      </c>
      <c r="I9" s="84">
        <f t="shared" si="1"/>
        <v>-8366.7548822161552</v>
      </c>
      <c r="J9" s="27"/>
    </row>
    <row r="10" spans="1:11" x14ac:dyDescent="0.25">
      <c r="A10" s="35">
        <f t="shared" si="0"/>
        <v>4</v>
      </c>
      <c r="B10" s="24" t="s">
        <v>31</v>
      </c>
      <c r="C10" s="40">
        <f>SUM(D10:I10)</f>
        <v>5783681645.4061966</v>
      </c>
      <c r="D10" s="40">
        <f>'kWh Forecast'!R18</f>
        <v>2484247532.237524</v>
      </c>
      <c r="E10" s="40">
        <f>'kWh Forecast'!R19</f>
        <v>630478306.40891147</v>
      </c>
      <c r="F10" s="40">
        <f>'kWh Forecast'!R20</f>
        <v>1412691609.5613785</v>
      </c>
      <c r="G10" s="40">
        <f>'kWh Forecast'!R21</f>
        <v>1109601162.1857469</v>
      </c>
      <c r="H10" s="40">
        <f>'kWh Forecast'!R22</f>
        <v>129173177.06188233</v>
      </c>
      <c r="I10" s="40">
        <f>'kWh Forecast'!R23</f>
        <v>17489857.950752899</v>
      </c>
      <c r="J10" s="38" t="s">
        <v>32</v>
      </c>
      <c r="K10" s="17" t="s">
        <v>125</v>
      </c>
    </row>
    <row r="11" spans="1:11" x14ac:dyDescent="0.25">
      <c r="A11" s="35">
        <f t="shared" si="0"/>
        <v>5</v>
      </c>
      <c r="B11" s="24" t="s">
        <v>33</v>
      </c>
      <c r="C11" s="41"/>
      <c r="D11" s="149">
        <f>D9/D10</f>
        <v>-3.4404185638566324E-4</v>
      </c>
      <c r="E11" s="149">
        <f t="shared" ref="E11:I11" si="2">E9/E10</f>
        <v>-3.5771330752372747E-4</v>
      </c>
      <c r="F11" s="149">
        <f t="shared" si="2"/>
        <v>-3.6040033915511906E-4</v>
      </c>
      <c r="G11" s="149">
        <f t="shared" si="2"/>
        <v>-3.522803164270005E-4</v>
      </c>
      <c r="H11" s="149">
        <f t="shared" si="2"/>
        <v>-3.7397355000395996E-4</v>
      </c>
      <c r="I11" s="149">
        <f t="shared" si="2"/>
        <v>-4.7837752060507645E-4</v>
      </c>
      <c r="J11" s="27"/>
    </row>
    <row r="12" spans="1:11" x14ac:dyDescent="0.25">
      <c r="A12" s="35">
        <f t="shared" si="0"/>
        <v>6</v>
      </c>
      <c r="B12" s="24" t="s">
        <v>34</v>
      </c>
      <c r="C12" s="42">
        <f>SUM(D12:I12)</f>
        <v>3032830.001710597</v>
      </c>
      <c r="D12" s="42">
        <f>'kWh Forecast'!R44</f>
        <v>2590623</v>
      </c>
      <c r="E12" s="42">
        <f>'kWh Forecast'!R45</f>
        <v>389845.69571587845</v>
      </c>
      <c r="F12" s="42">
        <f>'kWh Forecast'!R46</f>
        <v>22747.625414938619</v>
      </c>
      <c r="G12" s="42">
        <f>'kWh Forecast'!R47</f>
        <v>250.7729797796818</v>
      </c>
      <c r="H12" s="42">
        <f>'kWh Forecast'!R48</f>
        <v>29362.907600000002</v>
      </c>
      <c r="I12" s="42"/>
      <c r="J12" s="38"/>
    </row>
    <row r="13" spans="1:11" x14ac:dyDescent="0.25">
      <c r="A13" s="35">
        <f t="shared" si="0"/>
        <v>7</v>
      </c>
      <c r="B13" s="24" t="s">
        <v>35</v>
      </c>
      <c r="C13" s="41"/>
      <c r="D13" s="85">
        <f>(D10/D12)*D11</f>
        <v>-0.32991490182573868</v>
      </c>
      <c r="E13" s="85">
        <f>(E10/E12)*E11</f>
        <v>-0.57851217234384344</v>
      </c>
      <c r="F13" s="85">
        <f>(F10/F12)*F11</f>
        <v>-22.381876170387329</v>
      </c>
      <c r="G13" s="85">
        <f>(G10/G12)*G11</f>
        <v>-1558.7430865397932</v>
      </c>
      <c r="H13" s="85">
        <f>(H10/H12)*H11</f>
        <v>-1.6451828357462195</v>
      </c>
      <c r="I13" s="85"/>
      <c r="J13" s="27"/>
    </row>
    <row r="14" spans="1:11" x14ac:dyDescent="0.25">
      <c r="A14" s="35">
        <f t="shared" si="0"/>
        <v>8</v>
      </c>
      <c r="B14" s="24" t="s">
        <v>36</v>
      </c>
      <c r="C14" s="41"/>
      <c r="D14" s="85">
        <f>(D10/(D12/12))*D11</f>
        <v>-3.9589788219088637</v>
      </c>
      <c r="E14" s="85">
        <f>(E10/(E12/12))*E11</f>
        <v>-6.9421460681261218</v>
      </c>
      <c r="F14" s="85">
        <f>(F10/(F12/12))*F11</f>
        <v>-268.58251404464789</v>
      </c>
      <c r="G14" s="85">
        <f>(G10/(G12/12))*G11</f>
        <v>-18704.917038477521</v>
      </c>
      <c r="H14" s="85">
        <f>(H10/(H12/12))*H11</f>
        <v>-19.742194028954636</v>
      </c>
      <c r="I14" s="85"/>
      <c r="J14" s="27"/>
    </row>
    <row r="15" spans="1:11" x14ac:dyDescent="0.25">
      <c r="A15" s="35">
        <f t="shared" si="0"/>
        <v>9</v>
      </c>
      <c r="B15" s="43"/>
      <c r="C15" s="23"/>
      <c r="D15" s="41"/>
      <c r="E15" s="41"/>
      <c r="F15" s="41"/>
      <c r="G15" s="41"/>
      <c r="H15" s="41"/>
      <c r="I15" s="41"/>
      <c r="J15" s="41"/>
    </row>
    <row r="16" spans="1:11" x14ac:dyDescent="0.25">
      <c r="A16" s="35">
        <f t="shared" si="0"/>
        <v>10</v>
      </c>
      <c r="B16" s="43" t="s">
        <v>37</v>
      </c>
      <c r="C16" s="23"/>
      <c r="D16" s="44">
        <f>D11</f>
        <v>-3.4404185638566324E-4</v>
      </c>
      <c r="E16" s="44">
        <f t="shared" ref="E16:I16" si="3">E11</f>
        <v>-3.5771330752372747E-4</v>
      </c>
      <c r="F16" s="44">
        <f t="shared" si="3"/>
        <v>-3.6040033915511906E-4</v>
      </c>
      <c r="G16" s="44">
        <f t="shared" si="3"/>
        <v>-3.522803164270005E-4</v>
      </c>
      <c r="H16" s="44">
        <f t="shared" si="3"/>
        <v>-3.7397355000395996E-4</v>
      </c>
      <c r="I16" s="44">
        <f t="shared" si="3"/>
        <v>-4.7837752060507645E-4</v>
      </c>
      <c r="J16" s="41"/>
    </row>
    <row r="17" spans="1:10" x14ac:dyDescent="0.25">
      <c r="A17" s="35">
        <f t="shared" si="0"/>
        <v>11</v>
      </c>
      <c r="B17" s="43" t="s">
        <v>38</v>
      </c>
      <c r="C17" s="23"/>
      <c r="D17" s="150">
        <v>-5.685280358010635E-4</v>
      </c>
      <c r="E17" s="150">
        <v>-5.7037438568182536E-4</v>
      </c>
      <c r="F17" s="150">
        <v>-5.943741990068178E-4</v>
      </c>
      <c r="G17" s="150">
        <v>-5.6955039160979564E-4</v>
      </c>
      <c r="H17" s="150">
        <v>-6.0757072090828965E-4</v>
      </c>
      <c r="I17" s="150">
        <v>-6.4905435702813821E-4</v>
      </c>
      <c r="J17" s="41"/>
    </row>
    <row r="18" spans="1:10" x14ac:dyDescent="0.25">
      <c r="A18" s="35">
        <f t="shared" si="0"/>
        <v>12</v>
      </c>
      <c r="B18" s="43" t="s">
        <v>39</v>
      </c>
      <c r="C18" s="23"/>
      <c r="D18" s="44">
        <f t="shared" ref="D18:I18" si="4">D16-D17</f>
        <v>2.2448617941540027E-4</v>
      </c>
      <c r="E18" s="44">
        <f t="shared" si="4"/>
        <v>2.1266107815809789E-4</v>
      </c>
      <c r="F18" s="44">
        <f t="shared" si="4"/>
        <v>2.3397385985169874E-4</v>
      </c>
      <c r="G18" s="44">
        <f t="shared" si="4"/>
        <v>2.1727007518279514E-4</v>
      </c>
      <c r="H18" s="44">
        <f t="shared" si="4"/>
        <v>2.3359717090432969E-4</v>
      </c>
      <c r="I18" s="44">
        <f t="shared" si="4"/>
        <v>1.7067683642306176E-4</v>
      </c>
      <c r="J18" s="41"/>
    </row>
    <row r="19" spans="1:10" x14ac:dyDescent="0.25">
      <c r="A19" s="82">
        <f t="shared" si="0"/>
        <v>13</v>
      </c>
      <c r="B19" s="83" t="s">
        <v>40</v>
      </c>
      <c r="C19" s="45">
        <f>SUM(D19:I19)</f>
        <v>1296533.0725734506</v>
      </c>
      <c r="D19" s="46">
        <f t="shared" ref="D19:I19" si="5">D18*D10</f>
        <v>557679.23723413819</v>
      </c>
      <c r="E19" s="46">
        <f t="shared" si="5"/>
        <v>134078.1963962107</v>
      </c>
      <c r="F19" s="46">
        <f t="shared" si="5"/>
        <v>330532.90866918472</v>
      </c>
      <c r="G19" s="46">
        <f t="shared" si="5"/>
        <v>241083.12793101408</v>
      </c>
      <c r="H19" s="46">
        <f t="shared" si="5"/>
        <v>30174.488718379765</v>
      </c>
      <c r="I19" s="46">
        <f t="shared" si="5"/>
        <v>2985.1136245232387</v>
      </c>
      <c r="J19" s="47"/>
    </row>
    <row r="20" spans="1:10" x14ac:dyDescent="0.25">
      <c r="A20" s="35"/>
      <c r="B20" s="43"/>
      <c r="C20" s="43"/>
      <c r="D20" s="43"/>
      <c r="E20" s="43"/>
      <c r="F20" s="43"/>
      <c r="G20" s="43"/>
      <c r="H20" s="43"/>
      <c r="I20" s="43"/>
      <c r="J20" s="43"/>
    </row>
    <row r="21" spans="1:10" x14ac:dyDescent="0.25">
      <c r="A21" s="48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B22" s="24" t="s">
        <v>168</v>
      </c>
      <c r="C22" s="49">
        <f>SUM(D22:I22)</f>
        <v>523529000</v>
      </c>
      <c r="D22" s="49">
        <v>227178000</v>
      </c>
      <c r="E22" s="49">
        <v>77451000</v>
      </c>
      <c r="F22" s="49">
        <v>133184000</v>
      </c>
      <c r="G22" s="49">
        <v>67050000</v>
      </c>
      <c r="H22" s="49">
        <v>11443000</v>
      </c>
      <c r="I22" s="49">
        <v>7223000</v>
      </c>
      <c r="J22" s="43"/>
    </row>
    <row r="23" spans="1:10" x14ac:dyDescent="0.25">
      <c r="B23" s="24" t="s">
        <v>61</v>
      </c>
      <c r="C23" s="50">
        <f t="shared" ref="C23:I23" si="6">C19/C22</f>
        <v>2.4765257943178899E-3</v>
      </c>
      <c r="D23" s="50">
        <f t="shared" si="6"/>
        <v>2.4548118093923629E-3</v>
      </c>
      <c r="E23" s="50">
        <f t="shared" si="6"/>
        <v>1.7311357683723993E-3</v>
      </c>
      <c r="F23" s="50">
        <f t="shared" si="6"/>
        <v>2.4817764045920285E-3</v>
      </c>
      <c r="G23" s="50">
        <f t="shared" si="6"/>
        <v>3.595572377792902E-3</v>
      </c>
      <c r="H23" s="50">
        <f t="shared" si="6"/>
        <v>2.6369386278405809E-3</v>
      </c>
      <c r="I23" s="50">
        <f t="shared" si="6"/>
        <v>4.1327891797358977E-4</v>
      </c>
    </row>
    <row r="25" spans="1:10" x14ac:dyDescent="0.25">
      <c r="B25" s="17" t="s">
        <v>133</v>
      </c>
      <c r="D25" s="121">
        <f>ROUND((ROUND(D16,5)-ROUND(D17,5))*957,2)</f>
        <v>0.22</v>
      </c>
    </row>
    <row r="26" spans="1:10" x14ac:dyDescent="0.25">
      <c r="B26" s="17" t="s">
        <v>62</v>
      </c>
      <c r="D26" s="130">
        <f>D25/82.79</f>
        <v>2.6573257639811569E-3</v>
      </c>
    </row>
    <row r="28" spans="1:10" x14ac:dyDescent="0.25">
      <c r="F28" s="54"/>
    </row>
    <row r="29" spans="1:10" x14ac:dyDescent="0.25">
      <c r="A29" s="52" t="s">
        <v>30</v>
      </c>
      <c r="B29" s="24" t="s">
        <v>161</v>
      </c>
      <c r="C29" s="80"/>
    </row>
    <row r="30" spans="1:10" x14ac:dyDescent="0.25">
      <c r="A30" s="52"/>
      <c r="B30" s="24" t="s">
        <v>121</v>
      </c>
      <c r="C30" s="80"/>
      <c r="G30" s="126"/>
    </row>
    <row r="31" spans="1:10" x14ac:dyDescent="0.25">
      <c r="A31" s="52" t="s">
        <v>32</v>
      </c>
      <c r="B31" s="24" t="s">
        <v>129</v>
      </c>
      <c r="C31" s="80"/>
      <c r="G31" s="53"/>
    </row>
    <row r="32" spans="1:10" x14ac:dyDescent="0.25">
      <c r="A32" s="52"/>
    </row>
    <row r="38" spans="2:16" ht="30" x14ac:dyDescent="0.25">
      <c r="B38" s="124" t="s">
        <v>104</v>
      </c>
      <c r="M38" s="152" t="s">
        <v>134</v>
      </c>
      <c r="N38" s="153" t="s">
        <v>135</v>
      </c>
      <c r="O38" s="153" t="s">
        <v>136</v>
      </c>
      <c r="P38" s="152" t="s">
        <v>137</v>
      </c>
    </row>
    <row r="39" spans="2:16" x14ac:dyDescent="0.25">
      <c r="B39" s="17" t="s">
        <v>105</v>
      </c>
      <c r="C39" s="51">
        <v>9</v>
      </c>
      <c r="M39" s="154" t="s">
        <v>105</v>
      </c>
      <c r="N39" s="155">
        <v>8.5</v>
      </c>
      <c r="O39" s="155">
        <v>0</v>
      </c>
      <c r="P39" s="155">
        <v>8.5</v>
      </c>
    </row>
    <row r="40" spans="2:16" x14ac:dyDescent="0.25">
      <c r="B40" s="17" t="s">
        <v>106</v>
      </c>
      <c r="C40" s="121">
        <v>8.1470000000000001E-2</v>
      </c>
      <c r="M40" s="154" t="s">
        <v>138</v>
      </c>
      <c r="N40" s="156">
        <f>C40</f>
        <v>8.1470000000000001E-2</v>
      </c>
      <c r="O40" s="156">
        <f>D18</f>
        <v>2.2448617941540027E-4</v>
      </c>
      <c r="P40" s="156">
        <f>N40+O40</f>
        <v>8.1694486179415396E-2</v>
      </c>
    </row>
    <row r="41" spans="2:16" x14ac:dyDescent="0.25">
      <c r="B41" s="17" t="s">
        <v>107</v>
      </c>
      <c r="C41" s="121">
        <v>9.3789999999999998E-2</v>
      </c>
      <c r="M41" s="154" t="s">
        <v>139</v>
      </c>
      <c r="N41" s="156">
        <f>C41</f>
        <v>9.3789999999999998E-2</v>
      </c>
      <c r="O41" s="156">
        <f>D18</f>
        <v>2.2448617941540027E-4</v>
      </c>
      <c r="P41" s="156">
        <f>N41+O41</f>
        <v>9.4014486179415394E-2</v>
      </c>
    </row>
    <row r="42" spans="2:16" x14ac:dyDescent="0.25">
      <c r="B42" s="17" t="s">
        <v>132</v>
      </c>
      <c r="C42" s="51">
        <f>C39+(800*C40)+((938-800)*C41)</f>
        <v>87.119020000000006</v>
      </c>
      <c r="M42" s="154" t="s">
        <v>140</v>
      </c>
      <c r="N42" s="156">
        <v>0.10836</v>
      </c>
      <c r="O42" s="156">
        <f>O41</f>
        <v>2.2448617941540027E-4</v>
      </c>
      <c r="P42" s="156">
        <f>O42+N42</f>
        <v>0.10858448617941539</v>
      </c>
    </row>
    <row r="43" spans="2:16" x14ac:dyDescent="0.25">
      <c r="M43" s="154"/>
      <c r="N43" s="154"/>
      <c r="O43" s="154"/>
      <c r="P43" s="154"/>
    </row>
    <row r="44" spans="2:16" x14ac:dyDescent="0.25">
      <c r="B44" s="17" t="s">
        <v>108</v>
      </c>
      <c r="C44" s="118">
        <f>D25</f>
        <v>0.22</v>
      </c>
      <c r="M44" s="154"/>
      <c r="N44" s="154"/>
      <c r="O44" s="154"/>
      <c r="P44" s="154"/>
    </row>
    <row r="45" spans="2:16" ht="30" x14ac:dyDescent="0.25">
      <c r="M45" s="152" t="s">
        <v>141</v>
      </c>
      <c r="N45" s="157" t="s">
        <v>147</v>
      </c>
      <c r="O45" s="152" t="s">
        <v>155</v>
      </c>
      <c r="P45" s="154"/>
    </row>
    <row r="46" spans="2:16" x14ac:dyDescent="0.25">
      <c r="B46" s="17" t="s">
        <v>120</v>
      </c>
      <c r="C46" s="54">
        <f>SUM(C42:C45)</f>
        <v>87.339020000000005</v>
      </c>
      <c r="M46" s="158" t="s">
        <v>142</v>
      </c>
      <c r="N46" s="154" t="s">
        <v>148</v>
      </c>
      <c r="O46" s="159">
        <f>D23</f>
        <v>2.4548118093923629E-3</v>
      </c>
      <c r="P46" s="154"/>
    </row>
    <row r="47" spans="2:16" x14ac:dyDescent="0.25">
      <c r="M47" s="160" t="s">
        <v>143</v>
      </c>
      <c r="N47" s="154" t="s">
        <v>149</v>
      </c>
      <c r="O47" s="159">
        <f>E23</f>
        <v>1.7311357683723993E-3</v>
      </c>
      <c r="P47" s="154"/>
    </row>
    <row r="48" spans="2:16" x14ac:dyDescent="0.25">
      <c r="M48" s="160" t="s">
        <v>144</v>
      </c>
      <c r="N48" s="154" t="s">
        <v>150</v>
      </c>
      <c r="O48" s="159">
        <f>F23</f>
        <v>2.4817764045920285E-3</v>
      </c>
      <c r="P48" s="154"/>
    </row>
    <row r="49" spans="13:16" x14ac:dyDescent="0.25">
      <c r="M49" s="160" t="s">
        <v>145</v>
      </c>
      <c r="N49" s="154" t="s">
        <v>152</v>
      </c>
      <c r="O49" s="159">
        <f>G23</f>
        <v>3.595572377792902E-3</v>
      </c>
      <c r="P49" s="154"/>
    </row>
    <row r="50" spans="13:16" x14ac:dyDescent="0.25">
      <c r="M50" s="160" t="s">
        <v>146</v>
      </c>
      <c r="N50" s="154" t="s">
        <v>151</v>
      </c>
      <c r="O50" s="159">
        <f>H23</f>
        <v>2.6369386278405809E-3</v>
      </c>
      <c r="P50" s="154"/>
    </row>
    <row r="51" spans="13:16" x14ac:dyDescent="0.25">
      <c r="M51" s="160" t="s">
        <v>153</v>
      </c>
      <c r="N51" s="154" t="s">
        <v>154</v>
      </c>
      <c r="O51" s="159">
        <f>I23</f>
        <v>4.1327891797358977E-4</v>
      </c>
      <c r="P51" s="154"/>
    </row>
    <row r="52" spans="13:16" x14ac:dyDescent="0.25">
      <c r="M52" s="154"/>
      <c r="N52" s="161" t="s">
        <v>156</v>
      </c>
      <c r="O52" s="162">
        <f>C23</f>
        <v>2.4765257943178899E-3</v>
      </c>
      <c r="P52" s="154"/>
    </row>
    <row r="53" spans="13:16" x14ac:dyDescent="0.25">
      <c r="M53" s="154"/>
      <c r="N53" s="154"/>
      <c r="O53" s="154"/>
      <c r="P53" s="154"/>
    </row>
  </sheetData>
  <pageMargins left="0.7" right="0.7" top="0.75" bottom="0.75" header="0.3" footer="0.3"/>
  <pageSetup scale="72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9"/>
  <sheetViews>
    <sheetView workbookViewId="0"/>
  </sheetViews>
  <sheetFormatPr defaultRowHeight="15" x14ac:dyDescent="0.25"/>
  <cols>
    <col min="1" max="1" width="9.140625" style="17"/>
    <col min="2" max="2" width="17.85546875" style="17" customWidth="1"/>
    <col min="3" max="4" width="10.28515625" style="17" customWidth="1"/>
    <col min="5" max="5" width="14" style="17" bestFit="1" customWidth="1"/>
    <col min="6" max="7" width="11.140625" style="17" bestFit="1" customWidth="1"/>
    <col min="8" max="8" width="9.85546875" style="17" customWidth="1"/>
    <col min="9" max="9" width="9.5703125" style="17" customWidth="1"/>
    <col min="10" max="17" width="11.140625" style="17" bestFit="1" customWidth="1"/>
    <col min="18" max="16384" width="9.140625" style="17"/>
  </cols>
  <sheetData>
    <row r="2" spans="2:17" x14ac:dyDescent="0.25">
      <c r="C2" s="55"/>
      <c r="D2" s="55"/>
      <c r="E2" s="55">
        <f>SUM(F2:Q2)</f>
        <v>8760</v>
      </c>
      <c r="F2" s="55">
        <v>744</v>
      </c>
      <c r="G2" s="55">
        <v>744</v>
      </c>
      <c r="H2" s="55">
        <v>720</v>
      </c>
      <c r="I2" s="55">
        <v>744</v>
      </c>
      <c r="J2" s="55">
        <v>721</v>
      </c>
      <c r="K2" s="55">
        <v>744</v>
      </c>
      <c r="L2" s="55">
        <v>744</v>
      </c>
      <c r="M2" s="55">
        <v>672</v>
      </c>
      <c r="N2" s="55">
        <v>743</v>
      </c>
      <c r="O2" s="55">
        <v>720</v>
      </c>
      <c r="P2" s="55">
        <v>744</v>
      </c>
      <c r="Q2" s="55">
        <v>720</v>
      </c>
    </row>
    <row r="3" spans="2:17" x14ac:dyDescent="0.25">
      <c r="C3" s="56" t="s">
        <v>1</v>
      </c>
      <c r="D3" s="56" t="s">
        <v>2</v>
      </c>
      <c r="E3" s="56" t="s">
        <v>0</v>
      </c>
      <c r="F3" s="57">
        <v>43282</v>
      </c>
      <c r="G3" s="57">
        <v>43313</v>
      </c>
      <c r="H3" s="57">
        <v>43344</v>
      </c>
      <c r="I3" s="57">
        <v>43374</v>
      </c>
      <c r="J3" s="57">
        <v>43405</v>
      </c>
      <c r="K3" s="57">
        <v>43435</v>
      </c>
      <c r="L3" s="57">
        <v>43466</v>
      </c>
      <c r="M3" s="57">
        <v>43497</v>
      </c>
      <c r="N3" s="57">
        <v>43525</v>
      </c>
      <c r="O3" s="57">
        <v>43556</v>
      </c>
      <c r="P3" s="57">
        <v>43586</v>
      </c>
      <c r="Q3" s="57">
        <v>43617</v>
      </c>
    </row>
    <row r="5" spans="2:17" x14ac:dyDescent="0.25">
      <c r="B5" s="172" t="s">
        <v>167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</row>
    <row r="6" spans="2:17" x14ac:dyDescent="0.25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</row>
    <row r="7" spans="2:17" x14ac:dyDescent="0.25"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</row>
    <row r="8" spans="2:17" x14ac:dyDescent="0.25"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</row>
    <row r="9" spans="2:17" x14ac:dyDescent="0.25"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</row>
    <row r="10" spans="2:17" x14ac:dyDescent="0.25"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</row>
    <row r="11" spans="2:17" x14ac:dyDescent="0.25"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</row>
    <row r="12" spans="2:17" x14ac:dyDescent="0.25"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</row>
    <row r="13" spans="2:17" ht="15.75" thickBot="1" x14ac:dyDescent="0.3">
      <c r="D13" s="58"/>
      <c r="E13" s="59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2:17" ht="15.75" thickBot="1" x14ac:dyDescent="0.3">
      <c r="B14" s="63" t="s">
        <v>63</v>
      </c>
      <c r="C14" s="64"/>
      <c r="D14" s="64"/>
      <c r="E14" s="65">
        <v>-2571780</v>
      </c>
    </row>
    <row r="15" spans="2:17" x14ac:dyDescent="0.25">
      <c r="B15" s="66"/>
      <c r="C15" s="66"/>
      <c r="D15" s="66"/>
      <c r="E15" s="67"/>
    </row>
    <row r="16" spans="2:17" x14ac:dyDescent="0.25">
      <c r="B16" s="66" t="s">
        <v>64</v>
      </c>
      <c r="C16" s="66"/>
      <c r="D16" s="147" t="s">
        <v>157</v>
      </c>
      <c r="E16" s="68">
        <v>0.6573</v>
      </c>
      <c r="F16" s="61">
        <v>200502.79199999999</v>
      </c>
      <c r="G16" s="61">
        <v>200502.79199999999</v>
      </c>
      <c r="H16" s="61">
        <v>194034.96</v>
      </c>
      <c r="I16" s="61">
        <v>200502.79199999999</v>
      </c>
      <c r="J16" s="61">
        <v>194304.45300000001</v>
      </c>
      <c r="K16" s="61">
        <v>200502.79199999999</v>
      </c>
      <c r="L16" s="61">
        <v>83135.304000000004</v>
      </c>
      <c r="M16" s="61">
        <v>75089.952000000005</v>
      </c>
      <c r="N16" s="61">
        <v>83023.562999999995</v>
      </c>
      <c r="O16" s="61">
        <v>95242.77</v>
      </c>
      <c r="P16" s="61">
        <v>83135.304000000004</v>
      </c>
      <c r="Q16" s="61">
        <v>80453.52</v>
      </c>
    </row>
    <row r="17" spans="2:10" x14ac:dyDescent="0.25">
      <c r="B17" s="66"/>
      <c r="C17" s="66"/>
      <c r="D17" s="66"/>
      <c r="E17" s="68"/>
    </row>
    <row r="18" spans="2:10" x14ac:dyDescent="0.25">
      <c r="B18" s="66" t="s">
        <v>65</v>
      </c>
      <c r="C18" s="66"/>
      <c r="D18" s="66"/>
      <c r="E18" s="67">
        <v>-1690430.9939999999</v>
      </c>
      <c r="G18" s="80"/>
      <c r="H18" s="80"/>
      <c r="I18" s="80"/>
      <c r="J18" s="80"/>
    </row>
    <row r="19" spans="2:10" x14ac:dyDescent="0.25">
      <c r="B19" s="66"/>
      <c r="C19" s="66"/>
      <c r="D19" s="66"/>
      <c r="E19" s="67"/>
      <c r="G19" s="80"/>
      <c r="H19" s="80"/>
      <c r="I19" s="80"/>
      <c r="J19" s="81"/>
    </row>
    <row r="20" spans="2:10" x14ac:dyDescent="0.25">
      <c r="B20" s="17" t="s">
        <v>88</v>
      </c>
      <c r="C20" s="66"/>
      <c r="D20" s="66"/>
      <c r="E20" s="67">
        <v>-232838.68790960789</v>
      </c>
      <c r="G20" s="80"/>
      <c r="H20" s="80"/>
      <c r="I20" s="80"/>
      <c r="J20" s="81"/>
    </row>
    <row r="21" spans="2:10" x14ac:dyDescent="0.25">
      <c r="B21" s="66"/>
      <c r="C21" s="66"/>
      <c r="D21" s="66"/>
      <c r="E21" s="67"/>
      <c r="G21" s="80"/>
      <c r="H21" s="80"/>
      <c r="I21" s="80"/>
      <c r="J21" s="81"/>
    </row>
    <row r="22" spans="2:10" x14ac:dyDescent="0.25">
      <c r="B22" s="66" t="s">
        <v>93</v>
      </c>
      <c r="C22" s="66"/>
      <c r="D22" s="66"/>
      <c r="E22" s="67">
        <v>-1923269.6819096077</v>
      </c>
      <c r="G22" s="80"/>
      <c r="H22" s="80"/>
      <c r="I22" s="80"/>
      <c r="J22" s="81"/>
    </row>
    <row r="23" spans="2:10" x14ac:dyDescent="0.25">
      <c r="B23" s="66"/>
      <c r="C23" s="66"/>
      <c r="D23" s="66"/>
      <c r="E23" s="67"/>
      <c r="G23" s="128"/>
      <c r="H23" s="80"/>
      <c r="I23" s="80"/>
      <c r="J23" s="81"/>
    </row>
    <row r="24" spans="2:10" x14ac:dyDescent="0.25">
      <c r="B24" s="66" t="s">
        <v>94</v>
      </c>
      <c r="C24" s="66"/>
      <c r="D24" s="66"/>
      <c r="E24" s="67">
        <v>-18568.144376036336</v>
      </c>
      <c r="G24" s="80"/>
      <c r="H24" s="80"/>
      <c r="I24" s="80"/>
      <c r="J24" s="81"/>
    </row>
    <row r="25" spans="2:10" x14ac:dyDescent="0.25">
      <c r="B25" s="66"/>
      <c r="C25" s="66"/>
      <c r="D25" s="66"/>
      <c r="E25" s="67"/>
      <c r="G25" s="80"/>
      <c r="H25" s="80"/>
      <c r="I25" s="80"/>
      <c r="J25" s="80"/>
    </row>
    <row r="26" spans="2:10" x14ac:dyDescent="0.25">
      <c r="B26" s="66" t="s">
        <v>95</v>
      </c>
      <c r="C26" s="66"/>
      <c r="D26" s="66"/>
      <c r="E26" s="67">
        <v>-1941837.826285644</v>
      </c>
    </row>
    <row r="27" spans="2:10" x14ac:dyDescent="0.25">
      <c r="B27" s="66"/>
      <c r="C27" s="66"/>
      <c r="D27" s="66"/>
      <c r="E27" s="67"/>
    </row>
    <row r="28" spans="2:10" x14ac:dyDescent="0.25">
      <c r="B28" s="17" t="s">
        <v>41</v>
      </c>
      <c r="D28" s="135" t="s">
        <v>157</v>
      </c>
      <c r="E28" s="133">
        <v>0.95332300000000003</v>
      </c>
    </row>
    <row r="29" spans="2:10" ht="15.75" thickBot="1" x14ac:dyDescent="0.3"/>
    <row r="30" spans="2:10" ht="15.75" thickBot="1" x14ac:dyDescent="0.3">
      <c r="B30" s="63" t="s">
        <v>42</v>
      </c>
      <c r="C30" s="64"/>
      <c r="D30" s="64"/>
      <c r="E30" s="65">
        <v>-2036914.9032234026</v>
      </c>
    </row>
    <row r="31" spans="2:10" x14ac:dyDescent="0.25">
      <c r="B31" s="124"/>
    </row>
    <row r="32" spans="2:10" x14ac:dyDescent="0.25">
      <c r="C32" s="51"/>
    </row>
    <row r="33" spans="2:3" x14ac:dyDescent="0.25">
      <c r="C33" s="121"/>
    </row>
    <row r="34" spans="2:3" x14ac:dyDescent="0.25">
      <c r="C34" s="121"/>
    </row>
    <row r="39" spans="2:3" x14ac:dyDescent="0.25">
      <c r="B39" s="17" t="s">
        <v>120</v>
      </c>
    </row>
  </sheetData>
  <mergeCells count="1">
    <mergeCell ref="B5:Q12"/>
  </mergeCells>
  <pageMargins left="0.7" right="0.7" top="0.75" bottom="0.75" header="0.3" footer="0.3"/>
  <pageSetup scale="65" orientation="landscape" r:id="rId1"/>
  <headerFooter>
    <oddHeader>&amp;C&amp;"Arial,Bold"&amp;12REDACTED</oddHead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6"/>
  <sheetViews>
    <sheetView workbookViewId="0"/>
  </sheetViews>
  <sheetFormatPr defaultRowHeight="15" x14ac:dyDescent="0.25"/>
  <cols>
    <col min="1" max="1" width="9.140625" style="17"/>
    <col min="2" max="2" width="20.7109375" style="17" customWidth="1"/>
    <col min="3" max="4" width="10.28515625" style="17" customWidth="1"/>
    <col min="5" max="5" width="14" style="17" bestFit="1" customWidth="1"/>
    <col min="6" max="6" width="12.85546875" style="17" customWidth="1"/>
    <col min="7" max="7" width="11.140625" style="17" bestFit="1" customWidth="1"/>
    <col min="8" max="8" width="11.85546875" style="17" bestFit="1" customWidth="1"/>
    <col min="9" max="9" width="11.140625" style="17" bestFit="1" customWidth="1"/>
    <col min="10" max="16384" width="9.140625" style="17"/>
  </cols>
  <sheetData>
    <row r="2" spans="2:9" x14ac:dyDescent="0.25">
      <c r="C2" s="55"/>
      <c r="D2" s="55"/>
      <c r="E2" s="55">
        <f>SUM(F2:I2)</f>
        <v>2927</v>
      </c>
      <c r="F2" s="55">
        <v>743</v>
      </c>
      <c r="G2" s="55">
        <v>720</v>
      </c>
      <c r="H2" s="55">
        <v>744</v>
      </c>
      <c r="I2" s="55">
        <v>720</v>
      </c>
    </row>
    <row r="3" spans="2:9" x14ac:dyDescent="0.25">
      <c r="C3" s="56" t="s">
        <v>1</v>
      </c>
      <c r="D3" s="56" t="s">
        <v>2</v>
      </c>
      <c r="E3" s="56" t="s">
        <v>0</v>
      </c>
      <c r="F3" s="57">
        <v>43160</v>
      </c>
      <c r="G3" s="57">
        <v>43191</v>
      </c>
      <c r="H3" s="57">
        <v>43221</v>
      </c>
      <c r="I3" s="57">
        <v>43252</v>
      </c>
    </row>
    <row r="5" spans="2:9" x14ac:dyDescent="0.25">
      <c r="B5" s="172" t="s">
        <v>167</v>
      </c>
      <c r="C5" s="172"/>
      <c r="D5" s="172"/>
      <c r="E5" s="172"/>
      <c r="F5" s="172"/>
      <c r="G5" s="172"/>
      <c r="H5" s="172"/>
      <c r="I5" s="172"/>
    </row>
    <row r="6" spans="2:9" x14ac:dyDescent="0.25">
      <c r="B6" s="172"/>
      <c r="C6" s="172"/>
      <c r="D6" s="172"/>
      <c r="E6" s="172"/>
      <c r="F6" s="172"/>
      <c r="G6" s="172"/>
      <c r="H6" s="172"/>
      <c r="I6" s="172"/>
    </row>
    <row r="7" spans="2:9" x14ac:dyDescent="0.25">
      <c r="B7" s="172"/>
      <c r="C7" s="172"/>
      <c r="D7" s="172"/>
      <c r="E7" s="172"/>
      <c r="F7" s="172"/>
      <c r="G7" s="172"/>
      <c r="H7" s="172"/>
      <c r="I7" s="172"/>
    </row>
    <row r="8" spans="2:9" x14ac:dyDescent="0.25">
      <c r="B8" s="172"/>
      <c r="C8" s="172"/>
      <c r="D8" s="172"/>
      <c r="E8" s="172"/>
      <c r="F8" s="172"/>
      <c r="G8" s="172"/>
      <c r="H8" s="172"/>
      <c r="I8" s="172"/>
    </row>
    <row r="9" spans="2:9" x14ac:dyDescent="0.25">
      <c r="B9" s="172"/>
      <c r="C9" s="172"/>
      <c r="D9" s="172"/>
      <c r="E9" s="172"/>
      <c r="F9" s="172"/>
      <c r="G9" s="172"/>
      <c r="H9" s="172"/>
      <c r="I9" s="172"/>
    </row>
    <row r="10" spans="2:9" ht="15.75" thickBot="1" x14ac:dyDescent="0.3">
      <c r="E10" s="62"/>
    </row>
    <row r="11" spans="2:9" ht="15.75" thickBot="1" x14ac:dyDescent="0.3">
      <c r="B11" s="63" t="s">
        <v>63</v>
      </c>
      <c r="C11" s="64"/>
      <c r="D11" s="64"/>
      <c r="E11" s="65">
        <v>-1193300</v>
      </c>
    </row>
    <row r="12" spans="2:9" x14ac:dyDescent="0.25">
      <c r="B12" s="66"/>
      <c r="C12" s="66"/>
      <c r="D12" s="66"/>
      <c r="E12" s="67"/>
      <c r="F12" s="166" t="s">
        <v>122</v>
      </c>
      <c r="G12" s="166" t="s">
        <v>122</v>
      </c>
      <c r="H12" s="166" t="s">
        <v>162</v>
      </c>
      <c r="I12" s="166" t="s">
        <v>164</v>
      </c>
    </row>
    <row r="13" spans="2:9" x14ac:dyDescent="0.25">
      <c r="B13" s="66" t="s">
        <v>64</v>
      </c>
      <c r="C13" s="66"/>
      <c r="D13" s="66"/>
      <c r="E13" s="67"/>
      <c r="F13" s="167">
        <v>0.65190000000000003</v>
      </c>
      <c r="G13" s="167">
        <v>0.65190000000000003</v>
      </c>
      <c r="H13" s="167">
        <v>0.6573</v>
      </c>
      <c r="I13" s="167">
        <v>0.6573</v>
      </c>
    </row>
    <row r="14" spans="2:9" x14ac:dyDescent="0.25">
      <c r="B14" s="66"/>
      <c r="C14" s="134"/>
      <c r="D14" s="147"/>
      <c r="E14" s="68"/>
      <c r="F14" s="61">
        <v>193744.68000000002</v>
      </c>
      <c r="G14" s="61">
        <v>202414.95</v>
      </c>
      <c r="H14" s="61">
        <v>195612.48</v>
      </c>
      <c r="I14" s="61">
        <v>189302.39999999999</v>
      </c>
    </row>
    <row r="15" spans="2:9" x14ac:dyDescent="0.25">
      <c r="B15" s="66"/>
      <c r="C15" s="66"/>
      <c r="D15" s="66"/>
      <c r="E15" s="68"/>
    </row>
    <row r="16" spans="2:9" x14ac:dyDescent="0.25">
      <c r="B16" s="66" t="s">
        <v>65</v>
      </c>
      <c r="C16" s="66"/>
      <c r="D16" s="66"/>
      <c r="E16" s="67">
        <v>-781074.51</v>
      </c>
      <c r="F16" s="61">
        <v>-193744.68000000002</v>
      </c>
      <c r="G16" s="61">
        <v>-202414.95</v>
      </c>
      <c r="H16" s="61">
        <v>-195612.48</v>
      </c>
      <c r="I16" s="61">
        <v>-189302.39999999999</v>
      </c>
    </row>
    <row r="17" spans="2:9" x14ac:dyDescent="0.25">
      <c r="B17" s="66"/>
      <c r="C17" s="66"/>
      <c r="D17" s="66"/>
      <c r="E17" s="67"/>
    </row>
    <row r="18" spans="2:9" x14ac:dyDescent="0.25">
      <c r="B18" s="17" t="s">
        <v>41</v>
      </c>
      <c r="C18" s="134"/>
      <c r="D18" s="147"/>
      <c r="E18" s="165"/>
      <c r="F18" s="165">
        <v>0.95385299999999995</v>
      </c>
      <c r="G18" s="165">
        <v>0.95385299999999995</v>
      </c>
      <c r="H18" s="17">
        <v>0.95332300000000003</v>
      </c>
      <c r="I18" s="17">
        <v>0.95332300000000003</v>
      </c>
    </row>
    <row r="19" spans="2:9" ht="15.75" thickBot="1" x14ac:dyDescent="0.3"/>
    <row r="20" spans="2:9" ht="15.75" thickBot="1" x14ac:dyDescent="0.3">
      <c r="B20" s="63" t="s">
        <v>42</v>
      </c>
      <c r="C20" s="64"/>
      <c r="D20" s="64"/>
      <c r="E20" s="65">
        <v>-819086.9069543106</v>
      </c>
      <c r="F20" s="168">
        <v>-203117.96471783391</v>
      </c>
      <c r="G20" s="168">
        <v>-212207.6986705499</v>
      </c>
      <c r="H20" s="168">
        <v>-205190.14017284804</v>
      </c>
      <c r="I20" s="168">
        <v>-198571.10339307872</v>
      </c>
    </row>
    <row r="22" spans="2:9" x14ac:dyDescent="0.25">
      <c r="E22" s="51"/>
    </row>
    <row r="30" spans="2:9" x14ac:dyDescent="0.25">
      <c r="G30" s="126"/>
    </row>
    <row r="38" spans="2:3" x14ac:dyDescent="0.25">
      <c r="B38" s="124"/>
    </row>
    <row r="39" spans="2:3" x14ac:dyDescent="0.25">
      <c r="C39" s="51"/>
    </row>
    <row r="40" spans="2:3" x14ac:dyDescent="0.25">
      <c r="C40" s="121"/>
    </row>
    <row r="41" spans="2:3" x14ac:dyDescent="0.25">
      <c r="C41" s="121"/>
    </row>
    <row r="46" spans="2:3" x14ac:dyDescent="0.25">
      <c r="B46" s="17" t="s">
        <v>120</v>
      </c>
    </row>
  </sheetData>
  <mergeCells count="1">
    <mergeCell ref="B5:I9"/>
  </mergeCells>
  <pageMargins left="0.7" right="0.7" top="0.75" bottom="0.75" header="0.3" footer="0.3"/>
  <pageSetup scale="74" orientation="landscape" r:id="rId1"/>
  <headerFooter>
    <oddHeader>&amp;C&amp;"Arial,Bold"&amp;12REDACTED</oddHeader>
    <oddFooter>&amp;L&amp;F&amp;RPage: &amp;P of &amp;N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Normal="100" workbookViewId="0"/>
  </sheetViews>
  <sheetFormatPr defaultRowHeight="12.75" x14ac:dyDescent="0.2"/>
  <cols>
    <col min="1" max="1" width="41.85546875" bestFit="1" customWidth="1"/>
    <col min="2" max="2" width="13.42578125" bestFit="1" customWidth="1"/>
    <col min="3" max="3" width="13.85546875" customWidth="1"/>
    <col min="4" max="11" width="10.5703125" customWidth="1"/>
    <col min="12" max="12" width="10.42578125" bestFit="1" customWidth="1"/>
    <col min="13" max="17" width="10.5703125" customWidth="1"/>
    <col min="18" max="18" width="10.7109375" bestFit="1" customWidth="1"/>
    <col min="19" max="20" width="12.28515625" customWidth="1"/>
    <col min="21" max="21" width="11.85546875" bestFit="1" customWidth="1"/>
  </cols>
  <sheetData>
    <row r="1" spans="1:21" x14ac:dyDescent="0.2">
      <c r="A1" s="2"/>
      <c r="B1" s="2">
        <v>2017</v>
      </c>
      <c r="C1" s="2">
        <v>2018</v>
      </c>
      <c r="D1" s="2">
        <v>2018</v>
      </c>
      <c r="E1" s="2">
        <v>2018</v>
      </c>
      <c r="F1" s="2">
        <v>2018</v>
      </c>
      <c r="G1" s="2">
        <v>2018</v>
      </c>
      <c r="H1" s="2">
        <v>2018</v>
      </c>
      <c r="I1" s="145" t="s">
        <v>102</v>
      </c>
      <c r="J1" s="2">
        <v>2018</v>
      </c>
      <c r="K1" s="2">
        <v>2018</v>
      </c>
      <c r="L1" s="2">
        <v>2018</v>
      </c>
      <c r="M1" s="2">
        <v>2018</v>
      </c>
      <c r="N1" s="146">
        <v>2018</v>
      </c>
      <c r="O1" s="146" t="s">
        <v>102</v>
      </c>
      <c r="P1" s="2">
        <v>2019</v>
      </c>
      <c r="Q1" s="2">
        <v>2019</v>
      </c>
      <c r="R1" s="2">
        <v>2019</v>
      </c>
      <c r="S1" s="2">
        <v>2019</v>
      </c>
      <c r="T1" s="2">
        <v>2019</v>
      </c>
    </row>
    <row r="2" spans="1:21" x14ac:dyDescent="0.2">
      <c r="A2" s="4"/>
      <c r="B2" s="4" t="s">
        <v>75</v>
      </c>
      <c r="C2" s="4" t="s">
        <v>76</v>
      </c>
      <c r="D2" s="4" t="s">
        <v>77</v>
      </c>
      <c r="E2" s="4" t="s">
        <v>66</v>
      </c>
      <c r="F2" s="4" t="s">
        <v>67</v>
      </c>
      <c r="G2" s="4" t="s">
        <v>68</v>
      </c>
      <c r="H2" s="4" t="s">
        <v>69</v>
      </c>
      <c r="I2" s="4" t="s">
        <v>70</v>
      </c>
      <c r="J2" s="4" t="s">
        <v>71</v>
      </c>
      <c r="K2" s="4" t="s">
        <v>72</v>
      </c>
      <c r="L2" s="4" t="s">
        <v>73</v>
      </c>
      <c r="M2" s="4" t="s">
        <v>74</v>
      </c>
      <c r="N2" s="4" t="s">
        <v>75</v>
      </c>
      <c r="O2" s="4" t="s">
        <v>76</v>
      </c>
      <c r="P2" s="4" t="s">
        <v>77</v>
      </c>
      <c r="Q2" s="4" t="s">
        <v>66</v>
      </c>
      <c r="R2" s="4" t="s">
        <v>67</v>
      </c>
      <c r="S2" s="4" t="s">
        <v>68</v>
      </c>
      <c r="T2" s="4" t="s">
        <v>69</v>
      </c>
      <c r="U2" s="5"/>
    </row>
    <row r="3" spans="1:21" x14ac:dyDescent="0.2">
      <c r="A3" s="2" t="s">
        <v>100</v>
      </c>
      <c r="B3" s="7">
        <v>0</v>
      </c>
      <c r="C3" s="15">
        <v>-315100</v>
      </c>
      <c r="D3" s="15">
        <v>-266334</v>
      </c>
      <c r="E3" s="15">
        <f>'Forecasted Revenue'!D39</f>
        <v>-263447.26421030593</v>
      </c>
      <c r="F3" s="15">
        <f>'Forecasted Revenue'!E39</f>
        <v>-239664.37070970825</v>
      </c>
      <c r="G3" s="15">
        <f>'Forecasted Revenue'!F39</f>
        <v>-237210.84040302641</v>
      </c>
      <c r="H3" s="15">
        <f>'Forecasted Revenue'!G39</f>
        <v>-237619.43824944409</v>
      </c>
      <c r="I3" s="15">
        <f>'Forecasted Revenue'!H39</f>
        <v>-167920.7036543311</v>
      </c>
      <c r="J3" s="15">
        <f>'Forecasted Revenue'!I39</f>
        <v>-162082.30494861261</v>
      </c>
      <c r="K3" s="15">
        <f>'Forecasted Revenue'!J39</f>
        <v>-144650.33911961224</v>
      </c>
      <c r="L3" s="15">
        <f>'Forecasted Revenue'!K39</f>
        <v>-153589.58907507788</v>
      </c>
      <c r="M3" s="15">
        <f>'Forecasted Revenue'!L39</f>
        <v>-167786.39704697611</v>
      </c>
      <c r="N3" s="15">
        <f>'Forecasted Revenue'!M39</f>
        <v>-192253.2950924141</v>
      </c>
      <c r="O3" s="15">
        <f>'Forecasted Revenue'!N39</f>
        <v>-186047.5239791793</v>
      </c>
      <c r="P3" s="15">
        <f>'Forecasted Revenue'!O39</f>
        <v>-163331.53786504941</v>
      </c>
      <c r="Q3" s="15">
        <f>'Forecasted Revenue'!P39</f>
        <v>-165542.80966655895</v>
      </c>
      <c r="R3" s="15">
        <f>'Forecasted Revenue'!Q39</f>
        <v>-146496.97908375619</v>
      </c>
      <c r="S3" s="15">
        <f>'Forecasted Revenue'!R39</f>
        <v>-146714.74985550571</v>
      </c>
      <c r="T3" s="15">
        <f>'Forecasted Revenue'!S39</f>
        <v>-145421.59689857066</v>
      </c>
      <c r="U3" s="5"/>
    </row>
    <row r="4" spans="1:21" x14ac:dyDescent="0.2">
      <c r="A4" s="2" t="s">
        <v>89</v>
      </c>
      <c r="B4" s="7">
        <v>0</v>
      </c>
      <c r="C4" s="15">
        <v>1009989</v>
      </c>
      <c r="D4" s="15">
        <v>167196</v>
      </c>
      <c r="E4" s="15">
        <f>-'3-2018 thru 6-2018 RECs'!F16</f>
        <v>193744.68000000002</v>
      </c>
      <c r="F4" s="15">
        <f>-'3-2018 thru 6-2018 RECs'!G16</f>
        <v>202414.95</v>
      </c>
      <c r="G4" s="15">
        <f>-'3-2018 thru 6-2018 RECs'!H16</f>
        <v>195612.48</v>
      </c>
      <c r="H4" s="15">
        <f>-'3-2018 thru 6-2018 RECs'!I16</f>
        <v>189302.39999999999</v>
      </c>
      <c r="I4" s="16">
        <f>'7-2018 thru 6-2019 RECs'!F16</f>
        <v>200502.79199999999</v>
      </c>
      <c r="J4" s="16">
        <f>'7-2018 thru 6-2019 RECs'!G16</f>
        <v>200502.79199999999</v>
      </c>
      <c r="K4" s="16">
        <f>'7-2018 thru 6-2019 RECs'!H16</f>
        <v>194034.96</v>
      </c>
      <c r="L4" s="16">
        <f>'7-2018 thru 6-2019 RECs'!I16</f>
        <v>200502.79199999999</v>
      </c>
      <c r="M4" s="16">
        <f>'7-2018 thru 6-2019 RECs'!J16</f>
        <v>194304.45300000001</v>
      </c>
      <c r="N4" s="16">
        <f>'7-2018 thru 6-2019 RECs'!K16</f>
        <v>200502.79199999999</v>
      </c>
      <c r="O4" s="16">
        <f>'7-2018 thru 6-2019 RECs'!L16</f>
        <v>83135.304000000004</v>
      </c>
      <c r="P4" s="16">
        <f>'7-2018 thru 6-2019 RECs'!M16</f>
        <v>75089.952000000005</v>
      </c>
      <c r="Q4" s="16">
        <f>'7-2018 thru 6-2019 RECs'!N16</f>
        <v>83023.562999999995</v>
      </c>
      <c r="R4" s="16">
        <f>'7-2018 thru 6-2019 RECs'!O16</f>
        <v>95242.77</v>
      </c>
      <c r="S4" s="16">
        <f>'7-2018 thru 6-2019 RECs'!P16</f>
        <v>83135.304000000004</v>
      </c>
      <c r="T4" s="16">
        <f>'7-2018 thru 6-2019 RECs'!Q16</f>
        <v>80453.52</v>
      </c>
      <c r="U4" s="5"/>
    </row>
    <row r="5" spans="1:21" x14ac:dyDescent="0.2">
      <c r="A5" s="2" t="s">
        <v>78</v>
      </c>
      <c r="B5" s="12">
        <v>0</v>
      </c>
      <c r="C5" s="12">
        <f>C3+C4</f>
        <v>694889</v>
      </c>
      <c r="D5" s="12">
        <f>D3+D4</f>
        <v>-99138</v>
      </c>
      <c r="E5" s="12">
        <f t="shared" ref="E5:T5" si="0">E3+E4</f>
        <v>-69702.584210305911</v>
      </c>
      <c r="F5" s="12">
        <f t="shared" si="0"/>
        <v>-37249.42070970824</v>
      </c>
      <c r="G5" s="12">
        <f>G3+G4</f>
        <v>-41598.360403026396</v>
      </c>
      <c r="H5" s="12">
        <f>H3+H4</f>
        <v>-48317.0382494441</v>
      </c>
      <c r="I5" s="12">
        <f>I3+I4</f>
        <v>32582.08834566889</v>
      </c>
      <c r="J5" s="12">
        <f t="shared" si="0"/>
        <v>38420.487051387376</v>
      </c>
      <c r="K5" s="12">
        <f t="shared" si="0"/>
        <v>49384.620880387753</v>
      </c>
      <c r="L5" s="12">
        <f t="shared" si="0"/>
        <v>46913.202924922109</v>
      </c>
      <c r="M5" s="12">
        <f t="shared" si="0"/>
        <v>26518.055953023897</v>
      </c>
      <c r="N5" s="12">
        <f t="shared" si="0"/>
        <v>8249.4969075858826</v>
      </c>
      <c r="O5" s="12">
        <f t="shared" si="0"/>
        <v>-102912.2199791793</v>
      </c>
      <c r="P5" s="12">
        <f t="shared" si="0"/>
        <v>-88241.585865049405</v>
      </c>
      <c r="Q5" s="12">
        <f t="shared" si="0"/>
        <v>-82519.24666655896</v>
      </c>
      <c r="R5" s="12">
        <f t="shared" si="0"/>
        <v>-51254.209083756185</v>
      </c>
      <c r="S5" s="12">
        <f t="shared" si="0"/>
        <v>-63579.445855505706</v>
      </c>
      <c r="T5" s="14">
        <f t="shared" si="0"/>
        <v>-64968.076898570653</v>
      </c>
      <c r="U5" s="5"/>
    </row>
    <row r="6" spans="1:21" x14ac:dyDescent="0.2">
      <c r="A6" s="2" t="s">
        <v>101</v>
      </c>
      <c r="B6" s="7">
        <v>0</v>
      </c>
      <c r="C6" s="7">
        <f>B8+C5</f>
        <v>518577.99</v>
      </c>
      <c r="D6" s="7">
        <f>C6+D5</f>
        <v>419439.99</v>
      </c>
      <c r="E6" s="7">
        <f>D6+E5</f>
        <v>349737.40578969405</v>
      </c>
      <c r="F6" s="7">
        <f>E6+F5</f>
        <v>312487.98507998581</v>
      </c>
      <c r="G6" s="7">
        <f>F6+G5</f>
        <v>270889.62467695941</v>
      </c>
      <c r="H6" s="7">
        <f>G6+H5</f>
        <v>222572.58642751531</v>
      </c>
      <c r="I6" s="7">
        <f>H8+I5</f>
        <v>265420.77625527675</v>
      </c>
      <c r="J6" s="7">
        <f>I6+J5</f>
        <v>303841.26330666413</v>
      </c>
      <c r="K6" s="7">
        <f>J6+K5</f>
        <v>353225.88418705191</v>
      </c>
      <c r="L6" s="7">
        <f>K6+L5</f>
        <v>400139.08711197402</v>
      </c>
      <c r="M6" s="7">
        <f>L6+M5</f>
        <v>426657.14306499792</v>
      </c>
      <c r="N6" s="7">
        <f>M6+N5</f>
        <v>434906.6399725838</v>
      </c>
      <c r="O6" s="7">
        <f>N8+O5</f>
        <v>343896.26752331492</v>
      </c>
      <c r="P6" s="7">
        <f>O6+P5</f>
        <v>255654.68165826553</v>
      </c>
      <c r="Q6" s="7">
        <f>P6+Q5</f>
        <v>173135.43499170657</v>
      </c>
      <c r="R6" s="7">
        <f>Q6+R5</f>
        <v>121881.22590795039</v>
      </c>
      <c r="S6" s="7">
        <f>R6+S5</f>
        <v>58301.780052444679</v>
      </c>
      <c r="T6" s="7">
        <f>S6+T5</f>
        <v>-6666.2968461259734</v>
      </c>
      <c r="U6" s="5"/>
    </row>
    <row r="7" spans="1:21" x14ac:dyDescent="0.2">
      <c r="A7" s="2" t="s">
        <v>92</v>
      </c>
      <c r="B7" s="13">
        <v>0</v>
      </c>
      <c r="C7" s="12">
        <f>(B8+(0.5*C5))*$C$25</f>
        <v>905.58138458333326</v>
      </c>
      <c r="D7" s="12">
        <f>(C6+(0.5*D5))*$C$25</f>
        <v>2481.8392387499998</v>
      </c>
      <c r="E7" s="12">
        <f>(D6+(0.5*E5))*$C$25</f>
        <v>2035.1151930268989</v>
      </c>
      <c r="F7" s="12">
        <f>(E6+(0.5*F5))*$C$25</f>
        <v>1752.1380133426946</v>
      </c>
      <c r="G7" s="12">
        <f>(F6+(0.5*G5))*$D$25</f>
        <v>1674.7798880105634</v>
      </c>
      <c r="H7" s="12">
        <f>(G6+(0.5*H5))*$D$25</f>
        <v>1416.6477643790961</v>
      </c>
      <c r="I7" s="12">
        <f t="shared" ref="I7:T7" si="1">(H6+(0.5*I5))*$D$25</f>
        <v>1371.4753456970082</v>
      </c>
      <c r="J7" s="12">
        <f t="shared" si="1"/>
        <v>1634.2564385757385</v>
      </c>
      <c r="K7" s="12">
        <f t="shared" si="1"/>
        <v>1886.3302692632096</v>
      </c>
      <c r="L7" s="12">
        <f t="shared" si="1"/>
        <v>2162.7852717709534</v>
      </c>
      <c r="M7" s="12">
        <f t="shared" si="1"/>
        <v>2373.5941774663902</v>
      </c>
      <c r="N7" s="12">
        <f t="shared" si="1"/>
        <v>2473.4060271370577</v>
      </c>
      <c r="O7" s="12">
        <f t="shared" si="1"/>
        <v>2201.6451263190247</v>
      </c>
      <c r="P7" s="12">
        <f t="shared" si="1"/>
        <v>1721.2108499421206</v>
      </c>
      <c r="Q7" s="12">
        <f t="shared" si="1"/>
        <v>1230.9849598826281</v>
      </c>
      <c r="R7" s="12">
        <f t="shared" si="1"/>
        <v>846.94366399943181</v>
      </c>
      <c r="S7" s="12">
        <f t="shared" si="1"/>
        <v>517.27537961130088</v>
      </c>
      <c r="T7" s="12">
        <f t="shared" si="1"/>
        <v>148.2368663714733</v>
      </c>
      <c r="U7" s="129"/>
    </row>
    <row r="8" spans="1:21" x14ac:dyDescent="0.2">
      <c r="A8" s="2" t="s">
        <v>103</v>
      </c>
      <c r="B8" s="7">
        <v>-176311.01</v>
      </c>
      <c r="C8" s="7">
        <f>C6+C7</f>
        <v>519483.57138458331</v>
      </c>
      <c r="D8" s="7">
        <f>D6+D7+C7</f>
        <v>422827.4106233333</v>
      </c>
      <c r="E8" s="7">
        <f>E6+E7+D7+C7</f>
        <v>355159.94160605426</v>
      </c>
      <c r="F8" s="7">
        <f>F6+F7+E7+D7+C7</f>
        <v>319662.6589096887</v>
      </c>
      <c r="G8" s="7">
        <f>G6+G7+F7+E7+D7+C7</f>
        <v>279739.07839467289</v>
      </c>
      <c r="H8" s="7">
        <f>H6+H7+G7+F7+E7+D7+C7</f>
        <v>232838.68790960789</v>
      </c>
      <c r="I8" s="7">
        <f>I6+I7</f>
        <v>266792.25160097377</v>
      </c>
      <c r="J8" s="7">
        <f>J6+J7+I7</f>
        <v>306846.99509093689</v>
      </c>
      <c r="K8" s="7">
        <f>K6+K7+J7+I7</f>
        <v>358117.94624058786</v>
      </c>
      <c r="L8" s="7">
        <f>L6+L7+K7+J7+I7</f>
        <v>407193.93443728093</v>
      </c>
      <c r="M8" s="7">
        <f>M6+M7+L7+K7+J7+I7</f>
        <v>436085.58456777124</v>
      </c>
      <c r="N8" s="7">
        <f>N6+N7+M7+L7+K7+J7+I7</f>
        <v>446808.48750249419</v>
      </c>
      <c r="O8" s="7">
        <f>O6+O7</f>
        <v>346097.91264963394</v>
      </c>
      <c r="P8" s="7">
        <f>P6+P7+O7</f>
        <v>259577.53763452667</v>
      </c>
      <c r="Q8" s="7">
        <f>Q6+Q7+P7+O7</f>
        <v>178289.27592785034</v>
      </c>
      <c r="R8" s="7">
        <f>R6+R7+Q7+P7+O7</f>
        <v>127882.01050809359</v>
      </c>
      <c r="S8" s="7">
        <f>S6+S7+R7+Q7+P7+O7</f>
        <v>64819.840032199187</v>
      </c>
      <c r="T8" s="7">
        <f>T6+T7+S7+R7+Q7+P7+O7</f>
        <v>6.3664629124104977E-12</v>
      </c>
      <c r="U8" s="3" t="s">
        <v>96</v>
      </c>
    </row>
    <row r="9" spans="1:21" x14ac:dyDescent="0.2">
      <c r="B9" s="1"/>
      <c r="C9" s="6"/>
      <c r="D9" s="6"/>
      <c r="E9" s="8"/>
      <c r="F9" s="8"/>
      <c r="G9" s="8"/>
      <c r="H9" s="6"/>
      <c r="I9" s="6"/>
      <c r="J9" s="6"/>
      <c r="K9" s="6"/>
      <c r="L9" s="6"/>
      <c r="M9" s="6"/>
      <c r="N9" s="6"/>
      <c r="O9" s="6"/>
      <c r="P9" s="6"/>
      <c r="Q9" s="8"/>
      <c r="R9" s="3"/>
      <c r="S9" s="3"/>
    </row>
    <row r="10" spans="1:21" x14ac:dyDescent="0.2">
      <c r="B10" s="1"/>
      <c r="C10" s="1"/>
      <c r="D10" s="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1" x14ac:dyDescent="0.2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1" x14ac:dyDescent="0.2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21" x14ac:dyDescent="0.2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1" x14ac:dyDescent="0.2">
      <c r="A14" s="9"/>
      <c r="B14" s="6"/>
      <c r="C14" s="2"/>
      <c r="D14" s="2"/>
      <c r="E14" s="2"/>
      <c r="F14" s="2"/>
      <c r="G14" s="2"/>
      <c r="H14" s="2"/>
      <c r="I14" s="2"/>
      <c r="J14" s="2"/>
      <c r="K14" s="2"/>
      <c r="L14" s="10"/>
      <c r="M14" s="10"/>
      <c r="N14" s="10"/>
      <c r="O14" s="10"/>
      <c r="P14" s="10"/>
      <c r="Q14" s="2"/>
    </row>
    <row r="15" spans="1:21" x14ac:dyDescent="0.2">
      <c r="A15" s="9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10"/>
      <c r="N15" s="2"/>
      <c r="O15" s="2"/>
      <c r="P15" s="2"/>
      <c r="Q15" s="2"/>
    </row>
    <row r="16" spans="1:21" x14ac:dyDescent="0.2">
      <c r="A16" s="86" t="s">
        <v>163</v>
      </c>
      <c r="B16" s="87">
        <f>H8</f>
        <v>232838.68790960789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6" x14ac:dyDescent="0.2">
      <c r="A17" s="88" t="s">
        <v>127</v>
      </c>
      <c r="B17" s="89">
        <f>SUM(I4:T4)</f>
        <v>1690430.9940000002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88" t="s">
        <v>128</v>
      </c>
      <c r="B18" s="89">
        <f>SUM(I3:T3)</f>
        <v>-1941837.8262856444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88" t="s">
        <v>79</v>
      </c>
      <c r="B19" s="90">
        <f>SUM(I7:T7)</f>
        <v>18568.144376036336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">
      <c r="A20" s="86" t="s">
        <v>97</v>
      </c>
      <c r="B20" s="91">
        <f>B16+B17+B19+B18</f>
        <v>0</v>
      </c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86"/>
      <c r="B21" s="91"/>
      <c r="C21" s="1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92"/>
      <c r="B22" s="93"/>
      <c r="C22" s="2" t="s">
        <v>122</v>
      </c>
      <c r="D22" s="2" t="s">
        <v>162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5" thickBot="1" x14ac:dyDescent="0.25">
      <c r="A23" s="92"/>
      <c r="B23" s="92"/>
      <c r="C23" s="92" t="s">
        <v>166</v>
      </c>
      <c r="D23" s="92" t="s">
        <v>165</v>
      </c>
    </row>
    <row r="24" spans="1:16" x14ac:dyDescent="0.2">
      <c r="A24" s="131" t="s">
        <v>90</v>
      </c>
      <c r="B24" s="171"/>
      <c r="C24" s="94">
        <v>6.3500000000000001E-2</v>
      </c>
      <c r="D24" s="169">
        <v>6.8900000000000003E-2</v>
      </c>
    </row>
    <row r="25" spans="1:16" ht="13.5" thickBot="1" x14ac:dyDescent="0.25">
      <c r="A25" s="95" t="s">
        <v>91</v>
      </c>
      <c r="B25" s="96"/>
      <c r="C25" s="97">
        <f>C24/12</f>
        <v>5.2916666666666667E-3</v>
      </c>
      <c r="D25" s="170">
        <f>D24/12</f>
        <v>5.7416666666666666E-3</v>
      </c>
    </row>
    <row r="31" spans="1:16" ht="15" x14ac:dyDescent="0.25">
      <c r="G31" s="126"/>
    </row>
    <row r="39" spans="2:3" ht="15" x14ac:dyDescent="0.25">
      <c r="B39" s="124"/>
    </row>
    <row r="40" spans="2:3" x14ac:dyDescent="0.2">
      <c r="C40" s="120"/>
    </row>
    <row r="41" spans="2:3" x14ac:dyDescent="0.2">
      <c r="C41" s="123"/>
    </row>
    <row r="42" spans="2:3" x14ac:dyDescent="0.2">
      <c r="C42" s="123"/>
    </row>
  </sheetData>
  <pageMargins left="0.7" right="0.7" top="0.75" bottom="0.75" header="0.3" footer="0.3"/>
  <pageSetup scale="49" orientation="landscape" r:id="rId1"/>
  <headerFooter>
    <oddFooter>&amp;L&amp;F&amp;RPage: &amp;P of &amp;N</oddFooter>
  </headerFooter>
  <customProperties>
    <customPr name="xxe4aP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workbookViewId="0"/>
  </sheetViews>
  <sheetFormatPr defaultRowHeight="15" x14ac:dyDescent="0.25"/>
  <cols>
    <col min="1" max="1" width="8.28515625" style="17" customWidth="1"/>
    <col min="2" max="2" width="28" style="17" customWidth="1"/>
    <col min="3" max="3" width="8.5703125" style="17" bestFit="1" customWidth="1"/>
    <col min="4" max="19" width="13.42578125" style="17" bestFit="1" customWidth="1"/>
    <col min="20" max="20" width="14.28515625" style="17" bestFit="1" customWidth="1"/>
    <col min="21" max="21" width="12.5703125" style="17" bestFit="1" customWidth="1"/>
    <col min="22" max="16384" width="9.140625" style="17"/>
  </cols>
  <sheetData>
    <row r="1" spans="1:20" x14ac:dyDescent="0.25">
      <c r="A1" s="69" t="s">
        <v>111</v>
      </c>
      <c r="B1" s="69"/>
    </row>
    <row r="4" spans="1:20" x14ac:dyDescent="0.25">
      <c r="A4" s="17" t="s">
        <v>80</v>
      </c>
      <c r="D4" s="70">
        <v>43174</v>
      </c>
      <c r="E4" s="70">
        <v>43205</v>
      </c>
      <c r="F4" s="70">
        <v>43235</v>
      </c>
      <c r="G4" s="70">
        <v>43266</v>
      </c>
      <c r="H4" s="70">
        <v>43297</v>
      </c>
      <c r="I4" s="70">
        <v>43328</v>
      </c>
      <c r="J4" s="70">
        <v>43359</v>
      </c>
      <c r="K4" s="70">
        <v>43389</v>
      </c>
      <c r="L4" s="70">
        <v>43420</v>
      </c>
      <c r="M4" s="70">
        <v>43450</v>
      </c>
      <c r="N4" s="70">
        <v>43481</v>
      </c>
      <c r="O4" s="70">
        <v>43512</v>
      </c>
      <c r="P4" s="70">
        <v>43540</v>
      </c>
      <c r="Q4" s="70">
        <v>43571</v>
      </c>
      <c r="R4" s="70">
        <v>43601</v>
      </c>
      <c r="S4" s="70">
        <v>43632</v>
      </c>
    </row>
    <row r="5" spans="1:20" x14ac:dyDescent="0.25">
      <c r="B5" s="17" t="s">
        <v>130</v>
      </c>
      <c r="D5" s="71">
        <f>'kWh Forecast'!B18</f>
        <v>219310472.29330951</v>
      </c>
      <c r="E5" s="71">
        <f>'kWh Forecast'!C18</f>
        <v>183580366.01292348</v>
      </c>
      <c r="F5" s="71">
        <f>'kWh Forecast'!D18</f>
        <v>167768708.60094827</v>
      </c>
      <c r="G5" s="71">
        <f>'kWh Forecast'!E18</f>
        <v>159521698.52304149</v>
      </c>
      <c r="H5" s="71">
        <f>'kWh Forecast'!F18</f>
        <v>193305007.87713596</v>
      </c>
      <c r="I5" s="71">
        <f>'kWh Forecast'!G18</f>
        <v>184858018.66584671</v>
      </c>
      <c r="J5" s="71">
        <f>'kWh Forecast'!H18</f>
        <v>157638755.90837884</v>
      </c>
      <c r="K5" s="71">
        <f>'kWh Forecast'!I18</f>
        <v>178027618.52495447</v>
      </c>
      <c r="L5" s="71">
        <f>'kWh Forecast'!J18</f>
        <v>224687935.76180804</v>
      </c>
      <c r="M5" s="71">
        <f>'kWh Forecast'!K18</f>
        <v>287544776.95214874</v>
      </c>
      <c r="N5" s="71">
        <f>'kWh Forecast'!L18</f>
        <v>279942481.0812003</v>
      </c>
      <c r="O5" s="71">
        <f>'kWh Forecast'!M18</f>
        <v>231672872.20213655</v>
      </c>
      <c r="P5" s="71">
        <f>'kWh Forecast'!N18</f>
        <v>229723951.31659308</v>
      </c>
      <c r="Q5" s="71">
        <f>'kWh Forecast'!O18</f>
        <v>185171741.33892757</v>
      </c>
      <c r="R5" s="71">
        <f>'kWh Forecast'!P18</f>
        <v>171212541.6441766</v>
      </c>
      <c r="S5" s="71">
        <f>'kWh Forecast'!Q18</f>
        <v>160461830.96421695</v>
      </c>
      <c r="T5" s="73">
        <f>SUM(D5:S5)</f>
        <v>3214428777.6677465</v>
      </c>
    </row>
    <row r="6" spans="1:20" x14ac:dyDescent="0.25">
      <c r="B6" s="17" t="s">
        <v>82</v>
      </c>
      <c r="D6" s="71">
        <f>'kWh Forecast'!B19</f>
        <v>52692521.022441961</v>
      </c>
      <c r="E6" s="71">
        <f>'kWh Forecast'!C19</f>
        <v>46888913.141686767</v>
      </c>
      <c r="F6" s="71">
        <f>'kWh Forecast'!D19</f>
        <v>46559333.98631683</v>
      </c>
      <c r="G6" s="71">
        <f>'kWh Forecast'!E19</f>
        <v>46932059.280476339</v>
      </c>
      <c r="H6" s="71">
        <f>'kWh Forecast'!F19</f>
        <v>55700578.493706077</v>
      </c>
      <c r="I6" s="71">
        <f>'kWh Forecast'!G19</f>
        <v>52408626.756127857</v>
      </c>
      <c r="J6" s="71">
        <f>'kWh Forecast'!H19</f>
        <v>46125169.938899539</v>
      </c>
      <c r="K6" s="71">
        <f>'kWh Forecast'!I19</f>
        <v>50502330.501072794</v>
      </c>
      <c r="L6" s="71">
        <f>'kWh Forecast'!J19</f>
        <v>54600476.222848378</v>
      </c>
      <c r="M6" s="71">
        <f>'kWh Forecast'!K19</f>
        <v>62093440.31619224</v>
      </c>
      <c r="N6" s="71">
        <f>'kWh Forecast'!L19</f>
        <v>60182835.490717493</v>
      </c>
      <c r="O6" s="71">
        <f>'kWh Forecast'!M19</f>
        <v>52657856.818118177</v>
      </c>
      <c r="P6" s="71">
        <f>'kWh Forecast'!N19</f>
        <v>54554045.108691469</v>
      </c>
      <c r="Q6" s="71">
        <f>'kWh Forecast'!O19</f>
        <v>47099932.022307232</v>
      </c>
      <c r="R6" s="71">
        <f>'kWh Forecast'!P19</f>
        <v>47376343.589266263</v>
      </c>
      <c r="S6" s="71">
        <f>'kWh Forecast'!Q19</f>
        <v>47176671.150964044</v>
      </c>
      <c r="T6" s="73">
        <f t="shared" ref="T6:T10" si="0">SUM(D6:S6)</f>
        <v>823551133.8398335</v>
      </c>
    </row>
    <row r="7" spans="1:20" x14ac:dyDescent="0.25">
      <c r="B7" s="17" t="s">
        <v>83</v>
      </c>
      <c r="D7" s="71">
        <f>'kWh Forecast'!B20</f>
        <v>112516450.91883993</v>
      </c>
      <c r="E7" s="71">
        <f>'kWh Forecast'!C20</f>
        <v>106282214.91826817</v>
      </c>
      <c r="F7" s="71">
        <f>'kWh Forecast'!D20</f>
        <v>111294017.22501689</v>
      </c>
      <c r="G7" s="71">
        <f>'kWh Forecast'!E20</f>
        <v>114630212.73894058</v>
      </c>
      <c r="H7" s="71">
        <f>'kWh Forecast'!F20</f>
        <v>132582990.25462703</v>
      </c>
      <c r="I7" s="71">
        <f>'kWh Forecast'!G20</f>
        <v>123363787.30859637</v>
      </c>
      <c r="J7" s="71">
        <f>'kWh Forecast'!H20</f>
        <v>110726905.48951322</v>
      </c>
      <c r="K7" s="71">
        <f>'kWh Forecast'!I20</f>
        <v>121196353.99196792</v>
      </c>
      <c r="L7" s="71">
        <f>'kWh Forecast'!J20</f>
        <v>120906426.82594916</v>
      </c>
      <c r="M7" s="71">
        <f>'kWh Forecast'!K20</f>
        <v>126402638.79304725</v>
      </c>
      <c r="N7" s="71">
        <f>'kWh Forecast'!L20</f>
        <v>120336777.71357971</v>
      </c>
      <c r="O7" s="71">
        <f>'kWh Forecast'!M20</f>
        <v>107297406.5241687</v>
      </c>
      <c r="P7" s="71">
        <f>'kWh Forecast'!N20</f>
        <v>115916480.21180765</v>
      </c>
      <c r="Q7" s="71">
        <f>'kWh Forecast'!O20</f>
        <v>106231087.87679942</v>
      </c>
      <c r="R7" s="71">
        <f>'kWh Forecast'!P20</f>
        <v>112870560.18362877</v>
      </c>
      <c r="S7" s="71">
        <f>'kWh Forecast'!Q20</f>
        <v>114860194.38769326</v>
      </c>
      <c r="T7" s="73">
        <f t="shared" si="0"/>
        <v>1857414505.3624439</v>
      </c>
    </row>
    <row r="8" spans="1:20" x14ac:dyDescent="0.25">
      <c r="B8" s="17" t="s">
        <v>84</v>
      </c>
      <c r="D8" s="71">
        <f>'kWh Forecast'!B21</f>
        <v>89975531.042652205</v>
      </c>
      <c r="E8" s="71">
        <f>'kWh Forecast'!C21</f>
        <v>91951519.832541332</v>
      </c>
      <c r="F8" s="71">
        <f>'kWh Forecast'!D21</f>
        <v>92774510.056144252</v>
      </c>
      <c r="G8" s="71">
        <f>'kWh Forecast'!E21</f>
        <v>92304315.923737437</v>
      </c>
      <c r="H8" s="71">
        <f>'kWh Forecast'!F21</f>
        <v>92381168.796519667</v>
      </c>
      <c r="I8" s="71">
        <f>'kWh Forecast'!G21</f>
        <v>95801534.501396626</v>
      </c>
      <c r="J8" s="71">
        <f>'kWh Forecast'!H21</f>
        <v>96058766.262987971</v>
      </c>
      <c r="K8" s="71">
        <f>'kWh Forecast'!I21</f>
        <v>94925036.03878656</v>
      </c>
      <c r="L8" s="71">
        <f>'kWh Forecast'!J21</f>
        <v>94112428.564483255</v>
      </c>
      <c r="M8" s="71">
        <f>'kWh Forecast'!K21</f>
        <v>93110082.726801127</v>
      </c>
      <c r="N8" s="71">
        <f>'kWh Forecast'!L21</f>
        <v>90304374.418747365</v>
      </c>
      <c r="O8" s="71">
        <f>'kWh Forecast'!M21</f>
        <v>91187123.789756104</v>
      </c>
      <c r="P8" s="71">
        <f>'kWh Forecast'!N21</f>
        <v>88239196.32236883</v>
      </c>
      <c r="Q8" s="71">
        <f>'kWh Forecast'!O21</f>
        <v>90434725.260531828</v>
      </c>
      <c r="R8" s="71">
        <f>'kWh Forecast'!P21</f>
        <v>91871177.287806451</v>
      </c>
      <c r="S8" s="71">
        <f>'kWh Forecast'!Q21</f>
        <v>91175548.215561062</v>
      </c>
      <c r="T8" s="73">
        <f t="shared" si="0"/>
        <v>1476607039.0408223</v>
      </c>
    </row>
    <row r="9" spans="1:20" x14ac:dyDescent="0.25">
      <c r="B9" s="17" t="s">
        <v>85</v>
      </c>
      <c r="D9" s="71">
        <f>'kWh Forecast'!B22</f>
        <v>4126870.3391185976</v>
      </c>
      <c r="E9" s="71">
        <f>'kWh Forecast'!C22</f>
        <v>6198627.9349720981</v>
      </c>
      <c r="F9" s="71">
        <f>'kWh Forecast'!D22</f>
        <v>11401003.206337143</v>
      </c>
      <c r="G9" s="71">
        <f>'kWh Forecast'!E22</f>
        <v>16654768.195992965</v>
      </c>
      <c r="H9" s="71">
        <f>'kWh Forecast'!F22</f>
        <v>23194216.940565091</v>
      </c>
      <c r="I9" s="71">
        <f>'kWh Forecast'!G22</f>
        <v>23410150.393289931</v>
      </c>
      <c r="J9" s="71">
        <f>'kWh Forecast'!H22</f>
        <v>17517686.192915287</v>
      </c>
      <c r="K9" s="71">
        <f>'kWh Forecast'!I22</f>
        <v>10625887.401587773</v>
      </c>
      <c r="L9" s="71">
        <f>'kWh Forecast'!J22</f>
        <v>4640598.2786523579</v>
      </c>
      <c r="M9" s="71">
        <f>'kWh Forecast'!K22</f>
        <v>3922551.11750064</v>
      </c>
      <c r="N9" s="71">
        <f>'kWh Forecast'!L22</f>
        <v>3849860.4213642292</v>
      </c>
      <c r="O9" s="71">
        <f>'kWh Forecast'!M22</f>
        <v>3481455.5076147551</v>
      </c>
      <c r="P9" s="71">
        <f>'kWh Forecast'!N22</f>
        <v>4135231.5730193537</v>
      </c>
      <c r="Q9" s="71">
        <f>'kWh Forecast'!O22</f>
        <v>6107075.1897286987</v>
      </c>
      <c r="R9" s="71">
        <f>'kWh Forecast'!P22</f>
        <v>11547177.015771193</v>
      </c>
      <c r="S9" s="71">
        <f>'kWh Forecast'!Q22</f>
        <v>16741287.029873027</v>
      </c>
      <c r="T9" s="73">
        <f t="shared" si="0"/>
        <v>167554446.73830312</v>
      </c>
    </row>
    <row r="10" spans="1:20" x14ac:dyDescent="0.25">
      <c r="B10" s="17" t="s">
        <v>86</v>
      </c>
      <c r="D10" s="71">
        <f>'kWh Forecast'!B23</f>
        <v>1506535.1899971869</v>
      </c>
      <c r="E10" s="71">
        <f>'kWh Forecast'!C23</f>
        <v>1503052.4514471977</v>
      </c>
      <c r="F10" s="71">
        <f>'kWh Forecast'!D23</f>
        <v>1495752.0990312933</v>
      </c>
      <c r="G10" s="71">
        <f>'kWh Forecast'!E23</f>
        <v>1491875.9970526437</v>
      </c>
      <c r="H10" s="71">
        <f>'kWh Forecast'!F23</f>
        <v>1487548.7332422216</v>
      </c>
      <c r="I10" s="71">
        <f>'kWh Forecast'!G23</f>
        <v>1479929.0624368056</v>
      </c>
      <c r="J10" s="71">
        <f>'kWh Forecast'!H23</f>
        <v>1467615.2121774405</v>
      </c>
      <c r="K10" s="71">
        <f>'kWh Forecast'!I23</f>
        <v>1467813.8842941311</v>
      </c>
      <c r="L10" s="71">
        <f>'kWh Forecast'!J23</f>
        <v>1471889.944256285</v>
      </c>
      <c r="M10" s="71">
        <f>'kWh Forecast'!K23</f>
        <v>1471764.4241067106</v>
      </c>
      <c r="N10" s="71">
        <f>'kWh Forecast'!L23</f>
        <v>1453065.127139166</v>
      </c>
      <c r="O10" s="71">
        <f>'kWh Forecast'!M23</f>
        <v>1445805.9655334945</v>
      </c>
      <c r="P10" s="71">
        <f>'kWh Forecast'!N23</f>
        <v>1444644.490785752</v>
      </c>
      <c r="Q10" s="71">
        <f>'kWh Forecast'!O23</f>
        <v>1435571.4325181325</v>
      </c>
      <c r="R10" s="71">
        <f>'kWh Forecast'!P23</f>
        <v>1432958.8476073765</v>
      </c>
      <c r="S10" s="71">
        <f>'kWh Forecast'!Q23</f>
        <v>1431250.8266553835</v>
      </c>
      <c r="T10" s="73">
        <f t="shared" si="0"/>
        <v>23487073.688281223</v>
      </c>
    </row>
    <row r="11" spans="1:20" x14ac:dyDescent="0.25">
      <c r="A11" s="17" t="s">
        <v>87</v>
      </c>
      <c r="D11" s="72">
        <f>SUM(D5:D10)</f>
        <v>480128380.80635941</v>
      </c>
      <c r="E11" s="72">
        <f>SUM(E5:E10)</f>
        <v>436404694.29183906</v>
      </c>
      <c r="F11" s="72">
        <f>SUM(F5:F10)</f>
        <v>431293325.17379463</v>
      </c>
      <c r="G11" s="72">
        <f t="shared" ref="G11:S11" si="1">SUM(G5:G10)</f>
        <v>431534930.65924144</v>
      </c>
      <c r="H11" s="72">
        <f t="shared" si="1"/>
        <v>498651511.09579605</v>
      </c>
      <c r="I11" s="72">
        <f t="shared" si="1"/>
        <v>481322046.68769431</v>
      </c>
      <c r="J11" s="72">
        <f t="shared" si="1"/>
        <v>429534899.00487232</v>
      </c>
      <c r="K11" s="72">
        <f t="shared" si="1"/>
        <v>456745040.34266371</v>
      </c>
      <c r="L11" s="72">
        <f t="shared" si="1"/>
        <v>500419755.59799749</v>
      </c>
      <c r="M11" s="72">
        <f t="shared" si="1"/>
        <v>574545254.32979667</v>
      </c>
      <c r="N11" s="72">
        <f t="shared" si="1"/>
        <v>556069394.25274825</v>
      </c>
      <c r="O11" s="72">
        <f t="shared" si="1"/>
        <v>487742520.80732781</v>
      </c>
      <c r="P11" s="72">
        <f t="shared" si="1"/>
        <v>494013549.0232662</v>
      </c>
      <c r="Q11" s="72">
        <f t="shared" si="1"/>
        <v>436480133.12081283</v>
      </c>
      <c r="R11" s="72">
        <f t="shared" si="1"/>
        <v>436310758.56825668</v>
      </c>
      <c r="S11" s="72">
        <f t="shared" si="1"/>
        <v>431846782.57496369</v>
      </c>
      <c r="T11" s="73">
        <f>SUM(T5:T10)</f>
        <v>7563042976.33743</v>
      </c>
    </row>
    <row r="12" spans="1:20" x14ac:dyDescent="0.25">
      <c r="D12" s="73"/>
      <c r="E12" s="73"/>
      <c r="F12" s="73"/>
      <c r="G12" s="73"/>
      <c r="H12" s="73">
        <f>H11-'kWh Forecast'!F24</f>
        <v>0</v>
      </c>
      <c r="I12" s="73">
        <f>I11-'kWh Forecast'!G24</f>
        <v>0</v>
      </c>
      <c r="J12" s="73">
        <f>J11-'kWh Forecast'!H24</f>
        <v>0</v>
      </c>
      <c r="K12" s="73">
        <f>K11-'kWh Forecast'!I24</f>
        <v>0</v>
      </c>
      <c r="L12" s="73">
        <f>L11-'kWh Forecast'!J24</f>
        <v>0</v>
      </c>
      <c r="M12" s="73">
        <f>M11-'kWh Forecast'!K24</f>
        <v>0</v>
      </c>
      <c r="N12" s="73">
        <f>N11-'kWh Forecast'!L24</f>
        <v>0</v>
      </c>
      <c r="O12" s="73">
        <f>O11-'kWh Forecast'!M24</f>
        <v>0</v>
      </c>
      <c r="P12" s="73">
        <f>P11-'kWh Forecast'!N24</f>
        <v>0</v>
      </c>
      <c r="Q12" s="73">
        <f>Q11-'kWh Forecast'!O24</f>
        <v>0</v>
      </c>
      <c r="R12" s="73">
        <f>R11-'kWh Forecast'!P24</f>
        <v>0</v>
      </c>
      <c r="S12" s="73">
        <f>S11-'kWh Forecast'!Q24</f>
        <v>0</v>
      </c>
    </row>
    <row r="14" spans="1:20" x14ac:dyDescent="0.25">
      <c r="A14" s="17" t="s">
        <v>99</v>
      </c>
    </row>
    <row r="15" spans="1:20" x14ac:dyDescent="0.25">
      <c r="B15" s="17" t="s">
        <v>130</v>
      </c>
      <c r="D15" s="74">
        <f>'Rate Design'!$D$17</f>
        <v>-5.685280358010635E-4</v>
      </c>
      <c r="E15" s="74">
        <f>'Rate Design'!$D$17</f>
        <v>-5.685280358010635E-4</v>
      </c>
      <c r="F15" s="74">
        <f>'Rate Design'!$D$17</f>
        <v>-5.685280358010635E-4</v>
      </c>
      <c r="G15" s="74">
        <f>'Rate Design'!$D$17</f>
        <v>-5.685280358010635E-4</v>
      </c>
      <c r="H15" s="74">
        <f>'Rate Design'!$D$16</f>
        <v>-3.4404185638566324E-4</v>
      </c>
      <c r="I15" s="74">
        <f>'Rate Design'!$D$16</f>
        <v>-3.4404185638566324E-4</v>
      </c>
      <c r="J15" s="74">
        <f>'Rate Design'!$D$16</f>
        <v>-3.4404185638566324E-4</v>
      </c>
      <c r="K15" s="74">
        <f>'Rate Design'!$D$16</f>
        <v>-3.4404185638566324E-4</v>
      </c>
      <c r="L15" s="74">
        <f>'Rate Design'!$D$16</f>
        <v>-3.4404185638566324E-4</v>
      </c>
      <c r="M15" s="74">
        <f>'Rate Design'!$D$16</f>
        <v>-3.4404185638566324E-4</v>
      </c>
      <c r="N15" s="74">
        <f>'Rate Design'!$D$16</f>
        <v>-3.4404185638566324E-4</v>
      </c>
      <c r="O15" s="74">
        <f>'Rate Design'!$D$16</f>
        <v>-3.4404185638566324E-4</v>
      </c>
      <c r="P15" s="74">
        <f>'Rate Design'!$D$16</f>
        <v>-3.4404185638566324E-4</v>
      </c>
      <c r="Q15" s="74">
        <f>'Rate Design'!$D$16</f>
        <v>-3.4404185638566324E-4</v>
      </c>
      <c r="R15" s="74">
        <f>'Rate Design'!$D$16</f>
        <v>-3.4404185638566324E-4</v>
      </c>
      <c r="S15" s="74">
        <f>'Rate Design'!$D$16</f>
        <v>-3.4404185638566324E-4</v>
      </c>
    </row>
    <row r="16" spans="1:20" x14ac:dyDescent="0.25">
      <c r="B16" s="17" t="s">
        <v>82</v>
      </c>
      <c r="D16" s="74">
        <f>'Rate Design'!$E$17</f>
        <v>-5.7037438568182536E-4</v>
      </c>
      <c r="E16" s="74">
        <f>'Rate Design'!$E$17</f>
        <v>-5.7037438568182536E-4</v>
      </c>
      <c r="F16" s="74">
        <f>'Rate Design'!$E$17</f>
        <v>-5.7037438568182536E-4</v>
      </c>
      <c r="G16" s="74">
        <f>'Rate Design'!$E$17</f>
        <v>-5.7037438568182536E-4</v>
      </c>
      <c r="H16" s="74">
        <f>'Rate Design'!$E$16</f>
        <v>-3.5771330752372747E-4</v>
      </c>
      <c r="I16" s="74">
        <f>'Rate Design'!$E$16</f>
        <v>-3.5771330752372747E-4</v>
      </c>
      <c r="J16" s="74">
        <f>'Rate Design'!$E$16</f>
        <v>-3.5771330752372747E-4</v>
      </c>
      <c r="K16" s="74">
        <f>'Rate Design'!$E$16</f>
        <v>-3.5771330752372747E-4</v>
      </c>
      <c r="L16" s="74">
        <f>'Rate Design'!$E$16</f>
        <v>-3.5771330752372747E-4</v>
      </c>
      <c r="M16" s="74">
        <f>'Rate Design'!$E$16</f>
        <v>-3.5771330752372747E-4</v>
      </c>
      <c r="N16" s="74">
        <f>'Rate Design'!$E$16</f>
        <v>-3.5771330752372747E-4</v>
      </c>
      <c r="O16" s="74">
        <f>'Rate Design'!$E$16</f>
        <v>-3.5771330752372747E-4</v>
      </c>
      <c r="P16" s="74">
        <f>'Rate Design'!$E$16</f>
        <v>-3.5771330752372747E-4</v>
      </c>
      <c r="Q16" s="74">
        <f>'Rate Design'!$E$16</f>
        <v>-3.5771330752372747E-4</v>
      </c>
      <c r="R16" s="74">
        <f>'Rate Design'!$E$16</f>
        <v>-3.5771330752372747E-4</v>
      </c>
      <c r="S16" s="74">
        <f>'Rate Design'!$E$16</f>
        <v>-3.5771330752372747E-4</v>
      </c>
    </row>
    <row r="17" spans="1:21" x14ac:dyDescent="0.25">
      <c r="B17" s="17" t="s">
        <v>83</v>
      </c>
      <c r="D17" s="74">
        <f>'Rate Design'!$F$17</f>
        <v>-5.943741990068178E-4</v>
      </c>
      <c r="E17" s="74">
        <f>'Rate Design'!$F$17</f>
        <v>-5.943741990068178E-4</v>
      </c>
      <c r="F17" s="74">
        <f>'Rate Design'!$F$17</f>
        <v>-5.943741990068178E-4</v>
      </c>
      <c r="G17" s="74">
        <f>'Rate Design'!$F$17</f>
        <v>-5.943741990068178E-4</v>
      </c>
      <c r="H17" s="74">
        <f>'Rate Design'!$F$16</f>
        <v>-3.6040033915511906E-4</v>
      </c>
      <c r="I17" s="74">
        <f>'Rate Design'!$F$16</f>
        <v>-3.6040033915511906E-4</v>
      </c>
      <c r="J17" s="74">
        <f>'Rate Design'!$F$16</f>
        <v>-3.6040033915511906E-4</v>
      </c>
      <c r="K17" s="74">
        <f>'Rate Design'!$F$16</f>
        <v>-3.6040033915511906E-4</v>
      </c>
      <c r="L17" s="74">
        <f>'Rate Design'!$F$16</f>
        <v>-3.6040033915511906E-4</v>
      </c>
      <c r="M17" s="74">
        <f>'Rate Design'!$F$16</f>
        <v>-3.6040033915511906E-4</v>
      </c>
      <c r="N17" s="74">
        <f>'Rate Design'!$F$16</f>
        <v>-3.6040033915511906E-4</v>
      </c>
      <c r="O17" s="74">
        <f>'Rate Design'!$F$16</f>
        <v>-3.6040033915511906E-4</v>
      </c>
      <c r="P17" s="74">
        <f>'Rate Design'!$F$16</f>
        <v>-3.6040033915511906E-4</v>
      </c>
      <c r="Q17" s="74">
        <f>'Rate Design'!$F$16</f>
        <v>-3.6040033915511906E-4</v>
      </c>
      <c r="R17" s="74">
        <f>'Rate Design'!$F$16</f>
        <v>-3.6040033915511906E-4</v>
      </c>
      <c r="S17" s="74">
        <f>'Rate Design'!$F$16</f>
        <v>-3.6040033915511906E-4</v>
      </c>
    </row>
    <row r="18" spans="1:21" x14ac:dyDescent="0.25">
      <c r="B18" s="17" t="s">
        <v>84</v>
      </c>
      <c r="D18" s="74">
        <f>'Rate Design'!$G$17</f>
        <v>-5.6955039160979564E-4</v>
      </c>
      <c r="E18" s="74">
        <f>'Rate Design'!$G$17</f>
        <v>-5.6955039160979564E-4</v>
      </c>
      <c r="F18" s="74">
        <f>'Rate Design'!$G$17</f>
        <v>-5.6955039160979564E-4</v>
      </c>
      <c r="G18" s="74">
        <f>'Rate Design'!$G$17</f>
        <v>-5.6955039160979564E-4</v>
      </c>
      <c r="H18" s="74">
        <f>'Rate Design'!$G$16</f>
        <v>-3.522803164270005E-4</v>
      </c>
      <c r="I18" s="74">
        <f>'Rate Design'!$G$16</f>
        <v>-3.522803164270005E-4</v>
      </c>
      <c r="J18" s="74">
        <f>'Rate Design'!$G$16</f>
        <v>-3.522803164270005E-4</v>
      </c>
      <c r="K18" s="74">
        <f>'Rate Design'!$G$16</f>
        <v>-3.522803164270005E-4</v>
      </c>
      <c r="L18" s="74">
        <f>'Rate Design'!$G$16</f>
        <v>-3.522803164270005E-4</v>
      </c>
      <c r="M18" s="74">
        <f>'Rate Design'!$G$16</f>
        <v>-3.522803164270005E-4</v>
      </c>
      <c r="N18" s="74">
        <f>'Rate Design'!$G$16</f>
        <v>-3.522803164270005E-4</v>
      </c>
      <c r="O18" s="74">
        <f>'Rate Design'!$G$16</f>
        <v>-3.522803164270005E-4</v>
      </c>
      <c r="P18" s="74">
        <f>'Rate Design'!$G$16</f>
        <v>-3.522803164270005E-4</v>
      </c>
      <c r="Q18" s="74">
        <f>'Rate Design'!$G$16</f>
        <v>-3.522803164270005E-4</v>
      </c>
      <c r="R18" s="74">
        <f>'Rate Design'!$G$16</f>
        <v>-3.522803164270005E-4</v>
      </c>
      <c r="S18" s="74">
        <f>'Rate Design'!$G$16</f>
        <v>-3.522803164270005E-4</v>
      </c>
    </row>
    <row r="19" spans="1:21" x14ac:dyDescent="0.25">
      <c r="B19" s="17" t="s">
        <v>85</v>
      </c>
      <c r="D19" s="74">
        <f>'Rate Design'!$H$17</f>
        <v>-6.0757072090828965E-4</v>
      </c>
      <c r="E19" s="74">
        <f>'Rate Design'!$H$17</f>
        <v>-6.0757072090828965E-4</v>
      </c>
      <c r="F19" s="74">
        <f>'Rate Design'!$H$17</f>
        <v>-6.0757072090828965E-4</v>
      </c>
      <c r="G19" s="74">
        <f>'Rate Design'!$H$17</f>
        <v>-6.0757072090828965E-4</v>
      </c>
      <c r="H19" s="74">
        <f>'Rate Design'!$H$16</f>
        <v>-3.7397355000395996E-4</v>
      </c>
      <c r="I19" s="74">
        <f>'Rate Design'!$H$16</f>
        <v>-3.7397355000395996E-4</v>
      </c>
      <c r="J19" s="74">
        <f>'Rate Design'!$H$16</f>
        <v>-3.7397355000395996E-4</v>
      </c>
      <c r="K19" s="74">
        <f>'Rate Design'!$H$16</f>
        <v>-3.7397355000395996E-4</v>
      </c>
      <c r="L19" s="74">
        <f>'Rate Design'!$H$16</f>
        <v>-3.7397355000395996E-4</v>
      </c>
      <c r="M19" s="74">
        <f>'Rate Design'!$H$16</f>
        <v>-3.7397355000395996E-4</v>
      </c>
      <c r="N19" s="74">
        <f>'Rate Design'!$H$16</f>
        <v>-3.7397355000395996E-4</v>
      </c>
      <c r="O19" s="74">
        <f>'Rate Design'!$H$16</f>
        <v>-3.7397355000395996E-4</v>
      </c>
      <c r="P19" s="74">
        <f>'Rate Design'!$H$16</f>
        <v>-3.7397355000395996E-4</v>
      </c>
      <c r="Q19" s="74">
        <f>'Rate Design'!$H$16</f>
        <v>-3.7397355000395996E-4</v>
      </c>
      <c r="R19" s="74">
        <f>'Rate Design'!$H$16</f>
        <v>-3.7397355000395996E-4</v>
      </c>
      <c r="S19" s="74">
        <f>'Rate Design'!$H$16</f>
        <v>-3.7397355000395996E-4</v>
      </c>
    </row>
    <row r="20" spans="1:21" x14ac:dyDescent="0.25">
      <c r="B20" s="17" t="s">
        <v>86</v>
      </c>
      <c r="D20" s="74">
        <f>'Rate Design'!$I$17</f>
        <v>-6.4905435702813821E-4</v>
      </c>
      <c r="E20" s="74">
        <f>'Rate Design'!$I$17</f>
        <v>-6.4905435702813821E-4</v>
      </c>
      <c r="F20" s="74">
        <f>'Rate Design'!$I$17</f>
        <v>-6.4905435702813821E-4</v>
      </c>
      <c r="G20" s="74">
        <f>'Rate Design'!$I$17</f>
        <v>-6.4905435702813821E-4</v>
      </c>
      <c r="H20" s="74">
        <f>'Rate Design'!$I$16</f>
        <v>-4.7837752060507645E-4</v>
      </c>
      <c r="I20" s="74">
        <f>'Rate Design'!$I$16</f>
        <v>-4.7837752060507645E-4</v>
      </c>
      <c r="J20" s="74">
        <f>'Rate Design'!$I$16</f>
        <v>-4.7837752060507645E-4</v>
      </c>
      <c r="K20" s="74">
        <f>'Rate Design'!$I$16</f>
        <v>-4.7837752060507645E-4</v>
      </c>
      <c r="L20" s="74">
        <f>'Rate Design'!$I$16</f>
        <v>-4.7837752060507645E-4</v>
      </c>
      <c r="M20" s="74">
        <f>'Rate Design'!$I$16</f>
        <v>-4.7837752060507645E-4</v>
      </c>
      <c r="N20" s="74">
        <f>'Rate Design'!$I$16</f>
        <v>-4.7837752060507645E-4</v>
      </c>
      <c r="O20" s="74">
        <f>'Rate Design'!$I$16</f>
        <v>-4.7837752060507645E-4</v>
      </c>
      <c r="P20" s="74">
        <f>'Rate Design'!$I$16</f>
        <v>-4.7837752060507645E-4</v>
      </c>
      <c r="Q20" s="74">
        <f>'Rate Design'!$I$16</f>
        <v>-4.7837752060507645E-4</v>
      </c>
      <c r="R20" s="74">
        <f>'Rate Design'!$I$16</f>
        <v>-4.7837752060507645E-4</v>
      </c>
      <c r="S20" s="74">
        <f>'Rate Design'!$I$16</f>
        <v>-4.7837752060507645E-4</v>
      </c>
    </row>
    <row r="21" spans="1:21" x14ac:dyDescent="0.25"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</row>
    <row r="23" spans="1:21" x14ac:dyDescent="0.25">
      <c r="A23" s="17" t="s">
        <v>98</v>
      </c>
      <c r="D23" s="70">
        <f>D4</f>
        <v>43174</v>
      </c>
      <c r="E23" s="70">
        <f t="shared" ref="E23:S23" si="2">E4</f>
        <v>43205</v>
      </c>
      <c r="F23" s="70">
        <f t="shared" si="2"/>
        <v>43235</v>
      </c>
      <c r="G23" s="70">
        <f t="shared" si="2"/>
        <v>43266</v>
      </c>
      <c r="H23" s="70">
        <f t="shared" si="2"/>
        <v>43297</v>
      </c>
      <c r="I23" s="70">
        <f t="shared" si="2"/>
        <v>43328</v>
      </c>
      <c r="J23" s="70">
        <f t="shared" si="2"/>
        <v>43359</v>
      </c>
      <c r="K23" s="70">
        <f t="shared" si="2"/>
        <v>43389</v>
      </c>
      <c r="L23" s="70">
        <f t="shared" si="2"/>
        <v>43420</v>
      </c>
      <c r="M23" s="70">
        <f t="shared" si="2"/>
        <v>43450</v>
      </c>
      <c r="N23" s="70">
        <f t="shared" si="2"/>
        <v>43481</v>
      </c>
      <c r="O23" s="70">
        <f t="shared" si="2"/>
        <v>43512</v>
      </c>
      <c r="P23" s="70">
        <f t="shared" si="2"/>
        <v>43540</v>
      </c>
      <c r="Q23" s="70">
        <f t="shared" si="2"/>
        <v>43571</v>
      </c>
      <c r="R23" s="70">
        <f t="shared" si="2"/>
        <v>43601</v>
      </c>
      <c r="S23" s="70">
        <f t="shared" si="2"/>
        <v>43632</v>
      </c>
    </row>
    <row r="24" spans="1:21" x14ac:dyDescent="0.25">
      <c r="B24" s="17" t="s">
        <v>81</v>
      </c>
      <c r="D24" s="76">
        <f>D5*D15</f>
        <v>-124684.15204351881</v>
      </c>
      <c r="E24" s="76">
        <f>E5*E15</f>
        <v>-104370.5849009677</v>
      </c>
      <c r="F24" s="76">
        <f>F5*F15</f>
        <v>-95381.214369778114</v>
      </c>
      <c r="G24" s="76">
        <f t="shared" ref="G24:S28" si="3">G5*G15</f>
        <v>-90692.557928954193</v>
      </c>
      <c r="H24" s="76">
        <f t="shared" si="3"/>
        <v>-66505.013758695117</v>
      </c>
      <c r="I24" s="76">
        <f t="shared" si="3"/>
        <v>-63598.89590957349</v>
      </c>
      <c r="J24" s="76">
        <f t="shared" si="3"/>
        <v>-54234.330221045093</v>
      </c>
      <c r="K24" s="76">
        <f t="shared" si="3"/>
        <v>-61248.952365244026</v>
      </c>
      <c r="L24" s="76">
        <f t="shared" si="3"/>
        <v>-77302.054526955093</v>
      </c>
      <c r="M24" s="76">
        <f t="shared" si="3"/>
        <v>-98927.438856618726</v>
      </c>
      <c r="N24" s="76">
        <f t="shared" si="3"/>
        <v>-96311.930872384561</v>
      </c>
      <c r="O24" s="76">
        <f t="shared" si="3"/>
        <v>-79705.165026621573</v>
      </c>
      <c r="P24" s="76">
        <f t="shared" si="3"/>
        <v>-79034.654667210416</v>
      </c>
      <c r="Q24" s="76">
        <f t="shared" si="3"/>
        <v>-63706.829640410499</v>
      </c>
      <c r="R24" s="76">
        <f t="shared" si="3"/>
        <v>-58904.280663770194</v>
      </c>
      <c r="S24" s="76">
        <f t="shared" si="3"/>
        <v>-55205.586203971696</v>
      </c>
    </row>
    <row r="25" spans="1:21" x14ac:dyDescent="0.25">
      <c r="B25" s="17" t="s">
        <v>82</v>
      </c>
      <c r="D25" s="76">
        <f>D6*D16</f>
        <v>-30054.464308202001</v>
      </c>
      <c r="E25" s="76">
        <f t="shared" ref="E25:F28" si="4">E6*E16</f>
        <v>-26744.235028478059</v>
      </c>
      <c r="F25" s="76">
        <f t="shared" si="4"/>
        <v>-26556.251520200396</v>
      </c>
      <c r="G25" s="76">
        <f t="shared" si="3"/>
        <v>-26768.844480884702</v>
      </c>
      <c r="H25" s="76">
        <f t="shared" si="3"/>
        <v>-19924.838163968601</v>
      </c>
      <c r="I25" s="76">
        <f t="shared" si="3"/>
        <v>-18747.263219711014</v>
      </c>
      <c r="J25" s="76">
        <f t="shared" si="3"/>
        <v>-16499.587098937762</v>
      </c>
      <c r="K25" s="76">
        <f t="shared" si="3"/>
        <v>-18065.355681195175</v>
      </c>
      <c r="L25" s="76">
        <f t="shared" si="3"/>
        <v>-19531.316942045731</v>
      </c>
      <c r="M25" s="76">
        <f t="shared" si="3"/>
        <v>-22211.649911032291</v>
      </c>
      <c r="N25" s="76">
        <f t="shared" si="3"/>
        <v>-21528.201139540924</v>
      </c>
      <c r="O25" s="76">
        <f t="shared" si="3"/>
        <v>-18836.416129519916</v>
      </c>
      <c r="P25" s="76">
        <f t="shared" si="3"/>
        <v>-19514.707914628652</v>
      </c>
      <c r="Q25" s="76">
        <f t="shared" si="3"/>
        <v>-16848.272467842246</v>
      </c>
      <c r="R25" s="76">
        <f t="shared" si="3"/>
        <v>-16947.148563696977</v>
      </c>
      <c r="S25" s="76">
        <f t="shared" si="3"/>
        <v>-16875.723075370563</v>
      </c>
    </row>
    <row r="26" spans="1:21" x14ac:dyDescent="0.25">
      <c r="B26" s="17" t="s">
        <v>83</v>
      </c>
      <c r="D26" s="76">
        <f>D7*D17</f>
        <v>-66876.875389975408</v>
      </c>
      <c r="E26" s="76">
        <f t="shared" si="4"/>
        <v>-63171.406360716108</v>
      </c>
      <c r="F26" s="76">
        <f t="shared" si="4"/>
        <v>-66150.292342370405</v>
      </c>
      <c r="G26" s="76">
        <f t="shared" si="3"/>
        <v>-68133.240878688928</v>
      </c>
      <c r="H26" s="76">
        <f t="shared" si="3"/>
        <v>-47782.954653967427</v>
      </c>
      <c r="I26" s="76">
        <f t="shared" si="3"/>
        <v>-44460.350785478106</v>
      </c>
      <c r="J26" s="76">
        <f t="shared" si="3"/>
        <v>-39906.014292017375</v>
      </c>
      <c r="K26" s="76">
        <f t="shared" si="3"/>
        <v>-43679.207083069108</v>
      </c>
      <c r="L26" s="76">
        <f t="shared" si="3"/>
        <v>-43574.717234105665</v>
      </c>
      <c r="M26" s="76">
        <f t="shared" si="3"/>
        <v>-45555.553891116237</v>
      </c>
      <c r="N26" s="76">
        <f t="shared" si="3"/>
        <v>-43369.415500808303</v>
      </c>
      <c r="O26" s="76">
        <f t="shared" si="3"/>
        <v>-38670.021701775084</v>
      </c>
      <c r="P26" s="76">
        <f t="shared" si="3"/>
        <v>-41776.338782003128</v>
      </c>
      <c r="Q26" s="76">
        <f t="shared" si="3"/>
        <v>-38285.72009961577</v>
      </c>
      <c r="R26" s="76">
        <f t="shared" si="3"/>
        <v>-40678.588170808085</v>
      </c>
      <c r="S26" s="76">
        <f t="shared" si="3"/>
        <v>-41395.653012747549</v>
      </c>
    </row>
    <row r="27" spans="1:21" x14ac:dyDescent="0.25">
      <c r="B27" s="17" t="s">
        <v>84</v>
      </c>
      <c r="D27" s="76">
        <f>D8*D18</f>
        <v>-51245.598940641888</v>
      </c>
      <c r="E27" s="76">
        <f t="shared" si="4"/>
        <v>-52371.024129739802</v>
      </c>
      <c r="F27" s="76">
        <f t="shared" si="4"/>
        <v>-52839.758533883884</v>
      </c>
      <c r="G27" s="76">
        <f t="shared" si="3"/>
        <v>-52571.959281638956</v>
      </c>
      <c r="H27" s="76">
        <f t="shared" si="3"/>
        <v>-32544.067375534094</v>
      </c>
      <c r="I27" s="76">
        <f t="shared" si="3"/>
        <v>-33748.994888344212</v>
      </c>
      <c r="J27" s="76">
        <f t="shared" si="3"/>
        <v>-33839.612574712679</v>
      </c>
      <c r="K27" s="76">
        <f t="shared" si="3"/>
        <v>-33440.221732588157</v>
      </c>
      <c r="L27" s="76">
        <f t="shared" si="3"/>
        <v>-33153.956114409644</v>
      </c>
      <c r="M27" s="76">
        <f t="shared" si="3"/>
        <v>-32800.849405541696</v>
      </c>
      <c r="N27" s="76">
        <f t="shared" si="3"/>
        <v>-31812.453594978651</v>
      </c>
      <c r="O27" s="76">
        <f t="shared" si="3"/>
        <v>-32123.428822723345</v>
      </c>
      <c r="P27" s="76">
        <f t="shared" si="3"/>
        <v>-31084.932001708308</v>
      </c>
      <c r="Q27" s="76">
        <f t="shared" si="3"/>
        <v>-31858.373630769009</v>
      </c>
      <c r="R27" s="76">
        <f t="shared" si="3"/>
        <v>-32364.407405469519</v>
      </c>
      <c r="S27" s="76">
        <f t="shared" si="3"/>
        <v>-32119.350975783091</v>
      </c>
    </row>
    <row r="28" spans="1:21" x14ac:dyDescent="0.25">
      <c r="B28" s="17" t="s">
        <v>85</v>
      </c>
      <c r="D28" s="76">
        <f>D9*D19</f>
        <v>-2507.3655870333241</v>
      </c>
      <c r="E28" s="76">
        <f t="shared" si="4"/>
        <v>-3766.1048430932606</v>
      </c>
      <c r="F28" s="76">
        <f t="shared" si="4"/>
        <v>-6926.9157371519796</v>
      </c>
      <c r="G28" s="76">
        <f t="shared" si="3"/>
        <v>-10118.949519399901</v>
      </c>
      <c r="H28" s="76">
        <f t="shared" si="3"/>
        <v>-8674.0236488251139</v>
      </c>
      <c r="I28" s="76">
        <f t="shared" si="3"/>
        <v>-8754.7770487052348</v>
      </c>
      <c r="J28" s="76">
        <f t="shared" si="3"/>
        <v>-6551.1512934198836</v>
      </c>
      <c r="K28" s="76">
        <f t="shared" si="3"/>
        <v>-3973.800833514133</v>
      </c>
      <c r="L28" s="76">
        <f t="shared" si="3"/>
        <v>-1735.4610124098881</v>
      </c>
      <c r="M28" s="76">
        <f t="shared" si="3"/>
        <v>-1466.9303664837146</v>
      </c>
      <c r="N28" s="76">
        <f t="shared" si="3"/>
        <v>-1439.7459687973219</v>
      </c>
      <c r="O28" s="76">
        <f t="shared" si="3"/>
        <v>-1301.9722753635283</v>
      </c>
      <c r="P28" s="76">
        <f t="shared" si="3"/>
        <v>-1546.4672314505071</v>
      </c>
      <c r="Q28" s="76">
        <f t="shared" si="3"/>
        <v>-2283.8845888439487</v>
      </c>
      <c r="R28" s="76">
        <f t="shared" si="3"/>
        <v>-4318.3387811120856</v>
      </c>
      <c r="S28" s="76">
        <f t="shared" si="3"/>
        <v>-6260.7985421968669</v>
      </c>
    </row>
    <row r="29" spans="1:21" x14ac:dyDescent="0.25">
      <c r="B29" s="17" t="s">
        <v>86</v>
      </c>
      <c r="D29" s="76">
        <f>D10*D20</f>
        <v>-977.82322908388812</v>
      </c>
      <c r="E29" s="76">
        <f t="shared" ref="E29:S29" si="5">E10*E20</f>
        <v>-975.56274245362783</v>
      </c>
      <c r="F29" s="76">
        <f t="shared" si="5"/>
        <v>-970.82441691024417</v>
      </c>
      <c r="G29" s="76">
        <f t="shared" si="5"/>
        <v>-968.30861603271626</v>
      </c>
      <c r="H29" s="76">
        <f t="shared" si="5"/>
        <v>-711.60987478763627</v>
      </c>
      <c r="I29" s="76">
        <f t="shared" si="5"/>
        <v>-707.96479555991448</v>
      </c>
      <c r="J29" s="76">
        <f t="shared" si="5"/>
        <v>-702.07412640373718</v>
      </c>
      <c r="K29" s="76">
        <f t="shared" si="5"/>
        <v>-702.169166678333</v>
      </c>
      <c r="L29" s="76">
        <f t="shared" si="5"/>
        <v>-704.11906213686575</v>
      </c>
      <c r="M29" s="76">
        <f t="shared" si="5"/>
        <v>-704.05901611892648</v>
      </c>
      <c r="N29" s="76">
        <f t="shared" si="5"/>
        <v>-695.11369279853443</v>
      </c>
      <c r="O29" s="76">
        <f t="shared" si="5"/>
        <v>-691.64107306794176</v>
      </c>
      <c r="P29" s="76">
        <f t="shared" si="5"/>
        <v>-691.08544965787121</v>
      </c>
      <c r="Q29" s="76">
        <f t="shared" si="5"/>
        <v>-686.745102539502</v>
      </c>
      <c r="R29" s="76">
        <f t="shared" si="5"/>
        <v>-685.49530064752435</v>
      </c>
      <c r="S29" s="76">
        <f t="shared" si="5"/>
        <v>-684.67822181936845</v>
      </c>
    </row>
    <row r="30" spans="1:21" x14ac:dyDescent="0.25">
      <c r="B30" s="17" t="s">
        <v>0</v>
      </c>
      <c r="D30" s="76">
        <f t="shared" ref="D30:S30" si="6">SUM(D24:D29)</f>
        <v>-276346.27949845535</v>
      </c>
      <c r="E30" s="76">
        <f t="shared" si="6"/>
        <v>-251398.91800544856</v>
      </c>
      <c r="F30" s="76">
        <f t="shared" si="6"/>
        <v>-248825.25692029501</v>
      </c>
      <c r="G30" s="76">
        <f t="shared" si="6"/>
        <v>-249253.86070559939</v>
      </c>
      <c r="H30" s="76">
        <f t="shared" si="6"/>
        <v>-176142.50747577799</v>
      </c>
      <c r="I30" s="76">
        <f t="shared" si="6"/>
        <v>-170018.24664737197</v>
      </c>
      <c r="J30" s="76">
        <f t="shared" si="6"/>
        <v>-151732.76960653652</v>
      </c>
      <c r="K30" s="76">
        <f t="shared" si="6"/>
        <v>-161109.70686228893</v>
      </c>
      <c r="L30" s="76">
        <f t="shared" si="6"/>
        <v>-176001.62489206286</v>
      </c>
      <c r="M30" s="76">
        <f t="shared" si="6"/>
        <v>-201666.48144691161</v>
      </c>
      <c r="N30" s="76">
        <f t="shared" si="6"/>
        <v>-195156.86076930832</v>
      </c>
      <c r="O30" s="76">
        <f t="shared" si="6"/>
        <v>-171328.64502907134</v>
      </c>
      <c r="P30" s="76">
        <f t="shared" si="6"/>
        <v>-173648.1860466589</v>
      </c>
      <c r="Q30" s="76">
        <f t="shared" si="6"/>
        <v>-153669.82553002096</v>
      </c>
      <c r="R30" s="76">
        <f t="shared" si="6"/>
        <v>-153898.25888550436</v>
      </c>
      <c r="S30" s="76">
        <f t="shared" si="6"/>
        <v>-152541.79003188913</v>
      </c>
      <c r="U30" s="77">
        <f>SUM(H30:S30)-'7-2018 thru 6-2019 RECs'!E30</f>
        <v>0</v>
      </c>
    </row>
    <row r="32" spans="1:21" ht="36" customHeight="1" x14ac:dyDescent="0.25">
      <c r="A32" s="17" t="s">
        <v>131</v>
      </c>
      <c r="B32" s="151"/>
      <c r="C32" s="78">
        <f>'CF WA Elec'!E19</f>
        <v>0.95332300000000003</v>
      </c>
      <c r="D32" s="70">
        <f>D4</f>
        <v>43174</v>
      </c>
      <c r="E32" s="70">
        <f t="shared" ref="E32:S32" si="7">E4</f>
        <v>43205</v>
      </c>
      <c r="F32" s="70">
        <f t="shared" si="7"/>
        <v>43235</v>
      </c>
      <c r="G32" s="70">
        <f t="shared" si="7"/>
        <v>43266</v>
      </c>
      <c r="H32" s="70">
        <f t="shared" si="7"/>
        <v>43297</v>
      </c>
      <c r="I32" s="70">
        <f t="shared" si="7"/>
        <v>43328</v>
      </c>
      <c r="J32" s="70">
        <f t="shared" si="7"/>
        <v>43359</v>
      </c>
      <c r="K32" s="70">
        <f t="shared" si="7"/>
        <v>43389</v>
      </c>
      <c r="L32" s="70">
        <f t="shared" si="7"/>
        <v>43420</v>
      </c>
      <c r="M32" s="70">
        <f t="shared" si="7"/>
        <v>43450</v>
      </c>
      <c r="N32" s="70">
        <f t="shared" si="7"/>
        <v>43481</v>
      </c>
      <c r="O32" s="70">
        <f t="shared" si="7"/>
        <v>43512</v>
      </c>
      <c r="P32" s="70">
        <f t="shared" si="7"/>
        <v>43540</v>
      </c>
      <c r="Q32" s="70">
        <f t="shared" si="7"/>
        <v>43571</v>
      </c>
      <c r="R32" s="70">
        <f t="shared" si="7"/>
        <v>43601</v>
      </c>
      <c r="S32" s="70">
        <f t="shared" si="7"/>
        <v>43632</v>
      </c>
    </row>
    <row r="33" spans="2:21" x14ac:dyDescent="0.25">
      <c r="B33" s="17" t="s">
        <v>81</v>
      </c>
      <c r="D33" s="76">
        <f>D24*$C$32</f>
        <v>-118864.26987858349</v>
      </c>
      <c r="E33" s="76">
        <f>E24*$C$32</f>
        <v>-99498.879109545232</v>
      </c>
      <c r="F33" s="76">
        <f>F24*$C$32</f>
        <v>-90929.105426639988</v>
      </c>
      <c r="G33" s="76">
        <f t="shared" ref="G33:S38" si="8">G24*$C$32</f>
        <v>-86459.301402504396</v>
      </c>
      <c r="H33" s="76">
        <f>H24*$C$32</f>
        <v>-63400.759231480508</v>
      </c>
      <c r="I33" s="76">
        <f t="shared" si="8"/>
        <v>-60630.290245202334</v>
      </c>
      <c r="J33" s="76">
        <f t="shared" si="8"/>
        <v>-51702.834389317373</v>
      </c>
      <c r="K33" s="76">
        <f t="shared" si="8"/>
        <v>-58390.03501569153</v>
      </c>
      <c r="L33" s="76">
        <f t="shared" si="8"/>
        <v>-73693.826527800411</v>
      </c>
      <c r="M33" s="76">
        <f t="shared" si="8"/>
        <v>-94309.802793108334</v>
      </c>
      <c r="N33" s="76">
        <f t="shared" si="8"/>
        <v>-91816.378875054274</v>
      </c>
      <c r="O33" s="76">
        <f t="shared" si="8"/>
        <v>-75984.767038673963</v>
      </c>
      <c r="P33" s="76">
        <f t="shared" si="8"/>
        <v>-75345.554091309037</v>
      </c>
      <c r="Q33" s="76">
        <f t="shared" si="8"/>
        <v>-60733.185953285058</v>
      </c>
      <c r="R33" s="76">
        <f t="shared" si="8"/>
        <v>-56154.805555227395</v>
      </c>
      <c r="S33" s="76">
        <f t="shared" si="8"/>
        <v>-52628.755056728907</v>
      </c>
    </row>
    <row r="34" spans="2:21" x14ac:dyDescent="0.25">
      <c r="B34" s="17" t="s">
        <v>82</v>
      </c>
      <c r="D34" s="76">
        <f>D25*$C$32</f>
        <v>-28651.612077688056</v>
      </c>
      <c r="E34" s="76">
        <f t="shared" ref="E34:F38" si="9">E25*$C$32</f>
        <v>-25495.894370053789</v>
      </c>
      <c r="F34" s="76">
        <f t="shared" si="9"/>
        <v>-25316.685367992002</v>
      </c>
      <c r="G34" s="76">
        <f t="shared" si="8"/>
        <v>-25519.355127050447</v>
      </c>
      <c r="H34" s="76">
        <f t="shared" si="8"/>
        <v>-18994.806492989039</v>
      </c>
      <c r="I34" s="76">
        <f t="shared" si="8"/>
        <v>-17872.197214404565</v>
      </c>
      <c r="J34" s="76">
        <f t="shared" si="8"/>
        <v>-15729.435871920645</v>
      </c>
      <c r="K34" s="76">
        <f t="shared" si="8"/>
        <v>-17222.119074064027</v>
      </c>
      <c r="L34" s="76">
        <f t="shared" si="8"/>
        <v>-18619.653661141863</v>
      </c>
      <c r="M34" s="76">
        <f t="shared" si="8"/>
        <v>-21174.876728135037</v>
      </c>
      <c r="N34" s="76">
        <f t="shared" si="8"/>
        <v>-20523.329294950574</v>
      </c>
      <c r="O34" s="76">
        <f t="shared" si="8"/>
        <v>-17957.188733842315</v>
      </c>
      <c r="P34" s="76">
        <f t="shared" si="8"/>
        <v>-18603.819893297532</v>
      </c>
      <c r="Q34" s="76">
        <f t="shared" si="8"/>
        <v>-16061.845653860773</v>
      </c>
      <c r="R34" s="76">
        <f t="shared" si="8"/>
        <v>-16156.106510189295</v>
      </c>
      <c r="S34" s="76">
        <f t="shared" si="8"/>
        <v>-16088.014949381492</v>
      </c>
    </row>
    <row r="35" spans="2:21" x14ac:dyDescent="0.25">
      <c r="B35" s="17" t="s">
        <v>83</v>
      </c>
      <c r="D35" s="76">
        <f>D26*$C$32</f>
        <v>-63755.26347739753</v>
      </c>
      <c r="E35" s="76">
        <f t="shared" si="9"/>
        <v>-60222.754626016962</v>
      </c>
      <c r="F35" s="76">
        <f t="shared" si="9"/>
        <v>-63062.595146705586</v>
      </c>
      <c r="G35" s="76">
        <f t="shared" si="8"/>
        <v>-64952.985594194368</v>
      </c>
      <c r="H35" s="76">
        <f t="shared" si="8"/>
        <v>-45552.589679584191</v>
      </c>
      <c r="I35" s="76">
        <f t="shared" si="8"/>
        <v>-42385.074991864349</v>
      </c>
      <c r="J35" s="76">
        <f t="shared" si="8"/>
        <v>-38043.321262908881</v>
      </c>
      <c r="K35" s="76">
        <f t="shared" si="8"/>
        <v>-41640.392734052693</v>
      </c>
      <c r="L35" s="76">
        <f t="shared" si="8"/>
        <v>-41540.780157769317</v>
      </c>
      <c r="M35" s="76">
        <f t="shared" si="8"/>
        <v>-43429.157302140607</v>
      </c>
      <c r="N35" s="76">
        <f t="shared" si="8"/>
        <v>-41345.061293477076</v>
      </c>
      <c r="O35" s="76">
        <f t="shared" si="8"/>
        <v>-36865.021098801328</v>
      </c>
      <c r="P35" s="76">
        <f t="shared" si="8"/>
        <v>-39826.344616675568</v>
      </c>
      <c r="Q35" s="76">
        <f t="shared" si="8"/>
        <v>-36498.657542526009</v>
      </c>
      <c r="R35" s="76">
        <f t="shared" si="8"/>
        <v>-38779.833710759274</v>
      </c>
      <c r="S35" s="76">
        <f t="shared" si="8"/>
        <v>-39463.428117071533</v>
      </c>
    </row>
    <row r="36" spans="2:21" x14ac:dyDescent="0.25">
      <c r="B36" s="17" t="s">
        <v>84</v>
      </c>
      <c r="D36" s="76">
        <f>D27*$C$32</f>
        <v>-48853.608118889548</v>
      </c>
      <c r="E36" s="76">
        <f t="shared" si="9"/>
        <v>-49926.501836435942</v>
      </c>
      <c r="F36" s="76">
        <f t="shared" si="9"/>
        <v>-50373.357124797789</v>
      </c>
      <c r="G36" s="76">
        <f t="shared" si="8"/>
        <v>-50118.057938249898</v>
      </c>
      <c r="H36" s="76">
        <f t="shared" si="8"/>
        <v>-31025.007942646291</v>
      </c>
      <c r="I36" s="76">
        <f t="shared" si="8"/>
        <v>-32173.69305394097</v>
      </c>
      <c r="J36" s="76">
        <f t="shared" si="8"/>
        <v>-32260.080978562815</v>
      </c>
      <c r="K36" s="76">
        <f t="shared" si="8"/>
        <v>-31879.332502776142</v>
      </c>
      <c r="L36" s="76">
        <f t="shared" si="8"/>
        <v>-31606.428904857345</v>
      </c>
      <c r="M36" s="76">
        <f t="shared" si="8"/>
        <v>-31269.804157839226</v>
      </c>
      <c r="N36" s="76">
        <f t="shared" si="8"/>
        <v>-30327.543698525835</v>
      </c>
      <c r="O36" s="76">
        <f t="shared" si="8"/>
        <v>-30624.003535565087</v>
      </c>
      <c r="P36" s="76">
        <f t="shared" si="8"/>
        <v>-29633.98063066457</v>
      </c>
      <c r="Q36" s="76">
        <f t="shared" si="8"/>
        <v>-30371.320324805605</v>
      </c>
      <c r="R36" s="76">
        <f t="shared" si="8"/>
        <v>-30853.733961004418</v>
      </c>
      <c r="S36" s="76">
        <f t="shared" si="8"/>
        <v>-30620.116030286463</v>
      </c>
    </row>
    <row r="37" spans="2:21" x14ac:dyDescent="0.25">
      <c r="B37" s="17" t="s">
        <v>85</v>
      </c>
      <c r="D37" s="76">
        <f>D28*$C$32</f>
        <v>-2390.3292835273696</v>
      </c>
      <c r="E37" s="76">
        <f t="shared" si="9"/>
        <v>-3590.3143673321965</v>
      </c>
      <c r="F37" s="76">
        <f t="shared" si="9"/>
        <v>-6603.588091288937</v>
      </c>
      <c r="G37" s="76">
        <f t="shared" si="8"/>
        <v>-9646.6273126828728</v>
      </c>
      <c r="H37" s="76">
        <f t="shared" si="8"/>
        <v>-8269.146246968905</v>
      </c>
      <c r="I37" s="76">
        <f t="shared" si="8"/>
        <v>-8346.1303204028209</v>
      </c>
      <c r="J37" s="76">
        <f t="shared" si="8"/>
        <v>-6245.3632044969236</v>
      </c>
      <c r="K37" s="76">
        <f t="shared" si="8"/>
        <v>-3788.3157320081941</v>
      </c>
      <c r="L37" s="76">
        <f t="shared" si="8"/>
        <v>-1654.4548987336318</v>
      </c>
      <c r="M37" s="76">
        <f t="shared" si="8"/>
        <v>-1398.4584577673543</v>
      </c>
      <c r="N37" s="76">
        <f t="shared" si="8"/>
        <v>-1372.5429462117693</v>
      </c>
      <c r="O37" s="76">
        <f t="shared" si="8"/>
        <v>-1241.2001154663849</v>
      </c>
      <c r="P37" s="76">
        <f t="shared" si="8"/>
        <v>-1474.2827804880919</v>
      </c>
      <c r="Q37" s="76">
        <f t="shared" si="8"/>
        <v>-2177.2797078904796</v>
      </c>
      <c r="R37" s="76">
        <f t="shared" si="8"/>
        <v>-4116.7716818261169</v>
      </c>
      <c r="S37" s="76">
        <f t="shared" si="8"/>
        <v>-5968.5632486427439</v>
      </c>
    </row>
    <row r="38" spans="2:21" x14ac:dyDescent="0.25">
      <c r="B38" s="124" t="s">
        <v>86</v>
      </c>
      <c r="D38" s="79">
        <f>D29*$C$32</f>
        <v>-932.18137421993947</v>
      </c>
      <c r="E38" s="79">
        <f t="shared" si="9"/>
        <v>-930.02640032411989</v>
      </c>
      <c r="F38" s="79">
        <f t="shared" si="9"/>
        <v>-925.50924560212468</v>
      </c>
      <c r="G38" s="79">
        <f t="shared" si="8"/>
        <v>-923.11087476215721</v>
      </c>
      <c r="H38" s="79">
        <f t="shared" si="8"/>
        <v>-678.39406066217384</v>
      </c>
      <c r="I38" s="79">
        <f t="shared" si="8"/>
        <v>-674.91912279756434</v>
      </c>
      <c r="J38" s="79">
        <f t="shared" si="8"/>
        <v>-669.30341240558994</v>
      </c>
      <c r="K38" s="79">
        <f t="shared" si="8"/>
        <v>-669.39401648528849</v>
      </c>
      <c r="L38" s="79">
        <f t="shared" si="8"/>
        <v>-671.2528966735033</v>
      </c>
      <c r="M38" s="79">
        <f t="shared" si="8"/>
        <v>-671.19565342354338</v>
      </c>
      <c r="N38" s="79">
        <f t="shared" si="8"/>
        <v>-662.66787095977725</v>
      </c>
      <c r="O38" s="79">
        <f t="shared" si="8"/>
        <v>-659.35734270034948</v>
      </c>
      <c r="P38" s="79">
        <f t="shared" si="8"/>
        <v>-658.82765412419076</v>
      </c>
      <c r="Q38" s="79">
        <f t="shared" si="8"/>
        <v>-654.68990138826564</v>
      </c>
      <c r="R38" s="79">
        <f t="shared" si="8"/>
        <v>-653.4984364991999</v>
      </c>
      <c r="S38" s="79">
        <f t="shared" si="8"/>
        <v>-652.71949645950576</v>
      </c>
    </row>
    <row r="39" spans="2:21" x14ac:dyDescent="0.25">
      <c r="B39" s="17" t="s">
        <v>0</v>
      </c>
      <c r="C39" s="51"/>
      <c r="D39" s="77">
        <f>SUM(D33:D38)</f>
        <v>-263447.26421030593</v>
      </c>
      <c r="E39" s="77">
        <f>SUM(E33:E38)</f>
        <v>-239664.37070970825</v>
      </c>
      <c r="F39" s="77">
        <f>SUM(F33:F38)</f>
        <v>-237210.84040302641</v>
      </c>
      <c r="G39" s="77">
        <f t="shared" ref="G39:S39" si="10">SUM(G33:G38)</f>
        <v>-237619.43824944409</v>
      </c>
      <c r="H39" s="77">
        <f t="shared" si="10"/>
        <v>-167920.7036543311</v>
      </c>
      <c r="I39" s="77">
        <f t="shared" si="10"/>
        <v>-162082.30494861261</v>
      </c>
      <c r="J39" s="77">
        <f t="shared" si="10"/>
        <v>-144650.33911961224</v>
      </c>
      <c r="K39" s="77">
        <f t="shared" si="10"/>
        <v>-153589.58907507788</v>
      </c>
      <c r="L39" s="77">
        <f t="shared" si="10"/>
        <v>-167786.39704697611</v>
      </c>
      <c r="M39" s="77">
        <f t="shared" si="10"/>
        <v>-192253.2950924141</v>
      </c>
      <c r="N39" s="77">
        <f t="shared" si="10"/>
        <v>-186047.5239791793</v>
      </c>
      <c r="O39" s="77">
        <f t="shared" si="10"/>
        <v>-163331.53786504941</v>
      </c>
      <c r="P39" s="77">
        <f t="shared" si="10"/>
        <v>-165542.80966655895</v>
      </c>
      <c r="Q39" s="77">
        <f t="shared" si="10"/>
        <v>-146496.97908375619</v>
      </c>
      <c r="R39" s="77">
        <f t="shared" si="10"/>
        <v>-146714.74985550571</v>
      </c>
      <c r="S39" s="77">
        <f t="shared" si="10"/>
        <v>-145421.59689857066</v>
      </c>
      <c r="U39" s="77">
        <f>SUM(H39:S39)-'7-2018 thru 6-2019 RECs'!E26</f>
        <v>0</v>
      </c>
    </row>
    <row r="40" spans="2:21" x14ac:dyDescent="0.25">
      <c r="C40" s="121"/>
    </row>
    <row r="41" spans="2:21" x14ac:dyDescent="0.25">
      <c r="C41" s="121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</row>
    <row r="43" spans="2:21" x14ac:dyDescent="0.25"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</row>
    <row r="46" spans="2:21" x14ac:dyDescent="0.25">
      <c r="B46" s="17" t="s">
        <v>120</v>
      </c>
    </row>
  </sheetData>
  <pageMargins left="0.7" right="0.7" top="0.75" bottom="0.75" header="0.3" footer="0.3"/>
  <pageSetup scale="5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workbookViewId="0"/>
  </sheetViews>
  <sheetFormatPr defaultRowHeight="15" x14ac:dyDescent="0.25"/>
  <cols>
    <col min="1" max="1" width="16.5703125" style="98" customWidth="1"/>
    <col min="2" max="4" width="15.140625" style="98" bestFit="1" customWidth="1"/>
    <col min="5" max="5" width="15" style="98" customWidth="1"/>
    <col min="6" max="17" width="12.5703125" style="98" bestFit="1" customWidth="1"/>
    <col min="18" max="18" width="14.28515625" style="98" bestFit="1" customWidth="1"/>
    <col min="19" max="19" width="9.28515625" style="98" bestFit="1" customWidth="1"/>
    <col min="20" max="20" width="14.5703125" style="98" customWidth="1"/>
    <col min="21" max="16384" width="9.140625" style="98"/>
  </cols>
  <sheetData>
    <row r="1" spans="1:20" x14ac:dyDescent="0.25">
      <c r="A1" s="98" t="s">
        <v>123</v>
      </c>
    </row>
    <row r="3" spans="1:20" x14ac:dyDescent="0.25">
      <c r="A3" s="18" t="s">
        <v>55</v>
      </c>
    </row>
    <row r="4" spans="1:20" x14ac:dyDescent="0.25">
      <c r="A4" s="98" t="s">
        <v>109</v>
      </c>
    </row>
    <row r="6" spans="1:20" x14ac:dyDescent="0.25">
      <c r="B6" s="99">
        <v>43174</v>
      </c>
      <c r="C6" s="99">
        <v>43205</v>
      </c>
      <c r="D6" s="99">
        <v>43235</v>
      </c>
      <c r="E6" s="99">
        <v>43266</v>
      </c>
      <c r="F6" s="99">
        <v>43297</v>
      </c>
      <c r="G6" s="99">
        <v>43328</v>
      </c>
      <c r="H6" s="99">
        <v>43359</v>
      </c>
      <c r="I6" s="99">
        <v>43389</v>
      </c>
      <c r="J6" s="99">
        <v>43420</v>
      </c>
      <c r="K6" s="99">
        <v>43450</v>
      </c>
      <c r="L6" s="99">
        <v>43481</v>
      </c>
      <c r="M6" s="99">
        <v>43512</v>
      </c>
      <c r="N6" s="99">
        <v>43540</v>
      </c>
      <c r="O6" s="99">
        <v>43571</v>
      </c>
      <c r="P6" s="99">
        <v>43601</v>
      </c>
      <c r="Q6" s="99">
        <v>43632</v>
      </c>
      <c r="R6" s="100" t="s">
        <v>0</v>
      </c>
    </row>
    <row r="7" spans="1:20" x14ac:dyDescent="0.25">
      <c r="A7" s="101" t="s">
        <v>126</v>
      </c>
      <c r="B7" s="137">
        <v>219310472.29330951</v>
      </c>
      <c r="C7" s="137">
        <v>183580366.01292348</v>
      </c>
      <c r="D7" s="137">
        <v>167768708.60094827</v>
      </c>
      <c r="E7" s="137">
        <v>159521698.52304149</v>
      </c>
      <c r="F7" s="138">
        <v>193305007.87713596</v>
      </c>
      <c r="G7" s="138">
        <v>184858018.66584671</v>
      </c>
      <c r="H7" s="138">
        <v>157638755.90837884</v>
      </c>
      <c r="I7" s="138">
        <v>178027618.52495447</v>
      </c>
      <c r="J7" s="138">
        <v>224687935.76180804</v>
      </c>
      <c r="K7" s="138">
        <v>287544776.95214874</v>
      </c>
      <c r="L7" s="138">
        <v>279942481.0812003</v>
      </c>
      <c r="M7" s="138">
        <v>231672872.20213655</v>
      </c>
      <c r="N7" s="138">
        <v>229723951.31659308</v>
      </c>
      <c r="O7" s="138">
        <v>185171741.33892757</v>
      </c>
      <c r="P7" s="138">
        <v>171212541.6441766</v>
      </c>
      <c r="Q7" s="138">
        <v>160461830.96421695</v>
      </c>
      <c r="R7" s="139">
        <f>SUM(F7:Q7)</f>
        <v>2484247532.237524</v>
      </c>
      <c r="T7" s="136">
        <v>2491200928.8335719</v>
      </c>
    </row>
    <row r="8" spans="1:20" x14ac:dyDescent="0.25">
      <c r="A8" s="101" t="s">
        <v>44</v>
      </c>
      <c r="B8" s="137">
        <v>47237166.200034037</v>
      </c>
      <c r="C8" s="137">
        <v>42361735.286451504</v>
      </c>
      <c r="D8" s="137">
        <v>42363408.932623833</v>
      </c>
      <c r="E8" s="137">
        <v>42933370.186783999</v>
      </c>
      <c r="F8" s="138">
        <v>51248487.048004918</v>
      </c>
      <c r="G8" s="138">
        <v>48217692.674264967</v>
      </c>
      <c r="H8" s="138">
        <v>42249192.925825603</v>
      </c>
      <c r="I8" s="138">
        <v>46004251.16602128</v>
      </c>
      <c r="J8" s="138">
        <v>49193115.097261235</v>
      </c>
      <c r="K8" s="138">
        <v>55297443.955217697</v>
      </c>
      <c r="L8" s="138">
        <v>53409191.29571186</v>
      </c>
      <c r="M8" s="138">
        <v>46846350.42231518</v>
      </c>
      <c r="N8" s="138">
        <v>48826142.232435957</v>
      </c>
      <c r="O8" s="138">
        <v>42465566.543324992</v>
      </c>
      <c r="P8" s="138">
        <v>43039603.490898907</v>
      </c>
      <c r="Q8" s="138">
        <v>43117912.20243258</v>
      </c>
      <c r="R8" s="139">
        <f t="shared" ref="R8:R26" si="0">SUM(F8:Q8)</f>
        <v>569914949.05371523</v>
      </c>
      <c r="T8" s="136">
        <v>554630250.45839334</v>
      </c>
    </row>
    <row r="9" spans="1:20" x14ac:dyDescent="0.25">
      <c r="A9" s="101" t="s">
        <v>45</v>
      </c>
      <c r="B9" s="137">
        <v>5455354.8224079255</v>
      </c>
      <c r="C9" s="137">
        <v>4527177.8552352637</v>
      </c>
      <c r="D9" s="137">
        <v>4195925.0536929928</v>
      </c>
      <c r="E9" s="137">
        <v>3998689.0936923428</v>
      </c>
      <c r="F9" s="138">
        <v>4452091.4457011605</v>
      </c>
      <c r="G9" s="138">
        <v>4190934.0818628911</v>
      </c>
      <c r="H9" s="138">
        <v>3875977.013073937</v>
      </c>
      <c r="I9" s="138">
        <v>4498079.3350515114</v>
      </c>
      <c r="J9" s="138">
        <v>5407361.1255871449</v>
      </c>
      <c r="K9" s="138">
        <v>6795996.3609745465</v>
      </c>
      <c r="L9" s="138">
        <v>6773644.1950056348</v>
      </c>
      <c r="M9" s="138">
        <v>5811506.3958029961</v>
      </c>
      <c r="N9" s="138">
        <v>5727902.8762555085</v>
      </c>
      <c r="O9" s="138">
        <v>4634365.4789822372</v>
      </c>
      <c r="P9" s="138">
        <v>4336740.0983673539</v>
      </c>
      <c r="Q9" s="138">
        <v>4058758.9485314605</v>
      </c>
      <c r="R9" s="139">
        <f t="shared" si="0"/>
        <v>60563357.355196394</v>
      </c>
      <c r="T9" s="136">
        <v>59662034.547170833</v>
      </c>
    </row>
    <row r="10" spans="1:20" x14ac:dyDescent="0.25">
      <c r="A10" s="101" t="s">
        <v>46</v>
      </c>
      <c r="B10" s="137">
        <v>109711137.74920973</v>
      </c>
      <c r="C10" s="137">
        <v>103836068.18703149</v>
      </c>
      <c r="D10" s="137">
        <v>108905097.03081727</v>
      </c>
      <c r="E10" s="137">
        <v>112259201.13654883</v>
      </c>
      <c r="F10" s="138">
        <v>129827343.37790658</v>
      </c>
      <c r="G10" s="138">
        <v>120761415.06238407</v>
      </c>
      <c r="H10" s="138">
        <v>108418244.94591674</v>
      </c>
      <c r="I10" s="138">
        <v>118644704.31784432</v>
      </c>
      <c r="J10" s="138">
        <v>118116610.40885386</v>
      </c>
      <c r="K10" s="138">
        <v>123116804.00785564</v>
      </c>
      <c r="L10" s="138">
        <v>117070383.69910002</v>
      </c>
      <c r="M10" s="138">
        <v>104449333.77740186</v>
      </c>
      <c r="N10" s="138">
        <v>113035116.22385801</v>
      </c>
      <c r="O10" s="138">
        <v>103798624.86924154</v>
      </c>
      <c r="P10" s="138">
        <v>110461098.40229425</v>
      </c>
      <c r="Q10" s="138">
        <v>112504441.10976514</v>
      </c>
      <c r="R10" s="139">
        <f t="shared" si="0"/>
        <v>1380204120.2024219</v>
      </c>
      <c r="T10" s="136">
        <v>1385863430.941088</v>
      </c>
    </row>
    <row r="11" spans="1:20" x14ac:dyDescent="0.25">
      <c r="A11" s="101" t="s">
        <v>47</v>
      </c>
      <c r="B11" s="137">
        <v>2805313.1696302043</v>
      </c>
      <c r="C11" s="137">
        <v>2446146.7312366767</v>
      </c>
      <c r="D11" s="137">
        <v>2388920.1941996268</v>
      </c>
      <c r="E11" s="137">
        <v>2371011.6023917468</v>
      </c>
      <c r="F11" s="138">
        <v>2755646.8767204601</v>
      </c>
      <c r="G11" s="138">
        <v>2602372.2462122962</v>
      </c>
      <c r="H11" s="138">
        <v>2308660.5435964721</v>
      </c>
      <c r="I11" s="138">
        <v>2551649.6741236029</v>
      </c>
      <c r="J11" s="138">
        <v>2789816.417095297</v>
      </c>
      <c r="K11" s="138">
        <v>3285834.78519161</v>
      </c>
      <c r="L11" s="138">
        <v>3266394.014479694</v>
      </c>
      <c r="M11" s="138">
        <v>2848072.7467668299</v>
      </c>
      <c r="N11" s="138">
        <v>2881363.9879496396</v>
      </c>
      <c r="O11" s="138">
        <v>2432463.0075578862</v>
      </c>
      <c r="P11" s="138">
        <v>2409461.7813345189</v>
      </c>
      <c r="Q11" s="138">
        <v>2355753.2779281102</v>
      </c>
      <c r="R11" s="139">
        <f t="shared" si="0"/>
        <v>32487489.358956419</v>
      </c>
      <c r="T11" s="136">
        <v>32956485.163953826</v>
      </c>
    </row>
    <row r="12" spans="1:20" x14ac:dyDescent="0.25">
      <c r="A12" s="102" t="s">
        <v>48</v>
      </c>
      <c r="B12" s="138">
        <v>89975531.042652205</v>
      </c>
      <c r="C12" s="138">
        <v>91951519.832541332</v>
      </c>
      <c r="D12" s="138">
        <v>92774510.056144252</v>
      </c>
      <c r="E12" s="138">
        <v>92304315.923737437</v>
      </c>
      <c r="F12" s="138">
        <v>92381168.796519667</v>
      </c>
      <c r="G12" s="138">
        <v>95801534.501396626</v>
      </c>
      <c r="H12" s="138">
        <v>96058766.262987971</v>
      </c>
      <c r="I12" s="138">
        <v>94925036.03878656</v>
      </c>
      <c r="J12" s="138">
        <v>94112428.564483255</v>
      </c>
      <c r="K12" s="138">
        <v>93110082.726801127</v>
      </c>
      <c r="L12" s="138">
        <v>90304374.418747365</v>
      </c>
      <c r="M12" s="138">
        <v>91187123.789756104</v>
      </c>
      <c r="N12" s="138">
        <v>88239196.32236883</v>
      </c>
      <c r="O12" s="138">
        <v>90434725.260531828</v>
      </c>
      <c r="P12" s="138">
        <v>91871177.287806451</v>
      </c>
      <c r="Q12" s="138">
        <v>91175548.215561062</v>
      </c>
      <c r="R12" s="139">
        <f t="shared" si="0"/>
        <v>1109601162.1857469</v>
      </c>
      <c r="T12" s="136">
        <v>1122196552.322475</v>
      </c>
    </row>
    <row r="13" spans="1:20" x14ac:dyDescent="0.25">
      <c r="A13" s="101" t="s">
        <v>49</v>
      </c>
      <c r="B13" s="138">
        <v>3865374.1968885837</v>
      </c>
      <c r="C13" s="138">
        <v>5760036.279624234</v>
      </c>
      <c r="D13" s="138">
        <v>10657870.619246706</v>
      </c>
      <c r="E13" s="138">
        <v>15558530.172254976</v>
      </c>
      <c r="F13" s="138">
        <v>21449848.398869723</v>
      </c>
      <c r="G13" s="138">
        <v>21784015.114309497</v>
      </c>
      <c r="H13" s="138">
        <v>16433774.700833611</v>
      </c>
      <c r="I13" s="138">
        <v>10021886.882187732</v>
      </c>
      <c r="J13" s="138">
        <v>4349506.1550265895</v>
      </c>
      <c r="K13" s="138">
        <v>3647299.3052340746</v>
      </c>
      <c r="L13" s="138">
        <v>3563751.0506078652</v>
      </c>
      <c r="M13" s="138">
        <v>3232540.6089435611</v>
      </c>
      <c r="N13" s="138">
        <v>3868520.5101655656</v>
      </c>
      <c r="O13" s="138">
        <v>5673413.6222993005</v>
      </c>
      <c r="P13" s="138">
        <v>10802345.921573803</v>
      </c>
      <c r="Q13" s="138">
        <v>15652263.266637361</v>
      </c>
      <c r="R13" s="139">
        <f t="shared" si="0"/>
        <v>120479165.53668867</v>
      </c>
      <c r="T13" s="136">
        <v>125703725.86546326</v>
      </c>
    </row>
    <row r="14" spans="1:20" x14ac:dyDescent="0.25">
      <c r="A14" s="101" t="s">
        <v>50</v>
      </c>
      <c r="B14" s="138">
        <v>261496.14223001397</v>
      </c>
      <c r="C14" s="138">
        <v>438591.65534786426</v>
      </c>
      <c r="D14" s="138">
        <v>743132.5870904359</v>
      </c>
      <c r="E14" s="138">
        <v>1096238.0237379891</v>
      </c>
      <c r="F14" s="138">
        <v>1744368.5416953689</v>
      </c>
      <c r="G14" s="138">
        <v>1626135.2789804337</v>
      </c>
      <c r="H14" s="138">
        <v>1083911.4920816745</v>
      </c>
      <c r="I14" s="138">
        <v>604000.51940004248</v>
      </c>
      <c r="J14" s="138">
        <v>291092.12362576812</v>
      </c>
      <c r="K14" s="138">
        <v>275251.81226656557</v>
      </c>
      <c r="L14" s="138">
        <v>286109.3707563639</v>
      </c>
      <c r="M14" s="138">
        <v>248914.89867119401</v>
      </c>
      <c r="N14" s="138">
        <v>266711.06285378797</v>
      </c>
      <c r="O14" s="138">
        <v>433661.5674293979</v>
      </c>
      <c r="P14" s="138">
        <v>744831.0941973899</v>
      </c>
      <c r="Q14" s="138">
        <v>1089023.7632356659</v>
      </c>
      <c r="R14" s="139">
        <f t="shared" si="0"/>
        <v>8694011.525193654</v>
      </c>
      <c r="T14" s="136">
        <v>8790726.2622880545</v>
      </c>
    </row>
    <row r="15" spans="1:20" x14ac:dyDescent="0.25">
      <c r="A15" s="103" t="s">
        <v>51</v>
      </c>
      <c r="B15" s="138">
        <v>1506535.1899971869</v>
      </c>
      <c r="C15" s="138">
        <v>1503052.4514471977</v>
      </c>
      <c r="D15" s="138">
        <v>1495752.0990312933</v>
      </c>
      <c r="E15" s="138">
        <v>1491875.9970526437</v>
      </c>
      <c r="F15" s="138">
        <v>1487548.7332422216</v>
      </c>
      <c r="G15" s="138">
        <v>1479929.0624368056</v>
      </c>
      <c r="H15" s="138">
        <v>1467615.2121774405</v>
      </c>
      <c r="I15" s="138">
        <v>1467813.8842941311</v>
      </c>
      <c r="J15" s="138">
        <v>1471889.944256285</v>
      </c>
      <c r="K15" s="138">
        <v>1471764.4241067106</v>
      </c>
      <c r="L15" s="138">
        <v>1453065.127139166</v>
      </c>
      <c r="M15" s="138">
        <v>1445805.9655334945</v>
      </c>
      <c r="N15" s="138">
        <v>1444644.490785752</v>
      </c>
      <c r="O15" s="138">
        <v>1435571.4325181325</v>
      </c>
      <c r="P15" s="138">
        <v>1432958.8476073765</v>
      </c>
      <c r="Q15" s="138">
        <v>1431250.8266553835</v>
      </c>
      <c r="R15" s="139">
        <f t="shared" si="0"/>
        <v>17489857.950752899</v>
      </c>
      <c r="T15" s="136">
        <v>23053363.109911155</v>
      </c>
    </row>
    <row r="16" spans="1:20" x14ac:dyDescent="0.25">
      <c r="A16" s="104" t="s">
        <v>0</v>
      </c>
      <c r="B16" s="107">
        <f>SUM(B7:B15)</f>
        <v>480128380.80635941</v>
      </c>
      <c r="C16" s="107">
        <f t="shared" ref="C16:R16" si="1">SUM(C7:C15)</f>
        <v>436404694.29183912</v>
      </c>
      <c r="D16" s="107">
        <f t="shared" si="1"/>
        <v>431293325.17379469</v>
      </c>
      <c r="E16" s="107">
        <f t="shared" si="1"/>
        <v>431534930.65924144</v>
      </c>
      <c r="F16" s="107">
        <f t="shared" si="1"/>
        <v>498651511.09579605</v>
      </c>
      <c r="G16" s="107">
        <f t="shared" si="1"/>
        <v>481322046.68769431</v>
      </c>
      <c r="H16" s="107">
        <f t="shared" si="1"/>
        <v>429534899.00487232</v>
      </c>
      <c r="I16" s="107">
        <f t="shared" si="1"/>
        <v>456745040.34266371</v>
      </c>
      <c r="J16" s="107">
        <f t="shared" si="1"/>
        <v>500419755.59799761</v>
      </c>
      <c r="K16" s="107">
        <f t="shared" si="1"/>
        <v>574545254.32979679</v>
      </c>
      <c r="L16" s="107">
        <f t="shared" si="1"/>
        <v>556069394.25274837</v>
      </c>
      <c r="M16" s="107">
        <f t="shared" si="1"/>
        <v>487742520.80732781</v>
      </c>
      <c r="N16" s="107">
        <f t="shared" si="1"/>
        <v>494013549.02326626</v>
      </c>
      <c r="O16" s="107">
        <f t="shared" si="1"/>
        <v>436480133.12081295</v>
      </c>
      <c r="P16" s="107">
        <f t="shared" si="1"/>
        <v>436310758.56825668</v>
      </c>
      <c r="Q16" s="107">
        <f t="shared" si="1"/>
        <v>431846782.57496375</v>
      </c>
      <c r="R16" s="107">
        <f t="shared" si="1"/>
        <v>5783681645.4061966</v>
      </c>
    </row>
    <row r="17" spans="1:19" x14ac:dyDescent="0.25">
      <c r="A17" s="105"/>
      <c r="B17" s="105"/>
      <c r="F17" s="105"/>
      <c r="R17" s="106"/>
    </row>
    <row r="18" spans="1:19" x14ac:dyDescent="0.25">
      <c r="A18" s="104" t="s">
        <v>126</v>
      </c>
      <c r="B18" s="107">
        <f>B7</f>
        <v>219310472.29330951</v>
      </c>
      <c r="C18" s="106">
        <f>C7</f>
        <v>183580366.01292348</v>
      </c>
      <c r="D18" s="106">
        <f>D7</f>
        <v>167768708.60094827</v>
      </c>
      <c r="E18" s="106">
        <f>E7</f>
        <v>159521698.52304149</v>
      </c>
      <c r="F18" s="107">
        <f t="shared" ref="F18:Q18" si="2">F7</f>
        <v>193305007.87713596</v>
      </c>
      <c r="G18" s="106">
        <f t="shared" si="2"/>
        <v>184858018.66584671</v>
      </c>
      <c r="H18" s="106">
        <f t="shared" si="2"/>
        <v>157638755.90837884</v>
      </c>
      <c r="I18" s="106">
        <f t="shared" si="2"/>
        <v>178027618.52495447</v>
      </c>
      <c r="J18" s="106">
        <f t="shared" si="2"/>
        <v>224687935.76180804</v>
      </c>
      <c r="K18" s="106">
        <f t="shared" si="2"/>
        <v>287544776.95214874</v>
      </c>
      <c r="L18" s="106">
        <f t="shared" si="2"/>
        <v>279942481.0812003</v>
      </c>
      <c r="M18" s="106">
        <f t="shared" si="2"/>
        <v>231672872.20213655</v>
      </c>
      <c r="N18" s="106">
        <f t="shared" si="2"/>
        <v>229723951.31659308</v>
      </c>
      <c r="O18" s="106">
        <f t="shared" si="2"/>
        <v>185171741.33892757</v>
      </c>
      <c r="P18" s="106">
        <f t="shared" si="2"/>
        <v>171212541.6441766</v>
      </c>
      <c r="Q18" s="106">
        <f t="shared" si="2"/>
        <v>160461830.96421695</v>
      </c>
      <c r="R18" s="106">
        <f t="shared" si="0"/>
        <v>2484247532.237524</v>
      </c>
      <c r="S18" s="108"/>
    </row>
    <row r="19" spans="1:19" x14ac:dyDescent="0.25">
      <c r="A19" s="104" t="s">
        <v>52</v>
      </c>
      <c r="B19" s="107">
        <f>B8+B9</f>
        <v>52692521.022441961</v>
      </c>
      <c r="C19" s="106">
        <f>C8+C9</f>
        <v>46888913.141686767</v>
      </c>
      <c r="D19" s="106">
        <f>D8+D9</f>
        <v>46559333.98631683</v>
      </c>
      <c r="E19" s="106">
        <f>E8+E9</f>
        <v>46932059.280476339</v>
      </c>
      <c r="F19" s="107">
        <f t="shared" ref="F19:Q19" si="3">F8+F9</f>
        <v>55700578.493706077</v>
      </c>
      <c r="G19" s="106">
        <f t="shared" si="3"/>
        <v>52408626.756127857</v>
      </c>
      <c r="H19" s="106">
        <f t="shared" si="3"/>
        <v>46125169.938899539</v>
      </c>
      <c r="I19" s="106">
        <f t="shared" si="3"/>
        <v>50502330.501072794</v>
      </c>
      <c r="J19" s="106">
        <f t="shared" si="3"/>
        <v>54600476.222848378</v>
      </c>
      <c r="K19" s="106">
        <f t="shared" si="3"/>
        <v>62093440.31619224</v>
      </c>
      <c r="L19" s="106">
        <f t="shared" si="3"/>
        <v>60182835.490717493</v>
      </c>
      <c r="M19" s="106">
        <f t="shared" si="3"/>
        <v>52657856.818118177</v>
      </c>
      <c r="N19" s="106">
        <f t="shared" si="3"/>
        <v>54554045.108691469</v>
      </c>
      <c r="O19" s="106">
        <f t="shared" si="3"/>
        <v>47099932.022307232</v>
      </c>
      <c r="P19" s="106">
        <f t="shared" si="3"/>
        <v>47376343.589266263</v>
      </c>
      <c r="Q19" s="106">
        <f t="shared" si="3"/>
        <v>47176671.150964044</v>
      </c>
      <c r="R19" s="106">
        <f t="shared" si="0"/>
        <v>630478306.40891147</v>
      </c>
    </row>
    <row r="20" spans="1:19" x14ac:dyDescent="0.25">
      <c r="A20" s="104" t="s">
        <v>53</v>
      </c>
      <c r="B20" s="107">
        <f>B10+B11</f>
        <v>112516450.91883993</v>
      </c>
      <c r="C20" s="106">
        <f>C10+C11</f>
        <v>106282214.91826817</v>
      </c>
      <c r="D20" s="106">
        <f>D10+D11</f>
        <v>111294017.22501689</v>
      </c>
      <c r="E20" s="106">
        <f>E10+E11</f>
        <v>114630212.73894058</v>
      </c>
      <c r="F20" s="107">
        <f t="shared" ref="F20:Q20" si="4">F10+F11</f>
        <v>132582990.25462703</v>
      </c>
      <c r="G20" s="106">
        <f t="shared" si="4"/>
        <v>123363787.30859637</v>
      </c>
      <c r="H20" s="106">
        <f t="shared" si="4"/>
        <v>110726905.48951322</v>
      </c>
      <c r="I20" s="106">
        <f t="shared" si="4"/>
        <v>121196353.99196792</v>
      </c>
      <c r="J20" s="106">
        <f t="shared" si="4"/>
        <v>120906426.82594916</v>
      </c>
      <c r="K20" s="106">
        <f t="shared" si="4"/>
        <v>126402638.79304725</v>
      </c>
      <c r="L20" s="106">
        <f t="shared" si="4"/>
        <v>120336777.71357971</v>
      </c>
      <c r="M20" s="106">
        <f t="shared" si="4"/>
        <v>107297406.5241687</v>
      </c>
      <c r="N20" s="106">
        <f t="shared" si="4"/>
        <v>115916480.21180765</v>
      </c>
      <c r="O20" s="106">
        <f t="shared" si="4"/>
        <v>106231087.87679942</v>
      </c>
      <c r="P20" s="106">
        <f t="shared" si="4"/>
        <v>112870560.18362877</v>
      </c>
      <c r="Q20" s="106">
        <f t="shared" si="4"/>
        <v>114860194.38769326</v>
      </c>
      <c r="R20" s="106">
        <f t="shared" si="0"/>
        <v>1412691609.5613785</v>
      </c>
    </row>
    <row r="21" spans="1:19" x14ac:dyDescent="0.25">
      <c r="A21" s="104" t="s">
        <v>48</v>
      </c>
      <c r="B21" s="107">
        <f>B12</f>
        <v>89975531.042652205</v>
      </c>
      <c r="C21" s="106">
        <f>C12</f>
        <v>91951519.832541332</v>
      </c>
      <c r="D21" s="106">
        <f>D12</f>
        <v>92774510.056144252</v>
      </c>
      <c r="E21" s="106">
        <f>E12</f>
        <v>92304315.923737437</v>
      </c>
      <c r="F21" s="107">
        <f t="shared" ref="F21:Q21" si="5">F12</f>
        <v>92381168.796519667</v>
      </c>
      <c r="G21" s="106">
        <f t="shared" si="5"/>
        <v>95801534.501396626</v>
      </c>
      <c r="H21" s="106">
        <f t="shared" si="5"/>
        <v>96058766.262987971</v>
      </c>
      <c r="I21" s="106">
        <f t="shared" si="5"/>
        <v>94925036.03878656</v>
      </c>
      <c r="J21" s="106">
        <f t="shared" si="5"/>
        <v>94112428.564483255</v>
      </c>
      <c r="K21" s="106">
        <f t="shared" si="5"/>
        <v>93110082.726801127</v>
      </c>
      <c r="L21" s="106">
        <f t="shared" si="5"/>
        <v>90304374.418747365</v>
      </c>
      <c r="M21" s="106">
        <f t="shared" si="5"/>
        <v>91187123.789756104</v>
      </c>
      <c r="N21" s="106">
        <f t="shared" si="5"/>
        <v>88239196.32236883</v>
      </c>
      <c r="O21" s="106">
        <f t="shared" si="5"/>
        <v>90434725.260531828</v>
      </c>
      <c r="P21" s="106">
        <f t="shared" si="5"/>
        <v>91871177.287806451</v>
      </c>
      <c r="Q21" s="106">
        <f t="shared" si="5"/>
        <v>91175548.215561062</v>
      </c>
      <c r="R21" s="106">
        <f t="shared" si="0"/>
        <v>1109601162.1857469</v>
      </c>
    </row>
    <row r="22" spans="1:19" x14ac:dyDescent="0.25">
      <c r="A22" s="104" t="s">
        <v>54</v>
      </c>
      <c r="B22" s="107">
        <f>B13+B14</f>
        <v>4126870.3391185976</v>
      </c>
      <c r="C22" s="106">
        <f>C13+C14</f>
        <v>6198627.9349720981</v>
      </c>
      <c r="D22" s="106">
        <f>D13+D14</f>
        <v>11401003.206337143</v>
      </c>
      <c r="E22" s="106">
        <f>E13+E14</f>
        <v>16654768.195992965</v>
      </c>
      <c r="F22" s="107">
        <f>F13+F14</f>
        <v>23194216.940565091</v>
      </c>
      <c r="G22" s="106">
        <f t="shared" ref="G22:Q22" si="6">G13+G14</f>
        <v>23410150.393289931</v>
      </c>
      <c r="H22" s="106">
        <f t="shared" si="6"/>
        <v>17517686.192915287</v>
      </c>
      <c r="I22" s="106">
        <f t="shared" si="6"/>
        <v>10625887.401587773</v>
      </c>
      <c r="J22" s="106">
        <f t="shared" si="6"/>
        <v>4640598.2786523579</v>
      </c>
      <c r="K22" s="106">
        <f t="shared" si="6"/>
        <v>3922551.11750064</v>
      </c>
      <c r="L22" s="106">
        <f t="shared" si="6"/>
        <v>3849860.4213642292</v>
      </c>
      <c r="M22" s="106">
        <f t="shared" si="6"/>
        <v>3481455.5076147551</v>
      </c>
      <c r="N22" s="106">
        <f t="shared" si="6"/>
        <v>4135231.5730193537</v>
      </c>
      <c r="O22" s="106">
        <f t="shared" si="6"/>
        <v>6107075.1897286987</v>
      </c>
      <c r="P22" s="106">
        <f t="shared" si="6"/>
        <v>11547177.015771193</v>
      </c>
      <c r="Q22" s="106">
        <f t="shared" si="6"/>
        <v>16741287.029873027</v>
      </c>
      <c r="R22" s="106">
        <f t="shared" si="0"/>
        <v>129173177.06188233</v>
      </c>
    </row>
    <row r="23" spans="1:19" x14ac:dyDescent="0.25">
      <c r="A23" s="104" t="s">
        <v>51</v>
      </c>
      <c r="B23" s="107">
        <f>B15</f>
        <v>1506535.1899971869</v>
      </c>
      <c r="C23" s="106">
        <f>C15</f>
        <v>1503052.4514471977</v>
      </c>
      <c r="D23" s="106">
        <f>D15</f>
        <v>1495752.0990312933</v>
      </c>
      <c r="E23" s="106">
        <f>E15</f>
        <v>1491875.9970526437</v>
      </c>
      <c r="F23" s="107">
        <f>F15</f>
        <v>1487548.7332422216</v>
      </c>
      <c r="G23" s="106">
        <f t="shared" ref="G23:Q23" si="7">G15</f>
        <v>1479929.0624368056</v>
      </c>
      <c r="H23" s="106">
        <f t="shared" si="7"/>
        <v>1467615.2121774405</v>
      </c>
      <c r="I23" s="106">
        <f t="shared" si="7"/>
        <v>1467813.8842941311</v>
      </c>
      <c r="J23" s="106">
        <f t="shared" si="7"/>
        <v>1471889.944256285</v>
      </c>
      <c r="K23" s="106">
        <f t="shared" si="7"/>
        <v>1471764.4241067106</v>
      </c>
      <c r="L23" s="106">
        <f t="shared" si="7"/>
        <v>1453065.127139166</v>
      </c>
      <c r="M23" s="106">
        <f t="shared" si="7"/>
        <v>1445805.9655334945</v>
      </c>
      <c r="N23" s="106">
        <f t="shared" si="7"/>
        <v>1444644.490785752</v>
      </c>
      <c r="O23" s="106">
        <f t="shared" si="7"/>
        <v>1435571.4325181325</v>
      </c>
      <c r="P23" s="106">
        <f t="shared" si="7"/>
        <v>1432958.8476073765</v>
      </c>
      <c r="Q23" s="106">
        <f t="shared" si="7"/>
        <v>1431250.8266553835</v>
      </c>
      <c r="R23" s="106">
        <f t="shared" si="0"/>
        <v>17489857.950752899</v>
      </c>
    </row>
    <row r="24" spans="1:19" x14ac:dyDescent="0.25">
      <c r="A24" s="104" t="s">
        <v>0</v>
      </c>
      <c r="B24" s="107">
        <f>SUM(B18:B23)</f>
        <v>480128380.80635941</v>
      </c>
      <c r="C24" s="106">
        <f>SUM(C18:C23)</f>
        <v>436404694.29183906</v>
      </c>
      <c r="D24" s="106">
        <f>SUM(D18:D23)</f>
        <v>431293325.17379463</v>
      </c>
      <c r="E24" s="106">
        <f>SUM(E18:E23)</f>
        <v>431534930.65924144</v>
      </c>
      <c r="F24" s="107">
        <f>SUM(F18:F23)</f>
        <v>498651511.09579605</v>
      </c>
      <c r="G24" s="106">
        <f t="shared" ref="G24:R24" si="8">SUM(G18:G23)</f>
        <v>481322046.68769431</v>
      </c>
      <c r="H24" s="106">
        <f t="shared" si="8"/>
        <v>429534899.00487232</v>
      </c>
      <c r="I24" s="106">
        <f t="shared" si="8"/>
        <v>456745040.34266371</v>
      </c>
      <c r="J24" s="106">
        <f t="shared" si="8"/>
        <v>500419755.59799749</v>
      </c>
      <c r="K24" s="106">
        <f t="shared" si="8"/>
        <v>574545254.32979667</v>
      </c>
      <c r="L24" s="106">
        <f t="shared" si="8"/>
        <v>556069394.25274825</v>
      </c>
      <c r="M24" s="106">
        <f t="shared" si="8"/>
        <v>487742520.80732781</v>
      </c>
      <c r="N24" s="106">
        <f t="shared" si="8"/>
        <v>494013549.0232662</v>
      </c>
      <c r="O24" s="106">
        <f t="shared" si="8"/>
        <v>436480133.12081283</v>
      </c>
      <c r="P24" s="106">
        <f t="shared" si="8"/>
        <v>436310758.56825668</v>
      </c>
      <c r="Q24" s="106">
        <f t="shared" si="8"/>
        <v>431846782.57496369</v>
      </c>
      <c r="R24" s="106">
        <f t="shared" si="8"/>
        <v>5783681645.4061966</v>
      </c>
    </row>
    <row r="25" spans="1:19" x14ac:dyDescent="0.25">
      <c r="A25" s="105"/>
      <c r="B25" s="105"/>
      <c r="F25" s="105"/>
      <c r="R25" s="106">
        <f t="shared" si="0"/>
        <v>0</v>
      </c>
    </row>
    <row r="26" spans="1:19" x14ac:dyDescent="0.25">
      <c r="A26" s="104" t="s">
        <v>119</v>
      </c>
      <c r="B26" s="106">
        <f>SUM(B7:B15)-SUM(B18:B23)</f>
        <v>0</v>
      </c>
      <c r="C26" s="106">
        <f>SUM(C7:C15)-SUM(C18:C23)</f>
        <v>0</v>
      </c>
      <c r="D26" s="106">
        <f>SUM(D7:D15)-SUM(D18:D23)</f>
        <v>0</v>
      </c>
      <c r="E26" s="106">
        <f>SUM(E7:E15)-SUM(E18:E23)</f>
        <v>0</v>
      </c>
      <c r="F26" s="106">
        <f t="shared" ref="F26:Q26" si="9">SUM(F7:F15)-SUM(F18:F23)</f>
        <v>0</v>
      </c>
      <c r="G26" s="106">
        <f t="shared" si="9"/>
        <v>0</v>
      </c>
      <c r="H26" s="106">
        <f t="shared" si="9"/>
        <v>0</v>
      </c>
      <c r="I26" s="106">
        <f t="shared" si="9"/>
        <v>0</v>
      </c>
      <c r="J26" s="106">
        <f t="shared" si="9"/>
        <v>0</v>
      </c>
      <c r="K26" s="106">
        <f t="shared" si="9"/>
        <v>0</v>
      </c>
      <c r="L26" s="106">
        <f t="shared" si="9"/>
        <v>0</v>
      </c>
      <c r="M26" s="106">
        <f t="shared" si="9"/>
        <v>0</v>
      </c>
      <c r="N26" s="106">
        <f t="shared" si="9"/>
        <v>0</v>
      </c>
      <c r="O26" s="106">
        <f t="shared" si="9"/>
        <v>0</v>
      </c>
      <c r="P26" s="106">
        <f t="shared" si="9"/>
        <v>0</v>
      </c>
      <c r="Q26" s="106">
        <f t="shared" si="9"/>
        <v>0</v>
      </c>
      <c r="R26" s="106">
        <f t="shared" si="0"/>
        <v>0</v>
      </c>
    </row>
    <row r="29" spans="1:19" x14ac:dyDescent="0.25">
      <c r="A29" s="18" t="s">
        <v>56</v>
      </c>
    </row>
    <row r="30" spans="1:19" x14ac:dyDescent="0.25">
      <c r="A30" s="98" t="s">
        <v>110</v>
      </c>
      <c r="F30" s="126"/>
    </row>
    <row r="32" spans="1:19" x14ac:dyDescent="0.25">
      <c r="B32" s="99">
        <f>B6</f>
        <v>43174</v>
      </c>
      <c r="C32" s="99">
        <f>C6</f>
        <v>43205</v>
      </c>
      <c r="D32" s="99">
        <f>D6</f>
        <v>43235</v>
      </c>
      <c r="E32" s="99">
        <f>E6</f>
        <v>43266</v>
      </c>
      <c r="F32" s="99">
        <f t="shared" ref="F32:Q32" si="10">F6</f>
        <v>43297</v>
      </c>
      <c r="G32" s="99">
        <f t="shared" si="10"/>
        <v>43328</v>
      </c>
      <c r="H32" s="99">
        <f t="shared" si="10"/>
        <v>43359</v>
      </c>
      <c r="I32" s="99">
        <f t="shared" si="10"/>
        <v>43389</v>
      </c>
      <c r="J32" s="99">
        <f t="shared" si="10"/>
        <v>43420</v>
      </c>
      <c r="K32" s="99">
        <f t="shared" si="10"/>
        <v>43450</v>
      </c>
      <c r="L32" s="99">
        <f t="shared" si="10"/>
        <v>43481</v>
      </c>
      <c r="M32" s="99">
        <f t="shared" si="10"/>
        <v>43512</v>
      </c>
      <c r="N32" s="99">
        <f t="shared" si="10"/>
        <v>43540</v>
      </c>
      <c r="O32" s="99">
        <f t="shared" si="10"/>
        <v>43571</v>
      </c>
      <c r="P32" s="99">
        <f t="shared" si="10"/>
        <v>43601</v>
      </c>
      <c r="Q32" s="99">
        <f t="shared" si="10"/>
        <v>43632</v>
      </c>
      <c r="R32" s="100" t="s">
        <v>0</v>
      </c>
    </row>
    <row r="33" spans="1:21" x14ac:dyDescent="0.25">
      <c r="A33" s="101" t="s">
        <v>43</v>
      </c>
      <c r="B33" s="141">
        <v>214798</v>
      </c>
      <c r="C33" s="141">
        <v>214532</v>
      </c>
      <c r="D33" s="141">
        <v>214521</v>
      </c>
      <c r="E33" s="141">
        <v>213750</v>
      </c>
      <c r="F33" s="141">
        <v>214353</v>
      </c>
      <c r="G33" s="141">
        <v>214098</v>
      </c>
      <c r="H33" s="141">
        <v>214968</v>
      </c>
      <c r="I33" s="141">
        <v>215629</v>
      </c>
      <c r="J33" s="141">
        <v>216066</v>
      </c>
      <c r="K33" s="141">
        <v>216618</v>
      </c>
      <c r="L33" s="141">
        <v>216642</v>
      </c>
      <c r="M33" s="141">
        <v>216958</v>
      </c>
      <c r="N33" s="141">
        <v>216602</v>
      </c>
      <c r="O33" s="141">
        <v>216631</v>
      </c>
      <c r="P33" s="141">
        <v>216292</v>
      </c>
      <c r="Q33" s="141">
        <v>215766</v>
      </c>
      <c r="R33" s="139">
        <f>SUM(F33:Q33)</f>
        <v>2590623</v>
      </c>
      <c r="T33" s="136">
        <v>2553342</v>
      </c>
      <c r="U33" s="140"/>
    </row>
    <row r="34" spans="1:21" x14ac:dyDescent="0.25">
      <c r="A34" s="101" t="s">
        <v>44</v>
      </c>
      <c r="B34" s="141">
        <v>22808.422042155504</v>
      </c>
      <c r="C34" s="141">
        <v>22816.540545668464</v>
      </c>
      <c r="D34" s="141">
        <v>22845.523091140836</v>
      </c>
      <c r="E34" s="141">
        <v>22845.498973735906</v>
      </c>
      <c r="F34" s="141">
        <v>22830.488037519455</v>
      </c>
      <c r="G34" s="141">
        <v>22862.485702393758</v>
      </c>
      <c r="H34" s="141">
        <v>22869.486533375453</v>
      </c>
      <c r="I34" s="141">
        <v>22930.463296587473</v>
      </c>
      <c r="J34" s="141">
        <v>22950.453641630837</v>
      </c>
      <c r="K34" s="141">
        <v>23025.459993510678</v>
      </c>
      <c r="L34" s="141">
        <v>23026.464253748054</v>
      </c>
      <c r="M34" s="141">
        <v>23097.47297407006</v>
      </c>
      <c r="N34" s="141">
        <v>23066.479923794708</v>
      </c>
      <c r="O34" s="141">
        <v>23097.48474726464</v>
      </c>
      <c r="P34" s="141">
        <v>23101.480097397656</v>
      </c>
      <c r="Q34" s="141">
        <v>23117.476514585724</v>
      </c>
      <c r="R34" s="139">
        <f t="shared" ref="R34:R41" si="11">SUM(F34:Q34)</f>
        <v>275975.69571587851</v>
      </c>
      <c r="T34" s="136">
        <v>272781.40336216049</v>
      </c>
      <c r="U34" s="140"/>
    </row>
    <row r="35" spans="1:21" x14ac:dyDescent="0.25">
      <c r="A35" s="101" t="s">
        <v>45</v>
      </c>
      <c r="B35" s="141">
        <v>9338</v>
      </c>
      <c r="C35" s="141">
        <v>9348</v>
      </c>
      <c r="D35" s="141">
        <v>9362</v>
      </c>
      <c r="E35" s="141">
        <v>9368</v>
      </c>
      <c r="F35" s="141">
        <v>9386</v>
      </c>
      <c r="G35" s="141">
        <v>9416</v>
      </c>
      <c r="H35" s="141">
        <v>9430</v>
      </c>
      <c r="I35" s="141">
        <v>9458</v>
      </c>
      <c r="J35" s="141">
        <v>9471</v>
      </c>
      <c r="K35" s="141">
        <v>9502</v>
      </c>
      <c r="L35" s="141">
        <v>9513</v>
      </c>
      <c r="M35" s="141">
        <v>9527</v>
      </c>
      <c r="N35" s="141">
        <v>9527</v>
      </c>
      <c r="O35" s="141">
        <v>9537</v>
      </c>
      <c r="P35" s="141">
        <v>9549</v>
      </c>
      <c r="Q35" s="141">
        <v>9554</v>
      </c>
      <c r="R35" s="139">
        <f t="shared" si="11"/>
        <v>113870</v>
      </c>
      <c r="T35" s="136">
        <v>111763</v>
      </c>
      <c r="U35" s="140"/>
    </row>
    <row r="36" spans="1:21" x14ac:dyDescent="0.25">
      <c r="A36" s="101" t="s">
        <v>46</v>
      </c>
      <c r="B36" s="141">
        <v>1849.4257809775395</v>
      </c>
      <c r="C36" s="141">
        <v>1847.4612627256683</v>
      </c>
      <c r="D36" s="141">
        <v>1847.3399790639185</v>
      </c>
      <c r="E36" s="141">
        <v>1847.2994449118376</v>
      </c>
      <c r="F36" s="141">
        <v>1847.2845163242437</v>
      </c>
      <c r="G36" s="141">
        <v>1847.2858534934962</v>
      </c>
      <c r="H36" s="141">
        <v>1847.3062710498175</v>
      </c>
      <c r="I36" s="141">
        <v>1847.3003286607093</v>
      </c>
      <c r="J36" s="141">
        <v>1847.3329356577929</v>
      </c>
      <c r="K36" s="141">
        <v>1847.3480582053573</v>
      </c>
      <c r="L36" s="141">
        <v>1847.3425557910041</v>
      </c>
      <c r="M36" s="141">
        <v>1849.3753859033877</v>
      </c>
      <c r="N36" s="141">
        <v>1849.3418643970642</v>
      </c>
      <c r="O36" s="141">
        <v>1847.3348713486912</v>
      </c>
      <c r="P36" s="141">
        <v>1847.3243387339435</v>
      </c>
      <c r="Q36" s="141">
        <v>1847.3230353731124</v>
      </c>
      <c r="R36" s="139">
        <f t="shared" si="11"/>
        <v>22171.900014938619</v>
      </c>
      <c r="T36" s="136">
        <v>22265.070973269445</v>
      </c>
      <c r="U36" s="140"/>
    </row>
    <row r="37" spans="1:21" x14ac:dyDescent="0.25">
      <c r="A37" s="101" t="s">
        <v>47</v>
      </c>
      <c r="B37" s="141">
        <v>48.084200000000003</v>
      </c>
      <c r="C37" s="141">
        <v>48.072899999999997</v>
      </c>
      <c r="D37" s="141">
        <v>48.061599999999999</v>
      </c>
      <c r="E37" s="141">
        <v>48.050400000000003</v>
      </c>
      <c r="F37" s="141">
        <v>48.039099999999998</v>
      </c>
      <c r="G37" s="141">
        <v>48.027799999999999</v>
      </c>
      <c r="H37" s="141">
        <v>48.016599999999997</v>
      </c>
      <c r="I37" s="141">
        <v>48.005299999999998</v>
      </c>
      <c r="J37" s="141">
        <v>47.994</v>
      </c>
      <c r="K37" s="141">
        <v>47.982799999999997</v>
      </c>
      <c r="L37" s="141">
        <v>47.971499999999999</v>
      </c>
      <c r="M37" s="141">
        <v>47.9602</v>
      </c>
      <c r="N37" s="141">
        <v>47.948900000000002</v>
      </c>
      <c r="O37" s="141">
        <v>47.9377</v>
      </c>
      <c r="P37" s="141">
        <v>47.926400000000001</v>
      </c>
      <c r="Q37" s="141">
        <v>47.915100000000002</v>
      </c>
      <c r="R37" s="139">
        <f t="shared" si="11"/>
        <v>575.72540000000004</v>
      </c>
      <c r="T37" s="136">
        <v>590.51879999999994</v>
      </c>
      <c r="U37" s="140"/>
    </row>
    <row r="38" spans="1:21" x14ac:dyDescent="0.25">
      <c r="A38" s="102" t="s">
        <v>48</v>
      </c>
      <c r="B38" s="142">
        <v>20.893608430439393</v>
      </c>
      <c r="C38" s="141">
        <v>20.884742466309344</v>
      </c>
      <c r="D38" s="141">
        <v>20.889026560724012</v>
      </c>
      <c r="E38" s="141">
        <v>20.894825070413972</v>
      </c>
      <c r="F38" s="141">
        <v>20.895416202825015</v>
      </c>
      <c r="G38" s="141">
        <v>20.896836238760017</v>
      </c>
      <c r="H38" s="141">
        <v>20.899219223720134</v>
      </c>
      <c r="I38" s="141">
        <v>20.902715787848873</v>
      </c>
      <c r="J38" s="141">
        <v>20.900550534723237</v>
      </c>
      <c r="K38" s="141">
        <v>20.898699990883266</v>
      </c>
      <c r="L38" s="141">
        <v>20.897231644356609</v>
      </c>
      <c r="M38" s="141">
        <v>20.89622204569438</v>
      </c>
      <c r="N38" s="141">
        <v>20.895757849724856</v>
      </c>
      <c r="O38" s="141">
        <v>20.895936967998644</v>
      </c>
      <c r="P38" s="141">
        <v>20.89686984313942</v>
      </c>
      <c r="Q38" s="141">
        <v>20.89752345000737</v>
      </c>
      <c r="R38" s="139">
        <f t="shared" si="11"/>
        <v>250.7729797796818</v>
      </c>
      <c r="T38" s="136">
        <v>252.92165600257675</v>
      </c>
      <c r="U38" s="140"/>
    </row>
    <row r="39" spans="1:21" x14ac:dyDescent="0.25">
      <c r="A39" s="101" t="s">
        <v>49</v>
      </c>
      <c r="B39" s="138">
        <v>1249.3043</v>
      </c>
      <c r="C39" s="143">
        <v>1250.6341</v>
      </c>
      <c r="D39" s="138">
        <v>1251.4940999999999</v>
      </c>
      <c r="E39" s="138">
        <v>1262.8233</v>
      </c>
      <c r="F39" s="138">
        <v>1258.2837</v>
      </c>
      <c r="G39" s="138">
        <v>1258.4234000000001</v>
      </c>
      <c r="H39" s="138">
        <v>1260.5628999999999</v>
      </c>
      <c r="I39" s="138">
        <v>1263.223</v>
      </c>
      <c r="J39" s="138">
        <v>1266.6828999999998</v>
      </c>
      <c r="K39" s="138">
        <v>1257.6080000000002</v>
      </c>
      <c r="L39" s="138">
        <v>1260.1115</v>
      </c>
      <c r="M39" s="138">
        <v>1258.2204000000002</v>
      </c>
      <c r="N39" s="138">
        <v>1254.1954000000001</v>
      </c>
      <c r="O39" s="138">
        <v>1259.2166999999999</v>
      </c>
      <c r="P39" s="138">
        <v>1263.8335000000002</v>
      </c>
      <c r="Q39" s="138">
        <v>1273.4789000000001</v>
      </c>
      <c r="R39" s="139">
        <f t="shared" si="11"/>
        <v>15133.840300000002</v>
      </c>
      <c r="T39" s="136">
        <v>15190.116674680201</v>
      </c>
      <c r="U39" s="140"/>
    </row>
    <row r="40" spans="1:21" x14ac:dyDescent="0.25">
      <c r="A40" s="101" t="s">
        <v>50</v>
      </c>
      <c r="B40" s="138">
        <v>1187.1803</v>
      </c>
      <c r="C40" s="144">
        <v>1181.1486</v>
      </c>
      <c r="D40" s="138">
        <v>1186.145</v>
      </c>
      <c r="E40" s="138">
        <v>1191.1262999999999</v>
      </c>
      <c r="F40" s="138">
        <v>1188.1215</v>
      </c>
      <c r="G40" s="138">
        <v>1179.1097</v>
      </c>
      <c r="H40" s="138">
        <v>1198.1047000000001</v>
      </c>
      <c r="I40" s="138">
        <v>1193.0967000000001</v>
      </c>
      <c r="J40" s="138">
        <v>1181.0923</v>
      </c>
      <c r="K40" s="138">
        <v>1190.0869</v>
      </c>
      <c r="L40" s="138">
        <v>1190.0834</v>
      </c>
      <c r="M40" s="138">
        <v>1179.0795000000001</v>
      </c>
      <c r="N40" s="138">
        <v>1181.0768</v>
      </c>
      <c r="O40" s="138">
        <v>1184.0740000000001</v>
      </c>
      <c r="P40" s="138">
        <v>1185.0718999999999</v>
      </c>
      <c r="Q40" s="138">
        <v>1180.0699</v>
      </c>
      <c r="R40" s="139">
        <f t="shared" si="11"/>
        <v>14229.067300000001</v>
      </c>
      <c r="T40" s="136">
        <v>14084.2734</v>
      </c>
      <c r="U40" s="140"/>
    </row>
    <row r="41" spans="1:21" x14ac:dyDescent="0.25">
      <c r="A41" s="103" t="s">
        <v>51</v>
      </c>
      <c r="B41" s="138">
        <v>417.65710000000001</v>
      </c>
      <c r="C41" s="144">
        <v>418.01580000000001</v>
      </c>
      <c r="D41" s="138">
        <v>418.30360000000002</v>
      </c>
      <c r="E41" s="138">
        <v>418.65370000000001</v>
      </c>
      <c r="F41" s="138">
        <v>419.01710000000003</v>
      </c>
      <c r="G41" s="138">
        <v>419.41</v>
      </c>
      <c r="H41" s="138">
        <v>419.82249999999999</v>
      </c>
      <c r="I41" s="138">
        <v>420.25819999999999</v>
      </c>
      <c r="J41" s="138">
        <v>420.71940000000001</v>
      </c>
      <c r="K41" s="138">
        <v>421.1628</v>
      </c>
      <c r="L41" s="138">
        <v>421.58890000000002</v>
      </c>
      <c r="M41" s="138">
        <v>422.00909999999999</v>
      </c>
      <c r="N41" s="138">
        <v>422.4187</v>
      </c>
      <c r="O41" s="138">
        <v>422.82119999999998</v>
      </c>
      <c r="P41" s="138">
        <v>423.2201</v>
      </c>
      <c r="Q41" s="138">
        <v>423.62349999999998</v>
      </c>
      <c r="R41" s="139">
        <f t="shared" si="11"/>
        <v>5056.0715</v>
      </c>
      <c r="T41" s="136">
        <v>4909.2981000000009</v>
      </c>
      <c r="U41" s="140"/>
    </row>
    <row r="42" spans="1:21" x14ac:dyDescent="0.25">
      <c r="A42" s="104" t="s">
        <v>0</v>
      </c>
      <c r="B42" s="107">
        <f>SUM(B33:B41)</f>
        <v>251716.96733156347</v>
      </c>
      <c r="C42" s="107">
        <f t="shared" ref="C42:R42" si="12">SUM(C33:C41)</f>
        <v>251462.7579508604</v>
      </c>
      <c r="D42" s="107">
        <f t="shared" si="12"/>
        <v>251500.7563967655</v>
      </c>
      <c r="E42" s="107">
        <f t="shared" si="12"/>
        <v>250752.34694371815</v>
      </c>
      <c r="F42" s="107">
        <f t="shared" si="12"/>
        <v>251351.12937004652</v>
      </c>
      <c r="G42" s="107">
        <f t="shared" si="12"/>
        <v>251149.63929212603</v>
      </c>
      <c r="H42" s="107">
        <f t="shared" si="12"/>
        <v>252062.19872364897</v>
      </c>
      <c r="I42" s="107">
        <f t="shared" si="12"/>
        <v>252810.249541036</v>
      </c>
      <c r="J42" s="107">
        <f t="shared" si="12"/>
        <v>253272.17572782331</v>
      </c>
      <c r="K42" s="107">
        <f t="shared" si="12"/>
        <v>253930.54725170691</v>
      </c>
      <c r="L42" s="107">
        <f t="shared" si="12"/>
        <v>253969.45934118345</v>
      </c>
      <c r="M42" s="107">
        <f t="shared" si="12"/>
        <v>254360.01378201912</v>
      </c>
      <c r="N42" s="107">
        <f t="shared" si="12"/>
        <v>253971.35734604151</v>
      </c>
      <c r="O42" s="107">
        <f t="shared" si="12"/>
        <v>254047.76515558135</v>
      </c>
      <c r="P42" s="107">
        <f t="shared" si="12"/>
        <v>253730.75320597476</v>
      </c>
      <c r="Q42" s="107">
        <f t="shared" si="12"/>
        <v>253230.78447340883</v>
      </c>
      <c r="R42" s="107">
        <f t="shared" si="12"/>
        <v>3037886.073210597</v>
      </c>
    </row>
    <row r="43" spans="1:21" x14ac:dyDescent="0.25">
      <c r="A43" s="105"/>
      <c r="R43" s="106"/>
    </row>
    <row r="44" spans="1:21" x14ac:dyDescent="0.25">
      <c r="A44" s="104" t="s">
        <v>43</v>
      </c>
      <c r="B44" s="106">
        <f>B33</f>
        <v>214798</v>
      </c>
      <c r="C44" s="106">
        <f>C33</f>
        <v>214532</v>
      </c>
      <c r="D44" s="106">
        <f>D33</f>
        <v>214521</v>
      </c>
      <c r="E44" s="106">
        <f>E33</f>
        <v>213750</v>
      </c>
      <c r="F44" s="106">
        <f t="shared" ref="F44:Q44" si="13">F33</f>
        <v>214353</v>
      </c>
      <c r="G44" s="106">
        <f t="shared" si="13"/>
        <v>214098</v>
      </c>
      <c r="H44" s="106">
        <f t="shared" si="13"/>
        <v>214968</v>
      </c>
      <c r="I44" s="106">
        <f t="shared" si="13"/>
        <v>215629</v>
      </c>
      <c r="J44" s="106">
        <f t="shared" si="13"/>
        <v>216066</v>
      </c>
      <c r="K44" s="106">
        <f t="shared" si="13"/>
        <v>216618</v>
      </c>
      <c r="L44" s="106">
        <f t="shared" si="13"/>
        <v>216642</v>
      </c>
      <c r="M44" s="106">
        <f t="shared" si="13"/>
        <v>216958</v>
      </c>
      <c r="N44" s="106">
        <f t="shared" si="13"/>
        <v>216602</v>
      </c>
      <c r="O44" s="106">
        <f t="shared" si="13"/>
        <v>216631</v>
      </c>
      <c r="P44" s="106">
        <f t="shared" si="13"/>
        <v>216292</v>
      </c>
      <c r="Q44" s="106">
        <f t="shared" si="13"/>
        <v>215766</v>
      </c>
      <c r="R44" s="106">
        <f t="shared" ref="R44:R49" si="14">SUM(F44:Q44)</f>
        <v>2590623</v>
      </c>
    </row>
    <row r="45" spans="1:21" x14ac:dyDescent="0.25">
      <c r="A45" s="104" t="s">
        <v>52</v>
      </c>
      <c r="B45" s="106">
        <f>B34+B35</f>
        <v>32146.422042155504</v>
      </c>
      <c r="C45" s="106">
        <f>C34+C35</f>
        <v>32164.540545668464</v>
      </c>
      <c r="D45" s="106">
        <f>D34+D35</f>
        <v>32207.523091140836</v>
      </c>
      <c r="E45" s="106">
        <f>E34+E35</f>
        <v>32213.498973735906</v>
      </c>
      <c r="F45" s="106">
        <f t="shared" ref="F45:Q45" si="15">F34+F35</f>
        <v>32216.488037519455</v>
      </c>
      <c r="G45" s="106">
        <f t="shared" si="15"/>
        <v>32278.485702393758</v>
      </c>
      <c r="H45" s="106">
        <f t="shared" si="15"/>
        <v>32299.486533375453</v>
      </c>
      <c r="I45" s="106">
        <f t="shared" si="15"/>
        <v>32388.463296587473</v>
      </c>
      <c r="J45" s="106">
        <f t="shared" si="15"/>
        <v>32421.453641630837</v>
      </c>
      <c r="K45" s="106">
        <f t="shared" si="15"/>
        <v>32527.459993510678</v>
      </c>
      <c r="L45" s="106">
        <f t="shared" si="15"/>
        <v>32539.464253748054</v>
      </c>
      <c r="M45" s="106">
        <f t="shared" si="15"/>
        <v>32624.47297407006</v>
      </c>
      <c r="N45" s="106">
        <f t="shared" si="15"/>
        <v>32593.479923794708</v>
      </c>
      <c r="O45" s="106">
        <f t="shared" si="15"/>
        <v>32634.48474726464</v>
      </c>
      <c r="P45" s="106">
        <f t="shared" si="15"/>
        <v>32650.480097397656</v>
      </c>
      <c r="Q45" s="106">
        <f t="shared" si="15"/>
        <v>32671.476514585724</v>
      </c>
      <c r="R45" s="106">
        <f t="shared" si="14"/>
        <v>389845.69571587845</v>
      </c>
    </row>
    <row r="46" spans="1:21" x14ac:dyDescent="0.25">
      <c r="A46" s="104" t="s">
        <v>53</v>
      </c>
      <c r="B46" s="106" t="s">
        <v>120</v>
      </c>
      <c r="C46" s="106">
        <f>C36+C37</f>
        <v>1895.5341627256682</v>
      </c>
      <c r="D46" s="106">
        <f>D36+D37</f>
        <v>1895.4015790639185</v>
      </c>
      <c r="E46" s="106">
        <f>E36+E37</f>
        <v>1895.3498449118376</v>
      </c>
      <c r="F46" s="106">
        <f t="shared" ref="F46:Q46" si="16">F36+F37</f>
        <v>1895.3236163242436</v>
      </c>
      <c r="G46" s="106">
        <f t="shared" si="16"/>
        <v>1895.3136534934963</v>
      </c>
      <c r="H46" s="106">
        <f t="shared" si="16"/>
        <v>1895.3228710498174</v>
      </c>
      <c r="I46" s="106">
        <f t="shared" si="16"/>
        <v>1895.3056286607093</v>
      </c>
      <c r="J46" s="106">
        <f t="shared" si="16"/>
        <v>1895.3269356577928</v>
      </c>
      <c r="K46" s="106">
        <f t="shared" si="16"/>
        <v>1895.3308582053573</v>
      </c>
      <c r="L46" s="106">
        <f t="shared" si="16"/>
        <v>1895.3140557910042</v>
      </c>
      <c r="M46" s="106">
        <f t="shared" si="16"/>
        <v>1897.3355859033877</v>
      </c>
      <c r="N46" s="106">
        <f t="shared" si="16"/>
        <v>1897.2907643970643</v>
      </c>
      <c r="O46" s="106">
        <f t="shared" si="16"/>
        <v>1895.2725713486911</v>
      </c>
      <c r="P46" s="106">
        <f t="shared" si="16"/>
        <v>1895.2507387339435</v>
      </c>
      <c r="Q46" s="106">
        <f t="shared" si="16"/>
        <v>1895.2381353731123</v>
      </c>
      <c r="R46" s="106">
        <f t="shared" si="14"/>
        <v>22747.625414938619</v>
      </c>
    </row>
    <row r="47" spans="1:21" x14ac:dyDescent="0.25">
      <c r="A47" s="104" t="s">
        <v>48</v>
      </c>
      <c r="B47" s="106">
        <f>B38</f>
        <v>20.893608430439393</v>
      </c>
      <c r="C47" s="106">
        <f>C38</f>
        <v>20.884742466309344</v>
      </c>
      <c r="D47" s="106">
        <f>D38</f>
        <v>20.889026560724012</v>
      </c>
      <c r="E47" s="106">
        <f>E38</f>
        <v>20.894825070413972</v>
      </c>
      <c r="F47" s="106">
        <f t="shared" ref="F47:Q47" si="17">F38</f>
        <v>20.895416202825015</v>
      </c>
      <c r="G47" s="106">
        <f t="shared" si="17"/>
        <v>20.896836238760017</v>
      </c>
      <c r="H47" s="106">
        <f t="shared" si="17"/>
        <v>20.899219223720134</v>
      </c>
      <c r="I47" s="106">
        <f t="shared" si="17"/>
        <v>20.902715787848873</v>
      </c>
      <c r="J47" s="106">
        <f t="shared" si="17"/>
        <v>20.900550534723237</v>
      </c>
      <c r="K47" s="106">
        <f t="shared" si="17"/>
        <v>20.898699990883266</v>
      </c>
      <c r="L47" s="106">
        <f t="shared" si="17"/>
        <v>20.897231644356609</v>
      </c>
      <c r="M47" s="106">
        <f t="shared" si="17"/>
        <v>20.89622204569438</v>
      </c>
      <c r="N47" s="106">
        <f t="shared" si="17"/>
        <v>20.895757849724856</v>
      </c>
      <c r="O47" s="106">
        <f t="shared" si="17"/>
        <v>20.895936967998644</v>
      </c>
      <c r="P47" s="106">
        <f t="shared" si="17"/>
        <v>20.89686984313942</v>
      </c>
      <c r="Q47" s="106">
        <f t="shared" si="17"/>
        <v>20.89752345000737</v>
      </c>
      <c r="R47" s="106">
        <f t="shared" si="14"/>
        <v>250.7729797796818</v>
      </c>
    </row>
    <row r="48" spans="1:21" x14ac:dyDescent="0.25">
      <c r="A48" s="104" t="s">
        <v>54</v>
      </c>
      <c r="B48" s="106">
        <f>B39+B40</f>
        <v>2436.4845999999998</v>
      </c>
      <c r="C48" s="106">
        <f>C39+C40</f>
        <v>2431.7826999999997</v>
      </c>
      <c r="D48" s="106">
        <f>D39+D40</f>
        <v>2437.6390999999999</v>
      </c>
      <c r="E48" s="106">
        <f>E39+E40</f>
        <v>2453.9495999999999</v>
      </c>
      <c r="F48" s="106">
        <f>F39+F40</f>
        <v>2446.4052000000001</v>
      </c>
      <c r="G48" s="106">
        <f t="shared" ref="G48:Q48" si="18">G39+G40</f>
        <v>2437.5331000000001</v>
      </c>
      <c r="H48" s="106">
        <f t="shared" si="18"/>
        <v>2458.6675999999998</v>
      </c>
      <c r="I48" s="106">
        <f t="shared" si="18"/>
        <v>2456.3197</v>
      </c>
      <c r="J48" s="106">
        <f t="shared" si="18"/>
        <v>2447.7752</v>
      </c>
      <c r="K48" s="106">
        <f t="shared" si="18"/>
        <v>2447.6949000000004</v>
      </c>
      <c r="L48" s="106">
        <f t="shared" si="18"/>
        <v>2450.1949</v>
      </c>
      <c r="M48" s="106">
        <f t="shared" si="18"/>
        <v>2437.2999</v>
      </c>
      <c r="N48" s="106">
        <f t="shared" si="18"/>
        <v>2435.2722000000003</v>
      </c>
      <c r="O48" s="106">
        <f t="shared" si="18"/>
        <v>2443.2907</v>
      </c>
      <c r="P48" s="106">
        <f t="shared" si="18"/>
        <v>2448.9054000000001</v>
      </c>
      <c r="Q48" s="106">
        <f t="shared" si="18"/>
        <v>2453.5488</v>
      </c>
      <c r="R48" s="106">
        <f t="shared" si="14"/>
        <v>29362.907600000002</v>
      </c>
    </row>
    <row r="49" spans="1:18" x14ac:dyDescent="0.25">
      <c r="A49" s="104" t="s">
        <v>51</v>
      </c>
      <c r="B49" s="106">
        <f>B41</f>
        <v>417.65710000000001</v>
      </c>
      <c r="C49" s="106">
        <f>C41</f>
        <v>418.01580000000001</v>
      </c>
      <c r="D49" s="106">
        <f>D41</f>
        <v>418.30360000000002</v>
      </c>
      <c r="E49" s="106">
        <f>E41</f>
        <v>418.65370000000001</v>
      </c>
      <c r="F49" s="106">
        <f>F41</f>
        <v>419.01710000000003</v>
      </c>
      <c r="G49" s="106">
        <f t="shared" ref="G49:Q49" si="19">G41</f>
        <v>419.41</v>
      </c>
      <c r="H49" s="106">
        <f t="shared" si="19"/>
        <v>419.82249999999999</v>
      </c>
      <c r="I49" s="106">
        <f t="shared" si="19"/>
        <v>420.25819999999999</v>
      </c>
      <c r="J49" s="106">
        <f t="shared" si="19"/>
        <v>420.71940000000001</v>
      </c>
      <c r="K49" s="106">
        <f t="shared" si="19"/>
        <v>421.1628</v>
      </c>
      <c r="L49" s="106">
        <f t="shared" si="19"/>
        <v>421.58890000000002</v>
      </c>
      <c r="M49" s="106">
        <f t="shared" si="19"/>
        <v>422.00909999999999</v>
      </c>
      <c r="N49" s="106">
        <f t="shared" si="19"/>
        <v>422.4187</v>
      </c>
      <c r="O49" s="106">
        <f t="shared" si="19"/>
        <v>422.82119999999998</v>
      </c>
      <c r="P49" s="106">
        <f t="shared" si="19"/>
        <v>423.2201</v>
      </c>
      <c r="Q49" s="106">
        <f t="shared" si="19"/>
        <v>423.62349999999998</v>
      </c>
      <c r="R49" s="106">
        <f t="shared" si="14"/>
        <v>5056.0715</v>
      </c>
    </row>
    <row r="50" spans="1:18" x14ac:dyDescent="0.25">
      <c r="A50" s="104" t="s">
        <v>0</v>
      </c>
      <c r="B50" s="106">
        <f>SUM(B44:B49)</f>
        <v>249819.45735058593</v>
      </c>
      <c r="C50" s="106">
        <f>SUM(C44:C49)</f>
        <v>251462.75795086042</v>
      </c>
      <c r="D50" s="106">
        <f>SUM(D44:D49)</f>
        <v>251500.7563967655</v>
      </c>
      <c r="E50" s="106">
        <f>SUM(E44:E49)</f>
        <v>250752.34694371815</v>
      </c>
      <c r="F50" s="106">
        <f t="shared" ref="F50:R50" si="20">SUM(F44:F49)</f>
        <v>251351.12937004655</v>
      </c>
      <c r="G50" s="106">
        <f t="shared" si="20"/>
        <v>251149.63929212603</v>
      </c>
      <c r="H50" s="106">
        <f t="shared" si="20"/>
        <v>252062.19872364897</v>
      </c>
      <c r="I50" s="106">
        <f t="shared" si="20"/>
        <v>252810.24954103603</v>
      </c>
      <c r="J50" s="106">
        <f t="shared" si="20"/>
        <v>253272.17572782334</v>
      </c>
      <c r="K50" s="106">
        <f t="shared" si="20"/>
        <v>253930.54725170691</v>
      </c>
      <c r="L50" s="106">
        <f t="shared" si="20"/>
        <v>253969.45934118345</v>
      </c>
      <c r="M50" s="106">
        <f t="shared" si="20"/>
        <v>254360.01378201914</v>
      </c>
      <c r="N50" s="106">
        <f t="shared" si="20"/>
        <v>253971.35734604154</v>
      </c>
      <c r="O50" s="106">
        <f t="shared" si="20"/>
        <v>254047.76515558138</v>
      </c>
      <c r="P50" s="106">
        <f t="shared" si="20"/>
        <v>253730.75320597473</v>
      </c>
      <c r="Q50" s="106">
        <f t="shared" si="20"/>
        <v>253230.7844734088</v>
      </c>
      <c r="R50" s="106">
        <f t="shared" si="20"/>
        <v>3037886.073210597</v>
      </c>
    </row>
    <row r="51" spans="1:18" x14ac:dyDescent="0.25">
      <c r="R51" s="106">
        <f>SUM(F51:Q51)</f>
        <v>0</v>
      </c>
    </row>
    <row r="52" spans="1:18" x14ac:dyDescent="0.25">
      <c r="A52" s="104" t="s">
        <v>119</v>
      </c>
      <c r="B52" s="106">
        <f>SUM(B33:B41)-SUM(B44:B49)</f>
        <v>1897.509980977542</v>
      </c>
      <c r="C52" s="106">
        <f>SUM(C33:C41)-SUM(C44:C49)</f>
        <v>0</v>
      </c>
      <c r="D52" s="106">
        <f>SUM(D33:D41)-SUM(D44:D49)</f>
        <v>0</v>
      </c>
      <c r="E52" s="106">
        <f>SUM(E33:E41)-SUM(E44:E49)</f>
        <v>0</v>
      </c>
      <c r="F52" s="106">
        <f t="shared" ref="F52:Q52" si="21">SUM(F33:F41)-SUM(F44:F49)</f>
        <v>0</v>
      </c>
      <c r="G52" s="106">
        <f t="shared" si="21"/>
        <v>0</v>
      </c>
      <c r="H52" s="106">
        <f t="shared" si="21"/>
        <v>0</v>
      </c>
      <c r="I52" s="106">
        <f t="shared" si="21"/>
        <v>0</v>
      </c>
      <c r="J52" s="106">
        <f t="shared" si="21"/>
        <v>0</v>
      </c>
      <c r="K52" s="106">
        <f t="shared" si="21"/>
        <v>0</v>
      </c>
      <c r="L52" s="106">
        <f t="shared" si="21"/>
        <v>0</v>
      </c>
      <c r="M52" s="106">
        <f t="shared" si="21"/>
        <v>0</v>
      </c>
      <c r="N52" s="106">
        <f t="shared" si="21"/>
        <v>0</v>
      </c>
      <c r="O52" s="106">
        <f t="shared" si="21"/>
        <v>0</v>
      </c>
      <c r="P52" s="106">
        <f t="shared" si="21"/>
        <v>0</v>
      </c>
      <c r="Q52" s="106">
        <f t="shared" si="21"/>
        <v>0</v>
      </c>
      <c r="R52" s="106">
        <f>SUM(F52:Q52)</f>
        <v>0</v>
      </c>
    </row>
  </sheetData>
  <pageMargins left="0.7" right="0.7" top="0.75" bottom="0.75" header="0.3" footer="0.3"/>
  <pageSetup scale="51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/>
  </sheetViews>
  <sheetFormatPr defaultRowHeight="15" x14ac:dyDescent="0.25"/>
  <cols>
    <col min="1" max="1" width="30.85546875" style="114" customWidth="1"/>
    <col min="2" max="2" width="9.140625" style="114" customWidth="1"/>
    <col min="3" max="3" width="9.7109375" style="114" customWidth="1"/>
    <col min="4" max="4" width="15.140625" style="114" customWidth="1"/>
    <col min="5" max="5" width="12" style="114" customWidth="1"/>
    <col min="6" max="9" width="9.140625" style="114"/>
    <col min="10" max="10" width="9.42578125" style="114" customWidth="1"/>
    <col min="11" max="256" width="9.140625" style="114"/>
    <col min="257" max="257" width="30.85546875" style="114" customWidth="1"/>
    <col min="258" max="258" width="9.140625" style="114" customWidth="1"/>
    <col min="259" max="259" width="9.7109375" style="114" customWidth="1"/>
    <col min="260" max="260" width="15.140625" style="114" customWidth="1"/>
    <col min="261" max="261" width="12" style="114" customWidth="1"/>
    <col min="262" max="265" width="9.140625" style="114"/>
    <col min="266" max="266" width="9.42578125" style="114" customWidth="1"/>
    <col min="267" max="512" width="9.140625" style="114"/>
    <col min="513" max="513" width="30.85546875" style="114" customWidth="1"/>
    <col min="514" max="514" width="9.140625" style="114" customWidth="1"/>
    <col min="515" max="515" width="9.7109375" style="114" customWidth="1"/>
    <col min="516" max="516" width="15.140625" style="114" customWidth="1"/>
    <col min="517" max="517" width="12" style="114" customWidth="1"/>
    <col min="518" max="521" width="9.140625" style="114"/>
    <col min="522" max="522" width="9.42578125" style="114" customWidth="1"/>
    <col min="523" max="768" width="9.140625" style="114"/>
    <col min="769" max="769" width="30.85546875" style="114" customWidth="1"/>
    <col min="770" max="770" width="9.140625" style="114" customWidth="1"/>
    <col min="771" max="771" width="9.7109375" style="114" customWidth="1"/>
    <col min="772" max="772" width="15.140625" style="114" customWidth="1"/>
    <col min="773" max="773" width="12" style="114" customWidth="1"/>
    <col min="774" max="777" width="9.140625" style="114"/>
    <col min="778" max="778" width="9.42578125" style="114" customWidth="1"/>
    <col min="779" max="1024" width="9.140625" style="114"/>
    <col min="1025" max="1025" width="30.85546875" style="114" customWidth="1"/>
    <col min="1026" max="1026" width="9.140625" style="114" customWidth="1"/>
    <col min="1027" max="1027" width="9.7109375" style="114" customWidth="1"/>
    <col min="1028" max="1028" width="15.140625" style="114" customWidth="1"/>
    <col min="1029" max="1029" width="12" style="114" customWidth="1"/>
    <col min="1030" max="1033" width="9.140625" style="114"/>
    <col min="1034" max="1034" width="9.42578125" style="114" customWidth="1"/>
    <col min="1035" max="1280" width="9.140625" style="114"/>
    <col min="1281" max="1281" width="30.85546875" style="114" customWidth="1"/>
    <col min="1282" max="1282" width="9.140625" style="114" customWidth="1"/>
    <col min="1283" max="1283" width="9.7109375" style="114" customWidth="1"/>
    <col min="1284" max="1284" width="15.140625" style="114" customWidth="1"/>
    <col min="1285" max="1285" width="12" style="114" customWidth="1"/>
    <col min="1286" max="1289" width="9.140625" style="114"/>
    <col min="1290" max="1290" width="9.42578125" style="114" customWidth="1"/>
    <col min="1291" max="1536" width="9.140625" style="114"/>
    <col min="1537" max="1537" width="30.85546875" style="114" customWidth="1"/>
    <col min="1538" max="1538" width="9.140625" style="114" customWidth="1"/>
    <col min="1539" max="1539" width="9.7109375" style="114" customWidth="1"/>
    <col min="1540" max="1540" width="15.140625" style="114" customWidth="1"/>
    <col min="1541" max="1541" width="12" style="114" customWidth="1"/>
    <col min="1542" max="1545" width="9.140625" style="114"/>
    <col min="1546" max="1546" width="9.42578125" style="114" customWidth="1"/>
    <col min="1547" max="1792" width="9.140625" style="114"/>
    <col min="1793" max="1793" width="30.85546875" style="114" customWidth="1"/>
    <col min="1794" max="1794" width="9.140625" style="114" customWidth="1"/>
    <col min="1795" max="1795" width="9.7109375" style="114" customWidth="1"/>
    <col min="1796" max="1796" width="15.140625" style="114" customWidth="1"/>
    <col min="1797" max="1797" width="12" style="114" customWidth="1"/>
    <col min="1798" max="1801" width="9.140625" style="114"/>
    <col min="1802" max="1802" width="9.42578125" style="114" customWidth="1"/>
    <col min="1803" max="2048" width="9.140625" style="114"/>
    <col min="2049" max="2049" width="30.85546875" style="114" customWidth="1"/>
    <col min="2050" max="2050" width="9.140625" style="114" customWidth="1"/>
    <col min="2051" max="2051" width="9.7109375" style="114" customWidth="1"/>
    <col min="2052" max="2052" width="15.140625" style="114" customWidth="1"/>
    <col min="2053" max="2053" width="12" style="114" customWidth="1"/>
    <col min="2054" max="2057" width="9.140625" style="114"/>
    <col min="2058" max="2058" width="9.42578125" style="114" customWidth="1"/>
    <col min="2059" max="2304" width="9.140625" style="114"/>
    <col min="2305" max="2305" width="30.85546875" style="114" customWidth="1"/>
    <col min="2306" max="2306" width="9.140625" style="114" customWidth="1"/>
    <col min="2307" max="2307" width="9.7109375" style="114" customWidth="1"/>
    <col min="2308" max="2308" width="15.140625" style="114" customWidth="1"/>
    <col min="2309" max="2309" width="12" style="114" customWidth="1"/>
    <col min="2310" max="2313" width="9.140625" style="114"/>
    <col min="2314" max="2314" width="9.42578125" style="114" customWidth="1"/>
    <col min="2315" max="2560" width="9.140625" style="114"/>
    <col min="2561" max="2561" width="30.85546875" style="114" customWidth="1"/>
    <col min="2562" max="2562" width="9.140625" style="114" customWidth="1"/>
    <col min="2563" max="2563" width="9.7109375" style="114" customWidth="1"/>
    <col min="2564" max="2564" width="15.140625" style="114" customWidth="1"/>
    <col min="2565" max="2565" width="12" style="114" customWidth="1"/>
    <col min="2566" max="2569" width="9.140625" style="114"/>
    <col min="2570" max="2570" width="9.42578125" style="114" customWidth="1"/>
    <col min="2571" max="2816" width="9.140625" style="114"/>
    <col min="2817" max="2817" width="30.85546875" style="114" customWidth="1"/>
    <col min="2818" max="2818" width="9.140625" style="114" customWidth="1"/>
    <col min="2819" max="2819" width="9.7109375" style="114" customWidth="1"/>
    <col min="2820" max="2820" width="15.140625" style="114" customWidth="1"/>
    <col min="2821" max="2821" width="12" style="114" customWidth="1"/>
    <col min="2822" max="2825" width="9.140625" style="114"/>
    <col min="2826" max="2826" width="9.42578125" style="114" customWidth="1"/>
    <col min="2827" max="3072" width="9.140625" style="114"/>
    <col min="3073" max="3073" width="30.85546875" style="114" customWidth="1"/>
    <col min="3074" max="3074" width="9.140625" style="114" customWidth="1"/>
    <col min="3075" max="3075" width="9.7109375" style="114" customWidth="1"/>
    <col min="3076" max="3076" width="15.140625" style="114" customWidth="1"/>
    <col min="3077" max="3077" width="12" style="114" customWidth="1"/>
    <col min="3078" max="3081" width="9.140625" style="114"/>
    <col min="3082" max="3082" width="9.42578125" style="114" customWidth="1"/>
    <col min="3083" max="3328" width="9.140625" style="114"/>
    <col min="3329" max="3329" width="30.85546875" style="114" customWidth="1"/>
    <col min="3330" max="3330" width="9.140625" style="114" customWidth="1"/>
    <col min="3331" max="3331" width="9.7109375" style="114" customWidth="1"/>
    <col min="3332" max="3332" width="15.140625" style="114" customWidth="1"/>
    <col min="3333" max="3333" width="12" style="114" customWidth="1"/>
    <col min="3334" max="3337" width="9.140625" style="114"/>
    <col min="3338" max="3338" width="9.42578125" style="114" customWidth="1"/>
    <col min="3339" max="3584" width="9.140625" style="114"/>
    <col min="3585" max="3585" width="30.85546875" style="114" customWidth="1"/>
    <col min="3586" max="3586" width="9.140625" style="114" customWidth="1"/>
    <col min="3587" max="3587" width="9.7109375" style="114" customWidth="1"/>
    <col min="3588" max="3588" width="15.140625" style="114" customWidth="1"/>
    <col min="3589" max="3589" width="12" style="114" customWidth="1"/>
    <col min="3590" max="3593" width="9.140625" style="114"/>
    <col min="3594" max="3594" width="9.42578125" style="114" customWidth="1"/>
    <col min="3595" max="3840" width="9.140625" style="114"/>
    <col min="3841" max="3841" width="30.85546875" style="114" customWidth="1"/>
    <col min="3842" max="3842" width="9.140625" style="114" customWidth="1"/>
    <col min="3843" max="3843" width="9.7109375" style="114" customWidth="1"/>
    <col min="3844" max="3844" width="15.140625" style="114" customWidth="1"/>
    <col min="3845" max="3845" width="12" style="114" customWidth="1"/>
    <col min="3846" max="3849" width="9.140625" style="114"/>
    <col min="3850" max="3850" width="9.42578125" style="114" customWidth="1"/>
    <col min="3851" max="4096" width="9.140625" style="114"/>
    <col min="4097" max="4097" width="30.85546875" style="114" customWidth="1"/>
    <col min="4098" max="4098" width="9.140625" style="114" customWidth="1"/>
    <col min="4099" max="4099" width="9.7109375" style="114" customWidth="1"/>
    <col min="4100" max="4100" width="15.140625" style="114" customWidth="1"/>
    <col min="4101" max="4101" width="12" style="114" customWidth="1"/>
    <col min="4102" max="4105" width="9.140625" style="114"/>
    <col min="4106" max="4106" width="9.42578125" style="114" customWidth="1"/>
    <col min="4107" max="4352" width="9.140625" style="114"/>
    <col min="4353" max="4353" width="30.85546875" style="114" customWidth="1"/>
    <col min="4354" max="4354" width="9.140625" style="114" customWidth="1"/>
    <col min="4355" max="4355" width="9.7109375" style="114" customWidth="1"/>
    <col min="4356" max="4356" width="15.140625" style="114" customWidth="1"/>
    <col min="4357" max="4357" width="12" style="114" customWidth="1"/>
    <col min="4358" max="4361" width="9.140625" style="114"/>
    <col min="4362" max="4362" width="9.42578125" style="114" customWidth="1"/>
    <col min="4363" max="4608" width="9.140625" style="114"/>
    <col min="4609" max="4609" width="30.85546875" style="114" customWidth="1"/>
    <col min="4610" max="4610" width="9.140625" style="114" customWidth="1"/>
    <col min="4611" max="4611" width="9.7109375" style="114" customWidth="1"/>
    <col min="4612" max="4612" width="15.140625" style="114" customWidth="1"/>
    <col min="4613" max="4613" width="12" style="114" customWidth="1"/>
    <col min="4614" max="4617" width="9.140625" style="114"/>
    <col min="4618" max="4618" width="9.42578125" style="114" customWidth="1"/>
    <col min="4619" max="4864" width="9.140625" style="114"/>
    <col min="4865" max="4865" width="30.85546875" style="114" customWidth="1"/>
    <col min="4866" max="4866" width="9.140625" style="114" customWidth="1"/>
    <col min="4867" max="4867" width="9.7109375" style="114" customWidth="1"/>
    <col min="4868" max="4868" width="15.140625" style="114" customWidth="1"/>
    <col min="4869" max="4869" width="12" style="114" customWidth="1"/>
    <col min="4870" max="4873" width="9.140625" style="114"/>
    <col min="4874" max="4874" width="9.42578125" style="114" customWidth="1"/>
    <col min="4875" max="5120" width="9.140625" style="114"/>
    <col min="5121" max="5121" width="30.85546875" style="114" customWidth="1"/>
    <col min="5122" max="5122" width="9.140625" style="114" customWidth="1"/>
    <col min="5123" max="5123" width="9.7109375" style="114" customWidth="1"/>
    <col min="5124" max="5124" width="15.140625" style="114" customWidth="1"/>
    <col min="5125" max="5125" width="12" style="114" customWidth="1"/>
    <col min="5126" max="5129" width="9.140625" style="114"/>
    <col min="5130" max="5130" width="9.42578125" style="114" customWidth="1"/>
    <col min="5131" max="5376" width="9.140625" style="114"/>
    <col min="5377" max="5377" width="30.85546875" style="114" customWidth="1"/>
    <col min="5378" max="5378" width="9.140625" style="114" customWidth="1"/>
    <col min="5379" max="5379" width="9.7109375" style="114" customWidth="1"/>
    <col min="5380" max="5380" width="15.140625" style="114" customWidth="1"/>
    <col min="5381" max="5381" width="12" style="114" customWidth="1"/>
    <col min="5382" max="5385" width="9.140625" style="114"/>
    <col min="5386" max="5386" width="9.42578125" style="114" customWidth="1"/>
    <col min="5387" max="5632" width="9.140625" style="114"/>
    <col min="5633" max="5633" width="30.85546875" style="114" customWidth="1"/>
    <col min="5634" max="5634" width="9.140625" style="114" customWidth="1"/>
    <col min="5635" max="5635" width="9.7109375" style="114" customWidth="1"/>
    <col min="5636" max="5636" width="15.140625" style="114" customWidth="1"/>
    <col min="5637" max="5637" width="12" style="114" customWidth="1"/>
    <col min="5638" max="5641" width="9.140625" style="114"/>
    <col min="5642" max="5642" width="9.42578125" style="114" customWidth="1"/>
    <col min="5643" max="5888" width="9.140625" style="114"/>
    <col min="5889" max="5889" width="30.85546875" style="114" customWidth="1"/>
    <col min="5890" max="5890" width="9.140625" style="114" customWidth="1"/>
    <col min="5891" max="5891" width="9.7109375" style="114" customWidth="1"/>
    <col min="5892" max="5892" width="15.140625" style="114" customWidth="1"/>
    <col min="5893" max="5893" width="12" style="114" customWidth="1"/>
    <col min="5894" max="5897" width="9.140625" style="114"/>
    <col min="5898" max="5898" width="9.42578125" style="114" customWidth="1"/>
    <col min="5899" max="6144" width="9.140625" style="114"/>
    <col min="6145" max="6145" width="30.85546875" style="114" customWidth="1"/>
    <col min="6146" max="6146" width="9.140625" style="114" customWidth="1"/>
    <col min="6147" max="6147" width="9.7109375" style="114" customWidth="1"/>
    <col min="6148" max="6148" width="15.140625" style="114" customWidth="1"/>
    <col min="6149" max="6149" width="12" style="114" customWidth="1"/>
    <col min="6150" max="6153" width="9.140625" style="114"/>
    <col min="6154" max="6154" width="9.42578125" style="114" customWidth="1"/>
    <col min="6155" max="6400" width="9.140625" style="114"/>
    <col min="6401" max="6401" width="30.85546875" style="114" customWidth="1"/>
    <col min="6402" max="6402" width="9.140625" style="114" customWidth="1"/>
    <col min="6403" max="6403" width="9.7109375" style="114" customWidth="1"/>
    <col min="6404" max="6404" width="15.140625" style="114" customWidth="1"/>
    <col min="6405" max="6405" width="12" style="114" customWidth="1"/>
    <col min="6406" max="6409" width="9.140625" style="114"/>
    <col min="6410" max="6410" width="9.42578125" style="114" customWidth="1"/>
    <col min="6411" max="6656" width="9.140625" style="114"/>
    <col min="6657" max="6657" width="30.85546875" style="114" customWidth="1"/>
    <col min="6658" max="6658" width="9.140625" style="114" customWidth="1"/>
    <col min="6659" max="6659" width="9.7109375" style="114" customWidth="1"/>
    <col min="6660" max="6660" width="15.140625" style="114" customWidth="1"/>
    <col min="6661" max="6661" width="12" style="114" customWidth="1"/>
    <col min="6662" max="6665" width="9.140625" style="114"/>
    <col min="6666" max="6666" width="9.42578125" style="114" customWidth="1"/>
    <col min="6667" max="6912" width="9.140625" style="114"/>
    <col min="6913" max="6913" width="30.85546875" style="114" customWidth="1"/>
    <col min="6914" max="6914" width="9.140625" style="114" customWidth="1"/>
    <col min="6915" max="6915" width="9.7109375" style="114" customWidth="1"/>
    <col min="6916" max="6916" width="15.140625" style="114" customWidth="1"/>
    <col min="6917" max="6917" width="12" style="114" customWidth="1"/>
    <col min="6918" max="6921" width="9.140625" style="114"/>
    <col min="6922" max="6922" width="9.42578125" style="114" customWidth="1"/>
    <col min="6923" max="7168" width="9.140625" style="114"/>
    <col min="7169" max="7169" width="30.85546875" style="114" customWidth="1"/>
    <col min="7170" max="7170" width="9.140625" style="114" customWidth="1"/>
    <col min="7171" max="7171" width="9.7109375" style="114" customWidth="1"/>
    <col min="7172" max="7172" width="15.140625" style="114" customWidth="1"/>
    <col min="7173" max="7173" width="12" style="114" customWidth="1"/>
    <col min="7174" max="7177" width="9.140625" style="114"/>
    <col min="7178" max="7178" width="9.42578125" style="114" customWidth="1"/>
    <col min="7179" max="7424" width="9.140625" style="114"/>
    <col min="7425" max="7425" width="30.85546875" style="114" customWidth="1"/>
    <col min="7426" max="7426" width="9.140625" style="114" customWidth="1"/>
    <col min="7427" max="7427" width="9.7109375" style="114" customWidth="1"/>
    <col min="7428" max="7428" width="15.140625" style="114" customWidth="1"/>
    <col min="7429" max="7429" width="12" style="114" customWidth="1"/>
    <col min="7430" max="7433" width="9.140625" style="114"/>
    <col min="7434" max="7434" width="9.42578125" style="114" customWidth="1"/>
    <col min="7435" max="7680" width="9.140625" style="114"/>
    <col min="7681" max="7681" width="30.85546875" style="114" customWidth="1"/>
    <col min="7682" max="7682" width="9.140625" style="114" customWidth="1"/>
    <col min="7683" max="7683" width="9.7109375" style="114" customWidth="1"/>
    <col min="7684" max="7684" width="15.140625" style="114" customWidth="1"/>
    <col min="7685" max="7685" width="12" style="114" customWidth="1"/>
    <col min="7686" max="7689" width="9.140625" style="114"/>
    <col min="7690" max="7690" width="9.42578125" style="114" customWidth="1"/>
    <col min="7691" max="7936" width="9.140625" style="114"/>
    <col min="7937" max="7937" width="30.85546875" style="114" customWidth="1"/>
    <col min="7938" max="7938" width="9.140625" style="114" customWidth="1"/>
    <col min="7939" max="7939" width="9.7109375" style="114" customWidth="1"/>
    <col min="7940" max="7940" width="15.140625" style="114" customWidth="1"/>
    <col min="7941" max="7941" width="12" style="114" customWidth="1"/>
    <col min="7942" max="7945" width="9.140625" style="114"/>
    <col min="7946" max="7946" width="9.42578125" style="114" customWidth="1"/>
    <col min="7947" max="8192" width="9.140625" style="114"/>
    <col min="8193" max="8193" width="30.85546875" style="114" customWidth="1"/>
    <col min="8194" max="8194" width="9.140625" style="114" customWidth="1"/>
    <col min="8195" max="8195" width="9.7109375" style="114" customWidth="1"/>
    <col min="8196" max="8196" width="15.140625" style="114" customWidth="1"/>
    <col min="8197" max="8197" width="12" style="114" customWidth="1"/>
    <col min="8198" max="8201" width="9.140625" style="114"/>
    <col min="8202" max="8202" width="9.42578125" style="114" customWidth="1"/>
    <col min="8203" max="8448" width="9.140625" style="114"/>
    <col min="8449" max="8449" width="30.85546875" style="114" customWidth="1"/>
    <col min="8450" max="8450" width="9.140625" style="114" customWidth="1"/>
    <col min="8451" max="8451" width="9.7109375" style="114" customWidth="1"/>
    <col min="8452" max="8452" width="15.140625" style="114" customWidth="1"/>
    <col min="8453" max="8453" width="12" style="114" customWidth="1"/>
    <col min="8454" max="8457" width="9.140625" style="114"/>
    <col min="8458" max="8458" width="9.42578125" style="114" customWidth="1"/>
    <col min="8459" max="8704" width="9.140625" style="114"/>
    <col min="8705" max="8705" width="30.85546875" style="114" customWidth="1"/>
    <col min="8706" max="8706" width="9.140625" style="114" customWidth="1"/>
    <col min="8707" max="8707" width="9.7109375" style="114" customWidth="1"/>
    <col min="8708" max="8708" width="15.140625" style="114" customWidth="1"/>
    <col min="8709" max="8709" width="12" style="114" customWidth="1"/>
    <col min="8710" max="8713" width="9.140625" style="114"/>
    <col min="8714" max="8714" width="9.42578125" style="114" customWidth="1"/>
    <col min="8715" max="8960" width="9.140625" style="114"/>
    <col min="8961" max="8961" width="30.85546875" style="114" customWidth="1"/>
    <col min="8962" max="8962" width="9.140625" style="114" customWidth="1"/>
    <col min="8963" max="8963" width="9.7109375" style="114" customWidth="1"/>
    <col min="8964" max="8964" width="15.140625" style="114" customWidth="1"/>
    <col min="8965" max="8965" width="12" style="114" customWidth="1"/>
    <col min="8966" max="8969" width="9.140625" style="114"/>
    <col min="8970" max="8970" width="9.42578125" style="114" customWidth="1"/>
    <col min="8971" max="9216" width="9.140625" style="114"/>
    <col min="9217" max="9217" width="30.85546875" style="114" customWidth="1"/>
    <col min="9218" max="9218" width="9.140625" style="114" customWidth="1"/>
    <col min="9219" max="9219" width="9.7109375" style="114" customWidth="1"/>
    <col min="9220" max="9220" width="15.140625" style="114" customWidth="1"/>
    <col min="9221" max="9221" width="12" style="114" customWidth="1"/>
    <col min="9222" max="9225" width="9.140625" style="114"/>
    <col min="9226" max="9226" width="9.42578125" style="114" customWidth="1"/>
    <col min="9227" max="9472" width="9.140625" style="114"/>
    <col min="9473" max="9473" width="30.85546875" style="114" customWidth="1"/>
    <col min="9474" max="9474" width="9.140625" style="114" customWidth="1"/>
    <col min="9475" max="9475" width="9.7109375" style="114" customWidth="1"/>
    <col min="9476" max="9476" width="15.140625" style="114" customWidth="1"/>
    <col min="9477" max="9477" width="12" style="114" customWidth="1"/>
    <col min="9478" max="9481" width="9.140625" style="114"/>
    <col min="9482" max="9482" width="9.42578125" style="114" customWidth="1"/>
    <col min="9483" max="9728" width="9.140625" style="114"/>
    <col min="9729" max="9729" width="30.85546875" style="114" customWidth="1"/>
    <col min="9730" max="9730" width="9.140625" style="114" customWidth="1"/>
    <col min="9731" max="9731" width="9.7109375" style="114" customWidth="1"/>
    <col min="9732" max="9732" width="15.140625" style="114" customWidth="1"/>
    <col min="9733" max="9733" width="12" style="114" customWidth="1"/>
    <col min="9734" max="9737" width="9.140625" style="114"/>
    <col min="9738" max="9738" width="9.42578125" style="114" customWidth="1"/>
    <col min="9739" max="9984" width="9.140625" style="114"/>
    <col min="9985" max="9985" width="30.85546875" style="114" customWidth="1"/>
    <col min="9986" max="9986" width="9.140625" style="114" customWidth="1"/>
    <col min="9987" max="9987" width="9.7109375" style="114" customWidth="1"/>
    <col min="9988" max="9988" width="15.140625" style="114" customWidth="1"/>
    <col min="9989" max="9989" width="12" style="114" customWidth="1"/>
    <col min="9990" max="9993" width="9.140625" style="114"/>
    <col min="9994" max="9994" width="9.42578125" style="114" customWidth="1"/>
    <col min="9995" max="10240" width="9.140625" style="114"/>
    <col min="10241" max="10241" width="30.85546875" style="114" customWidth="1"/>
    <col min="10242" max="10242" width="9.140625" style="114" customWidth="1"/>
    <col min="10243" max="10243" width="9.7109375" style="114" customWidth="1"/>
    <col min="10244" max="10244" width="15.140625" style="114" customWidth="1"/>
    <col min="10245" max="10245" width="12" style="114" customWidth="1"/>
    <col min="10246" max="10249" width="9.140625" style="114"/>
    <col min="10250" max="10250" width="9.42578125" style="114" customWidth="1"/>
    <col min="10251" max="10496" width="9.140625" style="114"/>
    <col min="10497" max="10497" width="30.85546875" style="114" customWidth="1"/>
    <col min="10498" max="10498" width="9.140625" style="114" customWidth="1"/>
    <col min="10499" max="10499" width="9.7109375" style="114" customWidth="1"/>
    <col min="10500" max="10500" width="15.140625" style="114" customWidth="1"/>
    <col min="10501" max="10501" width="12" style="114" customWidth="1"/>
    <col min="10502" max="10505" width="9.140625" style="114"/>
    <col min="10506" max="10506" width="9.42578125" style="114" customWidth="1"/>
    <col min="10507" max="10752" width="9.140625" style="114"/>
    <col min="10753" max="10753" width="30.85546875" style="114" customWidth="1"/>
    <col min="10754" max="10754" width="9.140625" style="114" customWidth="1"/>
    <col min="10755" max="10755" width="9.7109375" style="114" customWidth="1"/>
    <col min="10756" max="10756" width="15.140625" style="114" customWidth="1"/>
    <col min="10757" max="10757" width="12" style="114" customWidth="1"/>
    <col min="10758" max="10761" width="9.140625" style="114"/>
    <col min="10762" max="10762" width="9.42578125" style="114" customWidth="1"/>
    <col min="10763" max="11008" width="9.140625" style="114"/>
    <col min="11009" max="11009" width="30.85546875" style="114" customWidth="1"/>
    <col min="11010" max="11010" width="9.140625" style="114" customWidth="1"/>
    <col min="11011" max="11011" width="9.7109375" style="114" customWidth="1"/>
    <col min="11012" max="11012" width="15.140625" style="114" customWidth="1"/>
    <col min="11013" max="11013" width="12" style="114" customWidth="1"/>
    <col min="11014" max="11017" width="9.140625" style="114"/>
    <col min="11018" max="11018" width="9.42578125" style="114" customWidth="1"/>
    <col min="11019" max="11264" width="9.140625" style="114"/>
    <col min="11265" max="11265" width="30.85546875" style="114" customWidth="1"/>
    <col min="11266" max="11266" width="9.140625" style="114" customWidth="1"/>
    <col min="11267" max="11267" width="9.7109375" style="114" customWidth="1"/>
    <col min="11268" max="11268" width="15.140625" style="114" customWidth="1"/>
    <col min="11269" max="11269" width="12" style="114" customWidth="1"/>
    <col min="11270" max="11273" width="9.140625" style="114"/>
    <col min="11274" max="11274" width="9.42578125" style="114" customWidth="1"/>
    <col min="11275" max="11520" width="9.140625" style="114"/>
    <col min="11521" max="11521" width="30.85546875" style="114" customWidth="1"/>
    <col min="11522" max="11522" width="9.140625" style="114" customWidth="1"/>
    <col min="11523" max="11523" width="9.7109375" style="114" customWidth="1"/>
    <col min="11524" max="11524" width="15.140625" style="114" customWidth="1"/>
    <col min="11525" max="11525" width="12" style="114" customWidth="1"/>
    <col min="11526" max="11529" width="9.140625" style="114"/>
    <col min="11530" max="11530" width="9.42578125" style="114" customWidth="1"/>
    <col min="11531" max="11776" width="9.140625" style="114"/>
    <col min="11777" max="11777" width="30.85546875" style="114" customWidth="1"/>
    <col min="11778" max="11778" width="9.140625" style="114" customWidth="1"/>
    <col min="11779" max="11779" width="9.7109375" style="114" customWidth="1"/>
    <col min="11780" max="11780" width="15.140625" style="114" customWidth="1"/>
    <col min="11781" max="11781" width="12" style="114" customWidth="1"/>
    <col min="11782" max="11785" width="9.140625" style="114"/>
    <col min="11786" max="11786" width="9.42578125" style="114" customWidth="1"/>
    <col min="11787" max="12032" width="9.140625" style="114"/>
    <col min="12033" max="12033" width="30.85546875" style="114" customWidth="1"/>
    <col min="12034" max="12034" width="9.140625" style="114" customWidth="1"/>
    <col min="12035" max="12035" width="9.7109375" style="114" customWidth="1"/>
    <col min="12036" max="12036" width="15.140625" style="114" customWidth="1"/>
    <col min="12037" max="12037" width="12" style="114" customWidth="1"/>
    <col min="12038" max="12041" width="9.140625" style="114"/>
    <col min="12042" max="12042" width="9.42578125" style="114" customWidth="1"/>
    <col min="12043" max="12288" width="9.140625" style="114"/>
    <col min="12289" max="12289" width="30.85546875" style="114" customWidth="1"/>
    <col min="12290" max="12290" width="9.140625" style="114" customWidth="1"/>
    <col min="12291" max="12291" width="9.7109375" style="114" customWidth="1"/>
    <col min="12292" max="12292" width="15.140625" style="114" customWidth="1"/>
    <col min="12293" max="12293" width="12" style="114" customWidth="1"/>
    <col min="12294" max="12297" width="9.140625" style="114"/>
    <col min="12298" max="12298" width="9.42578125" style="114" customWidth="1"/>
    <col min="12299" max="12544" width="9.140625" style="114"/>
    <col min="12545" max="12545" width="30.85546875" style="114" customWidth="1"/>
    <col min="12546" max="12546" width="9.140625" style="114" customWidth="1"/>
    <col min="12547" max="12547" width="9.7109375" style="114" customWidth="1"/>
    <col min="12548" max="12548" width="15.140625" style="114" customWidth="1"/>
    <col min="12549" max="12549" width="12" style="114" customWidth="1"/>
    <col min="12550" max="12553" width="9.140625" style="114"/>
    <col min="12554" max="12554" width="9.42578125" style="114" customWidth="1"/>
    <col min="12555" max="12800" width="9.140625" style="114"/>
    <col min="12801" max="12801" width="30.85546875" style="114" customWidth="1"/>
    <col min="12802" max="12802" width="9.140625" style="114" customWidth="1"/>
    <col min="12803" max="12803" width="9.7109375" style="114" customWidth="1"/>
    <col min="12804" max="12804" width="15.140625" style="114" customWidth="1"/>
    <col min="12805" max="12805" width="12" style="114" customWidth="1"/>
    <col min="12806" max="12809" width="9.140625" style="114"/>
    <col min="12810" max="12810" width="9.42578125" style="114" customWidth="1"/>
    <col min="12811" max="13056" width="9.140625" style="114"/>
    <col min="13057" max="13057" width="30.85546875" style="114" customWidth="1"/>
    <col min="13058" max="13058" width="9.140625" style="114" customWidth="1"/>
    <col min="13059" max="13059" width="9.7109375" style="114" customWidth="1"/>
    <col min="13060" max="13060" width="15.140625" style="114" customWidth="1"/>
    <col min="13061" max="13061" width="12" style="114" customWidth="1"/>
    <col min="13062" max="13065" width="9.140625" style="114"/>
    <col min="13066" max="13066" width="9.42578125" style="114" customWidth="1"/>
    <col min="13067" max="13312" width="9.140625" style="114"/>
    <col min="13313" max="13313" width="30.85546875" style="114" customWidth="1"/>
    <col min="13314" max="13314" width="9.140625" style="114" customWidth="1"/>
    <col min="13315" max="13315" width="9.7109375" style="114" customWidth="1"/>
    <col min="13316" max="13316" width="15.140625" style="114" customWidth="1"/>
    <col min="13317" max="13317" width="12" style="114" customWidth="1"/>
    <col min="13318" max="13321" width="9.140625" style="114"/>
    <col min="13322" max="13322" width="9.42578125" style="114" customWidth="1"/>
    <col min="13323" max="13568" width="9.140625" style="114"/>
    <col min="13569" max="13569" width="30.85546875" style="114" customWidth="1"/>
    <col min="13570" max="13570" width="9.140625" style="114" customWidth="1"/>
    <col min="13571" max="13571" width="9.7109375" style="114" customWidth="1"/>
    <col min="13572" max="13572" width="15.140625" style="114" customWidth="1"/>
    <col min="13573" max="13573" width="12" style="114" customWidth="1"/>
    <col min="13574" max="13577" width="9.140625" style="114"/>
    <col min="13578" max="13578" width="9.42578125" style="114" customWidth="1"/>
    <col min="13579" max="13824" width="9.140625" style="114"/>
    <col min="13825" max="13825" width="30.85546875" style="114" customWidth="1"/>
    <col min="13826" max="13826" width="9.140625" style="114" customWidth="1"/>
    <col min="13827" max="13827" width="9.7109375" style="114" customWidth="1"/>
    <col min="13828" max="13828" width="15.140625" style="114" customWidth="1"/>
    <col min="13829" max="13829" width="12" style="114" customWidth="1"/>
    <col min="13830" max="13833" width="9.140625" style="114"/>
    <col min="13834" max="13834" width="9.42578125" style="114" customWidth="1"/>
    <col min="13835" max="14080" width="9.140625" style="114"/>
    <col min="14081" max="14081" width="30.85546875" style="114" customWidth="1"/>
    <col min="14082" max="14082" width="9.140625" style="114" customWidth="1"/>
    <col min="14083" max="14083" width="9.7109375" style="114" customWidth="1"/>
    <col min="14084" max="14084" width="15.140625" style="114" customWidth="1"/>
    <col min="14085" max="14085" width="12" style="114" customWidth="1"/>
    <col min="14086" max="14089" width="9.140625" style="114"/>
    <col min="14090" max="14090" width="9.42578125" style="114" customWidth="1"/>
    <col min="14091" max="14336" width="9.140625" style="114"/>
    <col min="14337" max="14337" width="30.85546875" style="114" customWidth="1"/>
    <col min="14338" max="14338" width="9.140625" style="114" customWidth="1"/>
    <col min="14339" max="14339" width="9.7109375" style="114" customWidth="1"/>
    <col min="14340" max="14340" width="15.140625" style="114" customWidth="1"/>
    <col min="14341" max="14341" width="12" style="114" customWidth="1"/>
    <col min="14342" max="14345" width="9.140625" style="114"/>
    <col min="14346" max="14346" width="9.42578125" style="114" customWidth="1"/>
    <col min="14347" max="14592" width="9.140625" style="114"/>
    <col min="14593" max="14593" width="30.85546875" style="114" customWidth="1"/>
    <col min="14594" max="14594" width="9.140625" style="114" customWidth="1"/>
    <col min="14595" max="14595" width="9.7109375" style="114" customWidth="1"/>
    <col min="14596" max="14596" width="15.140625" style="114" customWidth="1"/>
    <col min="14597" max="14597" width="12" style="114" customWidth="1"/>
    <col min="14598" max="14601" width="9.140625" style="114"/>
    <col min="14602" max="14602" width="9.42578125" style="114" customWidth="1"/>
    <col min="14603" max="14848" width="9.140625" style="114"/>
    <col min="14849" max="14849" width="30.85546875" style="114" customWidth="1"/>
    <col min="14850" max="14850" width="9.140625" style="114" customWidth="1"/>
    <col min="14851" max="14851" width="9.7109375" style="114" customWidth="1"/>
    <col min="14852" max="14852" width="15.140625" style="114" customWidth="1"/>
    <col min="14853" max="14853" width="12" style="114" customWidth="1"/>
    <col min="14854" max="14857" width="9.140625" style="114"/>
    <col min="14858" max="14858" width="9.42578125" style="114" customWidth="1"/>
    <col min="14859" max="15104" width="9.140625" style="114"/>
    <col min="15105" max="15105" width="30.85546875" style="114" customWidth="1"/>
    <col min="15106" max="15106" width="9.140625" style="114" customWidth="1"/>
    <col min="15107" max="15107" width="9.7109375" style="114" customWidth="1"/>
    <col min="15108" max="15108" width="15.140625" style="114" customWidth="1"/>
    <col min="15109" max="15109" width="12" style="114" customWidth="1"/>
    <col min="15110" max="15113" width="9.140625" style="114"/>
    <col min="15114" max="15114" width="9.42578125" style="114" customWidth="1"/>
    <col min="15115" max="15360" width="9.140625" style="114"/>
    <col min="15361" max="15361" width="30.85546875" style="114" customWidth="1"/>
    <col min="15362" max="15362" width="9.140625" style="114" customWidth="1"/>
    <col min="15363" max="15363" width="9.7109375" style="114" customWidth="1"/>
    <col min="15364" max="15364" width="15.140625" style="114" customWidth="1"/>
    <col min="15365" max="15365" width="12" style="114" customWidth="1"/>
    <col min="15366" max="15369" width="9.140625" style="114"/>
    <col min="15370" max="15370" width="9.42578125" style="114" customWidth="1"/>
    <col min="15371" max="15616" width="9.140625" style="114"/>
    <col min="15617" max="15617" width="30.85546875" style="114" customWidth="1"/>
    <col min="15618" max="15618" width="9.140625" style="114" customWidth="1"/>
    <col min="15619" max="15619" width="9.7109375" style="114" customWidth="1"/>
    <col min="15620" max="15620" width="15.140625" style="114" customWidth="1"/>
    <col min="15621" max="15621" width="12" style="114" customWidth="1"/>
    <col min="15622" max="15625" width="9.140625" style="114"/>
    <col min="15626" max="15626" width="9.42578125" style="114" customWidth="1"/>
    <col min="15627" max="15872" width="9.140625" style="114"/>
    <col min="15873" max="15873" width="30.85546875" style="114" customWidth="1"/>
    <col min="15874" max="15874" width="9.140625" style="114" customWidth="1"/>
    <col min="15875" max="15875" width="9.7109375" style="114" customWidth="1"/>
    <col min="15876" max="15876" width="15.140625" style="114" customWidth="1"/>
    <col min="15877" max="15877" width="12" style="114" customWidth="1"/>
    <col min="15878" max="15881" width="9.140625" style="114"/>
    <col min="15882" max="15882" width="9.42578125" style="114" customWidth="1"/>
    <col min="15883" max="16128" width="9.140625" style="114"/>
    <col min="16129" max="16129" width="30.85546875" style="114" customWidth="1"/>
    <col min="16130" max="16130" width="9.140625" style="114" customWidth="1"/>
    <col min="16131" max="16131" width="9.7109375" style="114" customWidth="1"/>
    <col min="16132" max="16132" width="15.140625" style="114" customWidth="1"/>
    <col min="16133" max="16133" width="12" style="114" customWidth="1"/>
    <col min="16134" max="16137" width="9.140625" style="114"/>
    <col min="16138" max="16138" width="9.42578125" style="114" customWidth="1"/>
    <col min="16139" max="16384" width="9.140625" style="114"/>
  </cols>
  <sheetData>
    <row r="1" spans="1:6" s="111" customFormat="1" x14ac:dyDescent="0.25">
      <c r="A1" s="109" t="str">
        <f>[2]SharedInputs!B4</f>
        <v>AVISTA UTILITIES</v>
      </c>
      <c r="B1" s="109"/>
      <c r="C1" s="109"/>
      <c r="D1" s="109"/>
      <c r="E1" s="110"/>
      <c r="F1" s="109"/>
    </row>
    <row r="2" spans="1:6" s="111" customFormat="1" x14ac:dyDescent="0.25">
      <c r="A2" s="109" t="s">
        <v>113</v>
      </c>
      <c r="B2" s="109"/>
      <c r="C2" s="109"/>
      <c r="D2" s="109"/>
      <c r="E2" s="112"/>
      <c r="F2" s="109"/>
    </row>
    <row r="3" spans="1:6" s="111" customFormat="1" x14ac:dyDescent="0.25">
      <c r="A3" s="109" t="s">
        <v>158</v>
      </c>
      <c r="B3" s="109"/>
      <c r="C3" s="109"/>
      <c r="D3" s="109"/>
      <c r="E3" s="109"/>
      <c r="F3" s="109"/>
    </row>
    <row r="4" spans="1:6" x14ac:dyDescent="0.25">
      <c r="A4" s="148" t="s">
        <v>159</v>
      </c>
      <c r="B4" s="113"/>
      <c r="C4" s="113"/>
      <c r="E4" s="113"/>
      <c r="F4" s="113"/>
    </row>
    <row r="5" spans="1:6" x14ac:dyDescent="0.25">
      <c r="A5" s="113"/>
      <c r="B5" s="113"/>
      <c r="C5" s="113"/>
      <c r="E5" s="113"/>
      <c r="F5" s="113"/>
    </row>
    <row r="6" spans="1:6" x14ac:dyDescent="0.25">
      <c r="A6" s="113" t="s">
        <v>114</v>
      </c>
      <c r="B6" s="113"/>
      <c r="C6" s="113"/>
      <c r="E6" s="113">
        <v>1</v>
      </c>
      <c r="F6" s="113"/>
    </row>
    <row r="7" spans="1:6" x14ac:dyDescent="0.25">
      <c r="A7" s="113"/>
      <c r="B7" s="113"/>
      <c r="C7" s="113"/>
      <c r="E7" s="113"/>
      <c r="F7" s="113"/>
    </row>
    <row r="8" spans="1:6" x14ac:dyDescent="0.25">
      <c r="A8" s="113" t="s">
        <v>58</v>
      </c>
      <c r="B8" s="113"/>
      <c r="C8" s="113"/>
      <c r="E8" s="113"/>
      <c r="F8" s="113"/>
    </row>
    <row r="9" spans="1:6" x14ac:dyDescent="0.25">
      <c r="A9" s="113"/>
      <c r="B9" s="113"/>
      <c r="C9" s="113"/>
      <c r="E9" s="113"/>
      <c r="F9" s="113"/>
    </row>
    <row r="10" spans="1:6" x14ac:dyDescent="0.25">
      <c r="A10" s="113" t="s">
        <v>115</v>
      </c>
      <c r="B10" s="113"/>
      <c r="C10" s="113"/>
      <c r="E10" s="113">
        <v>6.1824999999999996E-3</v>
      </c>
      <c r="F10" s="113"/>
    </row>
    <row r="11" spans="1:6" x14ac:dyDescent="0.25">
      <c r="A11" s="113"/>
      <c r="B11" s="113"/>
      <c r="C11" s="113"/>
      <c r="E11" s="113"/>
      <c r="F11" s="113"/>
    </row>
    <row r="12" spans="1:6" x14ac:dyDescent="0.25">
      <c r="A12" s="113" t="s">
        <v>116</v>
      </c>
      <c r="B12" s="113"/>
      <c r="C12" s="113"/>
      <c r="E12" s="113">
        <v>2E-3</v>
      </c>
      <c r="F12" s="113"/>
    </row>
    <row r="13" spans="1:6" x14ac:dyDescent="0.25">
      <c r="A13" s="113"/>
      <c r="B13" s="113"/>
      <c r="C13" s="113"/>
      <c r="E13" s="113"/>
      <c r="F13" s="113"/>
    </row>
    <row r="14" spans="1:6" x14ac:dyDescent="0.25">
      <c r="A14" s="113" t="s">
        <v>117</v>
      </c>
      <c r="B14" s="113"/>
      <c r="C14" s="113"/>
      <c r="E14" s="113">
        <v>3.8494500000000001E-2</v>
      </c>
      <c r="F14" s="113"/>
    </row>
    <row r="15" spans="1:6" x14ac:dyDescent="0.25">
      <c r="A15" s="113"/>
      <c r="B15" s="113"/>
      <c r="C15" s="113"/>
      <c r="E15" s="113"/>
      <c r="F15" s="113"/>
    </row>
    <row r="16" spans="1:6" x14ac:dyDescent="0.25">
      <c r="A16" s="113"/>
      <c r="B16" s="113"/>
      <c r="C16" s="113"/>
      <c r="E16" s="113"/>
    </row>
    <row r="17" spans="1:11" x14ac:dyDescent="0.25">
      <c r="A17" s="113" t="s">
        <v>59</v>
      </c>
      <c r="B17" s="113"/>
      <c r="C17" s="113"/>
      <c r="E17" s="115">
        <f>SUM(E9:E15)</f>
        <v>4.6676999999999996E-2</v>
      </c>
      <c r="F17" s="113"/>
      <c r="K17" s="116"/>
    </row>
    <row r="18" spans="1:11" x14ac:dyDescent="0.25">
      <c r="A18" s="113"/>
      <c r="B18" s="113"/>
      <c r="C18" s="113"/>
      <c r="E18" s="113"/>
    </row>
    <row r="19" spans="1:11" x14ac:dyDescent="0.25">
      <c r="A19" s="113" t="s">
        <v>60</v>
      </c>
      <c r="B19" s="113"/>
      <c r="C19" s="113"/>
      <c r="E19" s="132">
        <f>E6-E17</f>
        <v>0.95332300000000003</v>
      </c>
      <c r="F19" s="113"/>
    </row>
    <row r="20" spans="1:11" x14ac:dyDescent="0.25">
      <c r="A20" s="113"/>
      <c r="B20" s="113"/>
      <c r="C20" s="113"/>
      <c r="E20" s="113"/>
      <c r="F20" s="113"/>
    </row>
    <row r="21" spans="1:11" x14ac:dyDescent="0.25">
      <c r="A21" s="113" t="s">
        <v>118</v>
      </c>
      <c r="B21" s="164">
        <v>0.21</v>
      </c>
      <c r="C21" s="117"/>
      <c r="E21" s="113">
        <f>E19*$B$21</f>
        <v>0.20019782999999999</v>
      </c>
      <c r="F21" s="113"/>
    </row>
    <row r="22" spans="1:11" x14ac:dyDescent="0.25">
      <c r="A22" s="113"/>
      <c r="B22" s="113"/>
      <c r="C22" s="113"/>
      <c r="E22" s="113"/>
      <c r="F22" s="113"/>
    </row>
    <row r="23" spans="1:11" x14ac:dyDescent="0.25">
      <c r="A23" s="113" t="s">
        <v>57</v>
      </c>
      <c r="B23" s="113"/>
      <c r="C23" s="113"/>
      <c r="E23" s="115">
        <f>E19-E21</f>
        <v>0.75312517000000001</v>
      </c>
      <c r="F23" s="113"/>
    </row>
    <row r="24" spans="1:11" x14ac:dyDescent="0.25">
      <c r="A24" s="113"/>
      <c r="B24" s="113"/>
      <c r="C24" s="113"/>
      <c r="E24" s="113"/>
      <c r="F24" s="113"/>
    </row>
    <row r="25" spans="1:11" x14ac:dyDescent="0.25">
      <c r="A25" s="113"/>
      <c r="B25" s="113"/>
      <c r="C25" s="113"/>
      <c r="E25" s="113"/>
      <c r="F25" s="113"/>
    </row>
    <row r="26" spans="1:11" x14ac:dyDescent="0.25">
      <c r="A26" s="113"/>
      <c r="B26" s="113"/>
      <c r="C26" s="113"/>
      <c r="D26" s="113"/>
      <c r="E26" s="113"/>
      <c r="F26" s="113"/>
    </row>
    <row r="31" spans="1:11" x14ac:dyDescent="0.25">
      <c r="G31" s="127"/>
    </row>
    <row r="39" spans="2:3" x14ac:dyDescent="0.25">
      <c r="B39" s="125"/>
    </row>
    <row r="40" spans="2:3" x14ac:dyDescent="0.25">
      <c r="C40" s="119"/>
    </row>
    <row r="41" spans="2:3" x14ac:dyDescent="0.25">
      <c r="C41" s="122"/>
    </row>
    <row r="42" spans="2:3" x14ac:dyDescent="0.25">
      <c r="C42" s="122"/>
    </row>
    <row r="47" spans="2:3" x14ac:dyDescent="0.25">
      <c r="B47" s="114" t="s">
        <v>120</v>
      </c>
    </row>
  </sheetData>
  <pageMargins left="0.7" right="0.7" top="0.75" bottom="0.75" header="0.3" footer="0.3"/>
  <pageSetup scale="73" orientation="landscape" r:id="rId1"/>
  <headerFooter>
    <oddFooter>&amp;L&amp;F&amp;RPage: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C1887CE9E58940B647EB7001D87668" ma:contentTypeVersion="76" ma:contentTypeDescription="" ma:contentTypeScope="" ma:versionID="f447ff6fc35ee1d1b587c03ff87a54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2018-03-28T07:00:00+00:00</OpenedDate>
    <SignificantOrder xmlns="dc463f71-b30c-4ab2-9473-d307f9d35888">false</SignificantOrder>
    <Date1 xmlns="dc463f71-b30c-4ab2-9473-d307f9d35888">2018-06-14T07:00:00+00:00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180263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1F964E40-3C65-4E03-867E-75CB3A86C20F}"/>
</file>

<file path=customXml/itemProps3.xml><?xml version="1.0" encoding="utf-8"?>
<ds:datastoreItem xmlns:ds="http://schemas.openxmlformats.org/officeDocument/2006/customXml" ds:itemID="{07BA2ADE-40E5-400D-8C27-AE482C75F0BB}"/>
</file>

<file path=customXml/itemProps4.xml><?xml version="1.0" encoding="utf-8"?>
<ds:datastoreItem xmlns:ds="http://schemas.openxmlformats.org/officeDocument/2006/customXml" ds:itemID="{06439D2B-1D6E-4FF7-9DB1-0A431E3E1834}"/>
</file>

<file path=customXml/itemProps5.xml><?xml version="1.0" encoding="utf-8"?>
<ds:datastoreItem xmlns:ds="http://schemas.openxmlformats.org/officeDocument/2006/customXml" ds:itemID="{3A5E3B6F-F419-46C2-A6CE-B7663B20A9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Rate Design</vt:lpstr>
      <vt:lpstr>7-2018 thru 6-2019 RECs</vt:lpstr>
      <vt:lpstr>3-2018 thru 6-2018 RECs</vt:lpstr>
      <vt:lpstr>Forecast Balance</vt:lpstr>
      <vt:lpstr>Forecasted Revenue</vt:lpstr>
      <vt:lpstr>kWh Forecast</vt:lpstr>
      <vt:lpstr>CF WA Elec</vt:lpstr>
      <vt:lpstr>'Forecast Balance'!Print_Area</vt:lpstr>
      <vt:lpstr>'Forecasted Revenue'!Print_Area</vt:lpstr>
      <vt:lpstr>'kWh Forecast'!Print_Area</vt:lpstr>
      <vt:lpstr>'Rate Design'!Print_Area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Kimball, Paul</cp:lastModifiedBy>
  <cp:lastPrinted>2018-06-14T15:51:24Z</cp:lastPrinted>
  <dcterms:created xsi:type="dcterms:W3CDTF">2016-02-09T19:01:57Z</dcterms:created>
  <dcterms:modified xsi:type="dcterms:W3CDTF">2018-06-14T16:04:37Z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0x0101006E56B4D1795A2E4DB2F0B01679ED314A001DC1887CE9E58940B647EB7001D87668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