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 codeName="ThisWorkbook" defaultThemeVersion="166925"/>
  <xr:revisionPtr revIDLastSave="0" documentId="14_{F415DA59-B5F3-42FC-B1CE-AE39228DF845}" xr6:coauthVersionLast="43" xr6:coauthVersionMax="43" xr10:uidLastSave="{00000000-0000-0000-0000-000000000000}"/>
  <bookViews>
    <workbookView xWindow="-120" yWindow="-120" windowWidth="19440" windowHeight="15150" xr2:uid="{00000000-000D-0000-FFFF-FFFF00000000}"/>
  </bookViews>
  <sheets>
    <sheet name="Total First Year" sheetId="1" r:id="rId1"/>
    <sheet name="APP 2885" sheetId="2" r:id="rId2"/>
  </sheets>
  <definedNames>
    <definedName name="_xlnm._FilterDatabase" localSheetId="0" hidden="1">'Total First Year'!$A$4:$X$67</definedName>
    <definedName name="JR_PAGE_ANCHOR_0_1">'Total First Year'!$A$1</definedName>
    <definedName name="JR_PAGE_ANCHOR_0_2">'APP 2885'!$A$1</definedName>
    <definedName name="JR_PAGE_ANCHOR_0_3">#REF!</definedName>
  </definedNames>
  <calcPr calcId="191029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3" i="1" l="1"/>
  <c r="J54" i="1"/>
  <c r="J55" i="1"/>
  <c r="J56" i="1"/>
  <c r="J52" i="1"/>
  <c r="J27" i="1"/>
  <c r="J28" i="1"/>
  <c r="J26" i="1"/>
  <c r="J20" i="1"/>
  <c r="J19" i="1"/>
  <c r="J45" i="1" l="1"/>
  <c r="J44" i="1"/>
  <c r="J43" i="1"/>
  <c r="J15" i="1"/>
  <c r="J14" i="1"/>
  <c r="J13" i="1"/>
  <c r="J12" i="1"/>
  <c r="I12" i="1" l="1"/>
  <c r="E67" i="1" l="1"/>
  <c r="K16" i="1" l="1"/>
  <c r="K5" i="1"/>
  <c r="J47" i="1" l="1"/>
  <c r="J48" i="1"/>
  <c r="J49" i="1"/>
  <c r="J50" i="1"/>
  <c r="J51" i="1"/>
  <c r="J46" i="1"/>
  <c r="J66" i="1"/>
  <c r="J65" i="1"/>
  <c r="J64" i="1"/>
  <c r="J63" i="1"/>
  <c r="J59" i="1"/>
  <c r="J58" i="1"/>
  <c r="J57" i="1"/>
  <c r="J39" i="1"/>
  <c r="J38" i="1"/>
  <c r="J37" i="1"/>
  <c r="J36" i="1"/>
  <c r="J5" i="1"/>
  <c r="I20" i="1"/>
  <c r="I19" i="1"/>
  <c r="I18" i="1"/>
  <c r="I17" i="1"/>
  <c r="I16" i="1"/>
  <c r="I5" i="1"/>
  <c r="L5" i="1" s="1"/>
  <c r="I7" i="1"/>
  <c r="I6" i="1"/>
  <c r="P67" i="1" l="1"/>
  <c r="R66" i="1"/>
  <c r="K66" i="1"/>
  <c r="I66" i="1"/>
  <c r="G66" i="1"/>
  <c r="O66" i="1" s="1"/>
  <c r="R65" i="1"/>
  <c r="K65" i="1"/>
  <c r="I65" i="1"/>
  <c r="G65" i="1"/>
  <c r="R64" i="1"/>
  <c r="K64" i="1"/>
  <c r="I64" i="1"/>
  <c r="G64" i="1"/>
  <c r="O64" i="1" s="1"/>
  <c r="R63" i="1"/>
  <c r="K63" i="1"/>
  <c r="I63" i="1"/>
  <c r="G63" i="1"/>
  <c r="N63" i="1" s="1"/>
  <c r="R62" i="1"/>
  <c r="K62" i="1"/>
  <c r="J62" i="1"/>
  <c r="I62" i="1"/>
  <c r="G62" i="1"/>
  <c r="N62" i="1" s="1"/>
  <c r="R61" i="1"/>
  <c r="K61" i="1"/>
  <c r="J61" i="1"/>
  <c r="I61" i="1"/>
  <c r="G61" i="1"/>
  <c r="O61" i="1" s="1"/>
  <c r="R60" i="1"/>
  <c r="K60" i="1"/>
  <c r="J60" i="1"/>
  <c r="I60" i="1"/>
  <c r="G60" i="1"/>
  <c r="O60" i="1" s="1"/>
  <c r="R59" i="1"/>
  <c r="K59" i="1"/>
  <c r="I59" i="1"/>
  <c r="G59" i="1"/>
  <c r="N59" i="1" s="1"/>
  <c r="R58" i="1"/>
  <c r="K58" i="1"/>
  <c r="I58" i="1"/>
  <c r="G58" i="1"/>
  <c r="O58" i="1" s="1"/>
  <c r="R57" i="1"/>
  <c r="K57" i="1"/>
  <c r="I57" i="1"/>
  <c r="G57" i="1"/>
  <c r="R56" i="1"/>
  <c r="K56" i="1"/>
  <c r="I56" i="1"/>
  <c r="G56" i="1"/>
  <c r="N56" i="1" s="1"/>
  <c r="R55" i="1"/>
  <c r="K55" i="1"/>
  <c r="I55" i="1"/>
  <c r="G55" i="1"/>
  <c r="N55" i="1" s="1"/>
  <c r="R54" i="1"/>
  <c r="K54" i="1"/>
  <c r="I54" i="1"/>
  <c r="G54" i="1"/>
  <c r="N54" i="1" s="1"/>
  <c r="R53" i="1"/>
  <c r="K53" i="1"/>
  <c r="I53" i="1"/>
  <c r="G53" i="1"/>
  <c r="O53" i="1" s="1"/>
  <c r="R52" i="1"/>
  <c r="K52" i="1"/>
  <c r="I52" i="1"/>
  <c r="G52" i="1"/>
  <c r="N52" i="1" s="1"/>
  <c r="R51" i="1"/>
  <c r="K51" i="1"/>
  <c r="I51" i="1"/>
  <c r="G51" i="1"/>
  <c r="N51" i="1" s="1"/>
  <c r="R50" i="1"/>
  <c r="K50" i="1"/>
  <c r="I50" i="1"/>
  <c r="G50" i="1"/>
  <c r="N50" i="1" s="1"/>
  <c r="R49" i="1"/>
  <c r="K49" i="1"/>
  <c r="I49" i="1"/>
  <c r="G49" i="1"/>
  <c r="O49" i="1" s="1"/>
  <c r="R48" i="1"/>
  <c r="K48" i="1"/>
  <c r="I48" i="1"/>
  <c r="G48" i="1"/>
  <c r="N48" i="1" s="1"/>
  <c r="R47" i="1"/>
  <c r="K47" i="1"/>
  <c r="I47" i="1"/>
  <c r="G47" i="1"/>
  <c r="N47" i="1" s="1"/>
  <c r="R46" i="1"/>
  <c r="K46" i="1"/>
  <c r="I46" i="1"/>
  <c r="G46" i="1"/>
  <c r="O46" i="1" s="1"/>
  <c r="R45" i="1"/>
  <c r="K45" i="1"/>
  <c r="I45" i="1"/>
  <c r="G45" i="1"/>
  <c r="N45" i="1" s="1"/>
  <c r="R44" i="1"/>
  <c r="K44" i="1"/>
  <c r="I44" i="1"/>
  <c r="G44" i="1"/>
  <c r="N44" i="1" s="1"/>
  <c r="R43" i="1"/>
  <c r="K43" i="1"/>
  <c r="I43" i="1"/>
  <c r="G43" i="1"/>
  <c r="N43" i="1" s="1"/>
  <c r="R42" i="1"/>
  <c r="K42" i="1"/>
  <c r="J42" i="1"/>
  <c r="I42" i="1"/>
  <c r="G42" i="1"/>
  <c r="O42" i="1" s="1"/>
  <c r="R41" i="1"/>
  <c r="K41" i="1"/>
  <c r="J41" i="1"/>
  <c r="I41" i="1"/>
  <c r="G41" i="1"/>
  <c r="N41" i="1" s="1"/>
  <c r="R40" i="1"/>
  <c r="K40" i="1"/>
  <c r="J40" i="1"/>
  <c r="I40" i="1"/>
  <c r="G40" i="1"/>
  <c r="O40" i="1" s="1"/>
  <c r="R39" i="1"/>
  <c r="K39" i="1"/>
  <c r="I39" i="1"/>
  <c r="G39" i="1"/>
  <c r="N39" i="1" s="1"/>
  <c r="R38" i="1"/>
  <c r="K38" i="1"/>
  <c r="I38" i="1"/>
  <c r="G38" i="1"/>
  <c r="O38" i="1" s="1"/>
  <c r="R37" i="1"/>
  <c r="K37" i="1"/>
  <c r="I37" i="1"/>
  <c r="G37" i="1"/>
  <c r="N37" i="1" s="1"/>
  <c r="R36" i="1"/>
  <c r="K36" i="1"/>
  <c r="I36" i="1"/>
  <c r="G36" i="1"/>
  <c r="O36" i="1" s="1"/>
  <c r="R35" i="1"/>
  <c r="K35" i="1"/>
  <c r="J35" i="1"/>
  <c r="I35" i="1"/>
  <c r="G35" i="1"/>
  <c r="O35" i="1" s="1"/>
  <c r="R34" i="1"/>
  <c r="K34" i="1"/>
  <c r="J34" i="1"/>
  <c r="I34" i="1"/>
  <c r="G34" i="1"/>
  <c r="O34" i="1" s="1"/>
  <c r="R33" i="1"/>
  <c r="K33" i="1"/>
  <c r="J33" i="1"/>
  <c r="I33" i="1"/>
  <c r="G33" i="1"/>
  <c r="N33" i="1" s="1"/>
  <c r="R32" i="1"/>
  <c r="K32" i="1"/>
  <c r="J32" i="1"/>
  <c r="I32" i="1"/>
  <c r="G32" i="1"/>
  <c r="O32" i="1" s="1"/>
  <c r="R31" i="1"/>
  <c r="K31" i="1"/>
  <c r="J31" i="1"/>
  <c r="I31" i="1"/>
  <c r="G31" i="1"/>
  <c r="O31" i="1" s="1"/>
  <c r="S31" i="1" s="1"/>
  <c r="R30" i="1"/>
  <c r="K30" i="1"/>
  <c r="J30" i="1"/>
  <c r="I30" i="1"/>
  <c r="G30" i="1"/>
  <c r="O30" i="1" s="1"/>
  <c r="R29" i="1"/>
  <c r="K29" i="1"/>
  <c r="J29" i="1"/>
  <c r="I29" i="1"/>
  <c r="G29" i="1"/>
  <c r="O29" i="1" s="1"/>
  <c r="R28" i="1"/>
  <c r="K28" i="1"/>
  <c r="I28" i="1"/>
  <c r="G28" i="1"/>
  <c r="N28" i="1" s="1"/>
  <c r="R27" i="1"/>
  <c r="K27" i="1"/>
  <c r="I27" i="1"/>
  <c r="G27" i="1"/>
  <c r="O27" i="1" s="1"/>
  <c r="R26" i="1"/>
  <c r="K26" i="1"/>
  <c r="I26" i="1"/>
  <c r="G26" i="1"/>
  <c r="N26" i="1" s="1"/>
  <c r="R25" i="1"/>
  <c r="K25" i="1"/>
  <c r="J25" i="1"/>
  <c r="I25" i="1"/>
  <c r="G25" i="1"/>
  <c r="O25" i="1" s="1"/>
  <c r="R24" i="1"/>
  <c r="K24" i="1"/>
  <c r="J24" i="1"/>
  <c r="I24" i="1"/>
  <c r="G24" i="1"/>
  <c r="N24" i="1" s="1"/>
  <c r="R23" i="1"/>
  <c r="K23" i="1"/>
  <c r="J23" i="1"/>
  <c r="I23" i="1"/>
  <c r="G23" i="1"/>
  <c r="N23" i="1" s="1"/>
  <c r="R22" i="1"/>
  <c r="K22" i="1"/>
  <c r="J22" i="1"/>
  <c r="I22" i="1"/>
  <c r="G22" i="1"/>
  <c r="R21" i="1"/>
  <c r="K21" i="1"/>
  <c r="J21" i="1"/>
  <c r="I21" i="1"/>
  <c r="G21" i="1"/>
  <c r="R20" i="1"/>
  <c r="K20" i="1"/>
  <c r="G20" i="1"/>
  <c r="R19" i="1"/>
  <c r="K19" i="1"/>
  <c r="G19" i="1"/>
  <c r="O19" i="1" s="1"/>
  <c r="R18" i="1"/>
  <c r="K18" i="1"/>
  <c r="J18" i="1"/>
  <c r="G18" i="1"/>
  <c r="O18" i="1" s="1"/>
  <c r="R17" i="1"/>
  <c r="K17" i="1"/>
  <c r="J17" i="1"/>
  <c r="G17" i="1"/>
  <c r="O17" i="1" s="1"/>
  <c r="R16" i="1"/>
  <c r="J16" i="1"/>
  <c r="G16" i="1"/>
  <c r="N16" i="1" s="1"/>
  <c r="R15" i="1"/>
  <c r="K15" i="1"/>
  <c r="I15" i="1"/>
  <c r="G15" i="1"/>
  <c r="O15" i="1" s="1"/>
  <c r="R14" i="1"/>
  <c r="K14" i="1"/>
  <c r="I14" i="1"/>
  <c r="G14" i="1"/>
  <c r="R13" i="1"/>
  <c r="K13" i="1"/>
  <c r="I13" i="1"/>
  <c r="G13" i="1"/>
  <c r="R12" i="1"/>
  <c r="K12" i="1"/>
  <c r="G12" i="1"/>
  <c r="R11" i="1"/>
  <c r="K11" i="1"/>
  <c r="J11" i="1"/>
  <c r="I11" i="1"/>
  <c r="G11" i="1"/>
  <c r="N11" i="1" s="1"/>
  <c r="R10" i="1"/>
  <c r="K10" i="1"/>
  <c r="J10" i="1"/>
  <c r="I10" i="1"/>
  <c r="G10" i="1"/>
  <c r="O10" i="1" s="1"/>
  <c r="S10" i="1" s="1"/>
  <c r="R9" i="1"/>
  <c r="K9" i="1"/>
  <c r="J9" i="1"/>
  <c r="I9" i="1"/>
  <c r="G9" i="1"/>
  <c r="O9" i="1" s="1"/>
  <c r="R8" i="1"/>
  <c r="K8" i="1"/>
  <c r="J8" i="1"/>
  <c r="I8" i="1"/>
  <c r="G8" i="1"/>
  <c r="N8" i="1" s="1"/>
  <c r="R7" i="1"/>
  <c r="K7" i="1"/>
  <c r="J7" i="1"/>
  <c r="G7" i="1"/>
  <c r="O7" i="1" s="1"/>
  <c r="R6" i="1"/>
  <c r="K6" i="1"/>
  <c r="J6" i="1"/>
  <c r="G6" i="1"/>
  <c r="R5" i="1"/>
  <c r="G5" i="1"/>
  <c r="R67" i="1" l="1"/>
  <c r="S17" i="1"/>
  <c r="S18" i="1"/>
  <c r="S19" i="1"/>
  <c r="L63" i="1"/>
  <c r="V63" i="1" s="1"/>
  <c r="S66" i="1"/>
  <c r="S7" i="1"/>
  <c r="S15" i="1"/>
  <c r="G67" i="1"/>
  <c r="N57" i="1"/>
  <c r="L18" i="1"/>
  <c r="S27" i="1"/>
  <c r="L12" i="1"/>
  <c r="L14" i="1"/>
  <c r="L26" i="1"/>
  <c r="V26" i="1" s="1"/>
  <c r="L30" i="1"/>
  <c r="L33" i="1"/>
  <c r="V33" i="1" s="1"/>
  <c r="L49" i="1"/>
  <c r="L6" i="1"/>
  <c r="L13" i="1"/>
  <c r="L28" i="1"/>
  <c r="V28" i="1" s="1"/>
  <c r="L34" i="1"/>
  <c r="L17" i="1"/>
  <c r="L20" i="1"/>
  <c r="O23" i="1"/>
  <c r="S23" i="1" s="1"/>
  <c r="L24" i="1"/>
  <c r="V24" i="1" s="1"/>
  <c r="L27" i="1"/>
  <c r="O33" i="1"/>
  <c r="S33" i="1" s="1"/>
  <c r="L36" i="1"/>
  <c r="O39" i="1"/>
  <c r="S39" i="1" s="1"/>
  <c r="L52" i="1"/>
  <c r="V52" i="1" s="1"/>
  <c r="O54" i="1"/>
  <c r="S54" i="1" s="1"/>
  <c r="O11" i="1"/>
  <c r="S11" i="1" s="1"/>
  <c r="L21" i="1"/>
  <c r="L39" i="1"/>
  <c r="V39" i="1" s="1"/>
  <c r="O47" i="1"/>
  <c r="S47" i="1" s="1"/>
  <c r="O62" i="1"/>
  <c r="S62" i="1" s="1"/>
  <c r="L65" i="1"/>
  <c r="L9" i="1"/>
  <c r="L22" i="1"/>
  <c r="L25" i="1"/>
  <c r="L38" i="1"/>
  <c r="O51" i="1"/>
  <c r="S51" i="1" s="1"/>
  <c r="L50" i="1"/>
  <c r="V50" i="1" s="1"/>
  <c r="S29" i="1"/>
  <c r="S58" i="1"/>
  <c r="S40" i="1"/>
  <c r="N7" i="1"/>
  <c r="N46" i="1"/>
  <c r="O56" i="1"/>
  <c r="S56" i="1" s="1"/>
  <c r="L8" i="1"/>
  <c r="S9" i="1"/>
  <c r="L10" i="1"/>
  <c r="L15" i="1"/>
  <c r="L32" i="1"/>
  <c r="N38" i="1"/>
  <c r="L41" i="1"/>
  <c r="V41" i="1" s="1"/>
  <c r="O44" i="1"/>
  <c r="S44" i="1" s="1"/>
  <c r="L46" i="1"/>
  <c r="V46" i="1" s="1"/>
  <c r="N49" i="1"/>
  <c r="O52" i="1"/>
  <c r="S52" i="1" s="1"/>
  <c r="O55" i="1"/>
  <c r="S55" i="1" s="1"/>
  <c r="L57" i="1"/>
  <c r="V57" i="1" s="1"/>
  <c r="L59" i="1"/>
  <c r="V59" i="1" s="1"/>
  <c r="L64" i="1"/>
  <c r="N66" i="1"/>
  <c r="N42" i="1"/>
  <c r="N60" i="1"/>
  <c r="N19" i="1"/>
  <c r="L23" i="1"/>
  <c r="V23" i="1" s="1"/>
  <c r="N29" i="1"/>
  <c r="L35" i="1"/>
  <c r="L37" i="1"/>
  <c r="V37" i="1" s="1"/>
  <c r="N40" i="1"/>
  <c r="O41" i="1"/>
  <c r="L48" i="1"/>
  <c r="V48" i="1" s="1"/>
  <c r="L54" i="1"/>
  <c r="V54" i="1" s="1"/>
  <c r="N58" i="1"/>
  <c r="O59" i="1"/>
  <c r="S59" i="1" s="1"/>
  <c r="N61" i="1"/>
  <c r="N31" i="1"/>
  <c r="O45" i="1"/>
  <c r="S45" i="1" s="1"/>
  <c r="N15" i="1"/>
  <c r="L7" i="1"/>
  <c r="L16" i="1"/>
  <c r="V16" i="1" s="1"/>
  <c r="S25" i="1"/>
  <c r="L31" i="1"/>
  <c r="V31" i="1" s="1"/>
  <c r="S35" i="1"/>
  <c r="N35" i="1"/>
  <c r="O37" i="1"/>
  <c r="S37" i="1" s="1"/>
  <c r="L42" i="1"/>
  <c r="V42" i="1" s="1"/>
  <c r="L43" i="1"/>
  <c r="V43" i="1" s="1"/>
  <c r="L45" i="1"/>
  <c r="V45" i="1" s="1"/>
  <c r="O48" i="1"/>
  <c r="S48" i="1" s="1"/>
  <c r="N53" i="1"/>
  <c r="L56" i="1"/>
  <c r="V56" i="1" s="1"/>
  <c r="L60" i="1"/>
  <c r="L61" i="1"/>
  <c r="O6" i="1"/>
  <c r="S6" i="1" s="1"/>
  <c r="N6" i="1"/>
  <c r="P12" i="1"/>
  <c r="O5" i="1"/>
  <c r="M67" i="1"/>
  <c r="U67" i="1" s="1"/>
  <c r="N5" i="1"/>
  <c r="V5" i="1" s="1"/>
  <c r="O14" i="1"/>
  <c r="S14" i="1" s="1"/>
  <c r="N14" i="1"/>
  <c r="O22" i="1"/>
  <c r="S22" i="1" s="1"/>
  <c r="N22" i="1"/>
  <c r="O13" i="1"/>
  <c r="S13" i="1" s="1"/>
  <c r="N13" i="1"/>
  <c r="O21" i="1"/>
  <c r="S21" i="1" s="1"/>
  <c r="N21" i="1"/>
  <c r="N12" i="1"/>
  <c r="O12" i="1"/>
  <c r="S12" i="1" s="1"/>
  <c r="N20" i="1"/>
  <c r="O20" i="1"/>
  <c r="S20" i="1" s="1"/>
  <c r="O26" i="1"/>
  <c r="S26" i="1" s="1"/>
  <c r="N27" i="1"/>
  <c r="S30" i="1"/>
  <c r="S32" i="1"/>
  <c r="S53" i="1"/>
  <c r="L11" i="1"/>
  <c r="V11" i="1" s="1"/>
  <c r="L19" i="1"/>
  <c r="V19" i="1" s="1"/>
  <c r="O28" i="1"/>
  <c r="S28" i="1" s="1"/>
  <c r="S34" i="1"/>
  <c r="S36" i="1"/>
  <c r="S49" i="1"/>
  <c r="N34" i="1"/>
  <c r="N36" i="1"/>
  <c r="K67" i="1"/>
  <c r="O8" i="1"/>
  <c r="S8" i="1" s="1"/>
  <c r="N9" i="1"/>
  <c r="N10" i="1"/>
  <c r="O16" i="1"/>
  <c r="S16" i="1" s="1"/>
  <c r="N17" i="1"/>
  <c r="N18" i="1"/>
  <c r="O24" i="1"/>
  <c r="S24" i="1" s="1"/>
  <c r="N25" i="1"/>
  <c r="L29" i="1"/>
  <c r="V29" i="1" s="1"/>
  <c r="N30" i="1"/>
  <c r="N32" i="1"/>
  <c r="S38" i="1"/>
  <c r="S41" i="1"/>
  <c r="S42" i="1"/>
  <c r="S46" i="1"/>
  <c r="L53" i="1"/>
  <c r="L44" i="1"/>
  <c r="V44" i="1" s="1"/>
  <c r="L51" i="1"/>
  <c r="V51" i="1" s="1"/>
  <c r="L58" i="1"/>
  <c r="S64" i="1"/>
  <c r="L66" i="1"/>
  <c r="V66" i="1" s="1"/>
  <c r="O63" i="1"/>
  <c r="S63" i="1" s="1"/>
  <c r="N64" i="1"/>
  <c r="N65" i="1"/>
  <c r="L40" i="1"/>
  <c r="V40" i="1" s="1"/>
  <c r="O43" i="1"/>
  <c r="S43" i="1" s="1"/>
  <c r="L47" i="1"/>
  <c r="V47" i="1" s="1"/>
  <c r="O50" i="1"/>
  <c r="S50" i="1" s="1"/>
  <c r="L55" i="1"/>
  <c r="V55" i="1" s="1"/>
  <c r="O57" i="1"/>
  <c r="S57" i="1" s="1"/>
  <c r="S60" i="1"/>
  <c r="S61" i="1"/>
  <c r="L62" i="1"/>
  <c r="V62" i="1" s="1"/>
  <c r="O65" i="1"/>
  <c r="S65" i="1" s="1"/>
  <c r="V32" i="1" l="1"/>
  <c r="V27" i="1"/>
  <c r="V9" i="1"/>
  <c r="V61" i="1"/>
  <c r="V38" i="1"/>
  <c r="V21" i="1"/>
  <c r="V34" i="1"/>
  <c r="V49" i="1"/>
  <c r="V6" i="1"/>
  <c r="V18" i="1"/>
  <c r="V60" i="1"/>
  <c r="W8" i="1"/>
  <c r="V8" i="1"/>
  <c r="V17" i="1"/>
  <c r="S5" i="1"/>
  <c r="O67" i="1"/>
  <c r="V15" i="1"/>
  <c r="V58" i="1"/>
  <c r="V64" i="1"/>
  <c r="V10" i="1"/>
  <c r="V25" i="1"/>
  <c r="V36" i="1"/>
  <c r="V12" i="1"/>
  <c r="V53" i="1"/>
  <c r="V65" i="1"/>
  <c r="V14" i="1"/>
  <c r="W7" i="1"/>
  <c r="V7" i="1"/>
  <c r="V35" i="1"/>
  <c r="V22" i="1"/>
  <c r="V20" i="1"/>
  <c r="V13" i="1"/>
  <c r="V30" i="1"/>
  <c r="P56" i="1"/>
  <c r="W56" i="1" s="1"/>
  <c r="P36" i="1"/>
  <c r="T36" i="1" s="1"/>
  <c r="P61" i="1"/>
  <c r="T61" i="1" s="1"/>
  <c r="P63" i="1"/>
  <c r="W63" i="1" s="1"/>
  <c r="W9" i="1"/>
  <c r="P49" i="1"/>
  <c r="T49" i="1" s="1"/>
  <c r="P39" i="1"/>
  <c r="T39" i="1" s="1"/>
  <c r="P50" i="1"/>
  <c r="T50" i="1" s="1"/>
  <c r="T12" i="1"/>
  <c r="W10" i="1"/>
  <c r="P62" i="1"/>
  <c r="W62" i="1" s="1"/>
  <c r="P60" i="1"/>
  <c r="P59" i="1"/>
  <c r="P53" i="1"/>
  <c r="X53" i="1" s="1"/>
  <c r="P52" i="1"/>
  <c r="P45" i="1"/>
  <c r="P38" i="1"/>
  <c r="P37" i="1"/>
  <c r="P66" i="1"/>
  <c r="X66" i="1" s="1"/>
  <c r="P55" i="1"/>
  <c r="W55" i="1" s="1"/>
  <c r="P51" i="1"/>
  <c r="W51" i="1" s="1"/>
  <c r="P35" i="1"/>
  <c r="P33" i="1"/>
  <c r="P23" i="1"/>
  <c r="P15" i="1"/>
  <c r="P7" i="1"/>
  <c r="U7" i="1" s="1"/>
  <c r="P47" i="1"/>
  <c r="X47" i="1" s="1"/>
  <c r="P58" i="1"/>
  <c r="X58" i="1" s="1"/>
  <c r="P31" i="1"/>
  <c r="P29" i="1"/>
  <c r="X29" i="1" s="1"/>
  <c r="P44" i="1"/>
  <c r="W44" i="1" s="1"/>
  <c r="P40" i="1"/>
  <c r="X40" i="1" s="1"/>
  <c r="P19" i="1"/>
  <c r="X19" i="1" s="1"/>
  <c r="P11" i="1"/>
  <c r="P8" i="1"/>
  <c r="U8" i="1" s="1"/>
  <c r="P25" i="1"/>
  <c r="W25" i="1" s="1"/>
  <c r="P24" i="1"/>
  <c r="P17" i="1"/>
  <c r="P16" i="1"/>
  <c r="P9" i="1"/>
  <c r="U9" i="1" s="1"/>
  <c r="P32" i="1"/>
  <c r="W32" i="1" s="1"/>
  <c r="P34" i="1"/>
  <c r="P18" i="1"/>
  <c r="P20" i="1"/>
  <c r="W12" i="1"/>
  <c r="P21" i="1"/>
  <c r="P5" i="1"/>
  <c r="P42" i="1"/>
  <c r="P27" i="1"/>
  <c r="W11" i="1"/>
  <c r="P13" i="1"/>
  <c r="P14" i="1"/>
  <c r="W14" i="1" s="1"/>
  <c r="L67" i="1"/>
  <c r="B73" i="1" s="1"/>
  <c r="P6" i="1"/>
  <c r="W6" i="1" s="1"/>
  <c r="P48" i="1"/>
  <c r="P54" i="1"/>
  <c r="P41" i="1"/>
  <c r="P57" i="1"/>
  <c r="P43" i="1"/>
  <c r="P64" i="1"/>
  <c r="W64" i="1" s="1"/>
  <c r="P46" i="1"/>
  <c r="P65" i="1"/>
  <c r="P30" i="1"/>
  <c r="X12" i="1"/>
  <c r="P26" i="1"/>
  <c r="P10" i="1"/>
  <c r="U10" i="1" s="1"/>
  <c r="P28" i="1"/>
  <c r="U12" i="1"/>
  <c r="P22" i="1"/>
  <c r="W22" i="1" s="1"/>
  <c r="N67" i="1"/>
  <c r="T56" i="1" l="1"/>
  <c r="T63" i="1"/>
  <c r="X56" i="1"/>
  <c r="U56" i="1"/>
  <c r="V67" i="1"/>
  <c r="X11" i="1"/>
  <c r="U11" i="1"/>
  <c r="X62" i="1"/>
  <c r="W36" i="1"/>
  <c r="X36" i="1"/>
  <c r="X63" i="1"/>
  <c r="U36" i="1"/>
  <c r="X39" i="1"/>
  <c r="U26" i="1"/>
  <c r="X26" i="1"/>
  <c r="T27" i="1"/>
  <c r="X27" i="1"/>
  <c r="U27" i="1"/>
  <c r="U28" i="1"/>
  <c r="X28" i="1"/>
  <c r="X50" i="1"/>
  <c r="U61" i="1"/>
  <c r="X61" i="1"/>
  <c r="W61" i="1"/>
  <c r="X49" i="1"/>
  <c r="X51" i="1"/>
  <c r="U49" i="1"/>
  <c r="U63" i="1"/>
  <c r="W19" i="1"/>
  <c r="W29" i="1"/>
  <c r="W53" i="1"/>
  <c r="U50" i="1"/>
  <c r="W50" i="1"/>
  <c r="U39" i="1"/>
  <c r="W49" i="1"/>
  <c r="W39" i="1"/>
  <c r="W67" i="1"/>
  <c r="X44" i="1"/>
  <c r="W47" i="1"/>
  <c r="W66" i="1"/>
  <c r="X55" i="1"/>
  <c r="T13" i="1"/>
  <c r="X13" i="1"/>
  <c r="U13" i="1"/>
  <c r="T42" i="1"/>
  <c r="U42" i="1"/>
  <c r="W42" i="1"/>
  <c r="X42" i="1"/>
  <c r="T18" i="1"/>
  <c r="U18" i="1"/>
  <c r="X18" i="1"/>
  <c r="T16" i="1"/>
  <c r="U16" i="1"/>
  <c r="X16" i="1"/>
  <c r="W16" i="1"/>
  <c r="T40" i="1"/>
  <c r="U40" i="1"/>
  <c r="U23" i="1"/>
  <c r="T23" i="1"/>
  <c r="W23" i="1"/>
  <c r="X23" i="1"/>
  <c r="T45" i="1"/>
  <c r="X45" i="1"/>
  <c r="W45" i="1"/>
  <c r="U45" i="1"/>
  <c r="T59" i="1"/>
  <c r="U59" i="1"/>
  <c r="W59" i="1"/>
  <c r="X59" i="1"/>
  <c r="T28" i="1"/>
  <c r="W28" i="1"/>
  <c r="T30" i="1"/>
  <c r="X30" i="1"/>
  <c r="U30" i="1"/>
  <c r="T5" i="1"/>
  <c r="X5" i="1"/>
  <c r="W5" i="1"/>
  <c r="U5" i="1"/>
  <c r="T17" i="1"/>
  <c r="X17" i="1"/>
  <c r="U17" i="1"/>
  <c r="T11" i="1"/>
  <c r="T44" i="1"/>
  <c r="U44" i="1"/>
  <c r="T47" i="1"/>
  <c r="U47" i="1"/>
  <c r="T33" i="1"/>
  <c r="U33" i="1"/>
  <c r="X33" i="1"/>
  <c r="W33" i="1"/>
  <c r="T66" i="1"/>
  <c r="U66" i="1"/>
  <c r="T60" i="1"/>
  <c r="U60" i="1"/>
  <c r="X60" i="1"/>
  <c r="W60" i="1"/>
  <c r="X67" i="1"/>
  <c r="T65" i="1"/>
  <c r="U65" i="1"/>
  <c r="X65" i="1"/>
  <c r="T46" i="1"/>
  <c r="W46" i="1"/>
  <c r="U46" i="1"/>
  <c r="X46" i="1"/>
  <c r="T41" i="1"/>
  <c r="U41" i="1"/>
  <c r="W41" i="1"/>
  <c r="X41" i="1"/>
  <c r="T21" i="1"/>
  <c r="W21" i="1"/>
  <c r="U21" i="1"/>
  <c r="X21" i="1"/>
  <c r="T32" i="1"/>
  <c r="X32" i="1"/>
  <c r="U32" i="1"/>
  <c r="W30" i="1"/>
  <c r="T24" i="1"/>
  <c r="W24" i="1"/>
  <c r="U24" i="1"/>
  <c r="X24" i="1"/>
  <c r="U19" i="1"/>
  <c r="T19" i="1"/>
  <c r="T29" i="1"/>
  <c r="U29" i="1"/>
  <c r="T7" i="1"/>
  <c r="X7" i="1"/>
  <c r="T35" i="1"/>
  <c r="U35" i="1"/>
  <c r="X35" i="1"/>
  <c r="W35" i="1"/>
  <c r="T37" i="1"/>
  <c r="U37" i="1"/>
  <c r="X37" i="1"/>
  <c r="W37" i="1"/>
  <c r="T52" i="1"/>
  <c r="U52" i="1"/>
  <c r="X52" i="1"/>
  <c r="W52" i="1"/>
  <c r="U62" i="1"/>
  <c r="T62" i="1"/>
  <c r="T64" i="1"/>
  <c r="X64" i="1"/>
  <c r="U64" i="1"/>
  <c r="T48" i="1"/>
  <c r="U48" i="1"/>
  <c r="X48" i="1"/>
  <c r="W48" i="1"/>
  <c r="W27" i="1"/>
  <c r="T20" i="1"/>
  <c r="W20" i="1"/>
  <c r="U20" i="1"/>
  <c r="X20" i="1"/>
  <c r="T8" i="1"/>
  <c r="X8" i="1"/>
  <c r="T58" i="1"/>
  <c r="U58" i="1"/>
  <c r="T55" i="1"/>
  <c r="U55" i="1"/>
  <c r="T26" i="1"/>
  <c r="W26" i="1"/>
  <c r="W40" i="1"/>
  <c r="T22" i="1"/>
  <c r="X22" i="1"/>
  <c r="U22" i="1"/>
  <c r="T10" i="1"/>
  <c r="X10" i="1"/>
  <c r="W65" i="1"/>
  <c r="T43" i="1"/>
  <c r="U43" i="1"/>
  <c r="X43" i="1"/>
  <c r="W43" i="1"/>
  <c r="W13" i="1"/>
  <c r="T57" i="1"/>
  <c r="U57" i="1"/>
  <c r="X57" i="1"/>
  <c r="W57" i="1"/>
  <c r="T54" i="1"/>
  <c r="W54" i="1"/>
  <c r="U54" i="1"/>
  <c r="X54" i="1"/>
  <c r="T6" i="1"/>
  <c r="X6" i="1"/>
  <c r="U6" i="1"/>
  <c r="T14" i="1"/>
  <c r="X14" i="1"/>
  <c r="U14" i="1"/>
  <c r="W17" i="1"/>
  <c r="T34" i="1"/>
  <c r="U34" i="1"/>
  <c r="W34" i="1"/>
  <c r="X34" i="1"/>
  <c r="W58" i="1"/>
  <c r="T9" i="1"/>
  <c r="X9" i="1"/>
  <c r="T25" i="1"/>
  <c r="X25" i="1"/>
  <c r="U25" i="1"/>
  <c r="T31" i="1"/>
  <c r="U31" i="1"/>
  <c r="W31" i="1"/>
  <c r="X31" i="1"/>
  <c r="U15" i="1"/>
  <c r="T15" i="1"/>
  <c r="X15" i="1"/>
  <c r="W15" i="1"/>
  <c r="T51" i="1"/>
  <c r="U51" i="1"/>
  <c r="T38" i="1"/>
  <c r="U38" i="1"/>
  <c r="W38" i="1"/>
  <c r="X38" i="1"/>
  <c r="T53" i="1"/>
  <c r="U53" i="1"/>
  <c r="W18" i="1"/>
  <c r="S67" i="1" l="1"/>
  <c r="T67" i="1"/>
</calcChain>
</file>

<file path=xl/sharedStrings.xml><?xml version="1.0" encoding="utf-8"?>
<sst xmlns="http://schemas.openxmlformats.org/spreadsheetml/2006/main" count="277" uniqueCount="100">
  <si>
    <t xml:space="preserve">PROGRAM YEAR </t>
  </si>
  <si>
    <t xml:space="preserve"> CASCADE NATURAL GAS CORPORATION</t>
  </si>
  <si>
    <t xml:space="preserve"> RESIDENTIAL Program Participant Cost Effectiveness</t>
  </si>
  <si>
    <t>MEASURE</t>
  </si>
  <si>
    <t>ZONE</t>
  </si>
  <si>
    <t>EFFICIENCY  RATING</t>
  </si>
  <si>
    <t>PARTICIPANTS</t>
  </si>
  <si>
    <t>MEASURES  INSTALLED</t>
  </si>
  <si>
    <t>ANNUAL  THERM  SAVINGS</t>
  </si>
  <si>
    <t>TOTAL  ANNUAL  THERM  SAVINGS</t>
  </si>
  <si>
    <t>MEASURE  INCREMENTAL  COST</t>
  </si>
  <si>
    <t>SOCIETAL  NEBS</t>
  </si>
  <si>
    <t>PARTICIPANT  NEBS</t>
  </si>
  <si>
    <t>TOTAL  INCREMENTAL  COST</t>
  </si>
  <si>
    <t>TOTAL  NET  INCREMENTAL  COST  WITH  NEBS</t>
  </si>
  <si>
    <t>MEASURE  LIFE</t>
  </si>
  <si>
    <t>TRC  DISCOUNTED  THERM  SAVINGS</t>
  </si>
  <si>
    <t>UCT  DISCOUNTED  THERM  SAVINGS</t>
  </si>
  <si>
    <t>PROGRAM  DELIVERY  &amp;  ADMIN</t>
  </si>
  <si>
    <t>PROGRAM  REBATE</t>
  </si>
  <si>
    <t>TOTAL  REBATES  COST</t>
  </si>
  <si>
    <t>UTILITY  COST</t>
  </si>
  <si>
    <t>UC  W/DELIVERY  &amp;  ADMIN</t>
  </si>
  <si>
    <t>LOADED  UTILITY  BENEFIT  TO  COST  RATIO</t>
  </si>
  <si>
    <t>TOTAL  RESOURCE  COST</t>
  </si>
  <si>
    <t>TRC  W/DELIVERY  &amp;  ADMIN</t>
  </si>
  <si>
    <t>LOADED  SOCIETAL  BENEFIT  TO  COST  RATIO</t>
  </si>
  <si>
    <t>Built Green Certified Home</t>
  </si>
  <si>
    <t>Zone 3</t>
  </si>
  <si>
    <t>Certified from one to five stars</t>
  </si>
  <si>
    <t>Bundle A</t>
  </si>
  <si>
    <t>Zone 1</t>
  </si>
  <si>
    <t>Zone 2</t>
  </si>
  <si>
    <t>Bundle B</t>
  </si>
  <si>
    <t>Ceiling Tier I</t>
  </si>
  <si>
    <t>Tier 1: Post R-38+</t>
  </si>
  <si>
    <t>Post R-38+</t>
  </si>
  <si>
    <t>Ceiling Tier II</t>
  </si>
  <si>
    <t>Tier 2: Post R-49+</t>
  </si>
  <si>
    <t>Condensing Boiler</t>
  </si>
  <si>
    <t>95+% Annual Fuel Utilization Efficiency (AFUE)</t>
  </si>
  <si>
    <t>Condensing High-Efficiency Natural Gas Tankless Water Heater</t>
  </si>
  <si>
    <t>0.91+ Energy Factor (EF) or Greater</t>
  </si>
  <si>
    <t>0.67+ Energy Factor (EF) or Greater</t>
  </si>
  <si>
    <t>Conventional High-Efficiency Natural Gas Water Heater</t>
  </si>
  <si>
    <t>Energy Savings Kit 1</t>
  </si>
  <si>
    <t>One Low Flow Showerhead plus Aerators</t>
  </si>
  <si>
    <t>Energy Savings Kit 2</t>
  </si>
  <si>
    <t>Two Low Flow Showerhead plus Aerators</t>
  </si>
  <si>
    <t>ENERGY STAR Certified Homes + U.30 Window Glazing</t>
  </si>
  <si>
    <t>Certified HERS 75</t>
  </si>
  <si>
    <t>Floor Insulation</t>
  </si>
  <si>
    <t>Post R 30+, or to fill cavity</t>
  </si>
  <si>
    <t>High-Efficiency Combination Domestic Hot Water and Hydronic Space Heating System using pre-</t>
  </si>
  <si>
    <t>90+% Annual Fuel Utilization Efficiency (AFUE) Hydronic Space Heating &amp; DHW</t>
  </si>
  <si>
    <t>High-Efficiency Exterior Entry (not sliding) Door</t>
  </si>
  <si>
    <t>U-Factor &lt;0.21, Energy Star Door</t>
  </si>
  <si>
    <t>High-Efficiency Natural Gas Furnace</t>
  </si>
  <si>
    <t>High-Efficiency Natural Gas Hearth (Fireplace)</t>
  </si>
  <si>
    <t>Tier 1: 70+% Fireplace Efficiency (FE)</t>
  </si>
  <si>
    <t>Natural Gas Hearth (Fireplace) - 70% FE Hearth</t>
  </si>
  <si>
    <t>High-Efficiency Natural Gas Hearth (Fireplace) - 80% AFUE Hearth</t>
  </si>
  <si>
    <t>Programmable Thermostat</t>
  </si>
  <si>
    <t>Programmable</t>
  </si>
  <si>
    <t>Wall Insulation</t>
  </si>
  <si>
    <t>Post R-11+, or to fill cavity</t>
  </si>
  <si>
    <t>Whole House Residential Air Sealing</t>
  </si>
  <si>
    <t>Min. 400 CFM50 reduction</t>
  </si>
  <si>
    <t>Comprehensive shell air sealing / infiltration control: to achieve CFM of 1250</t>
  </si>
  <si>
    <t>Comprehensive shell air sealing / infiltration control: to achieve CFM of 1252</t>
  </si>
  <si>
    <t>TOTAL PROGRAM</t>
  </si>
  <si>
    <t xml:space="preserve"> </t>
  </si>
  <si>
    <t>IRP Discount Rate</t>
  </si>
  <si>
    <t>Inflation Rate</t>
  </si>
  <si>
    <t>Long Term Discount Rate</t>
  </si>
  <si>
    <t>Total Res Program Admin</t>
  </si>
  <si>
    <t>CASCADE NATURAL GAS CORPORATION</t>
  </si>
  <si>
    <t>BASECASE - MEDIUM FORECAST - AVERAGE WEATHER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</si>
  <si>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</si>
  <si>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</si>
  <si>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</si>
  <si>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</si>
  <si>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</si>
  <si>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</si>
  <si>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</si>
  <si>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</si>
  <si>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5%</t>
  </si>
  <si>
    <t>7.5%</t>
  </si>
  <si>
    <t>10%</t>
  </si>
  <si>
    <t>12.5%</t>
  </si>
  <si>
    <t>15%</t>
  </si>
  <si>
    <t>17.5%</t>
  </si>
  <si>
    <t>20%</t>
  </si>
  <si>
    <t>Cascade's Long Term Real Discount Rate:</t>
  </si>
  <si>
    <t>IRP Discount Rate :</t>
  </si>
  <si>
    <t>Years 21-45 Escalation:</t>
  </si>
  <si>
    <t>(EIA Inflation Rate)</t>
  </si>
  <si>
    <t>10.0%</t>
  </si>
  <si>
    <t>2016 INTEGRATED RESOURCE PLAN</t>
  </si>
  <si>
    <t>Total Residential Non Energy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</si>
</sst>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\$#,##0.00;\$\-#,##0.00"/>
    <numFmt numFmtId="165" formatCode="\$#,##0.00"/>
    <numFmt numFmtId="166" formatCode="\$#,##0.00;\$\(#,##0.00\)\ "/>
    <numFmt numFmtId="167" formatCode="\$#,##0.000"/>
    <numFmt numFmtId="168" formatCode="#,##0.000;\(#,##0.000\)\ "/>
    <numFmt numFmtId="169" formatCode="\$#,##0.000;\$\(#,##0.000\)\ "/>
    <numFmt numFmtId="170" formatCode="\$#,##0.000;\$\(#,##0.000\)"/>
    <numFmt numFmtId="171" formatCode="#,##0.000"/>
    <numFmt numFmtId="172" formatCode="\$#,##0.00;\$\(#,##0.00\)"/>
    <numFmt numFmtId="173" formatCode="#,##0.00%"/>
    <numFmt numFmtId="174" formatCode="\$#,##0.0000;\$\-#,##0.0000"/>
    <numFmt numFmtId="175" formatCode="\$#,##0.##;\$\-#,##0.##"/>
  </numFmts>
  <fonts count="17" x14ac:knownFonts="1">
    <font>
      <sz val="11"/>
      <color theme="1"/>
      <name val="Calibri"/>
      <family val="2"/>
      <scheme val="minor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rgb="FFC00000"/>
      <name val="Arial"/>
      <family val="2"/>
    </font>
  </fonts>
  <fills count="5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5AA6DB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/>
      <right/>
      <top/>
      <bottom/>
      <diagonal/>
    </border>
    <border>
      <left style="thin">
        <color rgb="FFC2BABA"/>
      </left>
      <right style="thin">
        <color rgb="FFC2BABA"/>
      </right>
      <top style="thin">
        <color rgb="FFC2BABA"/>
      </top>
      <bottom style="thin">
        <color rgb="FFC2BAB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5" fillId="6" borderId="2" xfId="0" applyNumberFormat="1" applyFont="1" applyFill="1" applyBorder="1" applyAlignment="1" applyProtection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  <xf numFmtId="3" fontId="6" fillId="8" borderId="1" xfId="0" applyNumberFormat="1" applyFont="1" applyFill="1" applyBorder="1" applyAlignment="1" applyProtection="1">
      <alignment horizontal="center" vertical="center" wrapText="1"/>
    </xf>
    <xf numFmtId="164" fontId="6" fillId="9" borderId="1" xfId="0" applyNumberFormat="1" applyFont="1" applyFill="1" applyBorder="1" applyAlignment="1" applyProtection="1">
      <alignment horizontal="center" vertical="center" wrapText="1"/>
    </xf>
    <xf numFmtId="165" fontId="6" fillId="10" borderId="1" xfId="0" applyNumberFormat="1" applyFont="1" applyFill="1" applyBorder="1" applyAlignment="1" applyProtection="1">
      <alignment horizontal="center" vertical="center" wrapText="1"/>
    </xf>
    <xf numFmtId="166" fontId="6" fillId="11" borderId="1" xfId="0" applyNumberFormat="1" applyFont="1" applyFill="1" applyBorder="1" applyAlignment="1" applyProtection="1">
      <alignment horizontal="center" vertical="center" wrapText="1"/>
    </xf>
    <xf numFmtId="4" fontId="6" fillId="12" borderId="1" xfId="0" applyNumberFormat="1" applyFont="1" applyFill="1" applyBorder="1" applyAlignment="1" applyProtection="1">
      <alignment horizontal="center" vertical="center" wrapText="1"/>
    </xf>
    <xf numFmtId="167" fontId="6" fillId="13" borderId="1" xfId="0" applyNumberFormat="1" applyFont="1" applyFill="1" applyBorder="1" applyAlignment="1" applyProtection="1">
      <alignment horizontal="center" vertical="center" wrapText="1"/>
    </xf>
    <xf numFmtId="168" fontId="6" fillId="14" borderId="1" xfId="0" applyNumberFormat="1" applyFont="1" applyFill="1" applyBorder="1" applyAlignment="1" applyProtection="1">
      <alignment horizontal="center" vertical="center" wrapText="1"/>
    </xf>
    <xf numFmtId="170" fontId="6" fillId="15" borderId="1" xfId="0" applyNumberFormat="1" applyFont="1" applyFill="1" applyBorder="1" applyAlignment="1" applyProtection="1">
      <alignment horizontal="center" vertical="center" wrapText="1"/>
    </xf>
    <xf numFmtId="0" fontId="6" fillId="16" borderId="1" xfId="0" applyNumberFormat="1" applyFont="1" applyFill="1" applyBorder="1" applyAlignment="1" applyProtection="1">
      <alignment horizontal="center" vertical="center" wrapText="1"/>
    </xf>
    <xf numFmtId="3" fontId="6" fillId="17" borderId="1" xfId="0" applyNumberFormat="1" applyFont="1" applyFill="1" applyBorder="1" applyAlignment="1" applyProtection="1">
      <alignment horizontal="center" vertical="center" wrapText="1"/>
    </xf>
    <xf numFmtId="164" fontId="6" fillId="18" borderId="1" xfId="0" applyNumberFormat="1" applyFont="1" applyFill="1" applyBorder="1" applyAlignment="1" applyProtection="1">
      <alignment horizontal="center" vertical="center" wrapText="1"/>
    </xf>
    <xf numFmtId="165" fontId="6" fillId="19" borderId="1" xfId="0" applyNumberFormat="1" applyFont="1" applyFill="1" applyBorder="1" applyAlignment="1" applyProtection="1">
      <alignment horizontal="center" vertical="center" wrapText="1"/>
    </xf>
    <xf numFmtId="166" fontId="6" fillId="20" borderId="1" xfId="0" applyNumberFormat="1" applyFont="1" applyFill="1" applyBorder="1" applyAlignment="1" applyProtection="1">
      <alignment horizontal="center" vertical="center" wrapText="1"/>
    </xf>
    <xf numFmtId="4" fontId="6" fillId="21" borderId="1" xfId="0" applyNumberFormat="1" applyFont="1" applyFill="1" applyBorder="1" applyAlignment="1" applyProtection="1">
      <alignment horizontal="center" vertical="center" wrapText="1"/>
    </xf>
    <xf numFmtId="167" fontId="6" fillId="22" borderId="1" xfId="0" applyNumberFormat="1" applyFont="1" applyFill="1" applyBorder="1" applyAlignment="1" applyProtection="1">
      <alignment horizontal="center" vertical="center" wrapText="1"/>
    </xf>
    <xf numFmtId="168" fontId="6" fillId="23" borderId="1" xfId="0" applyNumberFormat="1" applyFont="1" applyFill="1" applyBorder="1" applyAlignment="1" applyProtection="1">
      <alignment horizontal="center" vertical="center" wrapText="1"/>
    </xf>
    <xf numFmtId="170" fontId="6" fillId="24" borderId="1" xfId="0" applyNumberFormat="1" applyFont="1" applyFill="1" applyBorder="1" applyAlignment="1" applyProtection="1">
      <alignment horizontal="center" vertical="center" wrapText="1"/>
    </xf>
    <xf numFmtId="0" fontId="5" fillId="25" borderId="1" xfId="0" applyNumberFormat="1" applyFont="1" applyFill="1" applyBorder="1" applyAlignment="1" applyProtection="1">
      <alignment horizontal="center" vertical="center" wrapText="1"/>
    </xf>
    <xf numFmtId="0" fontId="7" fillId="26" borderId="3" xfId="0" applyNumberFormat="1" applyFont="1" applyFill="1" applyBorder="1" applyAlignment="1" applyProtection="1">
      <alignment horizontal="center" vertical="center" wrapText="1"/>
    </xf>
    <xf numFmtId="3" fontId="7" fillId="27" borderId="1" xfId="0" applyNumberFormat="1" applyFont="1" applyFill="1" applyBorder="1" applyAlignment="1" applyProtection="1">
      <alignment horizontal="center" vertical="center" wrapText="1"/>
    </xf>
    <xf numFmtId="4" fontId="7" fillId="28" borderId="3" xfId="0" applyNumberFormat="1" applyFont="1" applyFill="1" applyBorder="1" applyAlignment="1" applyProtection="1">
      <alignment horizontal="center" vertical="center" wrapText="1"/>
    </xf>
    <xf numFmtId="172" fontId="7" fillId="30" borderId="3" xfId="0" applyNumberFormat="1" applyFont="1" applyFill="1" applyBorder="1" applyAlignment="1" applyProtection="1">
      <alignment horizontal="center" vertical="center" wrapText="1"/>
    </xf>
    <xf numFmtId="3" fontId="5" fillId="31" borderId="1" xfId="0" applyNumberFormat="1" applyFont="1" applyFill="1" applyBorder="1" applyAlignment="1" applyProtection="1">
      <alignment horizontal="center" vertical="center" wrapText="1"/>
    </xf>
    <xf numFmtId="172" fontId="5" fillId="32" borderId="1" xfId="0" applyNumberFormat="1" applyFont="1" applyFill="1" applyBorder="1" applyAlignment="1" applyProtection="1">
      <alignment horizontal="center" vertical="center" wrapText="1"/>
    </xf>
    <xf numFmtId="168" fontId="7" fillId="33" borderId="3" xfId="0" applyNumberFormat="1" applyFont="1" applyFill="1" applyBorder="1" applyAlignment="1" applyProtection="1">
      <alignment horizontal="center" vertical="center" wrapText="1"/>
    </xf>
    <xf numFmtId="0" fontId="8" fillId="34" borderId="4" xfId="0" applyNumberFormat="1" applyFont="1" applyFill="1" applyBorder="1" applyAlignment="1" applyProtection="1">
      <alignment horizontal="center" vertical="center" wrapText="1"/>
    </xf>
    <xf numFmtId="0" fontId="0" fillId="35" borderId="0" xfId="0" applyNumberFormat="1" applyFont="1" applyFill="1" applyBorder="1" applyAlignment="1" applyProtection="1">
      <alignment wrapText="1"/>
      <protection locked="0"/>
    </xf>
    <xf numFmtId="0" fontId="9" fillId="36" borderId="1" xfId="0" applyNumberFormat="1" applyFont="1" applyFill="1" applyBorder="1" applyAlignment="1" applyProtection="1">
      <alignment horizontal="center" vertical="center" wrapText="1"/>
    </xf>
    <xf numFmtId="173" fontId="10" fillId="37" borderId="1" xfId="0" applyNumberFormat="1" applyFont="1" applyFill="1" applyBorder="1" applyAlignment="1" applyProtection="1">
      <alignment horizontal="left" vertical="center" wrapText="1"/>
    </xf>
    <xf numFmtId="164" fontId="10" fillId="38" borderId="1" xfId="0" applyNumberFormat="1" applyFont="1" applyFill="1" applyBorder="1" applyAlignment="1" applyProtection="1">
      <alignment horizontal="left" vertical="center" wrapText="1"/>
    </xf>
    <xf numFmtId="0" fontId="6" fillId="42" borderId="4" xfId="0" applyNumberFormat="1" applyFont="1" applyFill="1" applyBorder="1" applyAlignment="1" applyProtection="1">
      <alignment horizontal="center" vertical="center" wrapText="1"/>
    </xf>
    <xf numFmtId="0" fontId="12" fillId="43" borderId="6" xfId="0" applyNumberFormat="1" applyFont="1" applyFill="1" applyBorder="1" applyAlignment="1" applyProtection="1">
      <alignment horizontal="center" vertical="center" wrapText="1"/>
    </xf>
    <xf numFmtId="0" fontId="13" fillId="44" borderId="6" xfId="0" applyNumberFormat="1" applyFont="1" applyFill="1" applyBorder="1" applyAlignment="1" applyProtection="1">
      <alignment horizontal="center" vertical="center" wrapText="1"/>
    </xf>
    <xf numFmtId="164" fontId="13" fillId="45" borderId="6" xfId="0" applyNumberFormat="1" applyFont="1" applyFill="1" applyBorder="1" applyAlignment="1" applyProtection="1">
      <alignment horizontal="center" vertical="center" wrapText="1"/>
    </xf>
    <xf numFmtId="174" fontId="13" fillId="46" borderId="6" xfId="0" applyNumberFormat="1" applyFont="1" applyFill="1" applyBorder="1" applyAlignment="1" applyProtection="1">
      <alignment horizontal="center" vertical="center" wrapText="1"/>
    </xf>
    <xf numFmtId="175" fontId="13" fillId="47" borderId="6" xfId="0" applyNumberFormat="1" applyFont="1" applyFill="1" applyBorder="1" applyAlignment="1" applyProtection="1">
      <alignment horizontal="center" vertical="center" wrapText="1"/>
    </xf>
    <xf numFmtId="0" fontId="13" fillId="49" borderId="5" xfId="0" applyNumberFormat="1" applyFont="1" applyFill="1" applyBorder="1" applyAlignment="1" applyProtection="1">
      <alignment horizontal="center" vertical="center" wrapText="1"/>
    </xf>
    <xf numFmtId="173" fontId="13" fillId="51" borderId="5" xfId="0" applyNumberFormat="1" applyFont="1" applyFill="1" applyBorder="1" applyAlignment="1" applyProtection="1">
      <alignment horizontal="center" vertical="center" wrapText="1"/>
    </xf>
    <xf numFmtId="4" fontId="7" fillId="29" borderId="1" xfId="0" applyNumberFormat="1" applyFont="1" applyFill="1" applyBorder="1" applyAlignment="1" applyProtection="1">
      <alignment horizontal="center" vertical="center" wrapText="1"/>
    </xf>
    <xf numFmtId="3" fontId="7" fillId="28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167" fontId="6" fillId="0" borderId="1" xfId="0" applyNumberFormat="1" applyFont="1" applyFill="1" applyBorder="1" applyAlignment="1" applyProtection="1">
      <alignment horizontal="center" vertical="center" wrapText="1"/>
    </xf>
    <xf numFmtId="168" fontId="6" fillId="0" borderId="1" xfId="0" applyNumberFormat="1" applyFont="1" applyFill="1" applyBorder="1" applyAlignment="1" applyProtection="1">
      <alignment horizontal="center" vertical="center" wrapText="1"/>
    </xf>
    <xf numFmtId="169" fontId="6" fillId="0" borderId="1" xfId="0" applyNumberFormat="1" applyFont="1" applyFill="1" applyBorder="1" applyAlignment="1" applyProtection="1">
      <alignment horizontal="center" vertical="center" wrapText="1"/>
    </xf>
    <xf numFmtId="17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6" fillId="53" borderId="1" xfId="0" applyNumberFormat="1" applyFont="1" applyFill="1" applyBorder="1" applyAlignment="1" applyProtection="1">
      <alignment horizontal="center" vertical="center" wrapText="1"/>
    </xf>
    <xf numFmtId="3" fontId="6" fillId="53" borderId="1" xfId="0" applyNumberFormat="1" applyFont="1" applyFill="1" applyBorder="1" applyAlignment="1" applyProtection="1">
      <alignment horizontal="center" vertical="center" wrapText="1"/>
    </xf>
    <xf numFmtId="171" fontId="6" fillId="53" borderId="1" xfId="0" applyNumberFormat="1" applyFont="1" applyFill="1" applyBorder="1" applyAlignment="1" applyProtection="1">
      <alignment horizontal="center" vertical="center" wrapText="1"/>
    </xf>
    <xf numFmtId="4" fontId="6" fillId="53" borderId="1" xfId="0" applyNumberFormat="1" applyFont="1" applyFill="1" applyBorder="1" applyAlignment="1" applyProtection="1">
      <alignment horizontal="center" vertical="center" wrapText="1"/>
    </xf>
    <xf numFmtId="164" fontId="6" fillId="53" borderId="1" xfId="0" applyNumberFormat="1" applyFont="1" applyFill="1" applyBorder="1" applyAlignment="1" applyProtection="1">
      <alignment horizontal="center" vertical="center" wrapText="1"/>
    </xf>
    <xf numFmtId="165" fontId="6" fillId="53" borderId="1" xfId="0" applyNumberFormat="1" applyFont="1" applyFill="1" applyBorder="1" applyAlignment="1" applyProtection="1">
      <alignment horizontal="center" vertical="center" wrapText="1"/>
    </xf>
    <xf numFmtId="166" fontId="6" fillId="53" borderId="1" xfId="0" applyNumberFormat="1" applyFont="1" applyFill="1" applyBorder="1" applyAlignment="1" applyProtection="1">
      <alignment horizontal="center" vertical="center" wrapText="1"/>
    </xf>
    <xf numFmtId="167" fontId="6" fillId="53" borderId="1" xfId="0" applyNumberFormat="1" applyFont="1" applyFill="1" applyBorder="1" applyAlignment="1" applyProtection="1">
      <alignment horizontal="center" vertical="center" wrapText="1"/>
    </xf>
    <xf numFmtId="168" fontId="6" fillId="53" borderId="1" xfId="0" applyNumberFormat="1" applyFont="1" applyFill="1" applyBorder="1" applyAlignment="1" applyProtection="1">
      <alignment horizontal="center" vertical="center" wrapText="1"/>
    </xf>
    <xf numFmtId="169" fontId="6" fillId="53" borderId="1" xfId="0" applyNumberFormat="1" applyFont="1" applyFill="1" applyBorder="1" applyAlignment="1" applyProtection="1">
      <alignment horizontal="center" vertical="center" wrapText="1"/>
    </xf>
    <xf numFmtId="170" fontId="6" fillId="53" borderId="1" xfId="0" applyNumberFormat="1" applyFont="1" applyFill="1" applyBorder="1" applyAlignment="1" applyProtection="1">
      <alignment horizontal="center" vertical="center" wrapText="1"/>
    </xf>
    <xf numFmtId="0" fontId="0" fillId="53" borderId="0" xfId="0" applyFill="1"/>
    <xf numFmtId="171" fontId="6" fillId="0" borderId="1" xfId="0" applyNumberFormat="1" applyFont="1" applyFill="1" applyBorder="1" applyAlignment="1" applyProtection="1">
      <alignment horizontal="center" vertical="center" wrapText="1"/>
    </xf>
    <xf numFmtId="0" fontId="14" fillId="7" borderId="1" xfId="0" applyNumberFormat="1" applyFont="1" applyFill="1" applyBorder="1" applyAlignment="1" applyProtection="1">
      <alignment horizontal="center" vertical="center" wrapText="1"/>
    </xf>
    <xf numFmtId="0" fontId="14" fillId="5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165" fontId="14" fillId="53" borderId="1" xfId="0" applyNumberFormat="1" applyFont="1" applyFill="1" applyBorder="1" applyAlignment="1" applyProtection="1">
      <alignment horizontal="center" vertical="center" wrapText="1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165" fontId="14" fillId="10" borderId="1" xfId="0" applyNumberFormat="1" applyFont="1" applyFill="1" applyBorder="1" applyAlignment="1" applyProtection="1">
      <alignment horizontal="center" vertical="center" wrapText="1"/>
    </xf>
    <xf numFmtId="165" fontId="14" fillId="19" borderId="1" xfId="0" applyNumberFormat="1" applyFont="1" applyFill="1" applyBorder="1" applyAlignment="1" applyProtection="1">
      <alignment horizontal="center" vertical="center" wrapText="1"/>
    </xf>
    <xf numFmtId="0" fontId="15" fillId="52" borderId="4" xfId="0" applyNumberFormat="1" applyFont="1" applyFill="1" applyBorder="1" applyAlignment="1" applyProtection="1">
      <alignment horizontal="center" vertical="center" wrapText="1"/>
    </xf>
    <xf numFmtId="7" fontId="16" fillId="39" borderId="4" xfId="0" applyNumberFormat="1" applyFont="1" applyFill="1" applyBorder="1" applyAlignment="1" applyProtection="1">
      <alignment horizontal="left" vertical="center" wrapText="1"/>
    </xf>
    <xf numFmtId="170" fontId="7" fillId="30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4" fillId="5" borderId="1" xfId="0" applyNumberFormat="1" applyFont="1" applyFill="1" applyBorder="1" applyAlignment="1" applyProtection="1">
      <alignment horizontal="left" vertical="center" wrapText="1"/>
    </xf>
    <xf numFmtId="0" fontId="11" fillId="50" borderId="5" xfId="0" applyNumberFormat="1" applyFont="1" applyFill="1" applyBorder="1" applyAlignment="1" applyProtection="1">
      <alignment horizontal="left" vertical="center" wrapText="1"/>
    </xf>
    <xf numFmtId="0" fontId="13" fillId="52" borderId="5" xfId="0" applyNumberFormat="1" applyFont="1" applyFill="1" applyBorder="1" applyAlignment="1" applyProtection="1">
      <alignment horizontal="left" vertical="center" wrapText="1"/>
    </xf>
    <xf numFmtId="0" fontId="13" fillId="48" borderId="4" xfId="0" applyNumberFormat="1" applyFont="1" applyFill="1" applyBorder="1" applyAlignment="1" applyProtection="1">
      <alignment horizontal="center" vertical="center" wrapText="1"/>
    </xf>
    <xf numFmtId="0" fontId="13" fillId="49" borderId="5" xfId="0" applyNumberFormat="1" applyFont="1" applyFill="1" applyBorder="1" applyAlignment="1" applyProtection="1">
      <alignment horizontal="center" vertical="center" wrapText="1"/>
    </xf>
    <xf numFmtId="0" fontId="11" fillId="40" borderId="5" xfId="0" applyNumberFormat="1" applyFont="1" applyFill="1" applyBorder="1" applyAlignment="1" applyProtection="1">
      <alignment horizontal="center" vertical="center" wrapText="1"/>
    </xf>
    <xf numFmtId="0" fontId="6" fillId="41" borderId="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X73"/>
  <sheetViews>
    <sheetView tabSelected="1" zoomScale="80" zoomScaleNormal="80" workbookViewId="0">
      <pane ySplit="4" topLeftCell="A12" activePane="bottomLeft" state="frozen"/>
      <selection pane="bottomLeft" activeCell="N68" sqref="N68"/>
    </sheetView>
  </sheetViews>
  <sheetFormatPr defaultRowHeight="15" x14ac:dyDescent="0.25"/>
  <cols>
    <col min="1" max="1" width="86.7109375" customWidth="1"/>
    <col min="2" max="2" width="22.42578125" bestFit="1" customWidth="1"/>
    <col min="3" max="3" width="69.7109375" bestFit="1" customWidth="1"/>
    <col min="4" max="4" width="26.7109375" customWidth="1"/>
    <col min="5" max="5" width="35" customWidth="1"/>
    <col min="6" max="6" width="38.28515625" customWidth="1"/>
    <col min="7" max="8" width="45" customWidth="1"/>
    <col min="9" max="9" width="31.7109375" customWidth="1"/>
    <col min="10" max="10" width="38.28515625" customWidth="1"/>
    <col min="11" max="11" width="40" customWidth="1"/>
    <col min="12" max="12" width="58.28515625" customWidth="1"/>
    <col min="13" max="13" width="28.28515625" customWidth="1"/>
    <col min="14" max="14" width="46.7109375" customWidth="1"/>
    <col min="15" max="15" width="48.28515625" customWidth="1"/>
    <col min="16" max="16" width="43.28515625" customWidth="1"/>
    <col min="17" max="17" width="33.28515625" customWidth="1"/>
    <col min="18" max="18" width="36.7109375" customWidth="1"/>
    <col min="19" max="19" width="26.7109375" customWidth="1"/>
    <col min="20" max="20" width="38.28515625" customWidth="1"/>
    <col min="21" max="21" width="55" customWidth="1"/>
    <col min="22" max="22" width="38.28515625" customWidth="1"/>
    <col min="23" max="23" width="41.7109375" customWidth="1"/>
    <col min="24" max="24" width="61.7109375" customWidth="1"/>
  </cols>
  <sheetData>
    <row r="1" spans="1:24" ht="30" customHeight="1" x14ac:dyDescent="0.25">
      <c r="A1" s="1" t="s">
        <v>0</v>
      </c>
      <c r="B1" s="78" t="s">
        <v>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ht="30" customHeight="1" thickBot="1" x14ac:dyDescent="0.3">
      <c r="A2" s="1">
        <v>2018</v>
      </c>
      <c r="B2" s="79" t="s">
        <v>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4" ht="24.95" customHeight="1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</row>
    <row r="4" spans="1:24" ht="24.95" customHeight="1" thickBot="1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 t="s">
        <v>18</v>
      </c>
      <c r="Q4" s="2" t="s">
        <v>19</v>
      </c>
      <c r="R4" s="2" t="s">
        <v>20</v>
      </c>
      <c r="S4" s="2" t="s">
        <v>21</v>
      </c>
      <c r="T4" s="2" t="s">
        <v>22</v>
      </c>
      <c r="U4" s="2" t="s">
        <v>23</v>
      </c>
      <c r="V4" s="2" t="s">
        <v>24</v>
      </c>
      <c r="W4" s="2" t="s">
        <v>25</v>
      </c>
      <c r="X4" s="2" t="s">
        <v>26</v>
      </c>
    </row>
    <row r="5" spans="1:24" s="54" customFormat="1" ht="20.100000000000001" customHeight="1" thickBot="1" x14ac:dyDescent="0.3">
      <c r="A5" s="44" t="s">
        <v>27</v>
      </c>
      <c r="B5" s="44" t="s">
        <v>28</v>
      </c>
      <c r="C5" s="44" t="s">
        <v>29</v>
      </c>
      <c r="D5" s="45">
        <v>60</v>
      </c>
      <c r="E5" s="45">
        <v>60</v>
      </c>
      <c r="F5" s="45">
        <v>210</v>
      </c>
      <c r="G5" s="45">
        <f t="shared" ref="G5:G34" si="0">IF(ISNUMBER(E5),E5*F5,"")</f>
        <v>12600</v>
      </c>
      <c r="H5" s="46">
        <v>1142</v>
      </c>
      <c r="I5" s="47">
        <f>0.5*0.95*$F5+PV($B$71,$M5,-(0.116*$F5))</f>
        <v>499.83595895766246</v>
      </c>
      <c r="J5" s="47">
        <f>0.1*$H5+PV($B$71,$M5,(-0.05*0.95*$F5))+PV($B$71,$M5,-15)</f>
        <v>524.38665127124875</v>
      </c>
      <c r="K5" s="47">
        <f>IF(ISNUMBER(H5),H5*E5,"")</f>
        <v>68520</v>
      </c>
      <c r="L5" s="48">
        <f>K5-D5*(I5+J5)</f>
        <v>7066.6433862653284</v>
      </c>
      <c r="M5" s="45">
        <v>30</v>
      </c>
      <c r="N5" s="45">
        <f t="shared" ref="N5:O24" si="1">PV($B$71,$M5,-$G5)</f>
        <v>206941.01325396332</v>
      </c>
      <c r="O5" s="45">
        <f t="shared" si="1"/>
        <v>206941.01325396332</v>
      </c>
      <c r="P5" s="49">
        <f t="shared" ref="P5:P34" si="2">(G5/$G$67)*$P$67</f>
        <v>21783.999790185728</v>
      </c>
      <c r="Q5" s="46">
        <v>2000</v>
      </c>
      <c r="R5" s="47">
        <f t="shared" ref="R5:R34" si="3">IF(ISNUMBER(Q5),Q5*E5,"")</f>
        <v>120000</v>
      </c>
      <c r="S5" s="50">
        <f t="shared" ref="S5:S34" si="4">IF(ISERROR(R5/O5),0,R5/O5)</f>
        <v>0.57987538629055091</v>
      </c>
      <c r="T5" s="50">
        <f t="shared" ref="T5:T34" si="5">IF(ISERROR((P5+R5)/O5),0,(P5+R5)/O5)</f>
        <v>0.68514209706794449</v>
      </c>
      <c r="U5" s="51">
        <f>IF($R5=0,"-",(VLOOKUP(M5,'APP 2885'!$B$10:$G$54,6)*$G5)/($R5+$P5))</f>
        <v>2.1895672320946566</v>
      </c>
      <c r="V5" s="52">
        <f>IF(ISERROR(L5/N5),0,L5/N5)</f>
        <v>3.4148104694901454E-2</v>
      </c>
      <c r="W5" s="53">
        <f t="shared" ref="W5:W34" si="6">IF(ISERROR(L5/N5),0,(L5+P5)/N5)</f>
        <v>0.13941481547229503</v>
      </c>
      <c r="X5" s="51">
        <f>IF($R5=0,"-",(VLOOKUP(M5,'APP 2885'!$B$10:$G$54,4)*$G5)/($L5+$P5))</f>
        <v>9.1578208374830083</v>
      </c>
    </row>
    <row r="6" spans="1:24" s="66" customFormat="1" ht="20.100000000000001" customHeight="1" thickBot="1" x14ac:dyDescent="0.3">
      <c r="A6" s="55" t="s">
        <v>27</v>
      </c>
      <c r="B6" s="55" t="s">
        <v>28</v>
      </c>
      <c r="C6" s="55" t="s">
        <v>29</v>
      </c>
      <c r="D6" s="56">
        <v>22</v>
      </c>
      <c r="E6" s="56">
        <v>22</v>
      </c>
      <c r="F6" s="56">
        <v>210</v>
      </c>
      <c r="G6" s="56">
        <f t="shared" si="0"/>
        <v>4620</v>
      </c>
      <c r="H6" s="59">
        <v>1142</v>
      </c>
      <c r="I6" s="60">
        <f>0.5*0.95*$F6+PV($B$71,$M6,-(0.116*$F6))</f>
        <v>499.83595895766246</v>
      </c>
      <c r="J6" s="60">
        <f t="shared" ref="J6:J11" si="7">0.1*$H6+PV($B$71,$M6,(-0.05*0.95*$F6))+PV($B$71,$M6,-15)</f>
        <v>524.38665127124875</v>
      </c>
      <c r="K6" s="60">
        <f t="shared" ref="K6:K34" si="8">IF(ISNUMBER(H6),H6*E6,"")</f>
        <v>25124</v>
      </c>
      <c r="L6" s="61">
        <f t="shared" ref="L6:L34" si="9">K6-D6*(I6+J6)</f>
        <v>2591.1025749639521</v>
      </c>
      <c r="M6" s="56">
        <v>30</v>
      </c>
      <c r="N6" s="56">
        <f t="shared" si="1"/>
        <v>75878.371526453207</v>
      </c>
      <c r="O6" s="56">
        <f t="shared" si="1"/>
        <v>75878.371526453207</v>
      </c>
      <c r="P6" s="58">
        <f t="shared" si="2"/>
        <v>7987.4665897347677</v>
      </c>
      <c r="Q6" s="59">
        <v>600</v>
      </c>
      <c r="R6" s="60">
        <f t="shared" si="3"/>
        <v>13200</v>
      </c>
      <c r="S6" s="62">
        <f t="shared" si="4"/>
        <v>0.1739626158871653</v>
      </c>
      <c r="T6" s="62">
        <f t="shared" si="5"/>
        <v>0.27922932666455885</v>
      </c>
      <c r="U6" s="63">
        <f>IF($R6=0,"-",(VLOOKUP(M6,'APP 2885'!$B$10:$G$54,6)*$G6)/($R6+$P6))</f>
        <v>5.372518363269025</v>
      </c>
      <c r="V6" s="64">
        <f>IF(ISERROR(L6/N6),0,L6/N6)</f>
        <v>3.4148104694901434E-2</v>
      </c>
      <c r="W6" s="65">
        <f t="shared" si="6"/>
        <v>0.13941481547229503</v>
      </c>
      <c r="X6" s="63">
        <f>IF($R6=0,"-",(VLOOKUP(M6,'APP 2885'!$B$10:$G$54,4)*$G6)/($L6+$P6))</f>
        <v>9.1578208374830101</v>
      </c>
    </row>
    <row r="7" spans="1:24" s="54" customFormat="1" ht="20.100000000000001" customHeight="1" thickBot="1" x14ac:dyDescent="0.3">
      <c r="A7" s="44" t="s">
        <v>30</v>
      </c>
      <c r="B7" s="44" t="s">
        <v>31</v>
      </c>
      <c r="C7" s="44"/>
      <c r="D7" s="45">
        <v>84</v>
      </c>
      <c r="E7" s="45">
        <v>84</v>
      </c>
      <c r="F7" s="45">
        <v>0</v>
      </c>
      <c r="G7" s="45">
        <f t="shared" si="0"/>
        <v>0</v>
      </c>
      <c r="H7" s="46">
        <v>0</v>
      </c>
      <c r="I7" s="47">
        <f>0.5*0.95*$F7+PV($B$71,$M7,-(0.116*$F7))</f>
        <v>0</v>
      </c>
      <c r="J7" s="47">
        <f t="shared" si="7"/>
        <v>0</v>
      </c>
      <c r="K7" s="47">
        <f t="shared" si="8"/>
        <v>0</v>
      </c>
      <c r="L7" s="48">
        <f t="shared" si="9"/>
        <v>0</v>
      </c>
      <c r="M7" s="45">
        <v>0</v>
      </c>
      <c r="N7" s="45">
        <f t="shared" si="1"/>
        <v>0</v>
      </c>
      <c r="O7" s="45">
        <f t="shared" si="1"/>
        <v>0</v>
      </c>
      <c r="P7" s="49">
        <f t="shared" si="2"/>
        <v>0</v>
      </c>
      <c r="Q7" s="46">
        <v>250</v>
      </c>
      <c r="R7" s="47">
        <f t="shared" si="3"/>
        <v>21000</v>
      </c>
      <c r="S7" s="50">
        <f t="shared" si="4"/>
        <v>0</v>
      </c>
      <c r="T7" s="50">
        <f t="shared" si="5"/>
        <v>0</v>
      </c>
      <c r="U7" s="51" t="e">
        <f>IF($R7=0,"-",(VLOOKUP(M7,'APP 2885'!$B$10:$G$54,6)*$G7)/($R7+$P7))</f>
        <v>#N/A</v>
      </c>
      <c r="V7" s="52">
        <f t="shared" ref="V7:V66" si="10">IF(ISERROR(L7/N7),0,L7/N7)</f>
        <v>0</v>
      </c>
      <c r="W7" s="53">
        <f t="shared" si="6"/>
        <v>0</v>
      </c>
      <c r="X7" s="51" t="e">
        <f>IF($R7=0,"-",(VLOOKUP(M7,'APP 2885'!$B$10:$G$54,4)*$G7)/($L7+$P7))</f>
        <v>#N/A</v>
      </c>
    </row>
    <row r="8" spans="1:24" s="66" customFormat="1" ht="20.100000000000001" customHeight="1" thickBot="1" x14ac:dyDescent="0.3">
      <c r="A8" s="55" t="s">
        <v>30</v>
      </c>
      <c r="B8" s="55" t="s">
        <v>32</v>
      </c>
      <c r="C8" s="55"/>
      <c r="D8" s="56">
        <v>16</v>
      </c>
      <c r="E8" s="56">
        <v>16</v>
      </c>
      <c r="F8" s="56">
        <v>0</v>
      </c>
      <c r="G8" s="56">
        <f t="shared" si="0"/>
        <v>0</v>
      </c>
      <c r="H8" s="59">
        <v>0</v>
      </c>
      <c r="I8" s="60">
        <f t="shared" ref="I8:I28" si="11">0.5*0.95*$F8+PV($B$71,$M8,-(0.116*$F8))</f>
        <v>0</v>
      </c>
      <c r="J8" s="60">
        <f t="shared" si="7"/>
        <v>0</v>
      </c>
      <c r="K8" s="60">
        <f t="shared" si="8"/>
        <v>0</v>
      </c>
      <c r="L8" s="61">
        <f t="shared" si="9"/>
        <v>0</v>
      </c>
      <c r="M8" s="56">
        <v>0</v>
      </c>
      <c r="N8" s="56">
        <f t="shared" si="1"/>
        <v>0</v>
      </c>
      <c r="O8" s="56">
        <f t="shared" si="1"/>
        <v>0</v>
      </c>
      <c r="P8" s="58">
        <f t="shared" si="2"/>
        <v>0</v>
      </c>
      <c r="Q8" s="59">
        <v>250</v>
      </c>
      <c r="R8" s="60">
        <f t="shared" si="3"/>
        <v>4000</v>
      </c>
      <c r="S8" s="62">
        <f t="shared" si="4"/>
        <v>0</v>
      </c>
      <c r="T8" s="62">
        <f t="shared" si="5"/>
        <v>0</v>
      </c>
      <c r="U8" s="63" t="e">
        <f>IF($R8=0,"-",(VLOOKUP(M8,'APP 2885'!$B$10:$G$54,6)*$G8)/($R8+$P8))</f>
        <v>#N/A</v>
      </c>
      <c r="V8" s="64">
        <f t="shared" si="10"/>
        <v>0</v>
      </c>
      <c r="W8" s="65">
        <f t="shared" si="6"/>
        <v>0</v>
      </c>
      <c r="X8" s="63" t="e">
        <f>IF($R8=0,"-",(VLOOKUP(M8,'APP 2885'!$B$10:$G$54,4)*$G8)/($L8+$P8))</f>
        <v>#N/A</v>
      </c>
    </row>
    <row r="9" spans="1:24" s="54" customFormat="1" ht="20.100000000000001" customHeight="1" thickBot="1" x14ac:dyDescent="0.3">
      <c r="A9" s="44" t="s">
        <v>30</v>
      </c>
      <c r="B9" s="44" t="s">
        <v>28</v>
      </c>
      <c r="C9" s="44"/>
      <c r="D9" s="45">
        <v>167</v>
      </c>
      <c r="E9" s="45">
        <v>167</v>
      </c>
      <c r="F9" s="45">
        <v>0</v>
      </c>
      <c r="G9" s="45">
        <f t="shared" si="0"/>
        <v>0</v>
      </c>
      <c r="H9" s="46">
        <v>0</v>
      </c>
      <c r="I9" s="47">
        <f t="shared" si="11"/>
        <v>0</v>
      </c>
      <c r="J9" s="47">
        <f t="shared" si="7"/>
        <v>0</v>
      </c>
      <c r="K9" s="47">
        <f t="shared" si="8"/>
        <v>0</v>
      </c>
      <c r="L9" s="48">
        <f t="shared" si="9"/>
        <v>0</v>
      </c>
      <c r="M9" s="45">
        <v>0</v>
      </c>
      <c r="N9" s="45">
        <f t="shared" si="1"/>
        <v>0</v>
      </c>
      <c r="O9" s="45">
        <f t="shared" si="1"/>
        <v>0</v>
      </c>
      <c r="P9" s="49">
        <f t="shared" si="2"/>
        <v>0</v>
      </c>
      <c r="Q9" s="46">
        <v>250</v>
      </c>
      <c r="R9" s="47">
        <f t="shared" si="3"/>
        <v>41750</v>
      </c>
      <c r="S9" s="50">
        <f t="shared" si="4"/>
        <v>0</v>
      </c>
      <c r="T9" s="50">
        <f t="shared" si="5"/>
        <v>0</v>
      </c>
      <c r="U9" s="51" t="e">
        <f>IF($R9=0,"-",(VLOOKUP(M9,'APP 2885'!$B$10:$G$54,6)*$G9)/($R9+$P9))</f>
        <v>#N/A</v>
      </c>
      <c r="V9" s="52">
        <f t="shared" si="10"/>
        <v>0</v>
      </c>
      <c r="W9" s="53">
        <f t="shared" si="6"/>
        <v>0</v>
      </c>
      <c r="X9" s="51" t="e">
        <f>IF($R9=0,"-",(VLOOKUP(M9,'APP 2885'!$B$10:$G$54,4)*$G9)/($L9+$P9))</f>
        <v>#N/A</v>
      </c>
    </row>
    <row r="10" spans="1:24" s="66" customFormat="1" ht="18.75" customHeight="1" thickBot="1" x14ac:dyDescent="0.3">
      <c r="A10" s="55" t="s">
        <v>33</v>
      </c>
      <c r="B10" s="55" t="s">
        <v>31</v>
      </c>
      <c r="C10" s="55"/>
      <c r="D10" s="56">
        <v>12</v>
      </c>
      <c r="E10" s="56">
        <v>12</v>
      </c>
      <c r="F10" s="56">
        <v>0</v>
      </c>
      <c r="G10" s="56">
        <f t="shared" si="0"/>
        <v>0</v>
      </c>
      <c r="H10" s="59">
        <v>0</v>
      </c>
      <c r="I10" s="60">
        <f t="shared" si="11"/>
        <v>0</v>
      </c>
      <c r="J10" s="60">
        <f t="shared" si="7"/>
        <v>0</v>
      </c>
      <c r="K10" s="60">
        <f t="shared" si="8"/>
        <v>0</v>
      </c>
      <c r="L10" s="61">
        <f t="shared" si="9"/>
        <v>0</v>
      </c>
      <c r="M10" s="56">
        <v>0</v>
      </c>
      <c r="N10" s="56">
        <f t="shared" si="1"/>
        <v>0</v>
      </c>
      <c r="O10" s="56">
        <f t="shared" si="1"/>
        <v>0</v>
      </c>
      <c r="P10" s="58">
        <f t="shared" si="2"/>
        <v>0</v>
      </c>
      <c r="Q10" s="59">
        <v>500</v>
      </c>
      <c r="R10" s="60">
        <f t="shared" si="3"/>
        <v>6000</v>
      </c>
      <c r="S10" s="62">
        <f t="shared" si="4"/>
        <v>0</v>
      </c>
      <c r="T10" s="62">
        <f t="shared" si="5"/>
        <v>0</v>
      </c>
      <c r="U10" s="63" t="e">
        <f>IF($R10=0,"-",(VLOOKUP(M10,'APP 2885'!$B$10:$G$54,6)*$G10)/($R10+$P10))</f>
        <v>#N/A</v>
      </c>
      <c r="V10" s="64">
        <f t="shared" si="10"/>
        <v>0</v>
      </c>
      <c r="W10" s="65">
        <f t="shared" si="6"/>
        <v>0</v>
      </c>
      <c r="X10" s="63" t="e">
        <f>IF($R10=0,"-",(VLOOKUP(M10,'APP 2885'!$B$10:$G$54,4)*$G10)/($L10+$P10))</f>
        <v>#N/A</v>
      </c>
    </row>
    <row r="11" spans="1:24" s="54" customFormat="1" ht="20.100000000000001" customHeight="1" thickBot="1" x14ac:dyDescent="0.3">
      <c r="A11" s="44" t="s">
        <v>33</v>
      </c>
      <c r="B11" s="44" t="s">
        <v>28</v>
      </c>
      <c r="C11" s="44"/>
      <c r="D11" s="45">
        <v>2</v>
      </c>
      <c r="E11" s="45">
        <v>2</v>
      </c>
      <c r="F11" s="45">
        <v>0</v>
      </c>
      <c r="G11" s="45">
        <f t="shared" si="0"/>
        <v>0</v>
      </c>
      <c r="H11" s="46">
        <v>0</v>
      </c>
      <c r="I11" s="47">
        <f t="shared" si="11"/>
        <v>0</v>
      </c>
      <c r="J11" s="47">
        <f t="shared" si="7"/>
        <v>0</v>
      </c>
      <c r="K11" s="47">
        <f t="shared" si="8"/>
        <v>0</v>
      </c>
      <c r="L11" s="48">
        <f t="shared" si="9"/>
        <v>0</v>
      </c>
      <c r="M11" s="45">
        <v>0</v>
      </c>
      <c r="N11" s="45">
        <f t="shared" si="1"/>
        <v>0</v>
      </c>
      <c r="O11" s="45">
        <f t="shared" si="1"/>
        <v>0</v>
      </c>
      <c r="P11" s="49">
        <f t="shared" si="2"/>
        <v>0</v>
      </c>
      <c r="Q11" s="46">
        <v>500</v>
      </c>
      <c r="R11" s="47">
        <f t="shared" si="3"/>
        <v>1000</v>
      </c>
      <c r="S11" s="50">
        <f t="shared" si="4"/>
        <v>0</v>
      </c>
      <c r="T11" s="50">
        <f t="shared" si="5"/>
        <v>0</v>
      </c>
      <c r="U11" s="51" t="e">
        <f>IF($R11=0,"-",(VLOOKUP(M11,'APP 2885'!$B$10:$G$54,6)*$G11)/($R11+$P11))</f>
        <v>#N/A</v>
      </c>
      <c r="V11" s="52">
        <f t="shared" si="10"/>
        <v>0</v>
      </c>
      <c r="W11" s="53">
        <f t="shared" si="6"/>
        <v>0</v>
      </c>
      <c r="X11" s="51" t="e">
        <f>IF($R11=0,"-",(VLOOKUP(M11,'APP 2885'!$B$10:$G$54,4)*$G11)/($L11+$P11))</f>
        <v>#N/A</v>
      </c>
    </row>
    <row r="12" spans="1:24" s="66" customFormat="1" ht="20.100000000000001" customHeight="1" thickBot="1" x14ac:dyDescent="0.3">
      <c r="A12" s="55" t="s">
        <v>34</v>
      </c>
      <c r="B12" s="55" t="s">
        <v>31</v>
      </c>
      <c r="C12" s="55" t="s">
        <v>35</v>
      </c>
      <c r="D12" s="56">
        <v>15</v>
      </c>
      <c r="E12" s="56">
        <v>15737</v>
      </c>
      <c r="F12" s="57">
        <v>6.2E-2</v>
      </c>
      <c r="G12" s="58">
        <f t="shared" si="0"/>
        <v>975.69399999999996</v>
      </c>
      <c r="H12" s="59">
        <v>0.67</v>
      </c>
      <c r="I12" s="60">
        <f>0.5*0.95*$F12+PV($B$71,$M12,-(0.116*$F12))</f>
        <v>0.16871376923300799</v>
      </c>
      <c r="J12" s="71">
        <f>0.1*$H12+PV($B$71,$M12,(-0.05*0.95*$F12))</f>
        <v>0.12402611240144723</v>
      </c>
      <c r="K12" s="60">
        <f t="shared" si="8"/>
        <v>10543.79</v>
      </c>
      <c r="L12" s="61">
        <f t="shared" si="9"/>
        <v>10539.398901775485</v>
      </c>
      <c r="M12" s="56">
        <v>45</v>
      </c>
      <c r="N12" s="56">
        <f t="shared" si="1"/>
        <v>18893.051176033154</v>
      </c>
      <c r="O12" s="56">
        <f t="shared" si="1"/>
        <v>18893.051176033154</v>
      </c>
      <c r="P12" s="58">
        <f t="shared" si="2"/>
        <v>1686.866499308371</v>
      </c>
      <c r="Q12" s="59">
        <v>0.75</v>
      </c>
      <c r="R12" s="60">
        <f t="shared" si="3"/>
        <v>11802.75</v>
      </c>
      <c r="S12" s="62">
        <f t="shared" si="4"/>
        <v>0.62471381091543432</v>
      </c>
      <c r="T12" s="62">
        <f t="shared" si="5"/>
        <v>0.71399883341345471</v>
      </c>
      <c r="U12" s="63">
        <f>IF($R12=0,"-",(VLOOKUP(M12,'APP 2885'!$B$10:$G$54,6)*$G12)/($R12+$P12))</f>
        <v>3.0565492561594341</v>
      </c>
      <c r="V12" s="64">
        <f>IF(ISERROR(L12/N12),0,L12/N12)</f>
        <v>0.55784525239339189</v>
      </c>
      <c r="W12" s="65">
        <f t="shared" si="6"/>
        <v>0.64713027489141239</v>
      </c>
      <c r="X12" s="63">
        <f>IF($R12=0,"-",(VLOOKUP(M12,'APP 2885'!$B$10:$G$54,4)*$G12)/($L12+$P12))</f>
        <v>2.8103210536379222</v>
      </c>
    </row>
    <row r="13" spans="1:24" s="54" customFormat="1" ht="20.100000000000001" customHeight="1" thickBot="1" x14ac:dyDescent="0.3">
      <c r="A13" s="44" t="s">
        <v>34</v>
      </c>
      <c r="B13" s="44" t="s">
        <v>32</v>
      </c>
      <c r="C13" s="44" t="s">
        <v>35</v>
      </c>
      <c r="D13" s="45">
        <v>4</v>
      </c>
      <c r="E13" s="45">
        <v>5850</v>
      </c>
      <c r="F13" s="67">
        <v>5.7000000000000002E-2</v>
      </c>
      <c r="G13" s="49">
        <f t="shared" si="0"/>
        <v>333.45</v>
      </c>
      <c r="H13" s="46">
        <v>0.67</v>
      </c>
      <c r="I13" s="47">
        <f t="shared" si="11"/>
        <v>0.15510782010131377</v>
      </c>
      <c r="J13" s="72">
        <f>0.1*$H13+PV($B$71,$M13,(-0.05*0.95*$F13))</f>
        <v>0.11942723236907246</v>
      </c>
      <c r="K13" s="47">
        <f t="shared" si="8"/>
        <v>3919.5000000000005</v>
      </c>
      <c r="L13" s="48">
        <f t="shared" si="9"/>
        <v>3918.401859790119</v>
      </c>
      <c r="M13" s="45">
        <v>45</v>
      </c>
      <c r="N13" s="45">
        <f t="shared" si="1"/>
        <v>6456.8275654541858</v>
      </c>
      <c r="O13" s="45">
        <f t="shared" si="1"/>
        <v>6456.8275654541858</v>
      </c>
      <c r="P13" s="49">
        <f t="shared" si="2"/>
        <v>576.49799444741518</v>
      </c>
      <c r="Q13" s="46">
        <v>0.75</v>
      </c>
      <c r="R13" s="47">
        <f t="shared" si="3"/>
        <v>4387.5</v>
      </c>
      <c r="S13" s="50">
        <f t="shared" si="4"/>
        <v>0.67951326801327927</v>
      </c>
      <c r="T13" s="50">
        <f t="shared" si="5"/>
        <v>0.76879829051129978</v>
      </c>
      <c r="U13" s="51">
        <f>IF($R13=0,"-",(VLOOKUP(M13,'APP 2885'!$B$10:$G$54,6)*$G13)/($R13+$P13))</f>
        <v>2.8386803536167879</v>
      </c>
      <c r="V13" s="52">
        <f t="shared" si="10"/>
        <v>0.60686177849237499</v>
      </c>
      <c r="W13" s="53">
        <f t="shared" si="6"/>
        <v>0.69614680099039539</v>
      </c>
      <c r="X13" s="51">
        <f>IF($R13=0,"-",(VLOOKUP(M13,'APP 2885'!$B$10:$G$54,4)*$G13)/($L13+$P13))</f>
        <v>2.6124429982102635</v>
      </c>
    </row>
    <row r="14" spans="1:24" s="66" customFormat="1" ht="20.100000000000001" customHeight="1" thickBot="1" x14ac:dyDescent="0.3">
      <c r="A14" s="55" t="s">
        <v>34</v>
      </c>
      <c r="B14" s="55" t="s">
        <v>28</v>
      </c>
      <c r="C14" s="55" t="s">
        <v>35</v>
      </c>
      <c r="D14" s="56">
        <v>7</v>
      </c>
      <c r="E14" s="56">
        <v>5614</v>
      </c>
      <c r="F14" s="57">
        <v>6.7000000000000004E-2</v>
      </c>
      <c r="G14" s="58">
        <f t="shared" si="0"/>
        <v>376.13800000000003</v>
      </c>
      <c r="H14" s="59">
        <v>0.67</v>
      </c>
      <c r="I14" s="60">
        <f t="shared" si="11"/>
        <v>0.18231971836470218</v>
      </c>
      <c r="J14" s="71">
        <f>0.1*$H14+PV($B$71,$M14,(-0.05*0.95*$F14))</f>
        <v>0.128624992433822</v>
      </c>
      <c r="K14" s="60">
        <f t="shared" si="8"/>
        <v>3761.38</v>
      </c>
      <c r="L14" s="61">
        <f t="shared" si="9"/>
        <v>3759.2033870244104</v>
      </c>
      <c r="M14" s="56">
        <v>45</v>
      </c>
      <c r="N14" s="56">
        <f t="shared" si="1"/>
        <v>7283.4254215468782</v>
      </c>
      <c r="O14" s="56">
        <f t="shared" si="1"/>
        <v>7283.4254215468782</v>
      </c>
      <c r="P14" s="58">
        <f t="shared" si="2"/>
        <v>650.30080262546664</v>
      </c>
      <c r="Q14" s="59">
        <v>0.75</v>
      </c>
      <c r="R14" s="60">
        <f t="shared" si="3"/>
        <v>4210.5</v>
      </c>
      <c r="S14" s="62">
        <f t="shared" si="4"/>
        <v>0.57809337726502863</v>
      </c>
      <c r="T14" s="62">
        <f t="shared" si="5"/>
        <v>0.66737839976304902</v>
      </c>
      <c r="U14" s="63">
        <f>IF($R14=0,"-",(VLOOKUP(M14,'APP 2885'!$B$10:$G$54,6)*$G14)/($R14+$P14))</f>
        <v>3.2700677815515822</v>
      </c>
      <c r="V14" s="64">
        <f t="shared" si="10"/>
        <v>0.51613123900512436</v>
      </c>
      <c r="W14" s="65">
        <f t="shared" si="6"/>
        <v>0.60541626150314476</v>
      </c>
      <c r="X14" s="63">
        <f>IF($R14=0,"-",(VLOOKUP(M14,'APP 2885'!$B$10:$G$54,4)*$G14)/($L14+$P14))</f>
        <v>3.003956040854356</v>
      </c>
    </row>
    <row r="15" spans="1:24" s="54" customFormat="1" ht="20.100000000000001" customHeight="1" thickBot="1" x14ac:dyDescent="0.3">
      <c r="A15" s="44" t="s">
        <v>34</v>
      </c>
      <c r="B15" s="44" t="s">
        <v>31</v>
      </c>
      <c r="C15" s="44" t="s">
        <v>36</v>
      </c>
      <c r="D15" s="45">
        <v>1</v>
      </c>
      <c r="E15" s="45">
        <v>240</v>
      </c>
      <c r="F15" s="67">
        <v>6.3E-2</v>
      </c>
      <c r="G15" s="49">
        <f t="shared" si="0"/>
        <v>15.120000000000001</v>
      </c>
      <c r="H15" s="46">
        <v>0.67</v>
      </c>
      <c r="I15" s="47">
        <f t="shared" si="11"/>
        <v>0.1714349590593468</v>
      </c>
      <c r="J15" s="72">
        <f>0.1*$H15+PV($B$71,$M15,(-0.05*0.95*$F15))</f>
        <v>0.12494588840792219</v>
      </c>
      <c r="K15" s="47">
        <f t="shared" si="8"/>
        <v>160.80000000000001</v>
      </c>
      <c r="L15" s="48">
        <f t="shared" si="9"/>
        <v>160.50361915253274</v>
      </c>
      <c r="M15" s="45">
        <v>45</v>
      </c>
      <c r="N15" s="45">
        <f t="shared" si="1"/>
        <v>292.77922564002785</v>
      </c>
      <c r="O15" s="45">
        <f t="shared" si="1"/>
        <v>292.77922564002785</v>
      </c>
      <c r="P15" s="49">
        <f t="shared" si="2"/>
        <v>26.140799748222879</v>
      </c>
      <c r="Q15" s="46">
        <v>0.3</v>
      </c>
      <c r="R15" s="47">
        <f t="shared" si="3"/>
        <v>72</v>
      </c>
      <c r="S15" s="50">
        <f t="shared" si="4"/>
        <v>0.24591908747147254</v>
      </c>
      <c r="T15" s="50">
        <f t="shared" si="5"/>
        <v>0.3352041099694929</v>
      </c>
      <c r="U15" s="51">
        <f>IF($R15=0,"-",(VLOOKUP(M15,'APP 2885'!$B$10:$G$54,6)*$G15)/($R15+$P15))</f>
        <v>6.5105782962124703</v>
      </c>
      <c r="V15" s="52">
        <f t="shared" si="10"/>
        <v>0.54820699385916127</v>
      </c>
      <c r="W15" s="53">
        <f t="shared" si="6"/>
        <v>0.63749201635718167</v>
      </c>
      <c r="X15" s="51">
        <f>IF($R15=0,"-",(VLOOKUP(M15,'APP 2885'!$B$10:$G$54,4)*$G15)/($L15+$P15))</f>
        <v>2.8528103714397899</v>
      </c>
    </row>
    <row r="16" spans="1:24" s="66" customFormat="1" ht="20.100000000000001" customHeight="1" thickBot="1" x14ac:dyDescent="0.3">
      <c r="A16" s="55" t="s">
        <v>37</v>
      </c>
      <c r="B16" s="55" t="s">
        <v>31</v>
      </c>
      <c r="C16" s="55" t="s">
        <v>38</v>
      </c>
      <c r="D16" s="56">
        <v>165</v>
      </c>
      <c r="E16" s="56">
        <v>190793</v>
      </c>
      <c r="F16" s="57">
        <v>7.3999999999999996E-2</v>
      </c>
      <c r="G16" s="58">
        <f t="shared" si="0"/>
        <v>14118.681999999999</v>
      </c>
      <c r="H16" s="59">
        <v>0.67</v>
      </c>
      <c r="I16" s="60">
        <f>0.5*0.95*$F16+PV($B$71,$M16,-(0.116*$F16))</f>
        <v>0.201368047149074</v>
      </c>
      <c r="J16" s="71">
        <f t="shared" ref="J16:J18" si="12">0.1*$H16+PV($B$71,$M16,(-0.05*0.95*$F16))</f>
        <v>0.13506342447914671</v>
      </c>
      <c r="K16" s="60">
        <f>IF(ISNUMBER(H16),H16*E16,"")</f>
        <v>127831.31000000001</v>
      </c>
      <c r="L16" s="61">
        <f t="shared" si="9"/>
        <v>127775.79880718136</v>
      </c>
      <c r="M16" s="56">
        <v>45</v>
      </c>
      <c r="N16" s="56">
        <f t="shared" si="1"/>
        <v>273389.9988768386</v>
      </c>
      <c r="O16" s="56">
        <f t="shared" si="1"/>
        <v>273389.9988768386</v>
      </c>
      <c r="P16" s="58">
        <f t="shared" si="2"/>
        <v>24409.632200452306</v>
      </c>
      <c r="Q16" s="59">
        <v>1</v>
      </c>
      <c r="R16" s="60">
        <f t="shared" si="3"/>
        <v>190793</v>
      </c>
      <c r="S16" s="62">
        <f t="shared" si="4"/>
        <v>0.69787849147309777</v>
      </c>
      <c r="T16" s="62">
        <f t="shared" si="5"/>
        <v>0.78716351397111806</v>
      </c>
      <c r="U16" s="63">
        <f>IF($R16=0,"-",(VLOOKUP(M16,'APP 2885'!$B$10:$G$54,6)*$G16)/($R16+$P16))</f>
        <v>2.7724514213811391</v>
      </c>
      <c r="V16" s="64">
        <f t="shared" si="10"/>
        <v>0.46737554165155831</v>
      </c>
      <c r="W16" s="65">
        <f t="shared" si="6"/>
        <v>0.55666056414957865</v>
      </c>
      <c r="X16" s="63">
        <f>IF($R16=0,"-",(VLOOKUP(M16,'APP 2885'!$B$10:$G$54,4)*$G16)/($L16+$P16))</f>
        <v>3.2670606705402423</v>
      </c>
    </row>
    <row r="17" spans="1:24" s="54" customFormat="1" ht="20.100000000000001" customHeight="1" thickBot="1" x14ac:dyDescent="0.3">
      <c r="A17" s="44" t="s">
        <v>37</v>
      </c>
      <c r="B17" s="44" t="s">
        <v>32</v>
      </c>
      <c r="C17" s="44" t="s">
        <v>38</v>
      </c>
      <c r="D17" s="45">
        <v>27</v>
      </c>
      <c r="E17" s="45">
        <v>32759</v>
      </c>
      <c r="F17" s="67">
        <v>6.8000000000000005E-2</v>
      </c>
      <c r="G17" s="49">
        <f t="shared" si="0"/>
        <v>2227.6120000000001</v>
      </c>
      <c r="H17" s="46">
        <v>0.67</v>
      </c>
      <c r="I17" s="47">
        <f>0.5*0.95*$F17+PV($B$71,$M17,-(0.116*$F17))</f>
        <v>0.18504090819104099</v>
      </c>
      <c r="J17" s="47">
        <f t="shared" si="12"/>
        <v>0.12954476844029697</v>
      </c>
      <c r="K17" s="47">
        <f t="shared" si="8"/>
        <v>21948.530000000002</v>
      </c>
      <c r="L17" s="48">
        <f t="shared" si="9"/>
        <v>21940.036186730955</v>
      </c>
      <c r="M17" s="45">
        <v>45</v>
      </c>
      <c r="N17" s="45">
        <f t="shared" si="1"/>
        <v>43134.822512330276</v>
      </c>
      <c r="O17" s="45">
        <f t="shared" si="1"/>
        <v>43134.822512330276</v>
      </c>
      <c r="P17" s="49">
        <f t="shared" si="2"/>
        <v>3851.2935984615251</v>
      </c>
      <c r="Q17" s="46">
        <v>1</v>
      </c>
      <c r="R17" s="47">
        <f t="shared" si="3"/>
        <v>32759</v>
      </c>
      <c r="S17" s="50">
        <f t="shared" si="4"/>
        <v>0.7594560054266063</v>
      </c>
      <c r="T17" s="50">
        <f t="shared" si="5"/>
        <v>0.84874102792462669</v>
      </c>
      <c r="U17" s="51">
        <f>IF($R17=0,"-",(VLOOKUP(M17,'APP 2885'!$B$10:$G$54,6)*$G17)/($R17+$P17))</f>
        <v>2.5713056531566734</v>
      </c>
      <c r="V17" s="52">
        <f t="shared" si="10"/>
        <v>0.50863861049756953</v>
      </c>
      <c r="W17" s="53">
        <f t="shared" si="6"/>
        <v>0.59792363299558993</v>
      </c>
      <c r="X17" s="51">
        <f>IF($R17=0,"-",(VLOOKUP(M17,'APP 2885'!$B$10:$G$54,4)*$G17)/($L17+$P17))</f>
        <v>3.0415988524528608</v>
      </c>
    </row>
    <row r="18" spans="1:24" s="66" customFormat="1" ht="20.100000000000001" customHeight="1" thickBot="1" x14ac:dyDescent="0.3">
      <c r="A18" s="55" t="s">
        <v>37</v>
      </c>
      <c r="B18" s="55" t="s">
        <v>28</v>
      </c>
      <c r="C18" s="55" t="s">
        <v>38</v>
      </c>
      <c r="D18" s="56">
        <v>459</v>
      </c>
      <c r="E18" s="56">
        <v>616380</v>
      </c>
      <c r="F18" s="57">
        <v>0.08</v>
      </c>
      <c r="G18" s="58">
        <f t="shared" si="0"/>
        <v>49310.400000000001</v>
      </c>
      <c r="H18" s="59">
        <v>0.67</v>
      </c>
      <c r="I18" s="60">
        <f>0.5*0.95*$F18+PV($B$71,$M18,-(0.116*$F18))</f>
        <v>0.21769518610710706</v>
      </c>
      <c r="J18" s="60">
        <f t="shared" si="12"/>
        <v>0.14058208051799642</v>
      </c>
      <c r="K18" s="60">
        <f t="shared" si="8"/>
        <v>412974.60000000003</v>
      </c>
      <c r="L18" s="61">
        <f t="shared" si="9"/>
        <v>412810.15073461912</v>
      </c>
      <c r="M18" s="56">
        <v>45</v>
      </c>
      <c r="N18" s="56">
        <f t="shared" si="1"/>
        <v>954832.0587301607</v>
      </c>
      <c r="O18" s="56">
        <f t="shared" si="1"/>
        <v>954832.0587301607</v>
      </c>
      <c r="P18" s="58">
        <f t="shared" si="2"/>
        <v>85252.201845553529</v>
      </c>
      <c r="Q18" s="59">
        <v>1</v>
      </c>
      <c r="R18" s="60">
        <f t="shared" si="3"/>
        <v>616380</v>
      </c>
      <c r="S18" s="62">
        <f t="shared" si="4"/>
        <v>0.64553760461261533</v>
      </c>
      <c r="T18" s="62">
        <f t="shared" si="5"/>
        <v>0.73482262711063573</v>
      </c>
      <c r="U18" s="63">
        <f>IF($R18=0,"-",(VLOOKUP(M18,'APP 2885'!$B$10:$G$54,6)*$G18)/($R18+$P18))</f>
        <v>2.9699311407295821</v>
      </c>
      <c r="V18" s="64">
        <f t="shared" si="10"/>
        <v>0.43233796661961565</v>
      </c>
      <c r="W18" s="65">
        <f t="shared" si="6"/>
        <v>0.52162298911763605</v>
      </c>
      <c r="X18" s="63">
        <f>IF($R18=0,"-",(VLOOKUP(M18,'APP 2885'!$B$10:$G$54,4)*$G18)/($L18+$P18))</f>
        <v>3.4865101307175954</v>
      </c>
    </row>
    <row r="19" spans="1:24" ht="20.100000000000001" customHeight="1" thickBot="1" x14ac:dyDescent="0.3">
      <c r="A19" s="68" t="s">
        <v>39</v>
      </c>
      <c r="B19" s="3" t="s">
        <v>31</v>
      </c>
      <c r="C19" s="3" t="s">
        <v>40</v>
      </c>
      <c r="D19" s="4">
        <v>8</v>
      </c>
      <c r="E19" s="4">
        <v>8</v>
      </c>
      <c r="F19" s="4">
        <v>106</v>
      </c>
      <c r="G19" s="4">
        <f t="shared" si="0"/>
        <v>848</v>
      </c>
      <c r="H19" s="5">
        <v>1747</v>
      </c>
      <c r="I19" s="6">
        <f>0.5*0.95*$F19+PV($B$71,$M19,-(0.116*$F19))</f>
        <v>288.44612159191684</v>
      </c>
      <c r="J19" s="6">
        <f>0.1*$H19+PV($B$71,$M19,(-0.05*0.95*$F19))</f>
        <v>272.19625668634529</v>
      </c>
      <c r="K19" s="6">
        <f t="shared" si="8"/>
        <v>13976</v>
      </c>
      <c r="L19" s="7">
        <f t="shared" si="9"/>
        <v>9490.8609737739025</v>
      </c>
      <c r="M19" s="4">
        <v>45</v>
      </c>
      <c r="N19" s="4">
        <f t="shared" si="1"/>
        <v>16420.422178752884</v>
      </c>
      <c r="O19" s="4">
        <f t="shared" si="1"/>
        <v>16420.422178752884</v>
      </c>
      <c r="P19" s="8">
        <f t="shared" si="2"/>
        <v>1466.0977636569446</v>
      </c>
      <c r="Q19" s="5">
        <v>500</v>
      </c>
      <c r="R19" s="6">
        <f t="shared" si="3"/>
        <v>4000</v>
      </c>
      <c r="S19" s="9">
        <f t="shared" si="4"/>
        <v>0.24359909608023222</v>
      </c>
      <c r="T19" s="9">
        <f t="shared" si="5"/>
        <v>0.33288411857825262</v>
      </c>
      <c r="U19" s="10">
        <f>IF($R19=0,"-",(VLOOKUP(M19,'APP 2885'!$B$10:$G$54,6)*$G19)/($R19+$P19))</f>
        <v>6.5559529018371547</v>
      </c>
      <c r="V19" s="52">
        <f t="shared" si="10"/>
        <v>0.57799128855861881</v>
      </c>
      <c r="W19" s="11">
        <f t="shared" si="6"/>
        <v>0.6672763110566392</v>
      </c>
      <c r="X19" s="10">
        <f>IF($R19=0,"-",(VLOOKUP(M19,'APP 2885'!$B$10:$G$54,4)*$G19)/($L19+$P19))</f>
        <v>2.725473399608612</v>
      </c>
    </row>
    <row r="20" spans="1:24" s="66" customFormat="1" ht="20.100000000000001" customHeight="1" thickBot="1" x14ac:dyDescent="0.3">
      <c r="A20" s="69" t="s">
        <v>39</v>
      </c>
      <c r="B20" s="55" t="s">
        <v>28</v>
      </c>
      <c r="C20" s="55" t="s">
        <v>40</v>
      </c>
      <c r="D20" s="56">
        <v>3</v>
      </c>
      <c r="E20" s="56">
        <v>3</v>
      </c>
      <c r="F20" s="56">
        <v>106</v>
      </c>
      <c r="G20" s="56">
        <f t="shared" si="0"/>
        <v>318</v>
      </c>
      <c r="H20" s="59">
        <v>1747</v>
      </c>
      <c r="I20" s="60">
        <f>0.5*0.95*$F20+PV($B$71,$M20,-(0.116*$F20))</f>
        <v>288.44612159191684</v>
      </c>
      <c r="J20" s="60">
        <f>0.1*$H20+PV($B$71,$M20,(-0.05*0.95*$F20))</f>
        <v>272.19625668634529</v>
      </c>
      <c r="K20" s="60">
        <f t="shared" si="8"/>
        <v>5241</v>
      </c>
      <c r="L20" s="61">
        <f t="shared" si="9"/>
        <v>3559.0728651652134</v>
      </c>
      <c r="M20" s="56">
        <v>45</v>
      </c>
      <c r="N20" s="56">
        <f t="shared" si="1"/>
        <v>6157.658317032332</v>
      </c>
      <c r="O20" s="56">
        <f t="shared" si="1"/>
        <v>6157.658317032332</v>
      </c>
      <c r="P20" s="58">
        <f t="shared" si="2"/>
        <v>549.78666137135417</v>
      </c>
      <c r="Q20" s="59">
        <v>500</v>
      </c>
      <c r="R20" s="60">
        <f t="shared" si="3"/>
        <v>1500</v>
      </c>
      <c r="S20" s="62">
        <f t="shared" si="4"/>
        <v>0.2435990960802322</v>
      </c>
      <c r="T20" s="62">
        <f t="shared" si="5"/>
        <v>0.33288411857825256</v>
      </c>
      <c r="U20" s="63">
        <f>IF($R20=0,"-",(VLOOKUP(M20,'APP 2885'!$B$10:$G$54,6)*$G20)/($R20+$P20))</f>
        <v>6.5559529018371538</v>
      </c>
      <c r="V20" s="64">
        <f t="shared" si="10"/>
        <v>0.57799128855861881</v>
      </c>
      <c r="W20" s="65">
        <f t="shared" si="6"/>
        <v>0.6672763110566392</v>
      </c>
      <c r="X20" s="63">
        <f>IF($R20=0,"-",(VLOOKUP(M20,'APP 2885'!$B$10:$G$54,4)*$G20)/($L20+$P20))</f>
        <v>2.725473399608612</v>
      </c>
    </row>
    <row r="21" spans="1:24" s="54" customFormat="1" ht="20.100000000000001" customHeight="1" thickBot="1" x14ac:dyDescent="0.3">
      <c r="A21" s="44" t="s">
        <v>41</v>
      </c>
      <c r="B21" s="44" t="s">
        <v>31</v>
      </c>
      <c r="C21" s="44" t="s">
        <v>42</v>
      </c>
      <c r="D21" s="45">
        <v>254</v>
      </c>
      <c r="E21" s="45">
        <v>255</v>
      </c>
      <c r="F21" s="45">
        <v>54</v>
      </c>
      <c r="G21" s="45">
        <f t="shared" si="0"/>
        <v>13770</v>
      </c>
      <c r="H21" s="46">
        <v>1171</v>
      </c>
      <c r="I21" s="47">
        <f t="shared" si="11"/>
        <v>102.24686081918603</v>
      </c>
      <c r="J21" s="47">
        <f t="shared" ref="J21:J25" si="13">0.1*$H21+PV($B$71,$M21,(-0.05*0.95*$F21))+PV($B$71,$M21,-15)</f>
        <v>331.88669544843594</v>
      </c>
      <c r="K21" s="47">
        <f t="shared" si="8"/>
        <v>298605</v>
      </c>
      <c r="L21" s="48">
        <f t="shared" si="9"/>
        <v>188335.07670802402</v>
      </c>
      <c r="M21" s="45">
        <v>18</v>
      </c>
      <c r="N21" s="45">
        <f t="shared" si="1"/>
        <v>168381.03024907273</v>
      </c>
      <c r="O21" s="45">
        <f t="shared" si="1"/>
        <v>168381.03024907273</v>
      </c>
      <c r="P21" s="49">
        <f t="shared" si="2"/>
        <v>23806.799770702975</v>
      </c>
      <c r="Q21" s="46">
        <v>250</v>
      </c>
      <c r="R21" s="47">
        <f t="shared" si="3"/>
        <v>63750</v>
      </c>
      <c r="S21" s="50">
        <f t="shared" si="4"/>
        <v>0.37860559414382766</v>
      </c>
      <c r="T21" s="50">
        <f t="shared" si="5"/>
        <v>0.51999206585912394</v>
      </c>
      <c r="U21" s="51">
        <f>IF($R21=0,"-",(VLOOKUP(M21,'APP 2885'!$B$10:$G$54,6)*$G21)/($R21+$P21))</f>
        <v>1.9500297115373797</v>
      </c>
      <c r="V21" s="52">
        <f t="shared" si="10"/>
        <v>1.1185053116104282</v>
      </c>
      <c r="W21" s="53">
        <f t="shared" si="6"/>
        <v>1.2598917833257244</v>
      </c>
      <c r="X21" s="51">
        <f>IF($R21=0,"-",(VLOOKUP(M21,'APP 2885'!$B$10:$G$54,4)*$G21)/($L21+$P21))</f>
        <v>0.71540534343872864</v>
      </c>
    </row>
    <row r="22" spans="1:24" s="66" customFormat="1" ht="20.100000000000001" customHeight="1" thickBot="1" x14ac:dyDescent="0.3">
      <c r="A22" s="55" t="s">
        <v>41</v>
      </c>
      <c r="B22" s="55" t="s">
        <v>31</v>
      </c>
      <c r="C22" s="55" t="s">
        <v>42</v>
      </c>
      <c r="D22" s="56">
        <v>1</v>
      </c>
      <c r="E22" s="56">
        <v>1</v>
      </c>
      <c r="F22" s="56">
        <v>54</v>
      </c>
      <c r="G22" s="56">
        <f t="shared" si="0"/>
        <v>54</v>
      </c>
      <c r="H22" s="59">
        <v>1171</v>
      </c>
      <c r="I22" s="60">
        <f t="shared" si="11"/>
        <v>102.24686081918603</v>
      </c>
      <c r="J22" s="60">
        <f t="shared" si="13"/>
        <v>331.88669544843594</v>
      </c>
      <c r="K22" s="60">
        <f t="shared" si="8"/>
        <v>1171</v>
      </c>
      <c r="L22" s="61">
        <f t="shared" si="9"/>
        <v>736.866443732378</v>
      </c>
      <c r="M22" s="56">
        <v>18</v>
      </c>
      <c r="N22" s="56">
        <f t="shared" si="1"/>
        <v>660.3177656826382</v>
      </c>
      <c r="O22" s="56">
        <f t="shared" si="1"/>
        <v>660.3177656826382</v>
      </c>
      <c r="P22" s="58">
        <f t="shared" si="2"/>
        <v>93.359999100795989</v>
      </c>
      <c r="Q22" s="59">
        <v>150</v>
      </c>
      <c r="R22" s="60">
        <f t="shared" si="3"/>
        <v>150</v>
      </c>
      <c r="S22" s="62">
        <f t="shared" si="4"/>
        <v>0.2271633564862966</v>
      </c>
      <c r="T22" s="62">
        <f t="shared" si="5"/>
        <v>0.36854982820159293</v>
      </c>
      <c r="U22" s="63">
        <f>IF($R22=0,"-",(VLOOKUP(M22,'APP 2885'!$B$10:$G$54,6)*$G22)/($R22+$P22))</f>
        <v>2.7513239746630571</v>
      </c>
      <c r="V22" s="64">
        <f t="shared" si="10"/>
        <v>1.1159270309357852</v>
      </c>
      <c r="W22" s="65">
        <f t="shared" si="6"/>
        <v>1.2573135026510815</v>
      </c>
      <c r="X22" s="63">
        <f>IF($R22=0,"-",(VLOOKUP(M22,'APP 2885'!$B$10:$G$54,4)*$G22)/($L22+$P22))</f>
        <v>0.71687237275769711</v>
      </c>
    </row>
    <row r="23" spans="1:24" s="54" customFormat="1" ht="20.100000000000001" customHeight="1" thickBot="1" x14ac:dyDescent="0.3">
      <c r="A23" s="44" t="s">
        <v>41</v>
      </c>
      <c r="B23" s="44" t="s">
        <v>32</v>
      </c>
      <c r="C23" s="44" t="s">
        <v>42</v>
      </c>
      <c r="D23" s="45">
        <v>89</v>
      </c>
      <c r="E23" s="45">
        <v>89</v>
      </c>
      <c r="F23" s="45">
        <v>54</v>
      </c>
      <c r="G23" s="45">
        <f t="shared" si="0"/>
        <v>4806</v>
      </c>
      <c r="H23" s="46">
        <v>1171</v>
      </c>
      <c r="I23" s="47">
        <f t="shared" si="11"/>
        <v>102.24686081918603</v>
      </c>
      <c r="J23" s="47">
        <f t="shared" si="13"/>
        <v>331.88669544843594</v>
      </c>
      <c r="K23" s="47">
        <f t="shared" si="8"/>
        <v>104219</v>
      </c>
      <c r="L23" s="48">
        <f t="shared" si="9"/>
        <v>65581.113492181641</v>
      </c>
      <c r="M23" s="45">
        <v>18</v>
      </c>
      <c r="N23" s="45">
        <f t="shared" si="1"/>
        <v>58768.281145754801</v>
      </c>
      <c r="O23" s="45">
        <f t="shared" si="1"/>
        <v>58768.281145754801</v>
      </c>
      <c r="P23" s="49">
        <f t="shared" si="2"/>
        <v>8309.0399199708427</v>
      </c>
      <c r="Q23" s="46">
        <v>250</v>
      </c>
      <c r="R23" s="47">
        <f t="shared" si="3"/>
        <v>22250</v>
      </c>
      <c r="S23" s="50">
        <f t="shared" si="4"/>
        <v>0.37860559414382766</v>
      </c>
      <c r="T23" s="50">
        <f t="shared" si="5"/>
        <v>0.51999206585912394</v>
      </c>
      <c r="U23" s="51">
        <f>IF($R23=0,"-",(VLOOKUP(M23,'APP 2885'!$B$10:$G$54,6)*$G23)/($R23+$P23))</f>
        <v>1.9500297115373797</v>
      </c>
      <c r="V23" s="52">
        <f t="shared" si="10"/>
        <v>1.1159270309357852</v>
      </c>
      <c r="W23" s="53">
        <f t="shared" si="6"/>
        <v>1.2573135026510815</v>
      </c>
      <c r="X23" s="51">
        <f>IF($R23=0,"-",(VLOOKUP(M23,'APP 2885'!$B$10:$G$54,4)*$G23)/($L23+$P23))</f>
        <v>0.71687237275769711</v>
      </c>
    </row>
    <row r="24" spans="1:24" s="66" customFormat="1" ht="20.100000000000001" customHeight="1" thickBot="1" x14ac:dyDescent="0.3">
      <c r="A24" s="55" t="s">
        <v>41</v>
      </c>
      <c r="B24" s="55" t="s">
        <v>28</v>
      </c>
      <c r="C24" s="55" t="s">
        <v>42</v>
      </c>
      <c r="D24" s="56">
        <v>151</v>
      </c>
      <c r="E24" s="56">
        <v>152</v>
      </c>
      <c r="F24" s="56">
        <v>54</v>
      </c>
      <c r="G24" s="56">
        <f t="shared" si="0"/>
        <v>8208</v>
      </c>
      <c r="H24" s="59">
        <v>1171</v>
      </c>
      <c r="I24" s="60">
        <f t="shared" si="11"/>
        <v>102.24686081918603</v>
      </c>
      <c r="J24" s="60">
        <f t="shared" si="13"/>
        <v>331.88669544843594</v>
      </c>
      <c r="K24" s="60">
        <f t="shared" si="8"/>
        <v>177992</v>
      </c>
      <c r="L24" s="61">
        <f t="shared" si="9"/>
        <v>112437.83300358908</v>
      </c>
      <c r="M24" s="56">
        <v>18</v>
      </c>
      <c r="N24" s="56">
        <f t="shared" si="1"/>
        <v>100368.30038376102</v>
      </c>
      <c r="O24" s="56">
        <f t="shared" si="1"/>
        <v>100368.30038376102</v>
      </c>
      <c r="P24" s="58">
        <f t="shared" si="2"/>
        <v>14190.719863320992</v>
      </c>
      <c r="Q24" s="59">
        <v>250</v>
      </c>
      <c r="R24" s="60">
        <f t="shared" si="3"/>
        <v>38000</v>
      </c>
      <c r="S24" s="62">
        <f t="shared" si="4"/>
        <v>0.37860559414382761</v>
      </c>
      <c r="T24" s="62">
        <f t="shared" si="5"/>
        <v>0.51999206585912394</v>
      </c>
      <c r="U24" s="63">
        <f>IF($R24=0,"-",(VLOOKUP(M24,'APP 2885'!$B$10:$G$54,6)*$G24)/($R24+$P24))</f>
        <v>1.9500297115373795</v>
      </c>
      <c r="V24" s="64">
        <f t="shared" si="10"/>
        <v>1.1202524360149557</v>
      </c>
      <c r="W24" s="65">
        <f t="shared" si="6"/>
        <v>1.2616389077302519</v>
      </c>
      <c r="X24" s="63">
        <f>IF($R24=0,"-",(VLOOKUP(M24,'APP 2885'!$B$10:$G$54,4)*$G24)/($L24+$P24))</f>
        <v>0.71441464623765705</v>
      </c>
    </row>
    <row r="25" spans="1:24" s="54" customFormat="1" ht="20.100000000000001" customHeight="1" thickBot="1" x14ac:dyDescent="0.3">
      <c r="A25" s="44" t="s">
        <v>41</v>
      </c>
      <c r="B25" s="44" t="s">
        <v>28</v>
      </c>
      <c r="C25" s="44" t="s">
        <v>42</v>
      </c>
      <c r="D25" s="45">
        <v>2</v>
      </c>
      <c r="E25" s="45">
        <v>2</v>
      </c>
      <c r="F25" s="45">
        <v>54</v>
      </c>
      <c r="G25" s="45">
        <f t="shared" si="0"/>
        <v>108</v>
      </c>
      <c r="H25" s="46">
        <v>1171</v>
      </c>
      <c r="I25" s="47">
        <f t="shared" si="11"/>
        <v>102.24686081918603</v>
      </c>
      <c r="J25" s="47">
        <f t="shared" si="13"/>
        <v>331.88669544843594</v>
      </c>
      <c r="K25" s="47">
        <f t="shared" si="8"/>
        <v>2342</v>
      </c>
      <c r="L25" s="48">
        <f t="shared" si="9"/>
        <v>1473.732887464756</v>
      </c>
      <c r="M25" s="45">
        <v>18</v>
      </c>
      <c r="N25" s="45">
        <f t="shared" ref="N25:O42" si="14">PV($B$71,$M25,-$G25)</f>
        <v>1320.6355313652764</v>
      </c>
      <c r="O25" s="45">
        <f t="shared" si="14"/>
        <v>1320.6355313652764</v>
      </c>
      <c r="P25" s="49">
        <f t="shared" si="2"/>
        <v>186.71999820159198</v>
      </c>
      <c r="Q25" s="46">
        <v>150</v>
      </c>
      <c r="R25" s="47">
        <f t="shared" si="3"/>
        <v>300</v>
      </c>
      <c r="S25" s="50">
        <f t="shared" si="4"/>
        <v>0.2271633564862966</v>
      </c>
      <c r="T25" s="50">
        <f t="shared" si="5"/>
        <v>0.36854982820159293</v>
      </c>
      <c r="U25" s="51">
        <f>IF($R25=0,"-",(VLOOKUP(M25,'APP 2885'!$B$10:$G$54,6)*$G25)/($R25+$P25))</f>
        <v>2.7513239746630571</v>
      </c>
      <c r="V25" s="52">
        <f t="shared" si="10"/>
        <v>1.1159270309357852</v>
      </c>
      <c r="W25" s="53">
        <f t="shared" si="6"/>
        <v>1.2573135026510815</v>
      </c>
      <c r="X25" s="51">
        <f>IF($R25=0,"-",(VLOOKUP(M25,'APP 2885'!$B$10:$G$54,4)*$G25)/($L25+$P25))</f>
        <v>0.71687237275769711</v>
      </c>
    </row>
    <row r="26" spans="1:24" s="66" customFormat="1" ht="20.100000000000001" customHeight="1" thickBot="1" x14ac:dyDescent="0.3">
      <c r="A26" s="55" t="s">
        <v>44</v>
      </c>
      <c r="B26" s="55" t="s">
        <v>31</v>
      </c>
      <c r="C26" s="55" t="s">
        <v>43</v>
      </c>
      <c r="D26" s="56">
        <v>5</v>
      </c>
      <c r="E26" s="56">
        <v>5</v>
      </c>
      <c r="F26" s="56">
        <v>33</v>
      </c>
      <c r="G26" s="56">
        <f t="shared" si="0"/>
        <v>165</v>
      </c>
      <c r="H26" s="59">
        <v>139</v>
      </c>
      <c r="I26" s="60">
        <f t="shared" si="11"/>
        <v>58.897769370705824</v>
      </c>
      <c r="J26" s="60">
        <f>0.1*$H26+PV($B$71,$M26,(-0.05*0.95*$F26))</f>
        <v>31.598978837142475</v>
      </c>
      <c r="K26" s="60">
        <f t="shared" si="8"/>
        <v>695</v>
      </c>
      <c r="L26" s="61">
        <f t="shared" si="9"/>
        <v>242.51625896075848</v>
      </c>
      <c r="M26" s="56">
        <v>16</v>
      </c>
      <c r="N26" s="56">
        <f t="shared" si="14"/>
        <v>1863.0504039097336</v>
      </c>
      <c r="O26" s="56">
        <f t="shared" si="14"/>
        <v>1863.0504039097336</v>
      </c>
      <c r="P26" s="58">
        <f t="shared" si="2"/>
        <v>285.26666391909885</v>
      </c>
      <c r="Q26" s="59">
        <v>45</v>
      </c>
      <c r="R26" s="60">
        <f t="shared" si="3"/>
        <v>225</v>
      </c>
      <c r="S26" s="62">
        <f t="shared" si="4"/>
        <v>0.12076967940739698</v>
      </c>
      <c r="T26" s="62">
        <f t="shared" si="5"/>
        <v>0.27388773961685137</v>
      </c>
      <c r="U26" s="63">
        <f>IF($R26=0,"-",(VLOOKUP(M26,'APP 2885'!$B$10:$G$54,6)*$G26)/($R26+$P26))</f>
        <v>3.4624616400183204</v>
      </c>
      <c r="V26" s="64">
        <f t="shared" si="10"/>
        <v>0.13017160375898698</v>
      </c>
      <c r="W26" s="65">
        <f t="shared" si="6"/>
        <v>0.28328966396844135</v>
      </c>
      <c r="X26" s="63">
        <f>IF($R26=0,"-",(VLOOKUP(M26,'APP 2885'!$B$10:$G$54,4)*$G26)/($L26+$P26))</f>
        <v>2.9755983604598293</v>
      </c>
    </row>
    <row r="27" spans="1:24" s="54" customFormat="1" ht="20.100000000000001" customHeight="1" thickBot="1" x14ac:dyDescent="0.3">
      <c r="A27" s="44" t="s">
        <v>44</v>
      </c>
      <c r="B27" s="44" t="s">
        <v>32</v>
      </c>
      <c r="C27" s="44" t="s">
        <v>43</v>
      </c>
      <c r="D27" s="45">
        <v>5</v>
      </c>
      <c r="E27" s="45">
        <v>5</v>
      </c>
      <c r="F27" s="45">
        <v>33</v>
      </c>
      <c r="G27" s="45">
        <f t="shared" si="0"/>
        <v>165</v>
      </c>
      <c r="H27" s="46">
        <v>139</v>
      </c>
      <c r="I27" s="47">
        <f t="shared" si="11"/>
        <v>58.897769370705824</v>
      </c>
      <c r="J27" s="47">
        <f t="shared" ref="J27:J28" si="15">0.1*$H27+PV($B$71,$M27,(-0.05*0.95*$F27))</f>
        <v>31.598978837142475</v>
      </c>
      <c r="K27" s="47">
        <f t="shared" si="8"/>
        <v>695</v>
      </c>
      <c r="L27" s="48">
        <f t="shared" si="9"/>
        <v>242.51625896075848</v>
      </c>
      <c r="M27" s="45">
        <v>16</v>
      </c>
      <c r="N27" s="45">
        <f t="shared" si="14"/>
        <v>1863.0504039097336</v>
      </c>
      <c r="O27" s="45">
        <f t="shared" si="14"/>
        <v>1863.0504039097336</v>
      </c>
      <c r="P27" s="49">
        <f t="shared" si="2"/>
        <v>285.26666391909885</v>
      </c>
      <c r="Q27" s="46">
        <v>45</v>
      </c>
      <c r="R27" s="47">
        <f t="shared" si="3"/>
        <v>225</v>
      </c>
      <c r="S27" s="50">
        <f t="shared" si="4"/>
        <v>0.12076967940739698</v>
      </c>
      <c r="T27" s="50">
        <f t="shared" si="5"/>
        <v>0.27388773961685137</v>
      </c>
      <c r="U27" s="51">
        <f>IF($R27=0,"-",(VLOOKUP(M27,'APP 2885'!$B$10:$G$54,6)*$G27)/($R27+$P27))</f>
        <v>3.4624616400183204</v>
      </c>
      <c r="V27" s="52">
        <f t="shared" si="10"/>
        <v>0.13017160375898698</v>
      </c>
      <c r="W27" s="53">
        <f t="shared" si="6"/>
        <v>0.28328966396844135</v>
      </c>
      <c r="X27" s="51">
        <f>IF($R27=0,"-",(VLOOKUP(M27,'APP 2885'!$B$10:$G$54,4)*$G27)/($L27+$P27))</f>
        <v>2.9755983604598293</v>
      </c>
    </row>
    <row r="28" spans="1:24" s="66" customFormat="1" ht="20.100000000000001" customHeight="1" thickBot="1" x14ac:dyDescent="0.3">
      <c r="A28" s="55" t="s">
        <v>44</v>
      </c>
      <c r="B28" s="55" t="s">
        <v>28</v>
      </c>
      <c r="C28" s="55" t="s">
        <v>43</v>
      </c>
      <c r="D28" s="56">
        <v>3</v>
      </c>
      <c r="E28" s="56">
        <v>3</v>
      </c>
      <c r="F28" s="56">
        <v>33</v>
      </c>
      <c r="G28" s="56">
        <f t="shared" si="0"/>
        <v>99</v>
      </c>
      <c r="H28" s="59">
        <v>139</v>
      </c>
      <c r="I28" s="60">
        <f t="shared" si="11"/>
        <v>58.897769370705824</v>
      </c>
      <c r="J28" s="60">
        <f t="shared" si="15"/>
        <v>31.598978837142475</v>
      </c>
      <c r="K28" s="60">
        <f t="shared" si="8"/>
        <v>417</v>
      </c>
      <c r="L28" s="61">
        <f t="shared" si="9"/>
        <v>145.50975537645513</v>
      </c>
      <c r="M28" s="56">
        <v>16</v>
      </c>
      <c r="N28" s="56">
        <f t="shared" si="14"/>
        <v>1117.8302423458401</v>
      </c>
      <c r="O28" s="56">
        <f t="shared" si="14"/>
        <v>1117.8302423458401</v>
      </c>
      <c r="P28" s="58">
        <f t="shared" si="2"/>
        <v>171.15999835145931</v>
      </c>
      <c r="Q28" s="59">
        <v>45</v>
      </c>
      <c r="R28" s="60">
        <f t="shared" si="3"/>
        <v>135</v>
      </c>
      <c r="S28" s="62">
        <f t="shared" si="4"/>
        <v>0.120769679407397</v>
      </c>
      <c r="T28" s="62">
        <f t="shared" si="5"/>
        <v>0.27388773961685137</v>
      </c>
      <c r="U28" s="63">
        <f>IF($R28=0,"-",(VLOOKUP(M28,'APP 2885'!$B$10:$G$54,6)*$G28)/($R28+$P28))</f>
        <v>3.4624616400183204</v>
      </c>
      <c r="V28" s="64">
        <f t="shared" si="10"/>
        <v>0.13017160375898701</v>
      </c>
      <c r="W28" s="65">
        <f t="shared" si="6"/>
        <v>0.28328966396844135</v>
      </c>
      <c r="X28" s="63">
        <f>IF($R28=0,"-",(VLOOKUP(M28,'APP 2885'!$B$10:$G$54,4)*$G28)/($L28+$P28))</f>
        <v>2.9755983604598288</v>
      </c>
    </row>
    <row r="29" spans="1:24" s="54" customFormat="1" ht="20.100000000000001" customHeight="1" thickBot="1" x14ac:dyDescent="0.3">
      <c r="A29" s="44" t="s">
        <v>45</v>
      </c>
      <c r="B29" s="44" t="s">
        <v>31</v>
      </c>
      <c r="C29" s="44" t="s">
        <v>46</v>
      </c>
      <c r="D29" s="45">
        <v>15</v>
      </c>
      <c r="E29" s="45">
        <v>15</v>
      </c>
      <c r="F29" s="45">
        <v>17</v>
      </c>
      <c r="G29" s="45">
        <f t="shared" si="0"/>
        <v>255</v>
      </c>
      <c r="H29" s="46">
        <v>10</v>
      </c>
      <c r="I29" s="47">
        <f t="shared" ref="I29:I34" si="16">PV($B$71,$M29,-(0.116*$F29))</f>
        <v>15.657724189025416</v>
      </c>
      <c r="J29" s="47">
        <f t="shared" ref="J29:J34" si="17">PV($B$71,$M29,-8.6)</f>
        <v>68.28419271075991</v>
      </c>
      <c r="K29" s="47">
        <f t="shared" si="8"/>
        <v>150</v>
      </c>
      <c r="L29" s="48">
        <f t="shared" si="9"/>
        <v>-1109.1287534967798</v>
      </c>
      <c r="M29" s="45">
        <v>10</v>
      </c>
      <c r="N29" s="45">
        <f t="shared" si="14"/>
        <v>2024.7057140981137</v>
      </c>
      <c r="O29" s="45">
        <f t="shared" si="14"/>
        <v>2024.7057140981137</v>
      </c>
      <c r="P29" s="49">
        <f t="shared" si="2"/>
        <v>440.86666242042548</v>
      </c>
      <c r="Q29" s="46">
        <v>10</v>
      </c>
      <c r="R29" s="47">
        <f t="shared" si="3"/>
        <v>150</v>
      </c>
      <c r="S29" s="50">
        <f t="shared" si="4"/>
        <v>7.4084840555120421E-2</v>
      </c>
      <c r="T29" s="50">
        <f t="shared" si="5"/>
        <v>0.29182841649835589</v>
      </c>
      <c r="U29" s="51">
        <f>IF($R29=0,"-",(VLOOKUP(M29,'APP 2885'!$B$10:$G$54,6)*$G29)/($R29+$P29))</f>
        <v>2.6196826601440901</v>
      </c>
      <c r="V29" s="52">
        <f t="shared" si="10"/>
        <v>-0.54779751238605601</v>
      </c>
      <c r="W29" s="53">
        <f t="shared" si="6"/>
        <v>-0.33005393644282055</v>
      </c>
      <c r="X29" s="51">
        <f>IF($R29=0,"-",(VLOOKUP(M29,'APP 2885'!$B$10:$G$54,4)*$G29)/($L29+$P29))</f>
        <v>-2.1057104971097633</v>
      </c>
    </row>
    <row r="30" spans="1:24" s="66" customFormat="1" ht="20.100000000000001" customHeight="1" thickBot="1" x14ac:dyDescent="0.3">
      <c r="A30" s="55" t="s">
        <v>45</v>
      </c>
      <c r="B30" s="55" t="s">
        <v>32</v>
      </c>
      <c r="C30" s="55" t="s">
        <v>46</v>
      </c>
      <c r="D30" s="56">
        <v>6</v>
      </c>
      <c r="E30" s="56">
        <v>6</v>
      </c>
      <c r="F30" s="56">
        <v>17</v>
      </c>
      <c r="G30" s="56">
        <f t="shared" si="0"/>
        <v>102</v>
      </c>
      <c r="H30" s="59">
        <v>10</v>
      </c>
      <c r="I30" s="60">
        <f t="shared" si="16"/>
        <v>15.657724189025416</v>
      </c>
      <c r="J30" s="60">
        <f t="shared" si="17"/>
        <v>68.28419271075991</v>
      </c>
      <c r="K30" s="60">
        <f t="shared" si="8"/>
        <v>60</v>
      </c>
      <c r="L30" s="61">
        <f t="shared" si="9"/>
        <v>-443.65150139871196</v>
      </c>
      <c r="M30" s="56">
        <v>10</v>
      </c>
      <c r="N30" s="56">
        <f t="shared" si="14"/>
        <v>809.88228563924542</v>
      </c>
      <c r="O30" s="56">
        <f t="shared" si="14"/>
        <v>809.88228563924542</v>
      </c>
      <c r="P30" s="58">
        <f t="shared" si="2"/>
        <v>176.34666496817022</v>
      </c>
      <c r="Q30" s="59">
        <v>10</v>
      </c>
      <c r="R30" s="60">
        <f t="shared" si="3"/>
        <v>60</v>
      </c>
      <c r="S30" s="62">
        <f t="shared" si="4"/>
        <v>7.4084840555120435E-2</v>
      </c>
      <c r="T30" s="62">
        <f t="shared" si="5"/>
        <v>0.291828416498356</v>
      </c>
      <c r="U30" s="63">
        <f>IF($R30=0,"-",(VLOOKUP(M30,'APP 2885'!$B$10:$G$54,6)*$G30)/($R30+$P30))</f>
        <v>2.6196826601440897</v>
      </c>
      <c r="V30" s="64">
        <f t="shared" si="10"/>
        <v>-0.54779751238605612</v>
      </c>
      <c r="W30" s="65">
        <f t="shared" si="6"/>
        <v>-0.33005393644282055</v>
      </c>
      <c r="X30" s="63">
        <f>IF($R30=0,"-",(VLOOKUP(M30,'APP 2885'!$B$10:$G$54,4)*$G30)/($L30+$P30))</f>
        <v>-2.1057104971097629</v>
      </c>
    </row>
    <row r="31" spans="1:24" s="54" customFormat="1" ht="20.100000000000001" customHeight="1" thickBot="1" x14ac:dyDescent="0.3">
      <c r="A31" s="44" t="s">
        <v>45</v>
      </c>
      <c r="B31" s="44" t="s">
        <v>28</v>
      </c>
      <c r="C31" s="44" t="s">
        <v>46</v>
      </c>
      <c r="D31" s="45">
        <v>13</v>
      </c>
      <c r="E31" s="45">
        <v>13</v>
      </c>
      <c r="F31" s="45">
        <v>17</v>
      </c>
      <c r="G31" s="45">
        <f t="shared" si="0"/>
        <v>221</v>
      </c>
      <c r="H31" s="46">
        <v>10</v>
      </c>
      <c r="I31" s="47">
        <f t="shared" si="16"/>
        <v>15.657724189025416</v>
      </c>
      <c r="J31" s="47">
        <f t="shared" si="17"/>
        <v>68.28419271075991</v>
      </c>
      <c r="K31" s="47">
        <f t="shared" si="8"/>
        <v>130</v>
      </c>
      <c r="L31" s="48">
        <f t="shared" si="9"/>
        <v>-961.2449196972093</v>
      </c>
      <c r="M31" s="45">
        <v>10</v>
      </c>
      <c r="N31" s="45">
        <f t="shared" si="14"/>
        <v>1754.7449522183651</v>
      </c>
      <c r="O31" s="45">
        <f t="shared" si="14"/>
        <v>1754.7449522183651</v>
      </c>
      <c r="P31" s="49">
        <f t="shared" si="2"/>
        <v>382.08444076436871</v>
      </c>
      <c r="Q31" s="46">
        <v>10</v>
      </c>
      <c r="R31" s="47">
        <f t="shared" si="3"/>
        <v>130</v>
      </c>
      <c r="S31" s="50">
        <f t="shared" si="4"/>
        <v>7.4084840555120435E-2</v>
      </c>
      <c r="T31" s="50">
        <f t="shared" si="5"/>
        <v>0.29182841649835595</v>
      </c>
      <c r="U31" s="51">
        <f>IF($R31=0,"-",(VLOOKUP(M31,'APP 2885'!$B$10:$G$54,6)*$G31)/($R31+$P31))</f>
        <v>2.6196826601440901</v>
      </c>
      <c r="V31" s="52">
        <f t="shared" si="10"/>
        <v>-0.54779751238605612</v>
      </c>
      <c r="W31" s="53">
        <f t="shared" si="6"/>
        <v>-0.33005393644282061</v>
      </c>
      <c r="X31" s="51">
        <f>IF($R31=0,"-",(VLOOKUP(M31,'APP 2885'!$B$10:$G$54,4)*$G31)/($L31+$P31))</f>
        <v>-2.1057104971097629</v>
      </c>
    </row>
    <row r="32" spans="1:24" s="66" customFormat="1" ht="20.100000000000001" customHeight="1" thickBot="1" x14ac:dyDescent="0.3">
      <c r="A32" s="55" t="s">
        <v>47</v>
      </c>
      <c r="B32" s="55" t="s">
        <v>31</v>
      </c>
      <c r="C32" s="55" t="s">
        <v>48</v>
      </c>
      <c r="D32" s="56">
        <v>66</v>
      </c>
      <c r="E32" s="56">
        <v>66</v>
      </c>
      <c r="F32" s="56">
        <v>31</v>
      </c>
      <c r="G32" s="56">
        <f t="shared" si="0"/>
        <v>2046</v>
      </c>
      <c r="H32" s="59">
        <v>16</v>
      </c>
      <c r="I32" s="60">
        <f t="shared" si="16"/>
        <v>28.552320579987519</v>
      </c>
      <c r="J32" s="60">
        <f t="shared" si="17"/>
        <v>68.28419271075991</v>
      </c>
      <c r="K32" s="60">
        <f t="shared" si="8"/>
        <v>1056</v>
      </c>
      <c r="L32" s="61">
        <f t="shared" si="9"/>
        <v>-5335.2098771893307</v>
      </c>
      <c r="M32" s="56">
        <v>10</v>
      </c>
      <c r="N32" s="56">
        <f t="shared" si="14"/>
        <v>16245.28584723428</v>
      </c>
      <c r="O32" s="56">
        <f t="shared" si="14"/>
        <v>16245.28584723428</v>
      </c>
      <c r="P32" s="58">
        <f t="shared" si="2"/>
        <v>3537.3066325968257</v>
      </c>
      <c r="Q32" s="59">
        <v>16</v>
      </c>
      <c r="R32" s="60">
        <f t="shared" si="3"/>
        <v>1056</v>
      </c>
      <c r="S32" s="62">
        <f t="shared" si="4"/>
        <v>6.500347300320243E-2</v>
      </c>
      <c r="T32" s="62">
        <f t="shared" si="5"/>
        <v>0.28274704894643787</v>
      </c>
      <c r="U32" s="63">
        <f>IF($R32=0,"-",(VLOOKUP(M32,'APP 2885'!$B$10:$G$54,6)*$G32)/($R32+$P32))</f>
        <v>2.7038225342640896</v>
      </c>
      <c r="V32" s="64">
        <f t="shared" si="10"/>
        <v>-0.32841588183550718</v>
      </c>
      <c r="W32" s="65">
        <f t="shared" si="6"/>
        <v>-0.11067230589227173</v>
      </c>
      <c r="X32" s="63">
        <f>IF($R32=0,"-",(VLOOKUP(M32,'APP 2885'!$B$10:$G$54,4)*$G32)/($L32+$P32))</f>
        <v>-6.2797827602558121</v>
      </c>
    </row>
    <row r="33" spans="1:24" s="54" customFormat="1" ht="20.100000000000001" customHeight="1" thickBot="1" x14ac:dyDescent="0.3">
      <c r="A33" s="44" t="s">
        <v>47</v>
      </c>
      <c r="B33" s="44" t="s">
        <v>32</v>
      </c>
      <c r="C33" s="44" t="s">
        <v>48</v>
      </c>
      <c r="D33" s="45">
        <v>19</v>
      </c>
      <c r="E33" s="45">
        <v>19</v>
      </c>
      <c r="F33" s="45">
        <v>31</v>
      </c>
      <c r="G33" s="45">
        <f t="shared" si="0"/>
        <v>589</v>
      </c>
      <c r="H33" s="46">
        <v>16</v>
      </c>
      <c r="I33" s="47">
        <f t="shared" si="16"/>
        <v>28.552320579987519</v>
      </c>
      <c r="J33" s="47">
        <f t="shared" si="17"/>
        <v>68.28419271075991</v>
      </c>
      <c r="K33" s="47">
        <f t="shared" si="8"/>
        <v>304</v>
      </c>
      <c r="L33" s="48">
        <f t="shared" si="9"/>
        <v>-1535.8937525242013</v>
      </c>
      <c r="M33" s="45">
        <v>10</v>
      </c>
      <c r="N33" s="45">
        <f t="shared" si="14"/>
        <v>4676.6731984462313</v>
      </c>
      <c r="O33" s="45">
        <f t="shared" si="14"/>
        <v>4676.6731984462313</v>
      </c>
      <c r="P33" s="49">
        <f t="shared" si="2"/>
        <v>1018.315545747571</v>
      </c>
      <c r="Q33" s="46">
        <v>16</v>
      </c>
      <c r="R33" s="47">
        <f t="shared" si="3"/>
        <v>304</v>
      </c>
      <c r="S33" s="50">
        <f t="shared" si="4"/>
        <v>6.5003473003202444E-2</v>
      </c>
      <c r="T33" s="50">
        <f t="shared" si="5"/>
        <v>0.28274704894643793</v>
      </c>
      <c r="U33" s="51">
        <f>IF($R33=0,"-",(VLOOKUP(M33,'APP 2885'!$B$10:$G$54,6)*$G33)/($R33+$P33))</f>
        <v>2.70382253426409</v>
      </c>
      <c r="V33" s="52">
        <f t="shared" si="10"/>
        <v>-0.3284158818355073</v>
      </c>
      <c r="W33" s="53">
        <f t="shared" si="6"/>
        <v>-0.11067230589227177</v>
      </c>
      <c r="X33" s="51">
        <f>IF($R33=0,"-",(VLOOKUP(M33,'APP 2885'!$B$10:$G$54,4)*$G33)/($L33+$P33))</f>
        <v>-6.2797827602558103</v>
      </c>
    </row>
    <row r="34" spans="1:24" s="66" customFormat="1" ht="20.100000000000001" customHeight="1" thickBot="1" x14ac:dyDescent="0.3">
      <c r="A34" s="55" t="s">
        <v>47</v>
      </c>
      <c r="B34" s="55" t="s">
        <v>28</v>
      </c>
      <c r="C34" s="55" t="s">
        <v>48</v>
      </c>
      <c r="D34" s="56">
        <v>48</v>
      </c>
      <c r="E34" s="56">
        <v>48</v>
      </c>
      <c r="F34" s="56">
        <v>31</v>
      </c>
      <c r="G34" s="56">
        <f t="shared" si="0"/>
        <v>1488</v>
      </c>
      <c r="H34" s="59">
        <v>16</v>
      </c>
      <c r="I34" s="60">
        <f t="shared" si="16"/>
        <v>28.552320579987519</v>
      </c>
      <c r="J34" s="60">
        <f t="shared" si="17"/>
        <v>68.28419271075991</v>
      </c>
      <c r="K34" s="60">
        <f t="shared" si="8"/>
        <v>768</v>
      </c>
      <c r="L34" s="61">
        <f t="shared" si="9"/>
        <v>-3880.1526379558763</v>
      </c>
      <c r="M34" s="56">
        <v>10</v>
      </c>
      <c r="N34" s="56">
        <f t="shared" si="14"/>
        <v>11814.753343443112</v>
      </c>
      <c r="O34" s="56">
        <f t="shared" si="14"/>
        <v>11814.753343443112</v>
      </c>
      <c r="P34" s="58">
        <f t="shared" si="2"/>
        <v>2572.5866418886008</v>
      </c>
      <c r="Q34" s="59">
        <v>16</v>
      </c>
      <c r="R34" s="60">
        <f t="shared" si="3"/>
        <v>768</v>
      </c>
      <c r="S34" s="62">
        <f t="shared" si="4"/>
        <v>6.500347300320243E-2</v>
      </c>
      <c r="T34" s="62">
        <f t="shared" si="5"/>
        <v>0.28274704894643793</v>
      </c>
      <c r="U34" s="63">
        <f>IF($R34=0,"-",(VLOOKUP(M34,'APP 2885'!$B$10:$G$54,6)*$G34)/($R34+$P34))</f>
        <v>2.7038225342640896</v>
      </c>
      <c r="V34" s="64">
        <f t="shared" si="10"/>
        <v>-0.32841588183550718</v>
      </c>
      <c r="W34" s="65">
        <f t="shared" si="6"/>
        <v>-0.11067230589227167</v>
      </c>
      <c r="X34" s="63">
        <f>IF($R34=0,"-",(VLOOKUP(M34,'APP 2885'!$B$10:$G$54,4)*$G34)/($L34+$P34))</f>
        <v>-6.2797827602558156</v>
      </c>
    </row>
    <row r="35" spans="1:24" s="54" customFormat="1" ht="20.100000000000001" customHeight="1" thickBot="1" x14ac:dyDescent="0.3">
      <c r="A35" s="44" t="s">
        <v>49</v>
      </c>
      <c r="B35" s="44" t="s">
        <v>28</v>
      </c>
      <c r="C35" s="44" t="s">
        <v>50</v>
      </c>
      <c r="D35" s="45">
        <v>14</v>
      </c>
      <c r="E35" s="45">
        <v>14</v>
      </c>
      <c r="F35" s="45">
        <v>207</v>
      </c>
      <c r="G35" s="45">
        <f t="shared" ref="G35:G64" si="18">IF(ISNUMBER(E35),E35*F35,"")</f>
        <v>2898</v>
      </c>
      <c r="H35" s="46">
        <v>1142</v>
      </c>
      <c r="I35" s="47">
        <f t="shared" ref="I35:I66" si="19">0.5*0.95*$F35+PV($B$71,$M35,-(0.116*$F35))</f>
        <v>492.69544525826723</v>
      </c>
      <c r="J35" s="47">
        <f t="shared" ref="J35:J42" si="20">0.1*$H35+PV($B$71,$M35,(-0.05*0.95*$F35))+PV($B$71,$M35,-15)</f>
        <v>522.04624695468601</v>
      </c>
      <c r="K35" s="47">
        <f t="shared" ref="K35:K66" si="21">IF(ISNUMBER(H35),H35*E35,"")</f>
        <v>15988</v>
      </c>
      <c r="L35" s="48">
        <f t="shared" ref="L35:L64" si="22">K35-D35*(I35+J35)</f>
        <v>1781.6163090186546</v>
      </c>
      <c r="M35" s="45">
        <v>30</v>
      </c>
      <c r="N35" s="45">
        <f t="shared" si="14"/>
        <v>47596.433048411564</v>
      </c>
      <c r="O35" s="45">
        <f t="shared" si="14"/>
        <v>47596.433048411564</v>
      </c>
      <c r="P35" s="49">
        <f t="shared" ref="P35:P66" si="23">(G35/$G$67)*$P$67</f>
        <v>5010.3199517427174</v>
      </c>
      <c r="Q35" s="46">
        <v>2000</v>
      </c>
      <c r="R35" s="47">
        <f t="shared" ref="R35:R64" si="24">IF(ISNUMBER(Q35),Q35*E35,"")</f>
        <v>28000</v>
      </c>
      <c r="S35" s="50">
        <f t="shared" ref="S35:S64" si="25">IF(ISERROR(R35/O35),0,R35/O35)</f>
        <v>0.58827937739621106</v>
      </c>
      <c r="T35" s="50">
        <f t="shared" ref="T35:T67" si="26">IF(ISERROR((P35+R35)/O35),0,(P35+R35)/O35)</f>
        <v>0.69354608817360475</v>
      </c>
      <c r="U35" s="51">
        <f>IF($R35=0,"-",(VLOOKUP(M35,'APP 2885'!$B$10:$G$54,6)*$G35)/($R35+$P35))</f>
        <v>2.1630353204343566</v>
      </c>
      <c r="V35" s="52">
        <f t="shared" si="10"/>
        <v>3.7431719036729635E-2</v>
      </c>
      <c r="W35" s="53">
        <f t="shared" ref="W35:W67" si="27">IF(ISERROR(L35/N35),0,(L35+P35)/N35)</f>
        <v>0.1426984298141232</v>
      </c>
      <c r="X35" s="51">
        <f>IF($R35=0,"-",(VLOOKUP(M35,'APP 2885'!$B$10:$G$54,4)*$G35)/($L35+$P35))</f>
        <v>8.9470914560804111</v>
      </c>
    </row>
    <row r="36" spans="1:24" s="66" customFormat="1" ht="20.100000000000001" customHeight="1" thickBot="1" x14ac:dyDescent="0.3">
      <c r="A36" s="55" t="s">
        <v>51</v>
      </c>
      <c r="B36" s="55" t="s">
        <v>31</v>
      </c>
      <c r="C36" s="55" t="s">
        <v>52</v>
      </c>
      <c r="D36" s="56">
        <v>259</v>
      </c>
      <c r="E36" s="56">
        <v>307943</v>
      </c>
      <c r="F36" s="57">
        <v>5.6000000000000001E-2</v>
      </c>
      <c r="G36" s="58">
        <f t="shared" si="18"/>
        <v>17244.808000000001</v>
      </c>
      <c r="H36" s="59">
        <v>1.08</v>
      </c>
      <c r="I36" s="60">
        <f t="shared" si="19"/>
        <v>0.15238663027497495</v>
      </c>
      <c r="J36" s="71">
        <f>0.1*$H36+PV($B$71,$M36,(-0.05*0.95*$F36))</f>
        <v>0.1595074563625975</v>
      </c>
      <c r="K36" s="60">
        <f t="shared" si="21"/>
        <v>332578.44</v>
      </c>
      <c r="L36" s="61">
        <f t="shared" si="22"/>
        <v>332497.6594315609</v>
      </c>
      <c r="M36" s="56">
        <v>45</v>
      </c>
      <c r="N36" s="56">
        <f t="shared" si="14"/>
        <v>333923.38178247074</v>
      </c>
      <c r="O36" s="56">
        <f t="shared" si="14"/>
        <v>333923.38178247074</v>
      </c>
      <c r="P36" s="58">
        <f t="shared" si="23"/>
        <v>29814.356655062951</v>
      </c>
      <c r="Q36" s="59">
        <v>0.75</v>
      </c>
      <c r="R36" s="60">
        <f t="shared" si="24"/>
        <v>230957.25</v>
      </c>
      <c r="S36" s="62">
        <f t="shared" si="25"/>
        <v>0.69164743351351643</v>
      </c>
      <c r="T36" s="62">
        <f t="shared" si="26"/>
        <v>0.78093245601153682</v>
      </c>
      <c r="U36" s="63">
        <f>IF($R36=0,"-",(VLOOKUP(M36,'APP 2885'!$B$10:$G$54,6)*$G36)/($R36+$P36))</f>
        <v>2.7945728037923399</v>
      </c>
      <c r="V36" s="64">
        <f t="shared" si="10"/>
        <v>0.99573039077617331</v>
      </c>
      <c r="W36" s="65">
        <f t="shared" si="27"/>
        <v>1.0850154132741936</v>
      </c>
      <c r="X36" s="63">
        <f>IF($R36=0,"-",(VLOOKUP(M36,'APP 2885'!$B$10:$G$54,4)*$G36)/($L36+$P36))</f>
        <v>1.6761456231168246</v>
      </c>
    </row>
    <row r="37" spans="1:24" s="54" customFormat="1" ht="20.100000000000001" customHeight="1" thickBot="1" x14ac:dyDescent="0.3">
      <c r="A37" s="44" t="s">
        <v>51</v>
      </c>
      <c r="B37" s="44" t="s">
        <v>31</v>
      </c>
      <c r="C37" s="44" t="s">
        <v>52</v>
      </c>
      <c r="D37" s="45">
        <v>1</v>
      </c>
      <c r="E37" s="45">
        <v>733</v>
      </c>
      <c r="F37" s="67">
        <v>5.6000000000000001E-2</v>
      </c>
      <c r="G37" s="49">
        <f t="shared" si="18"/>
        <v>41.048000000000002</v>
      </c>
      <c r="H37" s="46">
        <v>1.08</v>
      </c>
      <c r="I37" s="47">
        <f t="shared" si="19"/>
        <v>0.15238663027497495</v>
      </c>
      <c r="J37" s="72">
        <f>0.1*$H37+PV($B$71,$M37,(-0.05*0.95*$F37))</f>
        <v>0.1595074563625975</v>
      </c>
      <c r="K37" s="47">
        <f t="shared" si="21"/>
        <v>791.6400000000001</v>
      </c>
      <c r="L37" s="48">
        <f t="shared" si="22"/>
        <v>791.32810591336249</v>
      </c>
      <c r="M37" s="45">
        <v>45</v>
      </c>
      <c r="N37" s="45">
        <f t="shared" si="14"/>
        <v>794.84137923755713</v>
      </c>
      <c r="O37" s="45">
        <f t="shared" si="14"/>
        <v>794.84137923755713</v>
      </c>
      <c r="P37" s="49">
        <f t="shared" si="23"/>
        <v>70.967430427582855</v>
      </c>
      <c r="Q37" s="46">
        <v>0.3</v>
      </c>
      <c r="R37" s="47">
        <f t="shared" si="24"/>
        <v>219.9</v>
      </c>
      <c r="S37" s="50">
        <f t="shared" si="25"/>
        <v>0.27665897340540657</v>
      </c>
      <c r="T37" s="50">
        <f t="shared" si="26"/>
        <v>0.36594399590342697</v>
      </c>
      <c r="U37" s="51">
        <f>IF($R37=0,"-",(VLOOKUP(M37,'APP 2885'!$B$10:$G$54,6)*$G37)/($R37+$P37))</f>
        <v>5.9636792175831435</v>
      </c>
      <c r="V37" s="52">
        <f t="shared" si="10"/>
        <v>0.99557990636123561</v>
      </c>
      <c r="W37" s="53">
        <f t="shared" si="27"/>
        <v>1.084864928859256</v>
      </c>
      <c r="X37" s="51">
        <f>IF($R37=0,"-",(VLOOKUP(M37,'APP 2885'!$B$10:$G$54,4)*$G37)/($L37+$P37))</f>
        <v>1.6763781256032955</v>
      </c>
    </row>
    <row r="38" spans="1:24" s="66" customFormat="1" ht="20.100000000000001" customHeight="1" thickBot="1" x14ac:dyDescent="0.3">
      <c r="A38" s="55" t="s">
        <v>51</v>
      </c>
      <c r="B38" s="55" t="s">
        <v>32</v>
      </c>
      <c r="C38" s="55" t="s">
        <v>52</v>
      </c>
      <c r="D38" s="56">
        <v>23</v>
      </c>
      <c r="E38" s="56">
        <v>23836</v>
      </c>
      <c r="F38" s="57">
        <v>5.3999999999999999E-2</v>
      </c>
      <c r="G38" s="58">
        <f t="shared" si="18"/>
        <v>1287.144</v>
      </c>
      <c r="H38" s="59">
        <v>1.08</v>
      </c>
      <c r="I38" s="60">
        <f t="shared" si="19"/>
        <v>0.14694425062229727</v>
      </c>
      <c r="J38" s="71">
        <f>0.1*$H38+PV($B$71,$M38,(-0.05*0.95*$F38))</f>
        <v>0.15766790434964759</v>
      </c>
      <c r="K38" s="60">
        <f t="shared" si="21"/>
        <v>25742.880000000001</v>
      </c>
      <c r="L38" s="61">
        <f t="shared" si="22"/>
        <v>25735.873920435646</v>
      </c>
      <c r="M38" s="56">
        <v>45</v>
      </c>
      <c r="N38" s="56">
        <f t="shared" si="14"/>
        <v>24923.877222698942</v>
      </c>
      <c r="O38" s="56">
        <f t="shared" si="14"/>
        <v>24923.877222698942</v>
      </c>
      <c r="P38" s="58">
        <f t="shared" si="23"/>
        <v>2225.328938566573</v>
      </c>
      <c r="Q38" s="59">
        <v>0.75</v>
      </c>
      <c r="R38" s="60">
        <f t="shared" si="24"/>
        <v>17877</v>
      </c>
      <c r="S38" s="62">
        <f t="shared" si="25"/>
        <v>0.71726400512512822</v>
      </c>
      <c r="T38" s="62">
        <f t="shared" si="26"/>
        <v>0.80654902762314862</v>
      </c>
      <c r="U38" s="63">
        <f>IF($R38=0,"-",(VLOOKUP(M38,'APP 2885'!$B$10:$G$54,6)*$G38)/($R38+$P38))</f>
        <v>2.7058151810063165</v>
      </c>
      <c r="V38" s="64">
        <f t="shared" si="10"/>
        <v>1.0325790682758296</v>
      </c>
      <c r="W38" s="65">
        <f t="shared" si="27"/>
        <v>1.12186409077385</v>
      </c>
      <c r="X38" s="63">
        <f>IF($R38=0,"-",(VLOOKUP(M38,'APP 2885'!$B$10:$G$54,4)*$G38)/($L38+$P38))</f>
        <v>1.6210910492012904</v>
      </c>
    </row>
    <row r="39" spans="1:24" s="54" customFormat="1" ht="20.100000000000001" customHeight="1" thickBot="1" x14ac:dyDescent="0.3">
      <c r="A39" s="44" t="s">
        <v>51</v>
      </c>
      <c r="B39" s="44" t="s">
        <v>28</v>
      </c>
      <c r="C39" s="44" t="s">
        <v>52</v>
      </c>
      <c r="D39" s="45">
        <v>46</v>
      </c>
      <c r="E39" s="45">
        <v>53797</v>
      </c>
      <c r="F39" s="67">
        <v>5.8999999999999997E-2</v>
      </c>
      <c r="G39" s="49">
        <f t="shared" si="18"/>
        <v>3174.0229999999997</v>
      </c>
      <c r="H39" s="46">
        <v>1.08</v>
      </c>
      <c r="I39" s="47">
        <f t="shared" si="19"/>
        <v>0.16055019975399143</v>
      </c>
      <c r="J39" s="72">
        <f>0.1*$H39+PV($B$71,$M39,(-0.05*0.95*$F39))</f>
        <v>0.16226678438202236</v>
      </c>
      <c r="K39" s="47">
        <f t="shared" si="21"/>
        <v>58100.76</v>
      </c>
      <c r="L39" s="48">
        <f t="shared" si="22"/>
        <v>58085.910418729749</v>
      </c>
      <c r="M39" s="45">
        <v>45</v>
      </c>
      <c r="N39" s="45">
        <f t="shared" si="14"/>
        <v>61460.846303150662</v>
      </c>
      <c r="O39" s="45">
        <f t="shared" si="14"/>
        <v>61460.846303150662</v>
      </c>
      <c r="P39" s="49">
        <f t="shared" si="23"/>
        <v>5487.533044924181</v>
      </c>
      <c r="Q39" s="46">
        <v>0.75</v>
      </c>
      <c r="R39" s="47">
        <f t="shared" si="24"/>
        <v>40347.75</v>
      </c>
      <c r="S39" s="50">
        <f t="shared" si="25"/>
        <v>0.65647891994503271</v>
      </c>
      <c r="T39" s="50">
        <f t="shared" si="26"/>
        <v>0.74576394244305311</v>
      </c>
      <c r="U39" s="51">
        <f>IF($R39=0,"-",(VLOOKUP(M39,'APP 2885'!$B$10:$G$54,6)*$G39)/($R39+$P39))</f>
        <v>2.9263584345729425</v>
      </c>
      <c r="V39" s="52">
        <f t="shared" si="10"/>
        <v>0.94508803429464161</v>
      </c>
      <c r="W39" s="53">
        <f t="shared" si="27"/>
        <v>1.0343730567926619</v>
      </c>
      <c r="X39" s="51">
        <f>IF($R39=0,"-",(VLOOKUP(M39,'APP 2885'!$B$10:$G$54,4)*$G39)/($L39+$P39))</f>
        <v>1.7582088242060385</v>
      </c>
    </row>
    <row r="40" spans="1:24" s="66" customFormat="1" ht="20.100000000000001" customHeight="1" thickBot="1" x14ac:dyDescent="0.3">
      <c r="A40" s="55" t="s">
        <v>53</v>
      </c>
      <c r="B40" s="55" t="s">
        <v>31</v>
      </c>
      <c r="C40" s="55" t="s">
        <v>54</v>
      </c>
      <c r="D40" s="56">
        <v>45</v>
      </c>
      <c r="E40" s="56">
        <v>45</v>
      </c>
      <c r="F40" s="56">
        <v>475</v>
      </c>
      <c r="G40" s="56">
        <f t="shared" si="18"/>
        <v>21375</v>
      </c>
      <c r="H40" s="59">
        <v>2500</v>
      </c>
      <c r="I40" s="60">
        <f t="shared" si="19"/>
        <v>968.90239753946867</v>
      </c>
      <c r="J40" s="60">
        <f t="shared" si="20"/>
        <v>756.70339827724661</v>
      </c>
      <c r="K40" s="60">
        <f t="shared" si="21"/>
        <v>112500</v>
      </c>
      <c r="L40" s="61">
        <f t="shared" si="22"/>
        <v>34847.739188247811</v>
      </c>
      <c r="M40" s="56">
        <v>21</v>
      </c>
      <c r="N40" s="56">
        <f t="shared" si="14"/>
        <v>288340.36973513867</v>
      </c>
      <c r="O40" s="56">
        <f t="shared" si="14"/>
        <v>288340.36973513867</v>
      </c>
      <c r="P40" s="58">
        <f t="shared" si="23"/>
        <v>36954.999644065079</v>
      </c>
      <c r="Q40" s="59">
        <v>2500</v>
      </c>
      <c r="R40" s="60">
        <f t="shared" si="24"/>
        <v>112500</v>
      </c>
      <c r="S40" s="62">
        <f t="shared" si="25"/>
        <v>0.39016388895990989</v>
      </c>
      <c r="T40" s="62">
        <f t="shared" si="26"/>
        <v>0.51832839009449216</v>
      </c>
      <c r="U40" s="63">
        <f>IF($R40=0,"-",(VLOOKUP(M40,'APP 2885'!$B$10:$G$54,6)*$G40)/($R40+$P40))</f>
        <v>2.2018821474020727</v>
      </c>
      <c r="V40" s="64">
        <f t="shared" si="10"/>
        <v>0.12085626171686595</v>
      </c>
      <c r="W40" s="65">
        <f t="shared" si="27"/>
        <v>0.24902076285144834</v>
      </c>
      <c r="X40" s="63">
        <f>IF($R40=0,"-",(VLOOKUP(M40,'APP 2885'!$B$10:$G$54,4)*$G40)/($L40+$P40))</f>
        <v>3.9853426558461869</v>
      </c>
    </row>
    <row r="41" spans="1:24" s="54" customFormat="1" ht="20.100000000000001" customHeight="1" thickBot="1" x14ac:dyDescent="0.3">
      <c r="A41" s="44" t="s">
        <v>53</v>
      </c>
      <c r="B41" s="44" t="s">
        <v>32</v>
      </c>
      <c r="C41" s="44" t="s">
        <v>54</v>
      </c>
      <c r="D41" s="45">
        <v>6</v>
      </c>
      <c r="E41" s="45">
        <v>6</v>
      </c>
      <c r="F41" s="45">
        <v>468</v>
      </c>
      <c r="G41" s="45">
        <f t="shared" si="18"/>
        <v>2808</v>
      </c>
      <c r="H41" s="46">
        <v>2500</v>
      </c>
      <c r="I41" s="47">
        <f t="shared" si="19"/>
        <v>954.62383589151852</v>
      </c>
      <c r="J41" s="47">
        <f t="shared" si="20"/>
        <v>752.21810363692225</v>
      </c>
      <c r="K41" s="47">
        <f t="shared" si="21"/>
        <v>15000</v>
      </c>
      <c r="L41" s="48">
        <f t="shared" si="22"/>
        <v>4758.9483628293547</v>
      </c>
      <c r="M41" s="45">
        <v>21</v>
      </c>
      <c r="N41" s="45">
        <f t="shared" si="14"/>
        <v>37878.819097837164</v>
      </c>
      <c r="O41" s="45">
        <f t="shared" si="14"/>
        <v>37878.819097837164</v>
      </c>
      <c r="P41" s="49">
        <f t="shared" si="23"/>
        <v>4854.7199532413906</v>
      </c>
      <c r="Q41" s="46">
        <v>2500</v>
      </c>
      <c r="R41" s="47">
        <f t="shared" si="24"/>
        <v>15000</v>
      </c>
      <c r="S41" s="50">
        <f t="shared" si="25"/>
        <v>0.39599967362384014</v>
      </c>
      <c r="T41" s="50">
        <f t="shared" si="26"/>
        <v>0.52416417475842247</v>
      </c>
      <c r="U41" s="51">
        <f>IF($R41=0,"-",(VLOOKUP(M41,'APP 2885'!$B$10:$G$54,6)*$G41)/($R41+$P41))</f>
        <v>2.1773674806499752</v>
      </c>
      <c r="V41" s="52">
        <f t="shared" si="10"/>
        <v>0.12563613323154219</v>
      </c>
      <c r="W41" s="53">
        <f t="shared" si="27"/>
        <v>0.25380063436612454</v>
      </c>
      <c r="X41" s="51">
        <f>IF($R41=0,"-",(VLOOKUP(M41,'APP 2885'!$B$10:$G$54,4)*$G41)/($L41+$P41))</f>
        <v>3.9102860040593237</v>
      </c>
    </row>
    <row r="42" spans="1:24" s="66" customFormat="1" ht="20.100000000000001" customHeight="1" thickBot="1" x14ac:dyDescent="0.3">
      <c r="A42" s="55" t="s">
        <v>53</v>
      </c>
      <c r="B42" s="55" t="s">
        <v>28</v>
      </c>
      <c r="C42" s="55" t="s">
        <v>54</v>
      </c>
      <c r="D42" s="56">
        <v>2</v>
      </c>
      <c r="E42" s="56">
        <v>2</v>
      </c>
      <c r="F42" s="56">
        <v>476</v>
      </c>
      <c r="G42" s="56">
        <f t="shared" si="18"/>
        <v>952</v>
      </c>
      <c r="H42" s="59">
        <v>2500</v>
      </c>
      <c r="I42" s="60">
        <f t="shared" si="19"/>
        <v>970.94219206060427</v>
      </c>
      <c r="J42" s="60">
        <f t="shared" si="20"/>
        <v>757.34415465443567</v>
      </c>
      <c r="K42" s="60">
        <f t="shared" si="21"/>
        <v>5000</v>
      </c>
      <c r="L42" s="61">
        <f t="shared" si="22"/>
        <v>1543.4273065699199</v>
      </c>
      <c r="M42" s="56">
        <v>21</v>
      </c>
      <c r="N42" s="56">
        <f t="shared" si="14"/>
        <v>12842.10675966559</v>
      </c>
      <c r="O42" s="56">
        <f t="shared" si="14"/>
        <v>12842.10675966559</v>
      </c>
      <c r="P42" s="58">
        <f t="shared" si="23"/>
        <v>1645.9022063695886</v>
      </c>
      <c r="Q42" s="59">
        <v>2500</v>
      </c>
      <c r="R42" s="60">
        <f t="shared" si="24"/>
        <v>5000</v>
      </c>
      <c r="S42" s="62">
        <f t="shared" si="25"/>
        <v>0.38934421692427984</v>
      </c>
      <c r="T42" s="62">
        <f t="shared" si="26"/>
        <v>0.51750871805886223</v>
      </c>
      <c r="U42" s="63">
        <f>IF($R42=0,"-",(VLOOKUP(M42,'APP 2885'!$B$10:$G$54,6)*$G42)/($R42+$P42))</f>
        <v>2.2053696658901636</v>
      </c>
      <c r="V42" s="64">
        <f t="shared" si="10"/>
        <v>0.12018489921120316</v>
      </c>
      <c r="W42" s="65">
        <f t="shared" si="27"/>
        <v>0.24834940034578554</v>
      </c>
      <c r="X42" s="63">
        <f>IF($R42=0,"-",(VLOOKUP(M42,'APP 2885'!$B$10:$G$54,4)*$G42)/($L42+$P42))</f>
        <v>3.9961162257747977</v>
      </c>
    </row>
    <row r="43" spans="1:24" s="54" customFormat="1" ht="20.100000000000001" customHeight="1" thickBot="1" x14ac:dyDescent="0.3">
      <c r="A43" s="44" t="s">
        <v>55</v>
      </c>
      <c r="B43" s="44" t="s">
        <v>31</v>
      </c>
      <c r="C43" s="44" t="s">
        <v>56</v>
      </c>
      <c r="D43" s="45">
        <v>36</v>
      </c>
      <c r="E43" s="45">
        <v>46</v>
      </c>
      <c r="F43" s="45">
        <v>13</v>
      </c>
      <c r="G43" s="45">
        <f t="shared" si="18"/>
        <v>598</v>
      </c>
      <c r="H43" s="46">
        <v>200</v>
      </c>
      <c r="I43" s="47">
        <f t="shared" si="19"/>
        <v>28.697934629810305</v>
      </c>
      <c r="J43" s="72">
        <f>0.1*$H43+PV($B$71,$M43,(-0.05*0.95*$F43))</f>
        <v>29.222753404448184</v>
      </c>
      <c r="K43" s="47">
        <f t="shared" si="21"/>
        <v>9200</v>
      </c>
      <c r="L43" s="48">
        <f t="shared" si="22"/>
        <v>7114.8552307666941</v>
      </c>
      <c r="M43" s="45">
        <v>25</v>
      </c>
      <c r="N43" s="45">
        <f t="shared" ref="N43:O60" si="28">PV($B$71,$M43,-$G43)</f>
        <v>8931.5085600971888</v>
      </c>
      <c r="O43" s="45">
        <f t="shared" si="28"/>
        <v>8931.5085600971888</v>
      </c>
      <c r="P43" s="49">
        <f t="shared" si="23"/>
        <v>1033.8755455977036</v>
      </c>
      <c r="Q43" s="46">
        <v>100</v>
      </c>
      <c r="R43" s="47">
        <f t="shared" si="24"/>
        <v>4600</v>
      </c>
      <c r="S43" s="50">
        <f t="shared" si="25"/>
        <v>0.5150305761952878</v>
      </c>
      <c r="T43" s="50">
        <f t="shared" si="26"/>
        <v>0.63078655836124486</v>
      </c>
      <c r="U43" s="51">
        <f>IF($R43=0,"-",(VLOOKUP(M43,'APP 2885'!$B$10:$G$54,6)*$G43)/($R43+$P43))</f>
        <v>2.0352406881535718</v>
      </c>
      <c r="V43" s="52">
        <f t="shared" si="10"/>
        <v>0.79660173674952772</v>
      </c>
      <c r="W43" s="53">
        <f t="shared" si="27"/>
        <v>0.91235771891548478</v>
      </c>
      <c r="X43" s="51">
        <f>IF($R43=0,"-",(VLOOKUP(M43,'APP 2885'!$B$10:$G$54,4)*$G43)/($L43+$P43))</f>
        <v>1.2235880181650229</v>
      </c>
    </row>
    <row r="44" spans="1:24" s="66" customFormat="1" ht="20.100000000000001" customHeight="1" thickBot="1" x14ac:dyDescent="0.3">
      <c r="A44" s="55" t="s">
        <v>55</v>
      </c>
      <c r="B44" s="55" t="s">
        <v>32</v>
      </c>
      <c r="C44" s="55" t="s">
        <v>56</v>
      </c>
      <c r="D44" s="56">
        <v>5</v>
      </c>
      <c r="E44" s="56">
        <v>6</v>
      </c>
      <c r="F44" s="56">
        <v>13</v>
      </c>
      <c r="G44" s="56">
        <f t="shared" si="18"/>
        <v>78</v>
      </c>
      <c r="H44" s="59">
        <v>200</v>
      </c>
      <c r="I44" s="60">
        <f t="shared" si="19"/>
        <v>28.697934629810305</v>
      </c>
      <c r="J44" s="71">
        <f>0.1*$H44+PV($B$71,$M44,(-0.05*0.95*$F44))</f>
        <v>29.222753404448184</v>
      </c>
      <c r="K44" s="60">
        <f t="shared" si="21"/>
        <v>1200</v>
      </c>
      <c r="L44" s="61">
        <f t="shared" si="22"/>
        <v>910.3965598287075</v>
      </c>
      <c r="M44" s="56">
        <v>25</v>
      </c>
      <c r="N44" s="56">
        <f t="shared" si="28"/>
        <v>1164.9793774039813</v>
      </c>
      <c r="O44" s="56">
        <f t="shared" si="28"/>
        <v>1164.9793774039813</v>
      </c>
      <c r="P44" s="58">
        <f t="shared" si="23"/>
        <v>134.85333203448309</v>
      </c>
      <c r="Q44" s="59">
        <v>100</v>
      </c>
      <c r="R44" s="60">
        <f t="shared" si="24"/>
        <v>600</v>
      </c>
      <c r="S44" s="62">
        <f t="shared" si="25"/>
        <v>0.51503057619528769</v>
      </c>
      <c r="T44" s="62">
        <f t="shared" si="26"/>
        <v>0.63078655836124475</v>
      </c>
      <c r="U44" s="63">
        <f>IF($R44=0,"-",(VLOOKUP(M44,'APP 2885'!$B$10:$G$54,6)*$G44)/($R44+$P44))</f>
        <v>2.0352406881535718</v>
      </c>
      <c r="V44" s="64">
        <f t="shared" si="10"/>
        <v>0.78147010795797822</v>
      </c>
      <c r="W44" s="65">
        <f t="shared" si="27"/>
        <v>0.89722609012393539</v>
      </c>
      <c r="X44" s="63">
        <f>IF($R44=0,"-",(VLOOKUP(M44,'APP 2885'!$B$10:$G$54,4)*$G44)/($L44+$P44))</f>
        <v>1.2442237084201997</v>
      </c>
    </row>
    <row r="45" spans="1:24" s="54" customFormat="1" ht="20.100000000000001" customHeight="1" thickBot="1" x14ac:dyDescent="0.3">
      <c r="A45" s="44" t="s">
        <v>55</v>
      </c>
      <c r="B45" s="44" t="s">
        <v>28</v>
      </c>
      <c r="C45" s="44" t="s">
        <v>56</v>
      </c>
      <c r="D45" s="45">
        <v>3</v>
      </c>
      <c r="E45" s="45">
        <v>5</v>
      </c>
      <c r="F45" s="45">
        <v>13</v>
      </c>
      <c r="G45" s="45">
        <f t="shared" si="18"/>
        <v>65</v>
      </c>
      <c r="H45" s="46">
        <v>200</v>
      </c>
      <c r="I45" s="47">
        <f t="shared" si="19"/>
        <v>28.697934629810305</v>
      </c>
      <c r="J45" s="72">
        <f>0.1*$H45+PV($B$71,$M45,(-0.05*0.95*$F45))</f>
        <v>29.222753404448184</v>
      </c>
      <c r="K45" s="47">
        <f t="shared" si="21"/>
        <v>1000</v>
      </c>
      <c r="L45" s="48">
        <f t="shared" si="22"/>
        <v>826.23793589722459</v>
      </c>
      <c r="M45" s="45">
        <v>25</v>
      </c>
      <c r="N45" s="45">
        <f t="shared" si="28"/>
        <v>970.816147836651</v>
      </c>
      <c r="O45" s="45">
        <f t="shared" si="28"/>
        <v>970.816147836651</v>
      </c>
      <c r="P45" s="49">
        <f t="shared" si="23"/>
        <v>112.37777669540257</v>
      </c>
      <c r="Q45" s="46">
        <v>100</v>
      </c>
      <c r="R45" s="47">
        <f t="shared" si="24"/>
        <v>500</v>
      </c>
      <c r="S45" s="50">
        <f t="shared" si="25"/>
        <v>0.51503057619528769</v>
      </c>
      <c r="T45" s="50">
        <f t="shared" si="26"/>
        <v>0.63078655836124486</v>
      </c>
      <c r="U45" s="51">
        <f>IF($R45=0,"-",(VLOOKUP(M45,'APP 2885'!$B$10:$G$54,6)*$G45)/($R45+$P45))</f>
        <v>2.0352406881535718</v>
      </c>
      <c r="V45" s="52">
        <f t="shared" si="10"/>
        <v>0.85107560039910557</v>
      </c>
      <c r="W45" s="53">
        <f t="shared" si="27"/>
        <v>0.96683158256506263</v>
      </c>
      <c r="X45" s="51">
        <f>IF($R45=0,"-",(VLOOKUP(M45,'APP 2885'!$B$10:$G$54,4)*$G45)/($L45+$P45))</f>
        <v>1.1546478138246323</v>
      </c>
    </row>
    <row r="46" spans="1:24" s="66" customFormat="1" ht="20.100000000000001" customHeight="1" thickBot="1" x14ac:dyDescent="0.3">
      <c r="A46" s="55" t="s">
        <v>57</v>
      </c>
      <c r="B46" s="55" t="s">
        <v>31</v>
      </c>
      <c r="C46" s="55" t="s">
        <v>40</v>
      </c>
      <c r="D46" s="56">
        <v>918</v>
      </c>
      <c r="E46" s="56">
        <v>921</v>
      </c>
      <c r="F46" s="56">
        <v>111</v>
      </c>
      <c r="G46" s="56">
        <f t="shared" si="18"/>
        <v>102231</v>
      </c>
      <c r="H46" s="59">
        <v>1024</v>
      </c>
      <c r="I46" s="60">
        <f t="shared" si="19"/>
        <v>210.17410279499353</v>
      </c>
      <c r="J46" s="71">
        <f>0.1*$H46+PV($B$71,$M46,(-0.05*0.95*$F46))</f>
        <v>166.87269295484651</v>
      </c>
      <c r="K46" s="60">
        <f t="shared" si="21"/>
        <v>943104</v>
      </c>
      <c r="L46" s="61">
        <f t="shared" si="22"/>
        <v>596975.04150164686</v>
      </c>
      <c r="M46" s="56">
        <v>18</v>
      </c>
      <c r="N46" s="56">
        <f t="shared" si="28"/>
        <v>1250091.5833981812</v>
      </c>
      <c r="O46" s="56">
        <f t="shared" si="28"/>
        <v>1250091.5833981812</v>
      </c>
      <c r="P46" s="58">
        <f t="shared" si="23"/>
        <v>176746.03829765695</v>
      </c>
      <c r="Q46" s="59">
        <v>400</v>
      </c>
      <c r="R46" s="60">
        <f t="shared" si="24"/>
        <v>368400</v>
      </c>
      <c r="S46" s="62">
        <f t="shared" si="25"/>
        <v>0.294698408414655</v>
      </c>
      <c r="T46" s="62">
        <f t="shared" si="26"/>
        <v>0.43608488012995134</v>
      </c>
      <c r="U46" s="63">
        <f>IF($R46=0,"-",(VLOOKUP(M46,'APP 2885'!$B$10:$G$54,6)*$G46)/($R46+$P46))</f>
        <v>2.3252353484184689</v>
      </c>
      <c r="V46" s="64">
        <f t="shared" si="10"/>
        <v>0.47754504504290979</v>
      </c>
      <c r="W46" s="65">
        <f t="shared" si="27"/>
        <v>0.61893151675820612</v>
      </c>
      <c r="X46" s="63">
        <f>IF($R46=0,"-",(VLOOKUP(M46,'APP 2885'!$B$10:$G$54,4)*$G46)/($L46+$P46))</f>
        <v>1.4562730924847862</v>
      </c>
    </row>
    <row r="47" spans="1:24" s="54" customFormat="1" ht="20.100000000000001" customHeight="1" thickBot="1" x14ac:dyDescent="0.3">
      <c r="A47" s="44" t="s">
        <v>57</v>
      </c>
      <c r="B47" s="44" t="s">
        <v>31</v>
      </c>
      <c r="C47" s="44" t="s">
        <v>40</v>
      </c>
      <c r="D47" s="45">
        <v>4</v>
      </c>
      <c r="E47" s="45">
        <v>4</v>
      </c>
      <c r="F47" s="45">
        <v>111</v>
      </c>
      <c r="G47" s="45">
        <f t="shared" si="18"/>
        <v>444</v>
      </c>
      <c r="H47" s="46">
        <v>1024</v>
      </c>
      <c r="I47" s="47">
        <f t="shared" si="19"/>
        <v>210.17410279499353</v>
      </c>
      <c r="J47" s="72">
        <f t="shared" ref="J47:J51" si="29">0.1*$H47+PV($B$71,$M47,(-0.05*0.95*$F47))</f>
        <v>166.87269295484651</v>
      </c>
      <c r="K47" s="47">
        <f t="shared" si="21"/>
        <v>4096</v>
      </c>
      <c r="L47" s="48">
        <f t="shared" si="22"/>
        <v>2587.8128170006398</v>
      </c>
      <c r="M47" s="45">
        <v>18</v>
      </c>
      <c r="N47" s="45">
        <f t="shared" si="28"/>
        <v>5429.2794067239147</v>
      </c>
      <c r="O47" s="45">
        <f t="shared" si="28"/>
        <v>5429.2794067239147</v>
      </c>
      <c r="P47" s="49">
        <f t="shared" si="23"/>
        <v>767.62665927321143</v>
      </c>
      <c r="Q47" s="46">
        <v>250</v>
      </c>
      <c r="R47" s="47">
        <f t="shared" si="24"/>
        <v>1000</v>
      </c>
      <c r="S47" s="50">
        <f t="shared" si="25"/>
        <v>0.18418650525915936</v>
      </c>
      <c r="T47" s="50">
        <f t="shared" si="26"/>
        <v>0.32557297697445564</v>
      </c>
      <c r="U47" s="51">
        <f>IF($R47=0,"-",(VLOOKUP(M47,'APP 2885'!$B$10:$G$54,6)*$G47)/($R47+$P47))</f>
        <v>3.1145090345399016</v>
      </c>
      <c r="V47" s="52">
        <f t="shared" si="10"/>
        <v>0.47664019902820837</v>
      </c>
      <c r="W47" s="53">
        <f t="shared" si="27"/>
        <v>0.6180266707435047</v>
      </c>
      <c r="X47" s="51">
        <f>IF($R47=0,"-",(VLOOKUP(M47,'APP 2885'!$B$10:$G$54,4)*$G47)/($L47+$P47))</f>
        <v>1.4584052058165078</v>
      </c>
    </row>
    <row r="48" spans="1:24" s="66" customFormat="1" ht="20.100000000000001" customHeight="1" thickBot="1" x14ac:dyDescent="0.3">
      <c r="A48" s="55" t="s">
        <v>57</v>
      </c>
      <c r="B48" s="55" t="s">
        <v>32</v>
      </c>
      <c r="C48" s="55" t="s">
        <v>40</v>
      </c>
      <c r="D48" s="56">
        <v>231</v>
      </c>
      <c r="E48" s="56">
        <v>233</v>
      </c>
      <c r="F48" s="56">
        <v>110</v>
      </c>
      <c r="G48" s="56">
        <f t="shared" si="18"/>
        <v>25630</v>
      </c>
      <c r="H48" s="59">
        <v>1024</v>
      </c>
      <c r="I48" s="60">
        <f t="shared" si="19"/>
        <v>208.28064240945304</v>
      </c>
      <c r="J48" s="71">
        <f t="shared" si="29"/>
        <v>166.29185788318119</v>
      </c>
      <c r="K48" s="60">
        <f t="shared" si="21"/>
        <v>238592</v>
      </c>
      <c r="L48" s="61">
        <f t="shared" si="22"/>
        <v>152065.7524324015</v>
      </c>
      <c r="M48" s="56">
        <v>18</v>
      </c>
      <c r="N48" s="56">
        <f t="shared" si="28"/>
        <v>313406.37656381517</v>
      </c>
      <c r="O48" s="56">
        <f t="shared" si="28"/>
        <v>313406.37656381517</v>
      </c>
      <c r="P48" s="58">
        <f t="shared" si="23"/>
        <v>44311.421795433351</v>
      </c>
      <c r="Q48" s="59">
        <v>400</v>
      </c>
      <c r="R48" s="60">
        <f t="shared" si="24"/>
        <v>93200</v>
      </c>
      <c r="S48" s="62">
        <f t="shared" si="25"/>
        <v>0.29737748485478821</v>
      </c>
      <c r="T48" s="62">
        <f t="shared" si="26"/>
        <v>0.43876395657008455</v>
      </c>
      <c r="U48" s="63">
        <f>IF($R48=0,"-",(VLOOKUP(M48,'APP 2885'!$B$10:$G$54,6)*$G48)/($R48+$P48))</f>
        <v>2.3110375476501237</v>
      </c>
      <c r="V48" s="64">
        <f t="shared" si="10"/>
        <v>0.48520312221994044</v>
      </c>
      <c r="W48" s="65">
        <f t="shared" si="27"/>
        <v>0.62658959393523683</v>
      </c>
      <c r="X48" s="63">
        <f>IF($R48=0,"-",(VLOOKUP(M48,'APP 2885'!$B$10:$G$54,4)*$G48)/($L48+$P48))</f>
        <v>1.4384747571133971</v>
      </c>
    </row>
    <row r="49" spans="1:24" s="54" customFormat="1" ht="20.100000000000001" customHeight="1" thickBot="1" x14ac:dyDescent="0.3">
      <c r="A49" s="44" t="s">
        <v>57</v>
      </c>
      <c r="B49" s="44" t="s">
        <v>32</v>
      </c>
      <c r="C49" s="44" t="s">
        <v>40</v>
      </c>
      <c r="D49" s="45">
        <v>3</v>
      </c>
      <c r="E49" s="45">
        <v>3</v>
      </c>
      <c r="F49" s="45">
        <v>110</v>
      </c>
      <c r="G49" s="45">
        <f t="shared" si="18"/>
        <v>330</v>
      </c>
      <c r="H49" s="46">
        <v>1024</v>
      </c>
      <c r="I49" s="47">
        <f t="shared" si="19"/>
        <v>208.28064240945304</v>
      </c>
      <c r="J49" s="72">
        <f t="shared" si="29"/>
        <v>166.29185788318119</v>
      </c>
      <c r="K49" s="47">
        <f t="shared" si="21"/>
        <v>3072</v>
      </c>
      <c r="L49" s="48">
        <f t="shared" si="22"/>
        <v>1948.2824991220973</v>
      </c>
      <c r="M49" s="45">
        <v>18</v>
      </c>
      <c r="N49" s="45">
        <f t="shared" si="28"/>
        <v>4035.2752347272335</v>
      </c>
      <c r="O49" s="45">
        <f t="shared" si="28"/>
        <v>4035.2752347272335</v>
      </c>
      <c r="P49" s="49">
        <f t="shared" si="23"/>
        <v>570.53332783819769</v>
      </c>
      <c r="Q49" s="46">
        <v>250</v>
      </c>
      <c r="R49" s="47">
        <f t="shared" si="24"/>
        <v>750</v>
      </c>
      <c r="S49" s="50">
        <f t="shared" si="25"/>
        <v>0.18586092803424265</v>
      </c>
      <c r="T49" s="50">
        <f t="shared" si="26"/>
        <v>0.32724739974953898</v>
      </c>
      <c r="U49" s="51">
        <f>IF($R49=0,"-",(VLOOKUP(M49,'APP 2885'!$B$10:$G$54,6)*$G49)/($R49+$P49))</f>
        <v>3.0985730641865006</v>
      </c>
      <c r="V49" s="52">
        <f t="shared" si="10"/>
        <v>0.4828127911462754</v>
      </c>
      <c r="W49" s="53">
        <f t="shared" si="27"/>
        <v>0.62419926286157168</v>
      </c>
      <c r="X49" s="51">
        <f>IF($R49=0,"-",(VLOOKUP(M49,'APP 2885'!$B$10:$G$54,4)*$G49)/($L49+$P49))</f>
        <v>1.4439833040072978</v>
      </c>
    </row>
    <row r="50" spans="1:24" s="66" customFormat="1" ht="20.100000000000001" customHeight="1" thickBot="1" x14ac:dyDescent="0.3">
      <c r="A50" s="55" t="s">
        <v>57</v>
      </c>
      <c r="B50" s="55" t="s">
        <v>28</v>
      </c>
      <c r="C50" s="55" t="s">
        <v>40</v>
      </c>
      <c r="D50" s="56">
        <v>632</v>
      </c>
      <c r="E50" s="56">
        <v>638</v>
      </c>
      <c r="F50" s="56">
        <v>111</v>
      </c>
      <c r="G50" s="56">
        <f t="shared" si="18"/>
        <v>70818</v>
      </c>
      <c r="H50" s="59">
        <v>1024</v>
      </c>
      <c r="I50" s="60">
        <f t="shared" si="19"/>
        <v>210.17410279499353</v>
      </c>
      <c r="J50" s="71">
        <f t="shared" si="29"/>
        <v>166.87269295484651</v>
      </c>
      <c r="K50" s="60">
        <f t="shared" si="21"/>
        <v>653312</v>
      </c>
      <c r="L50" s="61">
        <f t="shared" si="22"/>
        <v>415018.42508610105</v>
      </c>
      <c r="M50" s="56">
        <v>18</v>
      </c>
      <c r="N50" s="56">
        <f t="shared" si="28"/>
        <v>865970.06537246436</v>
      </c>
      <c r="O50" s="56">
        <f t="shared" si="28"/>
        <v>865970.06537246436</v>
      </c>
      <c r="P50" s="58">
        <f t="shared" si="23"/>
        <v>122436.45215407723</v>
      </c>
      <c r="Q50" s="59">
        <v>400</v>
      </c>
      <c r="R50" s="60">
        <f t="shared" si="24"/>
        <v>255200</v>
      </c>
      <c r="S50" s="62">
        <f t="shared" si="25"/>
        <v>0.294698408414655</v>
      </c>
      <c r="T50" s="62">
        <f t="shared" si="26"/>
        <v>0.43608488012995134</v>
      </c>
      <c r="U50" s="63">
        <f>IF($R50=0,"-",(VLOOKUP(M50,'APP 2885'!$B$10:$G$54,6)*$G50)/($R50+$P50))</f>
        <v>2.3252353484184685</v>
      </c>
      <c r="V50" s="64">
        <f t="shared" si="10"/>
        <v>0.4792526227885216</v>
      </c>
      <c r="W50" s="65">
        <f t="shared" si="27"/>
        <v>0.62063909450381793</v>
      </c>
      <c r="X50" s="63">
        <f>IF($R50=0,"-",(VLOOKUP(M50,'APP 2885'!$B$10:$G$54,4)*$G50)/($L50+$P50))</f>
        <v>1.4522664168720478</v>
      </c>
    </row>
    <row r="51" spans="1:24" s="54" customFormat="1" ht="20.100000000000001" customHeight="1" thickBot="1" x14ac:dyDescent="0.3">
      <c r="A51" s="44" t="s">
        <v>57</v>
      </c>
      <c r="B51" s="44" t="s">
        <v>28</v>
      </c>
      <c r="C51" s="44" t="s">
        <v>40</v>
      </c>
      <c r="D51" s="45">
        <v>31</v>
      </c>
      <c r="E51" s="45">
        <v>31</v>
      </c>
      <c r="F51" s="45">
        <v>111</v>
      </c>
      <c r="G51" s="45">
        <f t="shared" si="18"/>
        <v>3441</v>
      </c>
      <c r="H51" s="46">
        <v>1024</v>
      </c>
      <c r="I51" s="47">
        <f t="shared" si="19"/>
        <v>210.17410279499353</v>
      </c>
      <c r="J51" s="72">
        <f t="shared" si="29"/>
        <v>166.87269295484651</v>
      </c>
      <c r="K51" s="47">
        <f t="shared" si="21"/>
        <v>31744</v>
      </c>
      <c r="L51" s="48">
        <f t="shared" si="22"/>
        <v>20055.549331754959</v>
      </c>
      <c r="M51" s="45">
        <v>18</v>
      </c>
      <c r="N51" s="45">
        <f t="shared" si="28"/>
        <v>42076.915402110339</v>
      </c>
      <c r="O51" s="45">
        <f t="shared" si="28"/>
        <v>42076.915402110339</v>
      </c>
      <c r="P51" s="49">
        <f t="shared" si="23"/>
        <v>5949.106609367388</v>
      </c>
      <c r="Q51" s="46">
        <v>250</v>
      </c>
      <c r="R51" s="47">
        <f t="shared" si="24"/>
        <v>7750</v>
      </c>
      <c r="S51" s="50">
        <f t="shared" si="25"/>
        <v>0.18418650525915939</v>
      </c>
      <c r="T51" s="50">
        <f t="shared" si="26"/>
        <v>0.32557297697445564</v>
      </c>
      <c r="U51" s="51">
        <f>IF($R51=0,"-",(VLOOKUP(M51,'APP 2885'!$B$10:$G$54,6)*$G51)/($R51+$P51))</f>
        <v>3.114509034539902</v>
      </c>
      <c r="V51" s="52">
        <f t="shared" si="10"/>
        <v>0.47664019902820837</v>
      </c>
      <c r="W51" s="53">
        <f t="shared" si="27"/>
        <v>0.6180266707435047</v>
      </c>
      <c r="X51" s="51">
        <f>IF($R51=0,"-",(VLOOKUP(M51,'APP 2885'!$B$10:$G$54,4)*$G51)/($L51+$P51))</f>
        <v>1.4584052058165076</v>
      </c>
    </row>
    <row r="52" spans="1:24" s="66" customFormat="1" ht="20.100000000000001" customHeight="1" thickBot="1" x14ac:dyDescent="0.3">
      <c r="A52" s="55" t="s">
        <v>58</v>
      </c>
      <c r="B52" s="55" t="s">
        <v>31</v>
      </c>
      <c r="C52" s="55" t="s">
        <v>59</v>
      </c>
      <c r="D52" s="56">
        <v>74</v>
      </c>
      <c r="E52" s="56">
        <v>77</v>
      </c>
      <c r="F52" s="56">
        <v>56</v>
      </c>
      <c r="G52" s="56">
        <f t="shared" si="18"/>
        <v>4312</v>
      </c>
      <c r="H52" s="59">
        <v>425</v>
      </c>
      <c r="I52" s="60">
        <f t="shared" si="19"/>
        <v>111.61443543163399</v>
      </c>
      <c r="J52" s="60">
        <f>0.1*$H52+PV($B$71,$M52,(-0.05*0.95*$F52))</f>
        <v>77.311945543126001</v>
      </c>
      <c r="K52" s="60">
        <f t="shared" si="21"/>
        <v>32725</v>
      </c>
      <c r="L52" s="61">
        <f t="shared" si="22"/>
        <v>18744.447807867764</v>
      </c>
      <c r="M52" s="56">
        <v>20</v>
      </c>
      <c r="N52" s="56">
        <f t="shared" si="28"/>
        <v>56431.995933067388</v>
      </c>
      <c r="O52" s="56">
        <f t="shared" si="28"/>
        <v>56431.995933067388</v>
      </c>
      <c r="P52" s="58">
        <f t="shared" si="23"/>
        <v>7454.9688170857835</v>
      </c>
      <c r="Q52" s="59">
        <v>250</v>
      </c>
      <c r="R52" s="60">
        <f t="shared" si="24"/>
        <v>19250</v>
      </c>
      <c r="S52" s="62">
        <f t="shared" si="25"/>
        <v>0.34111853890179528</v>
      </c>
      <c r="T52" s="62">
        <f t="shared" si="26"/>
        <v>0.47322389321050945</v>
      </c>
      <c r="U52" s="63">
        <f>IF($R52=0,"-",(VLOOKUP(M52,'APP 2885'!$B$10:$G$54,6)*$G52)/($R52+$P52))</f>
        <v>2.2863213852897819</v>
      </c>
      <c r="V52" s="64">
        <f t="shared" si="10"/>
        <v>0.33215992980471742</v>
      </c>
      <c r="W52" s="65">
        <f t="shared" si="27"/>
        <v>0.4642652841134316</v>
      </c>
      <c r="X52" s="63">
        <f>IF($R52=0,"-",(VLOOKUP(M52,'APP 2885'!$B$10:$G$54,4)*$G52)/($L52+$P52))</f>
        <v>2.0715013000827165</v>
      </c>
    </row>
    <row r="53" spans="1:24" s="54" customFormat="1" ht="20.100000000000001" customHeight="1" thickBot="1" x14ac:dyDescent="0.3">
      <c r="A53" s="44" t="s">
        <v>58</v>
      </c>
      <c r="B53" s="44" t="s">
        <v>32</v>
      </c>
      <c r="C53" s="44" t="s">
        <v>59</v>
      </c>
      <c r="D53" s="45">
        <v>33</v>
      </c>
      <c r="E53" s="45">
        <v>36</v>
      </c>
      <c r="F53" s="45">
        <v>56</v>
      </c>
      <c r="G53" s="45">
        <f t="shared" si="18"/>
        <v>2016</v>
      </c>
      <c r="H53" s="46">
        <v>425</v>
      </c>
      <c r="I53" s="47">
        <f t="shared" si="19"/>
        <v>111.61443543163399</v>
      </c>
      <c r="J53" s="47">
        <f t="shared" ref="J53:J56" si="30">0.1*$H53+PV($B$71,$M53,(-0.05*0.95*$F53))</f>
        <v>77.311945543126001</v>
      </c>
      <c r="K53" s="47">
        <f t="shared" si="21"/>
        <v>15300</v>
      </c>
      <c r="L53" s="48">
        <f t="shared" si="22"/>
        <v>9065.4294278329216</v>
      </c>
      <c r="M53" s="45">
        <v>20</v>
      </c>
      <c r="N53" s="45">
        <f t="shared" si="28"/>
        <v>26383.79030636917</v>
      </c>
      <c r="O53" s="45">
        <f t="shared" si="28"/>
        <v>26383.79030636917</v>
      </c>
      <c r="P53" s="49">
        <f t="shared" si="23"/>
        <v>3485.4399664297171</v>
      </c>
      <c r="Q53" s="46">
        <v>250</v>
      </c>
      <c r="R53" s="47">
        <f t="shared" si="24"/>
        <v>9000</v>
      </c>
      <c r="S53" s="50">
        <f t="shared" si="25"/>
        <v>0.34111853890179522</v>
      </c>
      <c r="T53" s="50">
        <f t="shared" si="26"/>
        <v>0.47322389321050934</v>
      </c>
      <c r="U53" s="51">
        <f>IF($R53=0,"-",(VLOOKUP(M53,'APP 2885'!$B$10:$G$54,6)*$G53)/($R53+$P53))</f>
        <v>2.2863213852897823</v>
      </c>
      <c r="V53" s="52">
        <f t="shared" si="10"/>
        <v>0.34359844899330044</v>
      </c>
      <c r="W53" s="53">
        <f t="shared" si="27"/>
        <v>0.47570380330201456</v>
      </c>
      <c r="X53" s="51">
        <f>IF($R53=0,"-",(VLOOKUP(M53,'APP 2885'!$B$10:$G$54,4)*$G53)/($L53+$P53))</f>
        <v>2.0216910879177163</v>
      </c>
    </row>
    <row r="54" spans="1:24" s="66" customFormat="1" ht="20.100000000000001" customHeight="1" thickBot="1" x14ac:dyDescent="0.3">
      <c r="A54" s="55" t="s">
        <v>58</v>
      </c>
      <c r="B54" s="55" t="s">
        <v>28</v>
      </c>
      <c r="C54" s="55" t="s">
        <v>59</v>
      </c>
      <c r="D54" s="56">
        <v>57</v>
      </c>
      <c r="E54" s="56">
        <v>57</v>
      </c>
      <c r="F54" s="56">
        <v>56</v>
      </c>
      <c r="G54" s="56">
        <f t="shared" si="18"/>
        <v>3192</v>
      </c>
      <c r="H54" s="59">
        <v>600</v>
      </c>
      <c r="I54" s="60">
        <f t="shared" si="19"/>
        <v>111.61443543163399</v>
      </c>
      <c r="J54" s="60">
        <f t="shared" si="30"/>
        <v>94.811945543126001</v>
      </c>
      <c r="K54" s="60">
        <f t="shared" si="21"/>
        <v>34200</v>
      </c>
      <c r="L54" s="61">
        <f t="shared" si="22"/>
        <v>22433.69628443868</v>
      </c>
      <c r="M54" s="56">
        <v>20</v>
      </c>
      <c r="N54" s="56">
        <f t="shared" si="28"/>
        <v>41774.334651751189</v>
      </c>
      <c r="O54" s="56">
        <f t="shared" si="28"/>
        <v>41774.334651751189</v>
      </c>
      <c r="P54" s="58">
        <f t="shared" si="23"/>
        <v>5518.6132801803851</v>
      </c>
      <c r="Q54" s="59">
        <v>250</v>
      </c>
      <c r="R54" s="60">
        <f t="shared" si="24"/>
        <v>14250</v>
      </c>
      <c r="S54" s="62">
        <f t="shared" si="25"/>
        <v>0.34111853890179522</v>
      </c>
      <c r="T54" s="62">
        <f t="shared" si="26"/>
        <v>0.47322389321050928</v>
      </c>
      <c r="U54" s="63">
        <f>IF($R54=0,"-",(VLOOKUP(M54,'APP 2885'!$B$10:$G$54,6)*$G54)/($R54+$P54))</f>
        <v>2.2863213852897823</v>
      </c>
      <c r="V54" s="64">
        <f t="shared" si="10"/>
        <v>0.5370210314887266</v>
      </c>
      <c r="W54" s="65">
        <f t="shared" si="27"/>
        <v>0.66912638579744077</v>
      </c>
      <c r="X54" s="63">
        <f>IF($R54=0,"-",(VLOOKUP(M54,'APP 2885'!$B$10:$G$54,4)*$G54)/($L54+$P54))</f>
        <v>1.4372862287863517</v>
      </c>
    </row>
    <row r="55" spans="1:24" s="54" customFormat="1" ht="20.100000000000001" customHeight="1" thickBot="1" x14ac:dyDescent="0.3">
      <c r="A55" s="44" t="s">
        <v>58</v>
      </c>
      <c r="B55" s="44" t="s">
        <v>28</v>
      </c>
      <c r="C55" s="44" t="s">
        <v>60</v>
      </c>
      <c r="D55" s="45">
        <v>12</v>
      </c>
      <c r="E55" s="45">
        <v>12</v>
      </c>
      <c r="F55" s="45">
        <v>56</v>
      </c>
      <c r="G55" s="45">
        <f t="shared" si="18"/>
        <v>672</v>
      </c>
      <c r="H55" s="46">
        <v>425</v>
      </c>
      <c r="I55" s="47">
        <f t="shared" si="19"/>
        <v>111.61443543163399</v>
      </c>
      <c r="J55" s="47">
        <f t="shared" si="30"/>
        <v>77.311945543126001</v>
      </c>
      <c r="K55" s="47">
        <f t="shared" si="21"/>
        <v>5100</v>
      </c>
      <c r="L55" s="48">
        <f t="shared" si="22"/>
        <v>2832.88342830288</v>
      </c>
      <c r="M55" s="45">
        <v>20</v>
      </c>
      <c r="N55" s="45">
        <f t="shared" si="28"/>
        <v>8794.5967687897228</v>
      </c>
      <c r="O55" s="45">
        <f t="shared" si="28"/>
        <v>8794.5967687897228</v>
      </c>
      <c r="P55" s="49">
        <f t="shared" si="23"/>
        <v>1161.813322143239</v>
      </c>
      <c r="Q55" s="46">
        <v>150</v>
      </c>
      <c r="R55" s="47">
        <f t="shared" si="24"/>
        <v>1800</v>
      </c>
      <c r="S55" s="50">
        <f t="shared" si="25"/>
        <v>0.20467112334107715</v>
      </c>
      <c r="T55" s="50">
        <f t="shared" si="26"/>
        <v>0.33677647764979129</v>
      </c>
      <c r="U55" s="51">
        <f>IF($R55=0,"-",(VLOOKUP(M55,'APP 2885'!$B$10:$G$54,6)*$G55)/($R55+$P55))</f>
        <v>3.212640961826231</v>
      </c>
      <c r="V55" s="52">
        <f t="shared" si="10"/>
        <v>0.32211635198059568</v>
      </c>
      <c r="W55" s="53">
        <f t="shared" si="27"/>
        <v>0.45422170628930986</v>
      </c>
      <c r="X55" s="51">
        <f>IF($R55=0,"-",(VLOOKUP(M55,'APP 2885'!$B$10:$G$54,4)*$G55)/($L55+$P55))</f>
        <v>2.1173055499282722</v>
      </c>
    </row>
    <row r="56" spans="1:24" s="66" customFormat="1" ht="20.100000000000001" customHeight="1" thickBot="1" x14ac:dyDescent="0.3">
      <c r="A56" s="55" t="s">
        <v>58</v>
      </c>
      <c r="B56" s="55" t="s">
        <v>31</v>
      </c>
      <c r="C56" s="55" t="s">
        <v>61</v>
      </c>
      <c r="D56" s="56">
        <v>1</v>
      </c>
      <c r="E56" s="56">
        <v>1</v>
      </c>
      <c r="F56" s="56">
        <v>56</v>
      </c>
      <c r="G56" s="56">
        <f t="shared" si="18"/>
        <v>56</v>
      </c>
      <c r="H56" s="59">
        <v>425</v>
      </c>
      <c r="I56" s="60">
        <f t="shared" si="19"/>
        <v>111.61443543163399</v>
      </c>
      <c r="J56" s="60">
        <f t="shared" si="30"/>
        <v>77.311945543126001</v>
      </c>
      <c r="K56" s="60">
        <f t="shared" si="21"/>
        <v>425</v>
      </c>
      <c r="L56" s="61">
        <f t="shared" si="22"/>
        <v>236.07361902524002</v>
      </c>
      <c r="M56" s="56">
        <v>20</v>
      </c>
      <c r="N56" s="56">
        <f t="shared" si="28"/>
        <v>732.88306406581034</v>
      </c>
      <c r="O56" s="56">
        <f t="shared" si="28"/>
        <v>732.88306406581034</v>
      </c>
      <c r="P56" s="58">
        <f t="shared" si="23"/>
        <v>96.817776845269918</v>
      </c>
      <c r="Q56" s="59">
        <v>300</v>
      </c>
      <c r="R56" s="60">
        <f t="shared" si="24"/>
        <v>300</v>
      </c>
      <c r="S56" s="62">
        <f t="shared" si="25"/>
        <v>0.40934224668215424</v>
      </c>
      <c r="T56" s="62">
        <f t="shared" si="26"/>
        <v>0.54144760099086842</v>
      </c>
      <c r="U56" s="63">
        <f>IF($R56=0,"-",(VLOOKUP(M56,'APP 2885'!$B$10:$G$54,6)*$G56)/($R56+$P56))</f>
        <v>1.9982393588913931</v>
      </c>
      <c r="V56" s="64">
        <f t="shared" si="10"/>
        <v>0.32211635198059568</v>
      </c>
      <c r="W56" s="65">
        <f t="shared" si="27"/>
        <v>0.4542217062893098</v>
      </c>
      <c r="X56" s="63">
        <f>IF($R56=0,"-",(VLOOKUP(M56,'APP 2885'!$B$10:$G$54,4)*$G56)/($L56+$P56))</f>
        <v>2.1173055499282718</v>
      </c>
    </row>
    <row r="57" spans="1:24" s="54" customFormat="1" ht="20.100000000000001" customHeight="1" thickBot="1" x14ac:dyDescent="0.3">
      <c r="A57" s="44" t="s">
        <v>62</v>
      </c>
      <c r="B57" s="44" t="s">
        <v>31</v>
      </c>
      <c r="C57" s="44" t="s">
        <v>63</v>
      </c>
      <c r="D57" s="45">
        <v>492</v>
      </c>
      <c r="E57" s="45">
        <v>507</v>
      </c>
      <c r="F57" s="45">
        <v>18</v>
      </c>
      <c r="G57" s="45">
        <f t="shared" si="18"/>
        <v>9126</v>
      </c>
      <c r="H57" s="46">
        <v>16</v>
      </c>
      <c r="I57" s="47">
        <f t="shared" si="19"/>
        <v>25.128766788379849</v>
      </c>
      <c r="J57" s="72">
        <f t="shared" ref="J57:J66" si="31">0.1*$H57+PV($B$71,$M57,(-0.05*0.95*$F57))</f>
        <v>8.3887191590348529</v>
      </c>
      <c r="K57" s="47">
        <f t="shared" si="21"/>
        <v>8112</v>
      </c>
      <c r="L57" s="48">
        <f t="shared" si="22"/>
        <v>-8378.6030861280306</v>
      </c>
      <c r="M57" s="45">
        <v>10</v>
      </c>
      <c r="N57" s="45">
        <f t="shared" si="28"/>
        <v>72460.644497487796</v>
      </c>
      <c r="O57" s="45">
        <f t="shared" si="28"/>
        <v>72460.644497487796</v>
      </c>
      <c r="P57" s="49">
        <f t="shared" si="23"/>
        <v>15777.839848034522</v>
      </c>
      <c r="Q57" s="46">
        <v>10</v>
      </c>
      <c r="R57" s="47">
        <f t="shared" si="24"/>
        <v>5070</v>
      </c>
      <c r="S57" s="50">
        <f t="shared" si="25"/>
        <v>6.9969016079835952E-2</v>
      </c>
      <c r="T57" s="50">
        <f t="shared" si="26"/>
        <v>0.28771259202307142</v>
      </c>
      <c r="U57" s="51">
        <f>IF($R57=0,"-",(VLOOKUP(M57,'APP 2885'!$B$10:$G$54,6)*$G57)/($R57+$P57))</f>
        <v>2.6571580932986971</v>
      </c>
      <c r="V57" s="52">
        <f t="shared" si="10"/>
        <v>-0.11562970691515884</v>
      </c>
      <c r="W57" s="53">
        <f t="shared" si="27"/>
        <v>0.10211386902807665</v>
      </c>
      <c r="X57" s="51">
        <f>IF($R57=0,"-",(VLOOKUP(M57,'APP 2885'!$B$10:$G$54,4)*$G57)/($L57+$P57))</f>
        <v>6.8061081731116566</v>
      </c>
    </row>
    <row r="58" spans="1:24" s="66" customFormat="1" ht="20.100000000000001" customHeight="1" thickBot="1" x14ac:dyDescent="0.3">
      <c r="A58" s="55" t="s">
        <v>62</v>
      </c>
      <c r="B58" s="55" t="s">
        <v>32</v>
      </c>
      <c r="C58" s="55" t="s">
        <v>63</v>
      </c>
      <c r="D58" s="56">
        <v>117</v>
      </c>
      <c r="E58" s="56">
        <v>119</v>
      </c>
      <c r="F58" s="56">
        <v>17</v>
      </c>
      <c r="G58" s="56">
        <f t="shared" si="18"/>
        <v>2023</v>
      </c>
      <c r="H58" s="59">
        <v>16</v>
      </c>
      <c r="I58" s="60">
        <f t="shared" si="19"/>
        <v>23.732724189025415</v>
      </c>
      <c r="J58" s="71">
        <f t="shared" si="31"/>
        <v>8.0115680946440264</v>
      </c>
      <c r="K58" s="60">
        <f t="shared" si="21"/>
        <v>1904</v>
      </c>
      <c r="L58" s="61">
        <f t="shared" si="22"/>
        <v>-1810.0821971893247</v>
      </c>
      <c r="M58" s="56">
        <v>10</v>
      </c>
      <c r="N58" s="56">
        <f t="shared" si="28"/>
        <v>16062.665331845035</v>
      </c>
      <c r="O58" s="56">
        <f t="shared" si="28"/>
        <v>16062.665331845035</v>
      </c>
      <c r="P58" s="58">
        <f t="shared" si="23"/>
        <v>3497.5421885353753</v>
      </c>
      <c r="Q58" s="59">
        <v>10</v>
      </c>
      <c r="R58" s="60">
        <f t="shared" si="24"/>
        <v>1190</v>
      </c>
      <c r="S58" s="62">
        <f t="shared" si="25"/>
        <v>7.4084840555120435E-2</v>
      </c>
      <c r="T58" s="62">
        <f t="shared" si="26"/>
        <v>0.29182841649835589</v>
      </c>
      <c r="U58" s="63">
        <f>IF($R58=0,"-",(VLOOKUP(M58,'APP 2885'!$B$10:$G$54,6)*$G58)/($R58+$P58))</f>
        <v>2.6196826601440901</v>
      </c>
      <c r="V58" s="64">
        <f t="shared" si="10"/>
        <v>-0.11268878232809511</v>
      </c>
      <c r="W58" s="65">
        <f t="shared" si="27"/>
        <v>0.10505479361514039</v>
      </c>
      <c r="X58" s="63">
        <f>IF($R58=0,"-",(VLOOKUP(M58,'APP 2885'!$B$10:$G$54,4)*$G58)/($L58+$P58))</f>
        <v>6.6155766401875393</v>
      </c>
    </row>
    <row r="59" spans="1:24" s="54" customFormat="1" ht="20.100000000000001" customHeight="1" thickBot="1" x14ac:dyDescent="0.3">
      <c r="A59" s="44" t="s">
        <v>62</v>
      </c>
      <c r="B59" s="44" t="s">
        <v>28</v>
      </c>
      <c r="C59" s="44" t="s">
        <v>63</v>
      </c>
      <c r="D59" s="45">
        <v>479</v>
      </c>
      <c r="E59" s="45">
        <v>493</v>
      </c>
      <c r="F59" s="45">
        <v>20</v>
      </c>
      <c r="G59" s="45">
        <f t="shared" si="18"/>
        <v>9860</v>
      </c>
      <c r="H59" s="46">
        <v>16</v>
      </c>
      <c r="I59" s="47">
        <f t="shared" si="19"/>
        <v>27.920851987088724</v>
      </c>
      <c r="J59" s="72">
        <f t="shared" si="31"/>
        <v>9.1430212878165023</v>
      </c>
      <c r="K59" s="47">
        <f t="shared" si="21"/>
        <v>7888</v>
      </c>
      <c r="L59" s="48">
        <f t="shared" si="22"/>
        <v>-9865.5952986796037</v>
      </c>
      <c r="M59" s="45">
        <v>10</v>
      </c>
      <c r="N59" s="45">
        <f t="shared" si="28"/>
        <v>78288.62094512707</v>
      </c>
      <c r="O59" s="45">
        <f t="shared" si="28"/>
        <v>78288.62094512707</v>
      </c>
      <c r="P59" s="49">
        <f t="shared" si="23"/>
        <v>17046.844280256453</v>
      </c>
      <c r="Q59" s="46">
        <v>10</v>
      </c>
      <c r="R59" s="47">
        <f t="shared" si="24"/>
        <v>4930</v>
      </c>
      <c r="S59" s="50">
        <f t="shared" si="25"/>
        <v>6.2972114471852358E-2</v>
      </c>
      <c r="T59" s="50">
        <f t="shared" si="26"/>
        <v>0.28071569041508787</v>
      </c>
      <c r="U59" s="51">
        <f>IF($R59=0,"-",(VLOOKUP(M59,'APP 2885'!$B$10:$G$54,6)*$G59)/($R59+$P59))</f>
        <v>2.7233883553413243</v>
      </c>
      <c r="V59" s="52">
        <f t="shared" si="10"/>
        <v>-0.12601569908345242</v>
      </c>
      <c r="W59" s="53">
        <f t="shared" si="27"/>
        <v>9.1727876859783064E-2</v>
      </c>
      <c r="X59" s="51">
        <f>IF($R59=0,"-",(VLOOKUP(M59,'APP 2885'!$B$10:$G$54,4)*$G59)/($L59+$P59))</f>
        <v>7.5767374365639428</v>
      </c>
    </row>
    <row r="60" spans="1:24" s="66" customFormat="1" ht="20.100000000000001" customHeight="1" thickBot="1" x14ac:dyDescent="0.3">
      <c r="A60" s="55" t="s">
        <v>64</v>
      </c>
      <c r="B60" s="55" t="s">
        <v>31</v>
      </c>
      <c r="C60" s="55" t="s">
        <v>65</v>
      </c>
      <c r="D60" s="56">
        <v>54</v>
      </c>
      <c r="E60" s="56">
        <v>43123</v>
      </c>
      <c r="F60" s="57">
        <v>7.0999999999999994E-2</v>
      </c>
      <c r="G60" s="58">
        <f t="shared" si="18"/>
        <v>3061.7329999999997</v>
      </c>
      <c r="H60" s="59">
        <v>1.18</v>
      </c>
      <c r="I60" s="60">
        <f t="shared" si="19"/>
        <v>0.19320447767005752</v>
      </c>
      <c r="J60" s="71">
        <f t="shared" si="31"/>
        <v>0.18330409645972179</v>
      </c>
      <c r="K60" s="60">
        <f t="shared" si="21"/>
        <v>50885.14</v>
      </c>
      <c r="L60" s="61">
        <f t="shared" si="22"/>
        <v>50864.808536996992</v>
      </c>
      <c r="M60" s="56">
        <v>45</v>
      </c>
      <c r="N60" s="56">
        <f t="shared" si="28"/>
        <v>59286.49582384387</v>
      </c>
      <c r="O60" s="56">
        <f t="shared" si="28"/>
        <v>59286.49582384387</v>
      </c>
      <c r="P60" s="58">
        <f t="shared" si="23"/>
        <v>5293.3961134606916</v>
      </c>
      <c r="Q60" s="59">
        <v>0.75</v>
      </c>
      <c r="R60" s="60">
        <f t="shared" si="24"/>
        <v>32342.25</v>
      </c>
      <c r="S60" s="62">
        <f t="shared" si="25"/>
        <v>0.5455247362923511</v>
      </c>
      <c r="T60" s="62">
        <f t="shared" si="26"/>
        <v>0.63480975879037149</v>
      </c>
      <c r="U60" s="63">
        <f>IF($R60=0,"-",(VLOOKUP(M60,'APP 2885'!$B$10:$G$54,6)*$G60)/($R60+$P60))</f>
        <v>3.4378371991746071</v>
      </c>
      <c r="V60" s="64">
        <f t="shared" si="10"/>
        <v>0.85794931594759827</v>
      </c>
      <c r="W60" s="65">
        <f t="shared" si="27"/>
        <v>0.94723433844561877</v>
      </c>
      <c r="X60" s="63">
        <f>IF($R60=0,"-",(VLOOKUP(M60,'APP 2885'!$B$10:$G$54,4)*$G60)/($L60+$P60))</f>
        <v>1.9199513385021159</v>
      </c>
    </row>
    <row r="61" spans="1:24" s="54" customFormat="1" ht="20.100000000000001" customHeight="1" thickBot="1" x14ac:dyDescent="0.3">
      <c r="A61" s="44" t="s">
        <v>64</v>
      </c>
      <c r="B61" s="44" t="s">
        <v>32</v>
      </c>
      <c r="C61" s="44" t="s">
        <v>65</v>
      </c>
      <c r="D61" s="45">
        <v>9</v>
      </c>
      <c r="E61" s="45">
        <v>7192</v>
      </c>
      <c r="F61" s="67">
        <v>6.5000000000000002E-2</v>
      </c>
      <c r="G61" s="49">
        <f t="shared" si="18"/>
        <v>467.48</v>
      </c>
      <c r="H61" s="46">
        <v>1.18</v>
      </c>
      <c r="I61" s="47">
        <f t="shared" si="19"/>
        <v>0.17687733871202449</v>
      </c>
      <c r="J61" s="72">
        <f t="shared" si="31"/>
        <v>0.17778544042087208</v>
      </c>
      <c r="K61" s="47">
        <f t="shared" si="21"/>
        <v>8486.56</v>
      </c>
      <c r="L61" s="48">
        <f t="shared" si="22"/>
        <v>8483.3680349878032</v>
      </c>
      <c r="M61" s="45">
        <v>45</v>
      </c>
      <c r="N61" s="45">
        <f t="shared" ref="N61:O66" si="32">PV($B$71,$M61,-$G61)</f>
        <v>9052.1450001455178</v>
      </c>
      <c r="O61" s="45">
        <f t="shared" si="32"/>
        <v>9052.1450001455178</v>
      </c>
      <c r="P61" s="49">
        <f t="shared" si="23"/>
        <v>808.2209699933353</v>
      </c>
      <c r="Q61" s="46">
        <v>0.75</v>
      </c>
      <c r="R61" s="47">
        <f t="shared" si="24"/>
        <v>5394</v>
      </c>
      <c r="S61" s="50">
        <f t="shared" si="25"/>
        <v>0.59588086579626032</v>
      </c>
      <c r="T61" s="50">
        <f t="shared" si="26"/>
        <v>0.68516588829428071</v>
      </c>
      <c r="U61" s="51">
        <f>IF($R61=0,"-",(VLOOKUP(M61,'APP 2885'!$B$10:$G$54,6)*$G61)/($R61+$P61))</f>
        <v>3.1851740439116303</v>
      </c>
      <c r="V61" s="52">
        <f t="shared" si="10"/>
        <v>0.93716660911324645</v>
      </c>
      <c r="W61" s="53">
        <f t="shared" si="27"/>
        <v>1.0264516316112668</v>
      </c>
      <c r="X61" s="51">
        <f>IF($R61=0,"-",(VLOOKUP(M61,'APP 2885'!$B$10:$G$54,4)*$G61)/($L61+$P61))</f>
        <v>1.7717774320442414</v>
      </c>
    </row>
    <row r="62" spans="1:24" s="66" customFormat="1" ht="20.100000000000001" customHeight="1" thickBot="1" x14ac:dyDescent="0.3">
      <c r="A62" s="55" t="s">
        <v>64</v>
      </c>
      <c r="B62" s="55" t="s">
        <v>28</v>
      </c>
      <c r="C62" s="55" t="s">
        <v>65</v>
      </c>
      <c r="D62" s="56">
        <v>31</v>
      </c>
      <c r="E62" s="56">
        <v>24952</v>
      </c>
      <c r="F62" s="57">
        <v>7.5999999999999998E-2</v>
      </c>
      <c r="G62" s="58">
        <f t="shared" si="18"/>
        <v>1896.3519999999999</v>
      </c>
      <c r="H62" s="59">
        <v>1.18</v>
      </c>
      <c r="I62" s="60">
        <f t="shared" si="19"/>
        <v>0.20681042680175171</v>
      </c>
      <c r="J62" s="71">
        <f t="shared" si="31"/>
        <v>0.18790297649209659</v>
      </c>
      <c r="K62" s="60">
        <f t="shared" si="21"/>
        <v>29443.359999999997</v>
      </c>
      <c r="L62" s="61">
        <f t="shared" si="22"/>
        <v>29431.123884497887</v>
      </c>
      <c r="M62" s="56">
        <v>45</v>
      </c>
      <c r="N62" s="56">
        <f t="shared" si="32"/>
        <v>36720.401461700931</v>
      </c>
      <c r="O62" s="56">
        <f t="shared" si="32"/>
        <v>36720.401461700931</v>
      </c>
      <c r="P62" s="58">
        <f t="shared" si="23"/>
        <v>3278.5818706443083</v>
      </c>
      <c r="Q62" s="59">
        <v>0.75</v>
      </c>
      <c r="R62" s="60">
        <f t="shared" si="24"/>
        <v>18714</v>
      </c>
      <c r="S62" s="62">
        <f t="shared" si="25"/>
        <v>0.50963495100995948</v>
      </c>
      <c r="T62" s="62">
        <f t="shared" si="26"/>
        <v>0.59891997350797999</v>
      </c>
      <c r="U62" s="63">
        <f>IF($R62=0,"-",(VLOOKUP(M62,'APP 2885'!$B$10:$G$54,6)*$G62)/($R62+$P62))</f>
        <v>3.6438467569983635</v>
      </c>
      <c r="V62" s="64">
        <f t="shared" si="10"/>
        <v>0.80149243235247036</v>
      </c>
      <c r="W62" s="65">
        <f t="shared" si="27"/>
        <v>0.89077745485049076</v>
      </c>
      <c r="X62" s="63">
        <f>IF($R62=0,"-",(VLOOKUP(M62,'APP 2885'!$B$10:$G$54,4)*$G62)/($L62+$P62))</f>
        <v>2.0416365794519078</v>
      </c>
    </row>
    <row r="63" spans="1:24" ht="20.100000000000001" customHeight="1" thickBot="1" x14ac:dyDescent="0.3">
      <c r="A63" s="3" t="s">
        <v>66</v>
      </c>
      <c r="B63" s="3" t="s">
        <v>31</v>
      </c>
      <c r="C63" s="3" t="s">
        <v>67</v>
      </c>
      <c r="D63" s="4">
        <v>12</v>
      </c>
      <c r="E63" s="4">
        <v>12</v>
      </c>
      <c r="F63" s="4">
        <v>75</v>
      </c>
      <c r="G63" s="4">
        <f t="shared" si="18"/>
        <v>900</v>
      </c>
      <c r="H63" s="5">
        <v>750</v>
      </c>
      <c r="I63" s="6">
        <f t="shared" si="19"/>
        <v>120.22739154711937</v>
      </c>
      <c r="J63" s="73">
        <f t="shared" si="31"/>
        <v>109.64322067662215</v>
      </c>
      <c r="K63" s="6">
        <f t="shared" si="21"/>
        <v>9000</v>
      </c>
      <c r="L63" s="7">
        <f t="shared" si="22"/>
        <v>6241.5526533151024</v>
      </c>
      <c r="M63" s="4">
        <v>13</v>
      </c>
      <c r="N63" s="4">
        <f t="shared" si="32"/>
        <v>8751.9715393571751</v>
      </c>
      <c r="O63" s="4">
        <f t="shared" si="32"/>
        <v>8751.9715393571751</v>
      </c>
      <c r="P63" s="8">
        <f t="shared" si="23"/>
        <v>1555.9999850132665</v>
      </c>
      <c r="Q63" s="5">
        <v>100</v>
      </c>
      <c r="R63" s="6">
        <f t="shared" si="24"/>
        <v>1200</v>
      </c>
      <c r="S63" s="9">
        <f t="shared" si="25"/>
        <v>0.13711196324207187</v>
      </c>
      <c r="T63" s="9">
        <f t="shared" si="26"/>
        <v>0.31490047386690795</v>
      </c>
      <c r="U63" s="10">
        <f>IF($R63=0,"-",(VLOOKUP(M63,'APP 2885'!$B$10:$G$54,6)*$G63)/($R63+$P63))</f>
        <v>2.6661030623933879</v>
      </c>
      <c r="V63" s="52">
        <f t="shared" si="10"/>
        <v>0.71315961497899694</v>
      </c>
      <c r="W63" s="11">
        <f t="shared" si="27"/>
        <v>0.89094812560383307</v>
      </c>
      <c r="X63" s="10">
        <f>IF($R63=0,"-",(VLOOKUP(M63,'APP 2885'!$B$10:$G$54,4)*$G63)/($L63+$P63))</f>
        <v>0.85665340265429857</v>
      </c>
    </row>
    <row r="64" spans="1:24" ht="20.100000000000001" customHeight="1" thickBot="1" x14ac:dyDescent="0.3">
      <c r="A64" s="12" t="s">
        <v>66</v>
      </c>
      <c r="B64" s="12" t="s">
        <v>31</v>
      </c>
      <c r="C64" s="12" t="s">
        <v>68</v>
      </c>
      <c r="D64" s="13">
        <v>1</v>
      </c>
      <c r="E64" s="13">
        <v>1</v>
      </c>
      <c r="F64" s="13">
        <v>75</v>
      </c>
      <c r="G64" s="13">
        <f t="shared" si="18"/>
        <v>75</v>
      </c>
      <c r="H64" s="14">
        <v>750</v>
      </c>
      <c r="I64" s="15">
        <f t="shared" si="19"/>
        <v>120.22739154711937</v>
      </c>
      <c r="J64" s="74">
        <f t="shared" si="31"/>
        <v>109.64322067662215</v>
      </c>
      <c r="K64" s="15">
        <f t="shared" si="21"/>
        <v>750</v>
      </c>
      <c r="L64" s="16">
        <f t="shared" si="22"/>
        <v>520.12938777625845</v>
      </c>
      <c r="M64" s="13">
        <v>13</v>
      </c>
      <c r="N64" s="13">
        <f t="shared" si="32"/>
        <v>729.33096161309788</v>
      </c>
      <c r="O64" s="13">
        <f t="shared" si="32"/>
        <v>729.33096161309788</v>
      </c>
      <c r="P64" s="17">
        <f t="shared" si="23"/>
        <v>129.66666541777221</v>
      </c>
      <c r="Q64" s="14">
        <v>100</v>
      </c>
      <c r="R64" s="15">
        <f t="shared" si="24"/>
        <v>100</v>
      </c>
      <c r="S64" s="18">
        <f t="shared" si="25"/>
        <v>0.13711196324207187</v>
      </c>
      <c r="T64" s="18">
        <f t="shared" si="26"/>
        <v>0.314900473866908</v>
      </c>
      <c r="U64" s="19">
        <f>IF($R64=0,"-",(VLOOKUP(M64,'APP 2885'!$B$10:$G$54,6)*$G64)/($R64+$P64))</f>
        <v>2.6661030623933879</v>
      </c>
      <c r="V64" s="64">
        <f t="shared" si="10"/>
        <v>0.71315961497899694</v>
      </c>
      <c r="W64" s="20">
        <f t="shared" si="27"/>
        <v>0.89094812560383307</v>
      </c>
      <c r="X64" s="19">
        <f>IF($R64=0,"-",(VLOOKUP(M64,'APP 2885'!$B$10:$G$54,4)*$G64)/($L64+$P64))</f>
        <v>0.85665340265429857</v>
      </c>
    </row>
    <row r="65" spans="1:24" ht="20.100000000000001" customHeight="1" thickBot="1" x14ac:dyDescent="0.3">
      <c r="A65" s="3" t="s">
        <v>66</v>
      </c>
      <c r="B65" s="3" t="s">
        <v>32</v>
      </c>
      <c r="C65" s="3" t="s">
        <v>67</v>
      </c>
      <c r="D65" s="4">
        <v>1</v>
      </c>
      <c r="E65" s="4">
        <v>1</v>
      </c>
      <c r="F65" s="4">
        <v>71</v>
      </c>
      <c r="G65" s="4">
        <f t="shared" ref="G65:G66" si="33">IF(ISNUMBER(E65),E65*F65,"")</f>
        <v>71</v>
      </c>
      <c r="H65" s="5">
        <v>750</v>
      </c>
      <c r="I65" s="6">
        <f t="shared" si="19"/>
        <v>113.81526399793967</v>
      </c>
      <c r="J65" s="73">
        <f t="shared" si="31"/>
        <v>107.79558224053564</v>
      </c>
      <c r="K65" s="6">
        <f t="shared" si="21"/>
        <v>750</v>
      </c>
      <c r="L65" s="7">
        <f t="shared" ref="L65:L66" si="34">K65-D65*(I65+J65)</f>
        <v>528.38915376152477</v>
      </c>
      <c r="M65" s="4">
        <v>13</v>
      </c>
      <c r="N65" s="4">
        <f t="shared" si="32"/>
        <v>690.43331032706601</v>
      </c>
      <c r="O65" s="4">
        <f t="shared" si="32"/>
        <v>690.43331032706601</v>
      </c>
      <c r="P65" s="8">
        <f t="shared" si="23"/>
        <v>122.75110992882435</v>
      </c>
      <c r="Q65" s="5">
        <v>100</v>
      </c>
      <c r="R65" s="6">
        <f t="shared" ref="R65:R66" si="35">IF(ISNUMBER(Q65),Q65*E65,"")</f>
        <v>100</v>
      </c>
      <c r="S65" s="9">
        <f t="shared" ref="S65:S67" si="36">IF(ISERROR(R65/O65),0,R65/O65)</f>
        <v>0.14483658088951251</v>
      </c>
      <c r="T65" s="9">
        <f t="shared" si="26"/>
        <v>0.32262509151434865</v>
      </c>
      <c r="U65" s="10">
        <f>IF($R65=0,"-",(VLOOKUP(M65,'APP 2885'!$B$10:$G$54,6)*$G65)/($R65+$P65))</f>
        <v>2.6022685147796492</v>
      </c>
      <c r="V65" s="52">
        <f t="shared" si="10"/>
        <v>0.76530078409922153</v>
      </c>
      <c r="W65" s="11">
        <f t="shared" si="27"/>
        <v>0.94308929472405767</v>
      </c>
      <c r="X65" s="10">
        <f>IF($R65=0,"-",(VLOOKUP(M65,'APP 2885'!$B$10:$G$54,4)*$G65)/($L65+$P65))</f>
        <v>0.80929106889110713</v>
      </c>
    </row>
    <row r="66" spans="1:24" ht="20.100000000000001" customHeight="1" thickBot="1" x14ac:dyDescent="0.3">
      <c r="A66" s="12" t="s">
        <v>66</v>
      </c>
      <c r="B66" s="12" t="s">
        <v>28</v>
      </c>
      <c r="C66" s="12" t="s">
        <v>69</v>
      </c>
      <c r="D66" s="13">
        <v>139</v>
      </c>
      <c r="E66" s="13">
        <v>139</v>
      </c>
      <c r="F66" s="13">
        <v>84</v>
      </c>
      <c r="G66" s="13">
        <f t="shared" si="33"/>
        <v>11676</v>
      </c>
      <c r="H66" s="14">
        <v>750</v>
      </c>
      <c r="I66" s="15">
        <f t="shared" si="19"/>
        <v>134.65467853277366</v>
      </c>
      <c r="J66" s="74">
        <f t="shared" si="31"/>
        <v>113.80040715781681</v>
      </c>
      <c r="K66" s="15">
        <f t="shared" si="21"/>
        <v>104250</v>
      </c>
      <c r="L66" s="16">
        <f t="shared" si="34"/>
        <v>69714.743089007927</v>
      </c>
      <c r="M66" s="13">
        <v>13</v>
      </c>
      <c r="N66" s="13">
        <f t="shared" si="32"/>
        <v>113542.24410392709</v>
      </c>
      <c r="O66" s="13">
        <f t="shared" si="32"/>
        <v>113542.24410392709</v>
      </c>
      <c r="P66" s="17">
        <f t="shared" si="23"/>
        <v>20186.506472238776</v>
      </c>
      <c r="Q66" s="14">
        <v>100</v>
      </c>
      <c r="R66" s="15">
        <f t="shared" si="35"/>
        <v>13900</v>
      </c>
      <c r="S66" s="18">
        <f t="shared" si="36"/>
        <v>0.12242139575184986</v>
      </c>
      <c r="T66" s="18">
        <f t="shared" si="26"/>
        <v>0.30020990637668599</v>
      </c>
      <c r="U66" s="19">
        <f>IF($R66=0,"-",(VLOOKUP(M66,'APP 2885'!$B$10:$G$54,6)*$G66)/($R66+$P66))</f>
        <v>2.7965670015974249</v>
      </c>
      <c r="V66" s="64">
        <f t="shared" si="10"/>
        <v>0.61399828441999849</v>
      </c>
      <c r="W66" s="20">
        <f t="shared" si="27"/>
        <v>0.79178679504483462</v>
      </c>
      <c r="X66" s="19">
        <f>IF($R66=0,"-",(VLOOKUP(M66,'APP 2885'!$B$10:$G$54,4)*$G66)/($L66+$P66))</f>
        <v>0.96393845939774114</v>
      </c>
    </row>
    <row r="67" spans="1:24" ht="30" customHeight="1" thickBot="1" x14ac:dyDescent="0.3">
      <c r="A67" s="21" t="s">
        <v>70</v>
      </c>
      <c r="B67" s="22" t="s">
        <v>71</v>
      </c>
      <c r="C67" s="22" t="s">
        <v>71</v>
      </c>
      <c r="D67" s="23">
        <v>3397</v>
      </c>
      <c r="E67" s="43">
        <f>SUM(E5:E11,D12:D18,E19:E35,D36:D39,E40:E59,D60:D62,E63:E66)</f>
        <v>5563</v>
      </c>
      <c r="F67" s="24"/>
      <c r="G67" s="42">
        <f>SUM(G5:G66)</f>
        <v>420638.68399999995</v>
      </c>
      <c r="H67" s="25"/>
      <c r="I67" s="25"/>
      <c r="J67" s="25"/>
      <c r="K67" s="25">
        <f t="shared" ref="K67:L67" si="37">SUM(K5:K66)</f>
        <v>4042845.69</v>
      </c>
      <c r="L67" s="25">
        <f t="shared" si="37"/>
        <v>2816128.2778261085</v>
      </c>
      <c r="M67" s="24">
        <f>SUMPRODUCT(M5:M66,G5:G66)/SUM(G5:G66)</f>
        <v>24.314539221028944</v>
      </c>
      <c r="N67" s="26">
        <f>SUM(N5:N66)</f>
        <v>5810888.9987424742</v>
      </c>
      <c r="O67" s="26">
        <f>SUM(O5:O66)</f>
        <v>5810888.9987424742</v>
      </c>
      <c r="P67" s="27">
        <f>B72</f>
        <v>727237.54</v>
      </c>
      <c r="Q67" s="22" t="s">
        <v>71</v>
      </c>
      <c r="R67" s="25">
        <f>SUM(R5:R66)</f>
        <v>2509799.9</v>
      </c>
      <c r="S67" s="77">
        <f t="shared" si="36"/>
        <v>0.4319132409073968</v>
      </c>
      <c r="T67" s="77">
        <f t="shared" si="26"/>
        <v>0.55706406381201268</v>
      </c>
      <c r="U67" s="28">
        <f>IF(VALUE(LEFT($R67,11))=0,"-",(VLOOKUP(M67,'APP 2885'!$B$10:$G$54,6)*VALUE(LEFT($G67,7)))/(VALUE(LEFT($R67,11))+$P67))</f>
        <v>2.3670290041756172</v>
      </c>
      <c r="V67" s="77">
        <f>IF(ISERROR(L67/N67),0,L67/N67)</f>
        <v>0.48462950822766404</v>
      </c>
      <c r="W67" s="77">
        <f t="shared" si="27"/>
        <v>0.60978033113227992</v>
      </c>
      <c r="X67" s="28">
        <f>IF($R67=0,"-",(VLOOKUP(M67,'APP 2885'!$B$10:$G$54,4)*$G67)/($L67+$P67))</f>
        <v>1.8803477581255426</v>
      </c>
    </row>
    <row r="68" spans="1:24" ht="30" customHeight="1" thickBot="1" x14ac:dyDescent="0.3">
      <c r="A68" s="29"/>
      <c r="B68" s="30"/>
      <c r="C68" s="30"/>
      <c r="D68" s="70"/>
      <c r="E68" s="7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70"/>
      <c r="V68" s="30"/>
      <c r="W68" s="30"/>
      <c r="X68" s="70"/>
    </row>
    <row r="69" spans="1:24" ht="30" customHeight="1" thickBot="1" x14ac:dyDescent="0.3">
      <c r="A69" s="31" t="s">
        <v>72</v>
      </c>
      <c r="B69" s="32">
        <v>4.4299999999999999E-2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ht="30" customHeight="1" x14ac:dyDescent="0.25">
      <c r="A70" s="31" t="s">
        <v>73</v>
      </c>
      <c r="B70" s="32">
        <v>0.02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ht="30" customHeight="1" x14ac:dyDescent="0.25">
      <c r="A71" s="31" t="s">
        <v>74</v>
      </c>
      <c r="B71" s="32">
        <v>4.4299999999999999E-2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ht="30" customHeight="1" x14ac:dyDescent="0.25">
      <c r="A72" s="31" t="s">
        <v>75</v>
      </c>
      <c r="B72" s="33">
        <v>727237.54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ht="30" customHeight="1" x14ac:dyDescent="0.25">
      <c r="A73" s="75" t="s">
        <v>99</v>
      </c>
      <c r="B73" s="76">
        <f>+K67-L67</f>
        <v>1226717.4121738914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</sheetData>
  <autoFilter ref="A4:X67" xr:uid="{00000000-0009-0000-0000-000000000000}"/>
  <mergeCells count="3">
    <mergeCell ref="B1:X1"/>
    <mergeCell ref="B2:X2"/>
    <mergeCell ref="A3:X3"/>
  </mergeCells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59"/>
  <sheetViews>
    <sheetView workbookViewId="0">
      <pane ySplit="4" topLeftCell="A5" activePane="bottomLeft" state="frozen"/>
      <selection pane="bottomLeft" activeCell="N18" sqref="N18"/>
    </sheetView>
  </sheetViews>
  <sheetFormatPr defaultRowHeight="15" x14ac:dyDescent="0.25"/>
  <cols>
    <col min="1" max="8" width="13.28515625" customWidth="1"/>
  </cols>
  <sheetData>
    <row r="1" spans="1:8" ht="15" customHeight="1" x14ac:dyDescent="0.25">
      <c r="A1" s="85" t="s">
        <v>76</v>
      </c>
      <c r="B1" s="85"/>
      <c r="C1" s="85"/>
      <c r="D1" s="85"/>
      <c r="E1" s="85"/>
      <c r="F1" s="85"/>
      <c r="G1" s="85"/>
      <c r="H1" s="85"/>
    </row>
    <row r="2" spans="1:8" ht="15" customHeight="1" x14ac:dyDescent="0.25">
      <c r="A2" s="85" t="s">
        <v>98</v>
      </c>
      <c r="B2" s="85"/>
      <c r="C2" s="85"/>
      <c r="D2" s="85"/>
      <c r="E2" s="85"/>
      <c r="F2" s="85"/>
      <c r="G2" s="85"/>
      <c r="H2" s="85"/>
    </row>
    <row r="3" spans="1:8" ht="15" customHeight="1" x14ac:dyDescent="0.25">
      <c r="A3" s="85" t="s">
        <v>77</v>
      </c>
      <c r="B3" s="85"/>
      <c r="C3" s="85"/>
      <c r="D3" s="85"/>
      <c r="E3" s="85"/>
      <c r="F3" s="85"/>
      <c r="G3" s="85"/>
      <c r="H3" s="85"/>
    </row>
    <row r="4" spans="1:8" ht="15" customHeight="1" x14ac:dyDescent="0.25">
      <c r="A4" s="85" t="s">
        <v>78</v>
      </c>
      <c r="B4" s="85"/>
      <c r="C4" s="85"/>
      <c r="D4" s="85"/>
      <c r="E4" s="85"/>
      <c r="F4" s="85"/>
      <c r="G4" s="85"/>
      <c r="H4" s="85"/>
    </row>
    <row r="5" spans="1:8" ht="15" customHeight="1" x14ac:dyDescent="0.25">
      <c r="A5" s="86"/>
      <c r="B5" s="86"/>
      <c r="C5" s="86"/>
      <c r="D5" s="86"/>
      <c r="E5" s="86"/>
      <c r="F5" s="86"/>
      <c r="G5" s="86"/>
      <c r="H5" s="86"/>
    </row>
    <row r="6" spans="1:8" ht="60" customHeight="1" x14ac:dyDescent="0.25">
      <c r="A6" s="34"/>
      <c r="B6" s="35" t="s">
        <v>79</v>
      </c>
      <c r="C6" s="35" t="s">
        <v>80</v>
      </c>
      <c r="D6" s="35" t="s">
        <v>81</v>
      </c>
      <c r="E6" s="35" t="s">
        <v>82</v>
      </c>
      <c r="F6" s="35" t="s">
        <v>83</v>
      </c>
      <c r="G6" s="35" t="s">
        <v>84</v>
      </c>
      <c r="H6" s="35" t="s">
        <v>85</v>
      </c>
    </row>
    <row r="7" spans="1:8" ht="15" customHeight="1" x14ac:dyDescent="0.25">
      <c r="A7" s="34"/>
      <c r="B7" s="35"/>
      <c r="C7" s="35"/>
      <c r="D7" s="35"/>
      <c r="E7" s="35"/>
      <c r="F7" s="35"/>
      <c r="G7" s="35"/>
      <c r="H7" s="35"/>
    </row>
    <row r="8" spans="1:8" ht="15" customHeight="1" x14ac:dyDescent="0.25">
      <c r="A8" s="34"/>
      <c r="B8" s="35"/>
      <c r="C8" s="35"/>
      <c r="D8" s="35"/>
      <c r="E8" s="35"/>
      <c r="F8" s="35"/>
      <c r="G8" s="35"/>
      <c r="H8" s="35"/>
    </row>
    <row r="9" spans="1:8" ht="15" customHeight="1" x14ac:dyDescent="0.25">
      <c r="A9" s="34"/>
      <c r="B9" s="35"/>
      <c r="C9" s="35"/>
      <c r="D9" s="35"/>
      <c r="E9" s="35"/>
      <c r="F9" s="35"/>
      <c r="G9" s="35"/>
      <c r="H9" s="35"/>
    </row>
    <row r="10" spans="1:8" ht="15" customHeight="1" x14ac:dyDescent="0.25">
      <c r="A10" s="36">
        <v>2017</v>
      </c>
      <c r="B10" s="36">
        <v>1</v>
      </c>
      <c r="C10" s="37">
        <v>0.50375046186292716</v>
      </c>
      <c r="D10" s="37">
        <v>0.52610000000000001</v>
      </c>
      <c r="E10" s="37">
        <v>0.52610000000000001</v>
      </c>
      <c r="F10" s="36" t="s">
        <v>86</v>
      </c>
      <c r="G10" s="38">
        <v>0.55240500000000003</v>
      </c>
      <c r="H10" s="39">
        <v>0.57544028850000006</v>
      </c>
    </row>
    <row r="11" spans="1:8" ht="15" customHeight="1" x14ac:dyDescent="0.25">
      <c r="A11" s="36">
        <v>2018</v>
      </c>
      <c r="B11" s="36">
        <v>2</v>
      </c>
      <c r="C11" s="37">
        <v>0.48145277252468566</v>
      </c>
      <c r="D11" s="37">
        <v>0.52510000000000001</v>
      </c>
      <c r="E11" s="37">
        <v>1.0512000000000001</v>
      </c>
      <c r="F11" s="36" t="s">
        <v>86</v>
      </c>
      <c r="G11" s="38">
        <v>1.1037600000000003</v>
      </c>
      <c r="H11" s="39">
        <v>0.58663510859891288</v>
      </c>
    </row>
    <row r="12" spans="1:8" ht="15" customHeight="1" x14ac:dyDescent="0.25">
      <c r="A12" s="36">
        <v>2019</v>
      </c>
      <c r="B12" s="36">
        <v>3</v>
      </c>
      <c r="C12" s="37">
        <v>0.4608337288383616</v>
      </c>
      <c r="D12" s="37">
        <v>0.52480000000000004</v>
      </c>
      <c r="E12" s="37">
        <v>1.5760000000000001</v>
      </c>
      <c r="F12" s="36" t="s">
        <v>86</v>
      </c>
      <c r="G12" s="38">
        <v>1.6548</v>
      </c>
      <c r="H12" s="39">
        <v>0.59822974054754463</v>
      </c>
    </row>
    <row r="13" spans="1:8" ht="15" customHeight="1" x14ac:dyDescent="0.25">
      <c r="A13" s="36">
        <v>2020</v>
      </c>
      <c r="B13" s="36">
        <v>4</v>
      </c>
      <c r="C13" s="37">
        <v>0.43893958281012163</v>
      </c>
      <c r="D13" s="37">
        <v>0.52200000000000002</v>
      </c>
      <c r="E13" s="37">
        <v>2.0979999999999999</v>
      </c>
      <c r="F13" s="36" t="s">
        <v>86</v>
      </c>
      <c r="G13" s="38">
        <v>2.2029000000000001</v>
      </c>
      <c r="H13" s="39">
        <v>0.6093103038395391</v>
      </c>
    </row>
    <row r="14" spans="1:8" ht="15" customHeight="1" x14ac:dyDescent="0.25">
      <c r="A14" s="36">
        <v>2021</v>
      </c>
      <c r="B14" s="36">
        <v>5</v>
      </c>
      <c r="C14" s="37">
        <v>0.4316463220726437</v>
      </c>
      <c r="D14" s="37">
        <v>0.53610000000000002</v>
      </c>
      <c r="E14" s="37">
        <v>2.6341000000000001</v>
      </c>
      <c r="F14" s="36" t="s">
        <v>87</v>
      </c>
      <c r="G14" s="38">
        <v>2.8316574999999999</v>
      </c>
      <c r="H14" s="39">
        <v>0.6391077942016965</v>
      </c>
    </row>
    <row r="15" spans="1:8" ht="15" customHeight="1" x14ac:dyDescent="0.25">
      <c r="A15" s="36">
        <v>2022</v>
      </c>
      <c r="B15" s="36">
        <v>6</v>
      </c>
      <c r="C15" s="37">
        <v>0.43266302968283699</v>
      </c>
      <c r="D15" s="37">
        <v>0.56120000000000003</v>
      </c>
      <c r="E15" s="37">
        <v>3.1953</v>
      </c>
      <c r="F15" s="36" t="s">
        <v>87</v>
      </c>
      <c r="G15" s="38">
        <v>3.4349474999999998</v>
      </c>
      <c r="H15" s="39">
        <v>0.65888805718579702</v>
      </c>
    </row>
    <row r="16" spans="1:8" ht="15" customHeight="1" x14ac:dyDescent="0.25">
      <c r="A16" s="36">
        <v>2023</v>
      </c>
      <c r="B16" s="36">
        <v>7</v>
      </c>
      <c r="C16" s="37">
        <v>0.41102835508921054</v>
      </c>
      <c r="D16" s="37">
        <v>0.55669999999999997</v>
      </c>
      <c r="E16" s="37">
        <v>3.7519999999999998</v>
      </c>
      <c r="F16" s="36" t="s">
        <v>87</v>
      </c>
      <c r="G16" s="38">
        <v>4.0333999999999994</v>
      </c>
      <c r="H16" s="39">
        <v>0.67623119327321579</v>
      </c>
    </row>
    <row r="17" spans="1:8" ht="15" customHeight="1" x14ac:dyDescent="0.25">
      <c r="A17" s="36">
        <v>2024</v>
      </c>
      <c r="B17" s="36">
        <v>8</v>
      </c>
      <c r="C17" s="37">
        <v>0.41105121059992716</v>
      </c>
      <c r="D17" s="37">
        <v>0.58140000000000003</v>
      </c>
      <c r="E17" s="37">
        <v>4.3334000000000001</v>
      </c>
      <c r="F17" s="36" t="s">
        <v>87</v>
      </c>
      <c r="G17" s="38">
        <v>4.6584050000000001</v>
      </c>
      <c r="H17" s="39">
        <v>0.6967680181359317</v>
      </c>
    </row>
    <row r="18" spans="1:8" ht="15" customHeight="1" x14ac:dyDescent="0.25">
      <c r="A18" s="36">
        <v>2025</v>
      </c>
      <c r="B18" s="36">
        <v>9</v>
      </c>
      <c r="C18" s="37">
        <v>0.3986779862798866</v>
      </c>
      <c r="D18" s="37">
        <v>0.58889999999999998</v>
      </c>
      <c r="E18" s="37">
        <v>4.9222999999999999</v>
      </c>
      <c r="F18" s="36" t="s">
        <v>87</v>
      </c>
      <c r="G18" s="38">
        <v>5.2914724999999994</v>
      </c>
      <c r="H18" s="39">
        <v>0.71718947736783722</v>
      </c>
    </row>
    <row r="19" spans="1:8" ht="15" customHeight="1" x14ac:dyDescent="0.25">
      <c r="A19" s="36">
        <v>2026</v>
      </c>
      <c r="B19" s="36">
        <v>10</v>
      </c>
      <c r="C19" s="37">
        <v>0.38634251345891696</v>
      </c>
      <c r="D19" s="37">
        <v>0.59599999999999997</v>
      </c>
      <c r="E19" s="37">
        <v>5.5183</v>
      </c>
      <c r="F19" s="36" t="s">
        <v>97</v>
      </c>
      <c r="G19" s="38">
        <v>6.0701300000000007</v>
      </c>
      <c r="H19" s="39">
        <v>0.75473900022038731</v>
      </c>
    </row>
    <row r="20" spans="1:8" ht="15" customHeight="1" x14ac:dyDescent="0.25">
      <c r="A20" s="36">
        <v>2027</v>
      </c>
      <c r="B20" s="36">
        <v>11</v>
      </c>
      <c r="C20" s="37">
        <v>0.38100734329545549</v>
      </c>
      <c r="D20" s="37">
        <v>0.61380000000000001</v>
      </c>
      <c r="E20" s="37">
        <v>6.1321000000000003</v>
      </c>
      <c r="F20" s="36" t="s">
        <v>88</v>
      </c>
      <c r="G20" s="38">
        <v>6.7453100000000008</v>
      </c>
      <c r="H20" s="39">
        <v>0.77704657465540727</v>
      </c>
    </row>
    <row r="21" spans="1:8" ht="15" customHeight="1" x14ac:dyDescent="0.25">
      <c r="A21" s="36">
        <v>2028</v>
      </c>
      <c r="B21" s="36">
        <v>12</v>
      </c>
      <c r="C21" s="37">
        <v>0.38139669124365716</v>
      </c>
      <c r="D21" s="37">
        <v>0.64159999999999995</v>
      </c>
      <c r="E21" s="37">
        <v>6.7736999999999998</v>
      </c>
      <c r="F21" s="36" t="s">
        <v>88</v>
      </c>
      <c r="G21" s="38">
        <v>7.4510700000000005</v>
      </c>
      <c r="H21" s="39">
        <v>0.8017785658413018</v>
      </c>
    </row>
    <row r="22" spans="1:8" ht="15" customHeight="1" x14ac:dyDescent="0.25">
      <c r="A22" s="36">
        <v>2029</v>
      </c>
      <c r="B22" s="36">
        <v>13</v>
      </c>
      <c r="C22" s="37">
        <v>0.36901765181505264</v>
      </c>
      <c r="D22" s="37">
        <v>0.64829999999999999</v>
      </c>
      <c r="E22" s="37">
        <v>7.4219999999999997</v>
      </c>
      <c r="F22" s="36" t="s">
        <v>88</v>
      </c>
      <c r="G22" s="38">
        <v>8.164200000000001</v>
      </c>
      <c r="H22" s="39">
        <v>0.82624123446525555</v>
      </c>
    </row>
    <row r="23" spans="1:8" ht="15" customHeight="1" x14ac:dyDescent="0.25">
      <c r="A23" s="36">
        <v>2030</v>
      </c>
      <c r="B23" s="36">
        <v>14</v>
      </c>
      <c r="C23" s="37">
        <v>0.37060206764692311</v>
      </c>
      <c r="D23" s="37">
        <v>0.67989999999999995</v>
      </c>
      <c r="E23" s="37">
        <v>8.1019000000000005</v>
      </c>
      <c r="F23" s="36" t="s">
        <v>88</v>
      </c>
      <c r="G23" s="38">
        <v>8.912090000000001</v>
      </c>
      <c r="H23" s="39">
        <v>0.85319457683612465</v>
      </c>
    </row>
    <row r="24" spans="1:8" ht="15" customHeight="1" x14ac:dyDescent="0.25">
      <c r="A24" s="36">
        <v>2031</v>
      </c>
      <c r="B24" s="36">
        <v>15</v>
      </c>
      <c r="C24" s="37">
        <v>0.36813039558562383</v>
      </c>
      <c r="D24" s="37">
        <v>0.70530000000000004</v>
      </c>
      <c r="E24" s="37">
        <v>8.8071999999999999</v>
      </c>
      <c r="F24" s="36" t="s">
        <v>89</v>
      </c>
      <c r="G24" s="38">
        <v>9.9080999999999992</v>
      </c>
      <c r="H24" s="39">
        <v>0.90177092312557772</v>
      </c>
    </row>
    <row r="25" spans="1:8" ht="15" customHeight="1" x14ac:dyDescent="0.25">
      <c r="A25" s="36">
        <v>2032</v>
      </c>
      <c r="B25" s="36">
        <v>16</v>
      </c>
      <c r="C25" s="37">
        <v>0.35527945678847395</v>
      </c>
      <c r="D25" s="37">
        <v>0.71079999999999999</v>
      </c>
      <c r="E25" s="37">
        <v>9.5180000000000007</v>
      </c>
      <c r="F25" s="36" t="s">
        <v>89</v>
      </c>
      <c r="G25" s="38">
        <v>10.707750000000001</v>
      </c>
      <c r="H25" s="39">
        <v>0.93050049086035125</v>
      </c>
    </row>
    <row r="26" spans="1:8" ht="15" customHeight="1" x14ac:dyDescent="0.25">
      <c r="A26" s="36">
        <v>2033</v>
      </c>
      <c r="B26" s="36">
        <v>17</v>
      </c>
      <c r="C26" s="37">
        <v>0.35805945415378165</v>
      </c>
      <c r="D26" s="37">
        <v>0.74809999999999999</v>
      </c>
      <c r="E26" s="37">
        <v>10.266100000000002</v>
      </c>
      <c r="F26" s="36" t="s">
        <v>89</v>
      </c>
      <c r="G26" s="38">
        <v>11.549362500000001</v>
      </c>
      <c r="H26" s="39">
        <v>0.96189924352364276</v>
      </c>
    </row>
    <row r="27" spans="1:8" ht="15" customHeight="1" x14ac:dyDescent="0.25">
      <c r="A27" s="36">
        <v>2034</v>
      </c>
      <c r="B27" s="36">
        <v>18</v>
      </c>
      <c r="C27" s="37">
        <v>0.34622149784610223</v>
      </c>
      <c r="D27" s="37">
        <v>0.75549999999999995</v>
      </c>
      <c r="E27" s="37">
        <v>11.021600000000001</v>
      </c>
      <c r="F27" s="36" t="s">
        <v>89</v>
      </c>
      <c r="G27" s="38">
        <v>12.399300000000002</v>
      </c>
      <c r="H27" s="39">
        <v>0.99304357369521867</v>
      </c>
    </row>
    <row r="28" spans="1:8" ht="15" customHeight="1" x14ac:dyDescent="0.25">
      <c r="A28" s="36">
        <v>2035</v>
      </c>
      <c r="B28" s="36">
        <v>19</v>
      </c>
      <c r="C28" s="37">
        <v>0.33853189864122668</v>
      </c>
      <c r="D28" s="37">
        <v>0.77139999999999997</v>
      </c>
      <c r="E28" s="37">
        <v>11.793000000000001</v>
      </c>
      <c r="F28" s="36" t="s">
        <v>89</v>
      </c>
      <c r="G28" s="38">
        <v>13.267125000000002</v>
      </c>
      <c r="H28" s="39">
        <v>1.024781338122388</v>
      </c>
    </row>
    <row r="29" spans="1:8" ht="15" customHeight="1" x14ac:dyDescent="0.25">
      <c r="A29" s="36">
        <v>2036</v>
      </c>
      <c r="B29" s="36">
        <v>20</v>
      </c>
      <c r="C29" s="37">
        <v>0.33335319301782923</v>
      </c>
      <c r="D29" s="37">
        <v>0.79330000000000001</v>
      </c>
      <c r="E29" s="37">
        <v>12.586300000000001</v>
      </c>
      <c r="F29" s="36" t="s">
        <v>89</v>
      </c>
      <c r="G29" s="38">
        <v>14.159587500000001</v>
      </c>
      <c r="H29" s="39">
        <v>1.0576313422902455</v>
      </c>
    </row>
    <row r="30" spans="1:8" ht="15" customHeight="1" x14ac:dyDescent="0.25">
      <c r="A30" s="36">
        <v>2037</v>
      </c>
      <c r="B30" s="36">
        <v>21</v>
      </c>
      <c r="C30" s="37">
        <v>0.32240000000000002</v>
      </c>
      <c r="D30" s="37">
        <v>0.80123299999999997</v>
      </c>
      <c r="E30" s="37">
        <v>13.387533000000001</v>
      </c>
      <c r="F30" s="36" t="s">
        <v>90</v>
      </c>
      <c r="G30" s="38">
        <v>15.39566295</v>
      </c>
      <c r="H30" s="39">
        <v>1.114654015595091</v>
      </c>
    </row>
    <row r="31" spans="1:8" ht="15" customHeight="1" x14ac:dyDescent="0.25">
      <c r="A31" s="36">
        <v>2038</v>
      </c>
      <c r="B31" s="36">
        <v>22</v>
      </c>
      <c r="C31" s="37">
        <v>0.31180000000000002</v>
      </c>
      <c r="D31" s="37">
        <v>0.80924532999999998</v>
      </c>
      <c r="E31" s="37">
        <v>14.196778330000001</v>
      </c>
      <c r="F31" s="36" t="s">
        <v>90</v>
      </c>
      <c r="G31" s="38">
        <v>16.326295079499999</v>
      </c>
      <c r="H31" s="39">
        <v>1.1481932245210069</v>
      </c>
    </row>
    <row r="32" spans="1:8" ht="15" customHeight="1" x14ac:dyDescent="0.25">
      <c r="A32" s="36">
        <v>2039</v>
      </c>
      <c r="B32" s="36">
        <v>23</v>
      </c>
      <c r="C32" s="37">
        <v>0.30159999999999998</v>
      </c>
      <c r="D32" s="37">
        <v>0.81733778329999995</v>
      </c>
      <c r="E32" s="37">
        <v>15.0141161133</v>
      </c>
      <c r="F32" s="36" t="s">
        <v>90</v>
      </c>
      <c r="G32" s="38">
        <v>17.266233530294997</v>
      </c>
      <c r="H32" s="39">
        <v>1.1818185082322867</v>
      </c>
    </row>
    <row r="33" spans="1:8" ht="15" customHeight="1" x14ac:dyDescent="0.25">
      <c r="A33" s="36">
        <v>2040</v>
      </c>
      <c r="B33" s="36">
        <v>24</v>
      </c>
      <c r="C33" s="37">
        <v>0.29170000000000001</v>
      </c>
      <c r="D33" s="37">
        <v>0.82551116113299994</v>
      </c>
      <c r="E33" s="37">
        <v>15.839627274432999</v>
      </c>
      <c r="F33" s="36" t="s">
        <v>90</v>
      </c>
      <c r="G33" s="38">
        <v>18.215571365597949</v>
      </c>
      <c r="H33" s="39">
        <v>1.2155861255765377</v>
      </c>
    </row>
    <row r="34" spans="1:8" ht="15" customHeight="1" x14ac:dyDescent="0.25">
      <c r="A34" s="36">
        <v>2041</v>
      </c>
      <c r="B34" s="36">
        <v>25</v>
      </c>
      <c r="C34" s="37">
        <v>0.28210000000000002</v>
      </c>
      <c r="D34" s="37">
        <v>0.83376627274432991</v>
      </c>
      <c r="E34" s="37">
        <v>16.67339354717733</v>
      </c>
      <c r="F34" s="36" t="s">
        <v>90</v>
      </c>
      <c r="G34" s="38">
        <v>19.174402579253929</v>
      </c>
      <c r="H34" s="39">
        <v>1.2495440426753255</v>
      </c>
    </row>
    <row r="35" spans="1:8" ht="15" customHeight="1" x14ac:dyDescent="0.25">
      <c r="A35" s="36">
        <v>2042</v>
      </c>
      <c r="B35" s="36">
        <v>26</v>
      </c>
      <c r="C35" s="37">
        <v>0.27279999999999999</v>
      </c>
      <c r="D35" s="37">
        <v>0.8421039354717732</v>
      </c>
      <c r="E35" s="37">
        <v>17.515497482649103</v>
      </c>
      <c r="F35" s="36" t="s">
        <v>91</v>
      </c>
      <c r="G35" s="38">
        <v>20.580709542112697</v>
      </c>
      <c r="H35" s="39">
        <v>1.3116407750896693</v>
      </c>
    </row>
    <row r="36" spans="1:8" ht="15" customHeight="1" x14ac:dyDescent="0.25">
      <c r="A36" s="36">
        <v>2043</v>
      </c>
      <c r="B36" s="36">
        <v>27</v>
      </c>
      <c r="C36" s="37">
        <v>0.26390000000000002</v>
      </c>
      <c r="D36" s="37">
        <v>0.85052497482649092</v>
      </c>
      <c r="E36" s="37">
        <v>18.366022457475594</v>
      </c>
      <c r="F36" s="36" t="s">
        <v>91</v>
      </c>
      <c r="G36" s="38">
        <v>21.580076387533826</v>
      </c>
      <c r="H36" s="39">
        <v>1.3468466857508121</v>
      </c>
    </row>
    <row r="37" spans="1:8" ht="15" customHeight="1" x14ac:dyDescent="0.25">
      <c r="A37" s="36">
        <v>2044</v>
      </c>
      <c r="B37" s="36">
        <v>28</v>
      </c>
      <c r="C37" s="37">
        <v>0.25519999999999998</v>
      </c>
      <c r="D37" s="37">
        <v>0.85903022457475586</v>
      </c>
      <c r="E37" s="37">
        <v>19.22505268205035</v>
      </c>
      <c r="F37" s="36" t="s">
        <v>91</v>
      </c>
      <c r="G37" s="38">
        <v>22.589436901409162</v>
      </c>
      <c r="H37" s="39">
        <v>1.3823577684306014</v>
      </c>
    </row>
    <row r="38" spans="1:8" ht="15" customHeight="1" x14ac:dyDescent="0.25">
      <c r="A38" s="36">
        <v>2045</v>
      </c>
      <c r="B38" s="36">
        <v>29</v>
      </c>
      <c r="C38" s="37">
        <v>0.24679999999999999</v>
      </c>
      <c r="D38" s="37">
        <v>0.86762052682050339</v>
      </c>
      <c r="E38" s="37">
        <v>20.092673208870853</v>
      </c>
      <c r="F38" s="36" t="s">
        <v>91</v>
      </c>
      <c r="G38" s="38">
        <v>23.608891020423254</v>
      </c>
      <c r="H38" s="39">
        <v>1.4182022171569741</v>
      </c>
    </row>
    <row r="39" spans="1:8" ht="15" customHeight="1" x14ac:dyDescent="0.25">
      <c r="A39" s="36">
        <v>2046</v>
      </c>
      <c r="B39" s="36">
        <v>30</v>
      </c>
      <c r="C39" s="37">
        <v>0.2387</v>
      </c>
      <c r="D39" s="37">
        <v>0.8762967320887084</v>
      </c>
      <c r="E39" s="37">
        <v>20.96896994095956</v>
      </c>
      <c r="F39" s="36" t="s">
        <v>91</v>
      </c>
      <c r="G39" s="38">
        <v>24.638539680627485</v>
      </c>
      <c r="H39" s="39">
        <v>1.4544050583447914</v>
      </c>
    </row>
    <row r="40" spans="1:8" ht="15" customHeight="1" x14ac:dyDescent="0.25">
      <c r="A40" s="36">
        <v>2047</v>
      </c>
      <c r="B40" s="36">
        <v>31</v>
      </c>
      <c r="C40" s="37">
        <v>0.23089999999999999</v>
      </c>
      <c r="D40" s="37">
        <v>0.8850596994095955</v>
      </c>
      <c r="E40" s="37">
        <v>21.854029640369156</v>
      </c>
      <c r="F40" s="36" t="s">
        <v>92</v>
      </c>
      <c r="G40" s="38">
        <v>26.224835568442987</v>
      </c>
      <c r="H40" s="39">
        <v>1.5227118230476682</v>
      </c>
    </row>
    <row r="41" spans="1:8" ht="15" customHeight="1" x14ac:dyDescent="0.25">
      <c r="A41" s="36">
        <v>2048</v>
      </c>
      <c r="B41" s="36">
        <v>32</v>
      </c>
      <c r="C41" s="37">
        <v>0.2233</v>
      </c>
      <c r="D41" s="37">
        <v>0.89391029640369146</v>
      </c>
      <c r="E41" s="37">
        <v>22.747939936772848</v>
      </c>
      <c r="F41" s="36" t="s">
        <v>92</v>
      </c>
      <c r="G41" s="38">
        <v>27.297527924127419</v>
      </c>
      <c r="H41" s="39">
        <v>1.5604832130204835</v>
      </c>
    </row>
    <row r="42" spans="1:8" ht="15" customHeight="1" x14ac:dyDescent="0.25">
      <c r="A42" s="36">
        <v>2049</v>
      </c>
      <c r="B42" s="36">
        <v>33</v>
      </c>
      <c r="C42" s="37">
        <v>0.216</v>
      </c>
      <c r="D42" s="37">
        <v>0.90284939936772834</v>
      </c>
      <c r="E42" s="37">
        <v>23.650789336140576</v>
      </c>
      <c r="F42" s="36" t="s">
        <v>92</v>
      </c>
      <c r="G42" s="38">
        <v>28.380947203368692</v>
      </c>
      <c r="H42" s="39">
        <v>1.5986826228009072</v>
      </c>
    </row>
    <row r="43" spans="1:8" ht="15" customHeight="1" x14ac:dyDescent="0.25">
      <c r="A43" s="36">
        <v>2050</v>
      </c>
      <c r="B43" s="36">
        <v>34</v>
      </c>
      <c r="C43" s="37">
        <v>0.2089</v>
      </c>
      <c r="D43" s="37">
        <v>0.91187789336140568</v>
      </c>
      <c r="E43" s="37">
        <v>24.562667229501983</v>
      </c>
      <c r="F43" s="36" t="s">
        <v>92</v>
      </c>
      <c r="G43" s="38">
        <v>29.475200675402377</v>
      </c>
      <c r="H43" s="39">
        <v>1.6373269979581346</v>
      </c>
    </row>
    <row r="44" spans="1:8" ht="15" customHeight="1" x14ac:dyDescent="0.25">
      <c r="A44" s="36">
        <v>2051</v>
      </c>
      <c r="B44" s="36">
        <v>35</v>
      </c>
      <c r="C44" s="37">
        <v>0.20200000000000001</v>
      </c>
      <c r="D44" s="37">
        <v>0.92099667229501969</v>
      </c>
      <c r="E44" s="37">
        <v>25.483663901797001</v>
      </c>
      <c r="F44" s="36" t="s">
        <v>92</v>
      </c>
      <c r="G44" s="38">
        <v>30.580396682156401</v>
      </c>
      <c r="H44" s="39">
        <v>1.6764318602736039</v>
      </c>
    </row>
    <row r="45" spans="1:8" ht="15" customHeight="1" x14ac:dyDescent="0.25">
      <c r="A45" s="36">
        <v>2052</v>
      </c>
      <c r="B45" s="36">
        <v>36</v>
      </c>
      <c r="C45" s="37">
        <v>0.19539999999999999</v>
      </c>
      <c r="D45" s="37">
        <v>0.93020663901796985</v>
      </c>
      <c r="E45" s="37">
        <v>26.413870540814973</v>
      </c>
      <c r="F45" s="36" t="s">
        <v>92</v>
      </c>
      <c r="G45" s="38">
        <v>31.696644648977966</v>
      </c>
      <c r="H45" s="39">
        <v>1.7160115052557154</v>
      </c>
    </row>
    <row r="46" spans="1:8" ht="15" customHeight="1" x14ac:dyDescent="0.25">
      <c r="A46" s="36">
        <v>2053</v>
      </c>
      <c r="B46" s="36">
        <v>37</v>
      </c>
      <c r="C46" s="37">
        <v>0.189</v>
      </c>
      <c r="D46" s="37">
        <v>0.93950870540814957</v>
      </c>
      <c r="E46" s="37">
        <v>27.35337924622312</v>
      </c>
      <c r="F46" s="36" t="s">
        <v>92</v>
      </c>
      <c r="G46" s="38">
        <v>32.824055095467742</v>
      </c>
      <c r="H46" s="39">
        <v>1.7560791678868763</v>
      </c>
    </row>
    <row r="47" spans="1:8" ht="15" customHeight="1" x14ac:dyDescent="0.25">
      <c r="A47" s="36">
        <v>2054</v>
      </c>
      <c r="B47" s="36">
        <v>38</v>
      </c>
      <c r="C47" s="37">
        <v>0.18279999999999999</v>
      </c>
      <c r="D47" s="37">
        <v>0.94890379246223111</v>
      </c>
      <c r="E47" s="37">
        <v>28.302283038685353</v>
      </c>
      <c r="F47" s="36" t="s">
        <v>92</v>
      </c>
      <c r="G47" s="38">
        <v>33.96273964642242</v>
      </c>
      <c r="H47" s="39">
        <v>1.7966471624624809</v>
      </c>
    </row>
    <row r="48" spans="1:8" ht="15" customHeight="1" x14ac:dyDescent="0.25">
      <c r="A48" s="36">
        <v>2055</v>
      </c>
      <c r="B48" s="36">
        <v>39</v>
      </c>
      <c r="C48" s="37">
        <v>0.1767</v>
      </c>
      <c r="D48" s="37">
        <v>0.95839283038685341</v>
      </c>
      <c r="E48" s="37">
        <v>29.260675869072205</v>
      </c>
      <c r="F48" s="36" t="s">
        <v>92</v>
      </c>
      <c r="G48" s="38">
        <v>35.112811042886648</v>
      </c>
      <c r="H48" s="39">
        <v>1.8377270011789342</v>
      </c>
    </row>
    <row r="49" spans="1:8" ht="15" customHeight="1" x14ac:dyDescent="0.25">
      <c r="A49" s="36">
        <v>2056</v>
      </c>
      <c r="B49" s="36">
        <v>40</v>
      </c>
      <c r="C49" s="37">
        <v>0.1709</v>
      </c>
      <c r="D49" s="37">
        <v>0.96797675869072197</v>
      </c>
      <c r="E49" s="37">
        <v>30.228652627762926</v>
      </c>
      <c r="F49" s="36" t="s">
        <v>92</v>
      </c>
      <c r="G49" s="38">
        <v>36.274383153315512</v>
      </c>
      <c r="H49" s="39">
        <v>1.8793294951958501</v>
      </c>
    </row>
    <row r="50" spans="1:8" ht="15" customHeight="1" x14ac:dyDescent="0.25">
      <c r="A50" s="36">
        <v>2057</v>
      </c>
      <c r="B50" s="36">
        <v>41</v>
      </c>
      <c r="C50" s="37">
        <v>0.1653</v>
      </c>
      <c r="D50" s="37">
        <v>0.97765652627762922</v>
      </c>
      <c r="E50" s="37">
        <v>31.206309154040557</v>
      </c>
      <c r="F50" s="36" t="s">
        <v>92</v>
      </c>
      <c r="G50" s="38">
        <v>37.447570984848667</v>
      </c>
      <c r="H50" s="39">
        <v>1.9214648411701916</v>
      </c>
    </row>
    <row r="51" spans="1:8" ht="15" customHeight="1" x14ac:dyDescent="0.25">
      <c r="A51" s="36">
        <v>2058</v>
      </c>
      <c r="B51" s="36">
        <v>42</v>
      </c>
      <c r="C51" s="37">
        <v>0.15989999999999999</v>
      </c>
      <c r="D51" s="37">
        <v>0.98743309154040548</v>
      </c>
      <c r="E51" s="37">
        <v>32.193742245580964</v>
      </c>
      <c r="F51" s="36" t="s">
        <v>92</v>
      </c>
      <c r="G51" s="38">
        <v>38.632490694697154</v>
      </c>
      <c r="H51" s="39">
        <v>1.9641426956885901</v>
      </c>
    </row>
    <row r="52" spans="1:8" ht="15" customHeight="1" x14ac:dyDescent="0.25">
      <c r="A52" s="36">
        <v>2059</v>
      </c>
      <c r="B52" s="36">
        <v>43</v>
      </c>
      <c r="C52" s="37">
        <v>0.15459999999999999</v>
      </c>
      <c r="D52" s="37">
        <v>0.9973074224558095</v>
      </c>
      <c r="E52" s="37">
        <v>33.191049668036776</v>
      </c>
      <c r="F52" s="36" t="s">
        <v>92</v>
      </c>
      <c r="G52" s="38">
        <v>39.829259601644132</v>
      </c>
      <c r="H52" s="39">
        <v>2.0073722395722018</v>
      </c>
    </row>
    <row r="53" spans="1:8" ht="15" customHeight="1" x14ac:dyDescent="0.25">
      <c r="A53" s="36">
        <v>2060</v>
      </c>
      <c r="B53" s="36">
        <v>44</v>
      </c>
      <c r="C53" s="37">
        <v>0.14960000000000001</v>
      </c>
      <c r="D53" s="37">
        <v>1.0072804966803677</v>
      </c>
      <c r="E53" s="37">
        <v>34.198330164717142</v>
      </c>
      <c r="F53" s="36" t="s">
        <v>92</v>
      </c>
      <c r="G53" s="38">
        <v>41.037996197660568</v>
      </c>
      <c r="H53" s="39">
        <v>2.0511622336689972</v>
      </c>
    </row>
    <row r="54" spans="1:8" ht="15" customHeight="1" x14ac:dyDescent="0.25">
      <c r="A54" s="36">
        <v>2061</v>
      </c>
      <c r="B54" s="36">
        <v>45</v>
      </c>
      <c r="C54" s="37">
        <v>0.1447</v>
      </c>
      <c r="D54" s="37">
        <v>1.0173533016471714</v>
      </c>
      <c r="E54" s="37">
        <v>35.215683466364311</v>
      </c>
      <c r="F54" s="36" t="s">
        <v>92</v>
      </c>
      <c r="G54" s="38">
        <v>42.258820159637175</v>
      </c>
      <c r="H54" s="39">
        <v>2.0955210674608313</v>
      </c>
    </row>
    <row r="55" spans="1:8" ht="15" customHeight="1" x14ac:dyDescent="0.25">
      <c r="A55" s="83"/>
      <c r="B55" s="83"/>
      <c r="C55" s="83"/>
      <c r="D55" s="83"/>
      <c r="E55" s="83"/>
      <c r="F55" s="83"/>
      <c r="G55" s="83"/>
      <c r="H55" s="83"/>
    </row>
    <row r="56" spans="1:8" ht="15" customHeight="1" x14ac:dyDescent="0.25">
      <c r="A56" s="40"/>
      <c r="B56" s="81" t="s">
        <v>93</v>
      </c>
      <c r="C56" s="81"/>
      <c r="D56" s="81"/>
      <c r="E56" s="41">
        <v>4.4299999999999999E-2</v>
      </c>
      <c r="F56" s="84"/>
      <c r="G56" s="84"/>
      <c r="H56" s="84"/>
    </row>
    <row r="57" spans="1:8" ht="15" customHeight="1" x14ac:dyDescent="0.25">
      <c r="A57" s="40"/>
      <c r="B57" s="81" t="s">
        <v>94</v>
      </c>
      <c r="C57" s="81"/>
      <c r="D57" s="81"/>
      <c r="E57" s="41">
        <v>4.4299999999999999E-2</v>
      </c>
      <c r="F57" s="84"/>
      <c r="G57" s="84"/>
      <c r="H57" s="84"/>
    </row>
    <row r="58" spans="1:8" ht="15" customHeight="1" x14ac:dyDescent="0.25">
      <c r="A58" s="40"/>
      <c r="B58" s="81" t="s">
        <v>95</v>
      </c>
      <c r="C58" s="81"/>
      <c r="D58" s="81"/>
      <c r="E58" s="41">
        <v>0.02</v>
      </c>
      <c r="F58" s="82" t="s">
        <v>96</v>
      </c>
      <c r="G58" s="82"/>
      <c r="H58" s="82"/>
    </row>
    <row r="59" spans="1:8" ht="15" customHeight="1" x14ac:dyDescent="0.25">
      <c r="A59" s="40"/>
    </row>
  </sheetData>
  <mergeCells count="12">
    <mergeCell ref="A1:H1"/>
    <mergeCell ref="A2:H2"/>
    <mergeCell ref="A3:H3"/>
    <mergeCell ref="A4:H4"/>
    <mergeCell ref="A5:H5"/>
    <mergeCell ref="B58:D58"/>
    <mergeCell ref="F58:H58"/>
    <mergeCell ref="A55:H55"/>
    <mergeCell ref="B56:D56"/>
    <mergeCell ref="F56:H56"/>
    <mergeCell ref="B57:D57"/>
    <mergeCell ref="F57:H57"/>
  </mergeCells>
  <pageMargins left="0" right="0" top="0" bottom="0" header="0" footer="0"/>
  <pageSetup orientation="portrait"/>
  <ignoredErrors>
    <ignoredError sqref="F10:F5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2543365C312E43B002BDA2893BC779" ma:contentTypeVersion="104" ma:contentTypeDescription="" ma:contentTypeScope="" ma:versionID="8e51ded81355a7db0380aa6d79d90b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9c495a0c88ffde05ae816fb4d76b5d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2017-12-01T08:00:00+00:00</OpenedDate>
    <SignificantOrder xmlns="dc463f71-b30c-4ab2-9473-d307f9d35888">false</SignificantOrder>
    <Date1 xmlns="dc463f71-b30c-4ab2-9473-d307f9d35888">2019-05-31T07:00:00+00:00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171159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1E15DF-6854-45AD-A7B3-B1E94D370026}"/>
</file>

<file path=customXml/itemProps2.xml><?xml version="1.0" encoding="utf-8"?>
<ds:datastoreItem xmlns:ds="http://schemas.openxmlformats.org/officeDocument/2006/customXml" ds:itemID="{849C75FE-9D3B-4077-A1F0-93CA4DB2729A}"/>
</file>

<file path=customXml/itemProps3.xml><?xml version="1.0" encoding="utf-8"?>
<ds:datastoreItem xmlns:ds="http://schemas.openxmlformats.org/officeDocument/2006/customXml" ds:itemID="{86D5E86D-D98E-42C7-BEAE-AE0805E8B76F}"/>
</file>

<file path=customXml/itemProps4.xml><?xml version="1.0" encoding="utf-8"?>
<ds:datastoreItem xmlns:ds="http://schemas.openxmlformats.org/officeDocument/2006/customXml" ds:itemID="{A5AD6489-33C0-40F3-9656-9123ED127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First Year</vt:lpstr>
      <vt:lpstr>APP 2885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2019-04-04T23:02:56Z</dcterms:created>
  <dcterms:modified xsi:type="dcterms:W3CDTF">2019-05-29T03:36:08Z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0x0101006E56B4D1795A2E4DB2F0B01679ED314A00A92543365C312E43B002BDA2893BC779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