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\2017-08-01 WUSF Petition\Kalama Telephone Company\"/>
    </mc:Choice>
  </mc:AlternateContent>
  <bookViews>
    <workbookView xWindow="0" yWindow="0" windowWidth="26835" windowHeight="12750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C38" i="13" l="1"/>
  <c r="C35" i="13"/>
  <c r="D11" i="8" l="1"/>
  <c r="D10" i="8"/>
  <c r="C26" i="1" l="1"/>
  <c r="C13" i="1"/>
  <c r="C12" i="1"/>
  <c r="C37" i="2"/>
  <c r="D14" i="2" l="1"/>
  <c r="A3" i="5" l="1"/>
  <c r="I35" i="12" l="1"/>
  <c r="G35" i="5" s="1"/>
  <c r="E14" i="18" s="1"/>
  <c r="D10" i="2"/>
  <c r="I35" i="2"/>
  <c r="F35" i="5" s="1"/>
  <c r="D14" i="18" s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F14" i="18" l="1"/>
  <c r="E19" i="3" l="1"/>
  <c r="D19" i="3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23" i="5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8" i="12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55" i="13"/>
  <c r="D47" i="13"/>
  <c r="D56" i="13"/>
  <c r="I47" i="12"/>
  <c r="I49" i="12" s="1"/>
  <c r="G46" i="5"/>
  <c r="D39" i="12"/>
  <c r="D49" i="12" s="1"/>
  <c r="C35" i="5"/>
  <c r="D34" i="2"/>
  <c r="B39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5" i="2"/>
  <c r="D13" i="2"/>
  <c r="B10" i="5"/>
  <c r="D12" i="8"/>
  <c r="C12" i="8"/>
  <c r="F10" i="8"/>
  <c r="E23" i="1" l="1"/>
  <c r="C15" i="10"/>
  <c r="C23" i="10" s="1"/>
  <c r="D20" i="3"/>
  <c r="D21" i="3" s="1"/>
  <c r="C29" i="1"/>
  <c r="C39" i="1" s="1"/>
  <c r="G47" i="5"/>
  <c r="C39" i="5"/>
  <c r="D54" i="10"/>
  <c r="D53" i="10"/>
  <c r="E12" i="8"/>
  <c r="F12" i="8" s="1"/>
  <c r="D23" i="10"/>
  <c r="D29" i="10" s="1"/>
  <c r="C13" i="16" s="1"/>
  <c r="G38" i="5"/>
  <c r="G32" i="5"/>
  <c r="G20" i="5"/>
  <c r="C47" i="5"/>
  <c r="F38" i="5"/>
  <c r="F32" i="5"/>
  <c r="F20" i="5"/>
  <c r="F11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D47" i="10" s="1"/>
  <c r="G49" i="2"/>
  <c r="B49" i="2"/>
  <c r="B47" i="5"/>
  <c r="G49" i="5"/>
  <c r="B25" i="5"/>
  <c r="C49" i="5"/>
  <c r="D16" i="16" l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E54" i="1" l="1"/>
  <c r="E53" i="1"/>
  <c r="E29" i="1"/>
  <c r="C54" i="10"/>
  <c r="C53" i="10"/>
  <c r="C29" i="10"/>
  <c r="E38" i="1"/>
  <c r="D39" i="2"/>
  <c r="D49" i="2" s="1"/>
  <c r="B35" i="5"/>
  <c r="B39" i="5" s="1"/>
  <c r="B49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<sst xmlns="http://schemas.openxmlformats.org/spreadsheetml/2006/main" count="630" uniqueCount="269">
  <si>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</si>
  <si>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</si>
  <si>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</si>
  <si>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</si>
  <si>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</si>
  <si>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</si>
  <si>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</si>
  <si>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</si>
  <si>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</si>
  <si>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</si>
  <si>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</si>
  <si>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</si>
  <si>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</si>
  <si>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</si>
  <si>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</si>
  <si>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</si>
  <si>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</si>
  <si>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</si>
  <si>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</si>
  <si>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</si>
  <si>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</si>
  <si>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</si>
  <si>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</si>
  <si>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</si>
  <si>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</si>
  <si>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</si>
  <si>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</si>
  <si>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</si>
  <si>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</si>
  <si>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</si>
  <si>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</si>
  <si>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</si>
  <si>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</si>
  <si>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</si>
  <si>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</si>
  <si>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</si>
  <si>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</si>
  <si>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</si>
  <si>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</si>
  <si>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</si>
  <si>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</si>
  <si>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</si>
  <si>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</si>
  <si>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</si>
  <si>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</si>
  <si>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</si>
  <si>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</si>
  <si>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</si>
  <si>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</si>
  <si>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</si>
  <si>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</si>
  <si>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</si>
  <si>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</si>
  <si>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</si>
  <si>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</si>
  <si>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</si>
  <si>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</si>
  <si>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</si>
  <si>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</si>
  <si>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</si>
  <si>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</si>
  <si>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</si>
  <si>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</si>
  <si>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</si>
  <si>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</si>
  <si>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</si>
  <si>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</si>
  <si>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</si>
  <si>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</si>
  <si>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</si>
  <si>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</si>
  <si>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</si>
  <si>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</si>
  <si>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</si>
  <si>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</si>
  <si>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</si>
  <si>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</si>
  <si>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</si>
  <si>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</si>
  <si>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</si>
  <si>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</si>
  <si>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</si>
  <si>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</si>
  <si>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</si>
  <si>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</si>
  <si>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</si>
  <si>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</si>
  <si>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</si>
  <si>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</si>
  <si>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</si>
  <si>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</si>
  <si>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</si>
  <si>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</si>
  <si>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</si>
  <si>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</si>
  <si>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</si>
  <si>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</si>
  <si>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</si>
  <si>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</si>
  <si>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</si>
  <si>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</si>
  <si>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</si>
  <si>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</si>
  <si>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</si>
  <si>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</si>
  <si>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</si>
  <si>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</si>
  <si>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</si>
  <si>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</si>
  <si>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</si>
  <si>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</si>
  <si>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</si>
  <si>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</si>
  <si>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</si>
  <si>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</si>
  <si>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</si>
  <si>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</si>
  <si>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</si>
  <si>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</si>
  <si>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</si>
  <si>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</si>
  <si>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</si>
  <si>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</si>
  <si>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</si>
  <si>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</si>
  <si>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</si>
  <si>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</si>
  <si>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</si>
  <si>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</si>
  <si>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</si>
  <si>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</si>
  <si>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</si>
  <si>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</si>
  <si>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</si>
  <si>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</si>
  <si>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</si>
  <si>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1. Normal balance of deferred income taxes and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</si>
  <si>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</si>
  <si>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</si>
  <si>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</si>
  <si>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</si>
  <si>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</si>
  <si>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</si>
  <si>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</si>
  <si>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</si>
  <si>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</si>
  <si>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</si>
  <si>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</si>
  <si>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</si>
  <si>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</si>
  <si>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</si>
  <si>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</si>
  <si>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</si>
  <si>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</si>
  <si>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</si>
  <si>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</si>
  <si>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</si>
  <si>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</si>
  <si>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</si>
  <si>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</si>
  <si>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</si>
  <si>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</si>
  <si>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</si>
  <si>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</si>
  <si>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</si>
  <si>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</si>
  <si>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</si>
  <si>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</si>
  <si>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</si>
  <si>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</si>
  <si>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</si>
  <si>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</si>
  <si>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</si>
  <si>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</si>
  <si>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</si>
  <si>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</si>
  <si>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</si>
  <si>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</si>
  <si>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</si>
  <si>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</si>
  <si>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</si>
  <si>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</si>
  <si>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</si>
  <si>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</si>
  <si>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</si>
  <si>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</si>
  <si>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</si>
  <si>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</si>
  <si>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</si>
  <si>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</si>
  <si>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</si>
  <si>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</si>
  <si>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</si>
  <si>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</si>
  <si>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</si>
  <si>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</si>
  <si>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</si>
  <si>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</si>
  <si>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</si>
  <si>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</si>
  <si>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</si>
  <si>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</si>
  <si>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</si>
  <si>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</si>
  <si>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</si>
  <si>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</si>
  <si>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</si>
  <si>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</si>
  <si>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</si>
  <si>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</si>
  <si>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</si>
  <si>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</si>
  <si>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</si>
  <si>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</si>
  <si>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</si>
  <si>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</si>
  <si>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</si>
  <si>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Balance 2015</t>
  </si>
  <si>
    <t>Balance - 2015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</si>
  <si>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</si>
  <si>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</si>
  <si>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</si>
  <si>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</si>
  <si>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</si>
  <si>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</si>
  <si>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</si>
  <si>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</si>
  <si>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</si>
  <si>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</si>
  <si>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</si>
  <si>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</si>
  <si>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</si>
  <si>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</si>
  <si>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</si>
  <si>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</si>
  <si>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50.  Other Jurisdictional Differences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</si>
  <si>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</si>
  <si>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</si>
  <si>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</si>
  <si>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</si>
  <si>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</si>
  <si>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</si>
  <si>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</si>
  <si>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</si>
  <si>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</si>
  <si>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</si>
  <si>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</si>
  <si>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</si>
  <si>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</si>
  <si>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>2016 (A)</t>
  </si>
  <si>
    <t>2016 (B)</t>
  </si>
  <si>
    <t xml:space="preserve">49. Other Deferred Credits </t>
  </si>
  <si>
    <t>58. Retained Earnings or Margins</t>
  </si>
  <si>
    <t>Balance 2016</t>
  </si>
  <si>
    <t>Balance - 2016</t>
  </si>
  <si>
    <t>If 2015 does not equal last year's petition and template,</t>
  </si>
  <si>
    <t>2016</t>
  </si>
  <si>
    <r>
      <t xml:space="preserve">Description of Out-of-Period (OOP) - 2016 (As Recorded) </t>
    </r>
    <r>
      <rPr>
        <b/>
        <sz val="11"/>
        <color theme="1"/>
        <rFont val="Calibri"/>
        <family val="2"/>
        <scheme val="minor"/>
      </rPr>
      <t>OR</t>
    </r>
  </si>
  <si>
    <t>2015 (C)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</si>
  <si>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</si>
  <si>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</si>
  <si>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</si>
  <si>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</si>
  <si>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</si>
  <si>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</si>
  <si>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</si>
  <si>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</si>
  <si>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</si>
  <si>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Kalama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</si>
</sst>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37" fontId="0" fillId="0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06" t="s">
        <v>211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6" t="s">
        <v>212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6" t="s">
        <v>213</v>
      </c>
      <c r="B17" s="47"/>
      <c r="C17" s="47"/>
      <c r="D17" s="47"/>
      <c r="E1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B11" sqref="B1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">
        <v>268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215</v>
      </c>
      <c r="C8" s="11" t="s">
        <v>216</v>
      </c>
      <c r="D8" s="11" t="s">
        <v>258</v>
      </c>
      <c r="E8" s="11"/>
      <c r="F8" s="8"/>
      <c r="G8" s="11" t="s">
        <v>215</v>
      </c>
      <c r="H8" s="11" t="s">
        <v>216</v>
      </c>
      <c r="I8" s="5" t="s">
        <v>258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6"/>
      <c r="I9" s="3"/>
    </row>
    <row r="10" spans="1:9" x14ac:dyDescent="0.25">
      <c r="A10" s="17" t="s">
        <v>42</v>
      </c>
      <c r="B10" s="52">
        <v>790080</v>
      </c>
      <c r="C10" s="54"/>
      <c r="D10" s="58">
        <f>SUM(B10:C10)</f>
        <v>790080</v>
      </c>
      <c r="E10" s="17"/>
      <c r="F10" s="17" t="s">
        <v>78</v>
      </c>
      <c r="G10" s="52">
        <v>61711</v>
      </c>
      <c r="H10" s="54"/>
      <c r="I10" s="58">
        <f>SUM(G10:H10)</f>
        <v>61711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/>
      <c r="C14" s="54"/>
      <c r="D14" s="58">
        <f>SUM(B14:C14)</f>
        <v>0</v>
      </c>
      <c r="E14" s="17"/>
      <c r="F14" s="17" t="s">
        <v>84</v>
      </c>
      <c r="G14" s="52"/>
      <c r="H14" s="54"/>
      <c r="I14" s="58">
        <f t="shared" si="0"/>
        <v>0</v>
      </c>
    </row>
    <row r="15" spans="1:9" x14ac:dyDescent="0.25">
      <c r="A15" s="17" t="s">
        <v>45</v>
      </c>
      <c r="B15" s="52"/>
      <c r="C15" s="54"/>
      <c r="D15" s="58">
        <f t="shared" ref="D15" si="1">SUM(B15:C15)</f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161233</v>
      </c>
      <c r="C17" s="54"/>
      <c r="D17" s="58">
        <f>SUM(B17:C17)</f>
        <v>161233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>
        <v>16168</v>
      </c>
      <c r="H18" s="54"/>
      <c r="I18" s="58">
        <f t="shared" si="0"/>
        <v>16168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186912</v>
      </c>
      <c r="H19" s="113"/>
      <c r="I19" s="59">
        <f t="shared" si="0"/>
        <v>186912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264791</v>
      </c>
      <c r="H20" s="58">
        <f>SUM(H10:H19)</f>
        <v>0</v>
      </c>
      <c r="I20" s="58">
        <f t="shared" ref="I20" si="3">SUM(I10:I19)</f>
        <v>264791</v>
      </c>
    </row>
    <row r="21" spans="1:9" x14ac:dyDescent="0.25">
      <c r="A21" s="17" t="s">
        <v>49</v>
      </c>
      <c r="B21" s="52">
        <v>42346</v>
      </c>
      <c r="C21" s="54"/>
      <c r="D21" s="58">
        <f t="shared" si="2"/>
        <v>42346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/>
      <c r="C23" s="54"/>
      <c r="D23" s="58">
        <f t="shared" si="2"/>
        <v>0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3">
        <v>43327</v>
      </c>
      <c r="C24" s="113"/>
      <c r="D24" s="59">
        <f t="shared" si="2"/>
        <v>43327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1036986</v>
      </c>
      <c r="C25" s="58">
        <f>C10+C11+C13+C14+C15+C17+C18+C19+C20+C21+C22+C23+C24</f>
        <v>0</v>
      </c>
      <c r="D25" s="58">
        <f t="shared" ref="D25" si="5">D10+D11+D13+D14+D15+D17+D18+D19+D20+D21+D22+D23+D24</f>
        <v>1036986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>
        <v>0</v>
      </c>
      <c r="C30" s="54"/>
      <c r="D30" s="58">
        <f>SUM(B30:C30)</f>
        <v>0</v>
      </c>
      <c r="E30" s="17"/>
      <c r="F30" s="17" t="s">
        <v>99</v>
      </c>
      <c r="G30" s="52">
        <v>2809877</v>
      </c>
      <c r="H30" s="54"/>
      <c r="I30" s="58">
        <f t="shared" si="6"/>
        <v>2809877</v>
      </c>
    </row>
    <row r="31" spans="1:9" x14ac:dyDescent="0.25">
      <c r="A31" s="17" t="s">
        <v>56</v>
      </c>
      <c r="B31" s="52">
        <v>0</v>
      </c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2809877</v>
      </c>
      <c r="H32" s="121">
        <f>SUM(H22:H31)</f>
        <v>0</v>
      </c>
      <c r="I32" s="121">
        <f>SUM(I22:I31)</f>
        <v>2809877</v>
      </c>
    </row>
    <row r="33" spans="1:9" x14ac:dyDescent="0.25">
      <c r="A33" s="17" t="s">
        <v>57</v>
      </c>
      <c r="B33" s="52">
        <v>0</v>
      </c>
      <c r="C33" s="54"/>
      <c r="D33" s="58">
        <f>SUM(B33:C33)</f>
        <v>0</v>
      </c>
      <c r="E33" s="17"/>
      <c r="F33" s="21" t="s">
        <v>102</v>
      </c>
      <c r="G33" s="17"/>
      <c r="H33" s="17"/>
      <c r="I33" s="17"/>
    </row>
    <row r="34" spans="1:9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54"/>
      <c r="I34" s="58">
        <f>SUM(G34:H34)</f>
        <v>0</v>
      </c>
    </row>
    <row r="35" spans="1:9" x14ac:dyDescent="0.25">
      <c r="A35" s="17" t="s">
        <v>158</v>
      </c>
      <c r="B35" s="52"/>
      <c r="C35" s="69">
        <f>-1*(C25+C30+C31+C33+C34+C36+C37+C38+C47)</f>
        <v>4744</v>
      </c>
      <c r="D35" s="58">
        <f t="shared" si="7"/>
        <v>4744</v>
      </c>
      <c r="E35" s="17"/>
      <c r="F35" s="18" t="s">
        <v>236</v>
      </c>
      <c r="G35" s="52"/>
      <c r="H35" s="52"/>
      <c r="I35" s="58">
        <f>SUM(G35:H35)</f>
        <v>0</v>
      </c>
    </row>
    <row r="36" spans="1:9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4"/>
      <c r="I36" s="58">
        <f t="shared" ref="I36:I37" si="8">SUM(G36:H36)</f>
        <v>0</v>
      </c>
    </row>
    <row r="37" spans="1:9" x14ac:dyDescent="0.25">
      <c r="A37" s="17" t="s">
        <v>63</v>
      </c>
      <c r="B37" s="52">
        <v>601189</v>
      </c>
      <c r="C37" s="54">
        <f>-27-1311</f>
        <v>-1338</v>
      </c>
      <c r="D37" s="58">
        <f t="shared" si="7"/>
        <v>599851</v>
      </c>
      <c r="E37" s="17"/>
      <c r="F37" s="17" t="s">
        <v>235</v>
      </c>
      <c r="G37" s="53"/>
      <c r="H37" s="113"/>
      <c r="I37" s="59">
        <f t="shared" si="8"/>
        <v>0</v>
      </c>
    </row>
    <row r="38" spans="1:9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9" x14ac:dyDescent="0.25">
      <c r="A39" s="17" t="s">
        <v>65</v>
      </c>
      <c r="B39" s="58">
        <f>B30+B31+B33+B34+B35+B36+B37+B38</f>
        <v>601189</v>
      </c>
      <c r="C39" s="58">
        <f>C30+C31+C33+C34+C35+C36+C37+C38</f>
        <v>3406</v>
      </c>
      <c r="D39" s="58">
        <f>D30+D31+D33+D34+D35+D36+D37+D38</f>
        <v>604595</v>
      </c>
      <c r="E39" s="17"/>
      <c r="F39" s="21" t="s">
        <v>104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238</v>
      </c>
      <c r="G40" s="52">
        <v>35000</v>
      </c>
      <c r="H40" s="22"/>
      <c r="I40" s="58">
        <f>SUM(G40:H40)</f>
        <v>35000</v>
      </c>
    </row>
    <row r="41" spans="1:9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9">SUM(G41:H41)</f>
        <v>0</v>
      </c>
    </row>
    <row r="42" spans="1:9" x14ac:dyDescent="0.25">
      <c r="A42" s="17" t="s">
        <v>166</v>
      </c>
      <c r="B42" s="52">
        <v>18263610</v>
      </c>
      <c r="C42" s="52">
        <v>-40206</v>
      </c>
      <c r="D42" s="58">
        <f>SUM(B42:C42)</f>
        <v>18223404</v>
      </c>
      <c r="E42" s="17"/>
      <c r="F42" s="17" t="s">
        <v>240</v>
      </c>
      <c r="G42" s="52"/>
      <c r="H42" s="22"/>
      <c r="I42" s="58">
        <f t="shared" si="9"/>
        <v>0</v>
      </c>
    </row>
    <row r="43" spans="1:9" x14ac:dyDescent="0.25">
      <c r="A43" s="17" t="s">
        <v>68</v>
      </c>
      <c r="B43" s="52"/>
      <c r="C43" s="52"/>
      <c r="D43" s="58">
        <f t="shared" ref="D43:D46" si="10">SUM(B43:C43)</f>
        <v>0</v>
      </c>
      <c r="E43" s="17"/>
      <c r="F43" s="17" t="s">
        <v>246</v>
      </c>
      <c r="G43" s="52"/>
      <c r="H43" s="22"/>
      <c r="I43" s="58">
        <f t="shared" si="9"/>
        <v>0</v>
      </c>
    </row>
    <row r="44" spans="1:9" x14ac:dyDescent="0.25">
      <c r="A44" s="17" t="s">
        <v>69</v>
      </c>
      <c r="B44" s="52">
        <v>144836</v>
      </c>
      <c r="C44" s="52"/>
      <c r="D44" s="58">
        <f t="shared" si="10"/>
        <v>144836</v>
      </c>
      <c r="E44" s="17"/>
      <c r="F44" s="17" t="s">
        <v>241</v>
      </c>
      <c r="G44" s="52"/>
      <c r="H44" s="22"/>
      <c r="I44" s="58">
        <f t="shared" si="9"/>
        <v>0</v>
      </c>
    </row>
    <row r="45" spans="1:9" x14ac:dyDescent="0.25">
      <c r="A45" s="17" t="s">
        <v>70</v>
      </c>
      <c r="B45" s="52"/>
      <c r="C45" s="52"/>
      <c r="D45" s="58">
        <f t="shared" si="10"/>
        <v>0</v>
      </c>
      <c r="E45" s="17"/>
      <c r="F45" s="17" t="s">
        <v>242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-16566580</v>
      </c>
      <c r="C46" s="53">
        <v>36800</v>
      </c>
      <c r="D46" s="59">
        <f t="shared" si="10"/>
        <v>-16529780</v>
      </c>
      <c r="E46" s="17"/>
      <c r="F46" s="17" t="s">
        <v>243</v>
      </c>
      <c r="G46" s="53">
        <v>370373</v>
      </c>
      <c r="H46" s="95">
        <f>-1*(H20+H32+H38)</f>
        <v>0</v>
      </c>
      <c r="I46" s="59">
        <f t="shared" si="9"/>
        <v>370373</v>
      </c>
    </row>
    <row r="47" spans="1:9" x14ac:dyDescent="0.25">
      <c r="A47" s="17" t="s">
        <v>71</v>
      </c>
      <c r="B47" s="58">
        <f>B42+B43+B44+B45+B46</f>
        <v>1841866</v>
      </c>
      <c r="C47" s="58">
        <f t="shared" ref="C47:D47" si="11">C42+C43+C44+C45+C46</f>
        <v>-3406</v>
      </c>
      <c r="D47" s="58">
        <f t="shared" si="11"/>
        <v>1838460</v>
      </c>
      <c r="E47" s="17"/>
      <c r="F47" s="17" t="s">
        <v>244</v>
      </c>
      <c r="G47" s="58">
        <f>SUM(G40:G46)</f>
        <v>405373</v>
      </c>
      <c r="H47" s="61">
        <f t="shared" ref="H47:I47" si="12">SUM(H40:H46)</f>
        <v>0</v>
      </c>
      <c r="I47" s="58">
        <f t="shared" si="12"/>
        <v>405373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3480041</v>
      </c>
      <c r="C49" s="60">
        <f>C25+C39+C47</f>
        <v>0</v>
      </c>
      <c r="D49" s="60">
        <f>D25+D39+D47</f>
        <v>3480041</v>
      </c>
      <c r="E49" s="19"/>
      <c r="F49" s="83" t="s">
        <v>248</v>
      </c>
      <c r="G49" s="60">
        <f>G20+G32+G38+G47</f>
        <v>3480041</v>
      </c>
      <c r="H49" s="60">
        <f>H20+H32+H38+H47</f>
        <v>0</v>
      </c>
      <c r="I49" s="60">
        <f>I20+I32+I38+I47</f>
        <v>3480041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MBz9mnxtiR9WwJEuFXV4XlvBYPeLZaV44+oOcKcPq+YosuNG1qflyvIPbJeAuCZLjfDLdBQlhf41dh095oCJwg==" saltValue="IQwb51zdPVE/BdhFASE3oQ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zoomScaleNormal="100" workbookViewId="0">
      <selection activeCell="B13" sqref="B1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167</v>
      </c>
    </row>
    <row r="3" spans="1:9" x14ac:dyDescent="0.25">
      <c r="A3" s="57" t="str">
        <f>PriorYearBalanceSheet!A3</f>
        <v>Kalama Telephone Company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72</v>
      </c>
      <c r="C6" s="9" t="s">
        <v>105</v>
      </c>
      <c r="D6" s="6" t="s">
        <v>107</v>
      </c>
      <c r="E6" s="6"/>
      <c r="F6" s="6"/>
      <c r="G6" s="9" t="s">
        <v>72</v>
      </c>
      <c r="H6" s="9" t="s">
        <v>105</v>
      </c>
      <c r="I6" s="3" t="s">
        <v>107</v>
      </c>
    </row>
    <row r="7" spans="1:9" x14ac:dyDescent="0.25">
      <c r="A7" s="7" t="s">
        <v>76</v>
      </c>
      <c r="B7" s="10" t="s">
        <v>74</v>
      </c>
      <c r="C7" s="10" t="s">
        <v>106</v>
      </c>
      <c r="D7" s="10" t="s">
        <v>74</v>
      </c>
      <c r="E7" s="10"/>
      <c r="F7" s="7" t="s">
        <v>75</v>
      </c>
      <c r="G7" s="10" t="s">
        <v>74</v>
      </c>
      <c r="H7" s="10" t="s">
        <v>106</v>
      </c>
      <c r="I7" s="4" t="s">
        <v>74</v>
      </c>
    </row>
    <row r="8" spans="1:9" x14ac:dyDescent="0.25">
      <c r="A8" s="8"/>
      <c r="B8" s="11" t="s">
        <v>249</v>
      </c>
      <c r="C8" s="11" t="s">
        <v>250</v>
      </c>
      <c r="D8" s="11" t="s">
        <v>259</v>
      </c>
      <c r="E8" s="11"/>
      <c r="F8" s="8"/>
      <c r="G8" s="11" t="s">
        <v>249</v>
      </c>
      <c r="H8" s="11" t="s">
        <v>250</v>
      </c>
      <c r="I8" s="5" t="s">
        <v>259</v>
      </c>
    </row>
    <row r="9" spans="1:9" x14ac:dyDescent="0.25">
      <c r="A9" s="20" t="s">
        <v>53</v>
      </c>
      <c r="B9" s="6"/>
      <c r="C9" s="6"/>
      <c r="D9" s="3"/>
      <c r="E9" s="6"/>
      <c r="F9" s="20" t="s">
        <v>77</v>
      </c>
      <c r="G9" s="2"/>
      <c r="H9" s="115"/>
      <c r="I9" s="3"/>
    </row>
    <row r="10" spans="1:9" x14ac:dyDescent="0.25">
      <c r="A10" s="17" t="s">
        <v>42</v>
      </c>
      <c r="B10" s="52">
        <v>786239</v>
      </c>
      <c r="C10" s="54"/>
      <c r="D10" s="58">
        <f>SUM(B10:C10)</f>
        <v>786239</v>
      </c>
      <c r="E10" s="17"/>
      <c r="F10" s="17" t="s">
        <v>78</v>
      </c>
      <c r="G10" s="52">
        <v>32126</v>
      </c>
      <c r="H10" s="54"/>
      <c r="I10" s="58">
        <f>SUM(G10:H10)</f>
        <v>32126</v>
      </c>
    </row>
    <row r="11" spans="1:9" x14ac:dyDescent="0.25">
      <c r="A11" s="17" t="s">
        <v>134</v>
      </c>
      <c r="B11" s="52"/>
      <c r="C11" s="54"/>
      <c r="D11" s="58">
        <f>SUM(B11:C11)</f>
        <v>0</v>
      </c>
      <c r="E11" s="17"/>
      <c r="F11" s="17" t="s">
        <v>81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43</v>
      </c>
      <c r="B12" s="22"/>
      <c r="C12" s="22"/>
      <c r="D12" s="16"/>
      <c r="E12" s="18"/>
      <c r="F12" s="17" t="s">
        <v>82</v>
      </c>
      <c r="G12" s="52"/>
      <c r="H12" s="54"/>
      <c r="I12" s="58">
        <f t="shared" si="0"/>
        <v>0</v>
      </c>
    </row>
    <row r="13" spans="1:9" x14ac:dyDescent="0.25">
      <c r="A13" s="17" t="s">
        <v>44</v>
      </c>
      <c r="B13" s="52"/>
      <c r="C13" s="54"/>
      <c r="D13" s="58">
        <f>SUM(B13:C13)</f>
        <v>0</v>
      </c>
      <c r="E13" s="17"/>
      <c r="F13" s="17" t="s">
        <v>83</v>
      </c>
      <c r="G13" s="52"/>
      <c r="H13" s="54"/>
      <c r="I13" s="58">
        <f t="shared" si="0"/>
        <v>0</v>
      </c>
    </row>
    <row r="14" spans="1:9" x14ac:dyDescent="0.25">
      <c r="A14" s="17" t="s">
        <v>47</v>
      </c>
      <c r="B14" s="52"/>
      <c r="C14" s="54"/>
      <c r="D14" s="58">
        <f t="shared" ref="D14:D15" si="1">SUM(B14:C14)</f>
        <v>0</v>
      </c>
      <c r="E14" s="17"/>
      <c r="F14" s="17" t="s">
        <v>84</v>
      </c>
      <c r="G14" s="52"/>
      <c r="H14" s="54"/>
      <c r="I14" s="58">
        <f t="shared" si="0"/>
        <v>0</v>
      </c>
    </row>
    <row r="15" spans="1:9" x14ac:dyDescent="0.25">
      <c r="A15" s="17" t="s">
        <v>45</v>
      </c>
      <c r="B15" s="52"/>
      <c r="C15" s="54"/>
      <c r="D15" s="58">
        <f t="shared" si="1"/>
        <v>0</v>
      </c>
      <c r="E15" s="17"/>
      <c r="F15" s="17" t="s">
        <v>85</v>
      </c>
      <c r="G15" s="52"/>
      <c r="H15" s="54"/>
      <c r="I15" s="58">
        <f t="shared" si="0"/>
        <v>0</v>
      </c>
    </row>
    <row r="16" spans="1:9" x14ac:dyDescent="0.25">
      <c r="A16" s="17" t="s">
        <v>46</v>
      </c>
      <c r="B16" s="22"/>
      <c r="C16" s="22"/>
      <c r="D16" s="16"/>
      <c r="E16" s="18"/>
      <c r="F16" s="17" t="s">
        <v>86</v>
      </c>
      <c r="G16" s="52"/>
      <c r="H16" s="54"/>
      <c r="I16" s="58">
        <f t="shared" si="0"/>
        <v>0</v>
      </c>
    </row>
    <row r="17" spans="1:9" x14ac:dyDescent="0.25">
      <c r="A17" s="17" t="s">
        <v>44</v>
      </c>
      <c r="B17" s="52">
        <v>176976</v>
      </c>
      <c r="C17" s="54"/>
      <c r="D17" s="58">
        <f>SUM(B17:C17)</f>
        <v>176976</v>
      </c>
      <c r="E17" s="18"/>
      <c r="F17" s="17" t="s">
        <v>87</v>
      </c>
      <c r="G17" s="52"/>
      <c r="H17" s="54"/>
      <c r="I17" s="58">
        <f t="shared" si="0"/>
        <v>0</v>
      </c>
    </row>
    <row r="18" spans="1:9" x14ac:dyDescent="0.25">
      <c r="A18" s="17" t="s">
        <v>47</v>
      </c>
      <c r="B18" s="52"/>
      <c r="C18" s="54"/>
      <c r="D18" s="58">
        <f t="shared" ref="D18:D24" si="2">SUM(B18:C18)</f>
        <v>0</v>
      </c>
      <c r="E18" s="17"/>
      <c r="F18" s="17" t="s">
        <v>88</v>
      </c>
      <c r="G18" s="52">
        <v>17974</v>
      </c>
      <c r="H18" s="54"/>
      <c r="I18" s="58">
        <f t="shared" si="0"/>
        <v>17974</v>
      </c>
    </row>
    <row r="19" spans="1:9" x14ac:dyDescent="0.25">
      <c r="A19" s="17" t="s">
        <v>45</v>
      </c>
      <c r="B19" s="52"/>
      <c r="C19" s="54"/>
      <c r="D19" s="58">
        <f t="shared" si="2"/>
        <v>0</v>
      </c>
      <c r="E19" s="17"/>
      <c r="F19" s="17" t="s">
        <v>89</v>
      </c>
      <c r="G19" s="53">
        <v>215722</v>
      </c>
      <c r="H19" s="113"/>
      <c r="I19" s="59">
        <f t="shared" si="0"/>
        <v>215722</v>
      </c>
    </row>
    <row r="20" spans="1:9" x14ac:dyDescent="0.25">
      <c r="A20" s="17" t="s">
        <v>48</v>
      </c>
      <c r="B20" s="52"/>
      <c r="C20" s="54"/>
      <c r="D20" s="58">
        <f t="shared" si="2"/>
        <v>0</v>
      </c>
      <c r="E20" s="17"/>
      <c r="F20" s="17" t="s">
        <v>109</v>
      </c>
      <c r="G20" s="58">
        <f>SUM(G10:G19)</f>
        <v>265822</v>
      </c>
      <c r="H20" s="58">
        <f>SUM(H10:H19)</f>
        <v>0</v>
      </c>
      <c r="I20" s="58">
        <f t="shared" ref="I20" si="3">SUM(I10:I19)</f>
        <v>265822</v>
      </c>
    </row>
    <row r="21" spans="1:9" x14ac:dyDescent="0.25">
      <c r="A21" s="17" t="s">
        <v>49</v>
      </c>
      <c r="B21" s="52">
        <v>35802</v>
      </c>
      <c r="C21" s="54"/>
      <c r="D21" s="58">
        <f t="shared" si="2"/>
        <v>35802</v>
      </c>
      <c r="E21" s="17"/>
      <c r="F21" s="21" t="s">
        <v>91</v>
      </c>
      <c r="G21" s="13"/>
      <c r="H21" s="17"/>
      <c r="I21" s="14"/>
    </row>
    <row r="22" spans="1:9" x14ac:dyDescent="0.25">
      <c r="A22" s="17" t="s">
        <v>50</v>
      </c>
      <c r="B22" s="52"/>
      <c r="C22" s="54"/>
      <c r="D22" s="58">
        <f t="shared" si="2"/>
        <v>0</v>
      </c>
      <c r="E22" s="17"/>
      <c r="F22" s="17" t="s">
        <v>92</v>
      </c>
      <c r="G22" s="52"/>
      <c r="H22" s="54"/>
      <c r="I22" s="58">
        <f>SUM(G22:H22)</f>
        <v>0</v>
      </c>
    </row>
    <row r="23" spans="1:9" x14ac:dyDescent="0.25">
      <c r="A23" s="17" t="s">
        <v>51</v>
      </c>
      <c r="B23" s="52"/>
      <c r="C23" s="54"/>
      <c r="D23" s="58">
        <f t="shared" si="2"/>
        <v>0</v>
      </c>
      <c r="E23" s="17"/>
      <c r="F23" s="17" t="s">
        <v>93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52</v>
      </c>
      <c r="B24" s="52">
        <v>29948</v>
      </c>
      <c r="C24" s="113"/>
      <c r="D24" s="59">
        <f t="shared" si="2"/>
        <v>29948</v>
      </c>
      <c r="E24" s="17"/>
      <c r="F24" s="17" t="s">
        <v>94</v>
      </c>
      <c r="G24" s="52"/>
      <c r="H24" s="54"/>
      <c r="I24" s="58">
        <f t="shared" si="4"/>
        <v>0</v>
      </c>
    </row>
    <row r="25" spans="1:9" x14ac:dyDescent="0.25">
      <c r="A25" s="17" t="s">
        <v>41</v>
      </c>
      <c r="B25" s="58">
        <f>B10+B11+B13+B14+B15+B17+B18+B19+B20+B21+B22+B23+B24</f>
        <v>1028965</v>
      </c>
      <c r="C25" s="58">
        <f>C10+C11+C13+C14+C15+C17+C18+C19+C20+C21+C22+C23+C24</f>
        <v>0</v>
      </c>
      <c r="D25" s="58">
        <f t="shared" ref="D25" si="5">D10+D11+D13+D14+D15+D17+D18+D19+D20+D21+D22+D23+D24</f>
        <v>1028965</v>
      </c>
      <c r="E25" s="17"/>
      <c r="F25" s="17" t="s">
        <v>95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2"/>
      <c r="E26" s="17"/>
      <c r="F26" s="17" t="s">
        <v>96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97</v>
      </c>
      <c r="G27" s="52"/>
      <c r="H27" s="54"/>
      <c r="I27" s="58">
        <f t="shared" si="6"/>
        <v>0</v>
      </c>
    </row>
    <row r="28" spans="1:9" x14ac:dyDescent="0.25">
      <c r="A28" s="21" t="s">
        <v>54</v>
      </c>
      <c r="B28" s="30"/>
      <c r="C28" s="18"/>
      <c r="D28" s="14"/>
      <c r="E28" s="17"/>
      <c r="F28" s="17" t="s">
        <v>135</v>
      </c>
      <c r="G28" s="52"/>
      <c r="H28" s="54"/>
      <c r="I28" s="58">
        <f t="shared" si="6"/>
        <v>0</v>
      </c>
    </row>
    <row r="29" spans="1:9" x14ac:dyDescent="0.25">
      <c r="A29" s="17" t="s">
        <v>59</v>
      </c>
      <c r="B29" s="31"/>
      <c r="C29" s="22"/>
      <c r="D29" s="16"/>
      <c r="E29" s="18"/>
      <c r="F29" s="17" t="s">
        <v>98</v>
      </c>
      <c r="G29" s="52"/>
      <c r="H29" s="54"/>
      <c r="I29" s="58">
        <f t="shared" si="6"/>
        <v>0</v>
      </c>
    </row>
    <row r="30" spans="1:9" x14ac:dyDescent="0.25">
      <c r="A30" s="17" t="s">
        <v>55</v>
      </c>
      <c r="B30" s="52"/>
      <c r="C30" s="54"/>
      <c r="D30" s="58">
        <f>SUM(B30:C30)</f>
        <v>0</v>
      </c>
      <c r="E30" s="17"/>
      <c r="F30" s="17" t="s">
        <v>99</v>
      </c>
      <c r="G30" s="52">
        <v>2802947</v>
      </c>
      <c r="H30" s="54"/>
      <c r="I30" s="58">
        <f t="shared" si="6"/>
        <v>2802947</v>
      </c>
    </row>
    <row r="31" spans="1:9" x14ac:dyDescent="0.25">
      <c r="A31" s="17" t="s">
        <v>56</v>
      </c>
      <c r="B31" s="52"/>
      <c r="C31" s="54"/>
      <c r="D31" s="58">
        <f>SUM(B31:C31)</f>
        <v>0</v>
      </c>
      <c r="E31" s="17"/>
      <c r="F31" s="17" t="s">
        <v>100</v>
      </c>
      <c r="G31" s="53"/>
      <c r="H31" s="113"/>
      <c r="I31" s="59">
        <f t="shared" si="6"/>
        <v>0</v>
      </c>
    </row>
    <row r="32" spans="1:9" x14ac:dyDescent="0.25">
      <c r="A32" s="17" t="s">
        <v>60</v>
      </c>
      <c r="B32" s="31"/>
      <c r="C32" s="22"/>
      <c r="D32" s="16"/>
      <c r="E32" s="18"/>
      <c r="F32" s="17" t="s">
        <v>108</v>
      </c>
      <c r="G32" s="121">
        <f>SUM(G22:G31)</f>
        <v>2802947</v>
      </c>
      <c r="H32" s="82">
        <f>SUM(H22:H31)</f>
        <v>0</v>
      </c>
      <c r="I32" s="58">
        <f>SUM(I22:I31)</f>
        <v>2802947</v>
      </c>
    </row>
    <row r="33" spans="1:11" x14ac:dyDescent="0.25">
      <c r="A33" s="17" t="s">
        <v>57</v>
      </c>
      <c r="B33" s="52"/>
      <c r="C33" s="54"/>
      <c r="D33" s="58">
        <f>SUM(B33:C33)</f>
        <v>0</v>
      </c>
      <c r="E33" s="17"/>
      <c r="F33" s="21" t="s">
        <v>102</v>
      </c>
      <c r="G33" s="17"/>
      <c r="H33" s="14"/>
      <c r="I33" s="14"/>
    </row>
    <row r="34" spans="1:11" x14ac:dyDescent="0.25">
      <c r="A34" s="17" t="s">
        <v>58</v>
      </c>
      <c r="B34" s="52"/>
      <c r="C34" s="54"/>
      <c r="D34" s="58">
        <f t="shared" ref="D34:D38" si="7">SUM(B34:C34)</f>
        <v>0</v>
      </c>
      <c r="E34" s="17"/>
      <c r="F34" s="17" t="s">
        <v>103</v>
      </c>
      <c r="G34" s="52"/>
      <c r="H34" s="118"/>
      <c r="I34" s="58">
        <f>SUM(G34:H34)</f>
        <v>0</v>
      </c>
    </row>
    <row r="35" spans="1:11" x14ac:dyDescent="0.25">
      <c r="A35" s="17" t="s">
        <v>158</v>
      </c>
      <c r="B35" s="52"/>
      <c r="C35" s="69">
        <f>-1*(C25+C30+C31+C33+C34+C36+C37+C38+C47)</f>
        <v>4134</v>
      </c>
      <c r="D35" s="58">
        <f t="shared" si="7"/>
        <v>4134</v>
      </c>
      <c r="E35" s="17"/>
      <c r="F35" s="18" t="s">
        <v>236</v>
      </c>
      <c r="G35" s="52"/>
      <c r="H35" s="52"/>
      <c r="I35" s="58">
        <f>SUM(G35:H35)</f>
        <v>0</v>
      </c>
    </row>
    <row r="36" spans="1:11" x14ac:dyDescent="0.25">
      <c r="A36" s="17" t="s">
        <v>62</v>
      </c>
      <c r="B36" s="52"/>
      <c r="C36" s="54"/>
      <c r="D36" s="58">
        <f t="shared" si="7"/>
        <v>0</v>
      </c>
      <c r="E36" s="17"/>
      <c r="F36" s="17" t="s">
        <v>263</v>
      </c>
      <c r="G36" s="52"/>
      <c r="H36" s="119"/>
      <c r="I36" s="58">
        <f t="shared" ref="I36:I37" si="8">SUM(G36:H36)</f>
        <v>0</v>
      </c>
    </row>
    <row r="37" spans="1:11" x14ac:dyDescent="0.25">
      <c r="A37" s="17" t="s">
        <v>63</v>
      </c>
      <c r="B37" s="52">
        <v>577572</v>
      </c>
      <c r="C37" s="54">
        <v>-1328</v>
      </c>
      <c r="D37" s="58">
        <f t="shared" si="7"/>
        <v>576244</v>
      </c>
      <c r="E37" s="17"/>
      <c r="F37" s="17" t="s">
        <v>235</v>
      </c>
      <c r="G37" s="53"/>
      <c r="H37" s="120"/>
      <c r="I37" s="59">
        <f t="shared" si="8"/>
        <v>0</v>
      </c>
    </row>
    <row r="38" spans="1:11" x14ac:dyDescent="0.25">
      <c r="A38" s="17" t="s">
        <v>64</v>
      </c>
      <c r="B38" s="53"/>
      <c r="C38" s="113"/>
      <c r="D38" s="59">
        <f t="shared" si="7"/>
        <v>0</v>
      </c>
      <c r="E38" s="17"/>
      <c r="F38" s="17" t="s">
        <v>237</v>
      </c>
      <c r="G38" s="58">
        <f>SUM(G34:G37)</f>
        <v>0</v>
      </c>
      <c r="H38" s="58">
        <f>SUM(H34:H37)</f>
        <v>0</v>
      </c>
      <c r="I38" s="58">
        <f>SUM(I34:I37)</f>
        <v>0</v>
      </c>
    </row>
    <row r="39" spans="1:11" x14ac:dyDescent="0.25">
      <c r="A39" s="17" t="s">
        <v>65</v>
      </c>
      <c r="B39" s="58">
        <f>B30+B31+B33+B34+B35+B36+B37+B38</f>
        <v>577572</v>
      </c>
      <c r="C39" s="58">
        <f>C30+C31+C33+C34+C35+C36+C37+C38</f>
        <v>2806</v>
      </c>
      <c r="D39" s="58">
        <f t="shared" ref="D39" si="9">D30+D31+D33+D34+D35+D36+D37+D38</f>
        <v>580378</v>
      </c>
      <c r="E39" s="17"/>
      <c r="F39" s="21" t="s">
        <v>104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238</v>
      </c>
      <c r="G40" s="52">
        <v>35000</v>
      </c>
      <c r="H40" s="22"/>
      <c r="I40" s="58">
        <f>SUM(G40:H40)</f>
        <v>35000</v>
      </c>
    </row>
    <row r="41" spans="1:11" x14ac:dyDescent="0.25">
      <c r="A41" s="21" t="s">
        <v>66</v>
      </c>
      <c r="B41" s="17"/>
      <c r="C41" s="17"/>
      <c r="D41" s="14"/>
      <c r="E41" s="17"/>
      <c r="F41" s="17" t="s">
        <v>239</v>
      </c>
      <c r="G41" s="52"/>
      <c r="H41" s="22"/>
      <c r="I41" s="58">
        <f t="shared" ref="I41:I46" si="10">SUM(G41:H41)</f>
        <v>0</v>
      </c>
    </row>
    <row r="42" spans="1:11" x14ac:dyDescent="0.25">
      <c r="A42" s="17" t="s">
        <v>166</v>
      </c>
      <c r="B42" s="52">
        <v>18778850</v>
      </c>
      <c r="C42" s="52">
        <v>-43552</v>
      </c>
      <c r="D42" s="58">
        <f>SUM(B42:C42)</f>
        <v>18735298</v>
      </c>
      <c r="E42" s="17"/>
      <c r="F42" s="17" t="s">
        <v>240</v>
      </c>
      <c r="G42" s="52"/>
      <c r="H42" s="22"/>
      <c r="I42" s="58">
        <f t="shared" si="10"/>
        <v>0</v>
      </c>
    </row>
    <row r="43" spans="1:11" x14ac:dyDescent="0.25">
      <c r="A43" s="17" t="s">
        <v>68</v>
      </c>
      <c r="B43" s="52"/>
      <c r="C43" s="52"/>
      <c r="D43" s="58">
        <f t="shared" ref="D43:D46" si="11">SUM(B43:C43)</f>
        <v>0</v>
      </c>
      <c r="E43" s="17"/>
      <c r="F43" s="17" t="s">
        <v>246</v>
      </c>
      <c r="G43" s="52"/>
      <c r="H43" s="22"/>
      <c r="I43" s="58">
        <f t="shared" si="10"/>
        <v>0</v>
      </c>
    </row>
    <row r="44" spans="1:11" x14ac:dyDescent="0.25">
      <c r="A44" s="17" t="s">
        <v>69</v>
      </c>
      <c r="B44" s="52">
        <v>62942</v>
      </c>
      <c r="C44" s="52"/>
      <c r="D44" s="58">
        <f t="shared" si="11"/>
        <v>62942</v>
      </c>
      <c r="E44" s="17"/>
      <c r="F44" s="17" t="s">
        <v>241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70</v>
      </c>
      <c r="B45" s="52"/>
      <c r="C45" s="52"/>
      <c r="D45" s="58">
        <f t="shared" si="11"/>
        <v>0</v>
      </c>
      <c r="E45" s="17"/>
      <c r="F45" s="17" t="s">
        <v>242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-17210039</v>
      </c>
      <c r="C46" s="53">
        <v>40746</v>
      </c>
      <c r="D46" s="59">
        <f t="shared" si="11"/>
        <v>-17169293</v>
      </c>
      <c r="E46" s="17"/>
      <c r="F46" s="17" t="s">
        <v>243</v>
      </c>
      <c r="G46" s="53">
        <v>134521</v>
      </c>
      <c r="H46" s="95">
        <f>-1*(H20+H32+H38)</f>
        <v>0</v>
      </c>
      <c r="I46" s="59">
        <f t="shared" si="10"/>
        <v>134521</v>
      </c>
    </row>
    <row r="47" spans="1:11" x14ac:dyDescent="0.25">
      <c r="A47" s="17" t="s">
        <v>71</v>
      </c>
      <c r="B47" s="58">
        <f>B42+B43+B44+B45+B46</f>
        <v>1631753</v>
      </c>
      <c r="C47" s="58">
        <f t="shared" ref="C47:D47" si="12">C42+C43+C44+C45+C46</f>
        <v>-2806</v>
      </c>
      <c r="D47" s="58">
        <f t="shared" si="12"/>
        <v>1628947</v>
      </c>
      <c r="E47" s="17"/>
      <c r="F47" s="17" t="s">
        <v>244</v>
      </c>
      <c r="G47" s="58">
        <f>SUM(G40:G46)</f>
        <v>169521</v>
      </c>
      <c r="H47" s="61">
        <f t="shared" ref="H47:I47" si="13">SUM(H40:H46)</f>
        <v>0</v>
      </c>
      <c r="I47" s="58">
        <f t="shared" si="13"/>
        <v>169521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3" t="s">
        <v>204</v>
      </c>
      <c r="B49" s="60">
        <f>B25+B39+B47</f>
        <v>3238290</v>
      </c>
      <c r="C49" s="60">
        <f t="shared" ref="C49:D49" si="14">C25+C39+C47</f>
        <v>0</v>
      </c>
      <c r="D49" s="60">
        <f t="shared" si="14"/>
        <v>3238290</v>
      </c>
      <c r="E49" s="19"/>
      <c r="F49" s="83" t="s">
        <v>247</v>
      </c>
      <c r="G49" s="60">
        <f>G20+G32+G38+G47</f>
        <v>3238290</v>
      </c>
      <c r="H49" s="60">
        <f>H20+H32+H38+H47</f>
        <v>0</v>
      </c>
      <c r="I49" s="60">
        <f>I20+I32+I38+I47</f>
        <v>3238290</v>
      </c>
    </row>
    <row r="50" spans="1:9" ht="15.75" thickTop="1" x14ac:dyDescent="0.25">
      <c r="A50" s="71" t="s">
        <v>176</v>
      </c>
      <c r="B50" s="12"/>
      <c r="C50" s="12"/>
      <c r="D50" s="12"/>
      <c r="E50" s="12"/>
      <c r="F50" s="71" t="s">
        <v>176</v>
      </c>
      <c r="G50" s="12"/>
      <c r="H50" s="12"/>
      <c r="I50" s="12"/>
    </row>
    <row r="51" spans="1:9" x14ac:dyDescent="0.25">
      <c r="A51" t="s">
        <v>205</v>
      </c>
      <c r="B51" s="65"/>
      <c r="C51" s="65"/>
      <c r="D51" s="65"/>
      <c r="E51" s="65"/>
      <c r="F51" t="s">
        <v>159</v>
      </c>
      <c r="G51" s="65"/>
      <c r="H51" s="65"/>
      <c r="I51" s="65"/>
    </row>
    <row r="52" spans="1:9" x14ac:dyDescent="0.25">
      <c r="A52" t="s">
        <v>173</v>
      </c>
      <c r="B52" s="65"/>
      <c r="C52" s="65"/>
      <c r="D52" s="65"/>
      <c r="E52" s="65"/>
      <c r="F52" t="s">
        <v>160</v>
      </c>
      <c r="G52" s="65"/>
      <c r="H52" s="65"/>
      <c r="I52" s="65"/>
    </row>
    <row r="53" spans="1:9" x14ac:dyDescent="0.25">
      <c r="A53" t="s">
        <v>174</v>
      </c>
      <c r="B53" s="65"/>
      <c r="C53" s="65"/>
      <c r="D53" s="65"/>
      <c r="E53" s="65"/>
      <c r="F53" t="s">
        <v>264</v>
      </c>
      <c r="G53" s="65"/>
      <c r="H53" s="65"/>
      <c r="I53" s="65"/>
    </row>
    <row r="54" spans="1:9" x14ac:dyDescent="0.25">
      <c r="A54" s="65" t="s">
        <v>265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+F3SE9oOFyS2A6PJJqMSSqr9JEY4+LyfRQLOHLeedKJs8rgrgBqcU1ebqaqNZu9iaeOQmwsdeazXFzwX6ezz3Q==" saltValue="5585bC/SZhwRHEOdC+kc6A==" spinCount="100000" sheet="1" objects="1" scenarios="1" selectLockedCells="1"/>
  <pageMargins left="1.2" right="0.7" top="1.25" bottom="0.75" header="0.8" footer="0.3"/>
  <pageSetup scale="59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zoomScaleNormal="100" workbookViewId="0">
      <selection activeCell="A13" sqref="A1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167</v>
      </c>
    </row>
    <row r="3" spans="1:7" x14ac:dyDescent="0.25">
      <c r="A3" s="57" t="str">
        <f>PriorYearBalanceSheet!A3</f>
        <v>Kalama Telephone Company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111</v>
      </c>
      <c r="C6" s="9" t="s">
        <v>111</v>
      </c>
      <c r="D6" s="9"/>
      <c r="E6" s="6"/>
      <c r="F6" s="9" t="s">
        <v>111</v>
      </c>
      <c r="G6" s="23" t="s">
        <v>111</v>
      </c>
    </row>
    <row r="7" spans="1:7" x14ac:dyDescent="0.25">
      <c r="A7" s="7" t="s">
        <v>76</v>
      </c>
      <c r="B7" s="10" t="s">
        <v>73</v>
      </c>
      <c r="C7" s="10" t="s">
        <v>114</v>
      </c>
      <c r="D7" s="10"/>
      <c r="E7" s="7" t="s">
        <v>75</v>
      </c>
      <c r="F7" s="10" t="s">
        <v>73</v>
      </c>
      <c r="G7" s="4" t="s">
        <v>114</v>
      </c>
    </row>
    <row r="8" spans="1:7" x14ac:dyDescent="0.25">
      <c r="A8" s="8"/>
      <c r="B8" s="11" t="s">
        <v>217</v>
      </c>
      <c r="C8" s="11" t="s">
        <v>253</v>
      </c>
      <c r="D8" s="11"/>
      <c r="E8" s="8"/>
      <c r="F8" s="11" t="s">
        <v>217</v>
      </c>
      <c r="G8" s="5" t="s">
        <v>253</v>
      </c>
    </row>
    <row r="9" spans="1:7" x14ac:dyDescent="0.25">
      <c r="A9" s="20" t="s">
        <v>53</v>
      </c>
      <c r="B9" s="6"/>
      <c r="C9" s="6"/>
      <c r="D9" s="6"/>
      <c r="E9" s="20" t="s">
        <v>77</v>
      </c>
      <c r="F9" s="6"/>
      <c r="G9" s="14"/>
    </row>
    <row r="10" spans="1:7" x14ac:dyDescent="0.25">
      <c r="A10" s="17" t="s">
        <v>42</v>
      </c>
      <c r="B10" s="32">
        <f>PriorYearBalanceSheet!D10</f>
        <v>790080</v>
      </c>
      <c r="C10" s="32">
        <f>'CurrentYearBalanceSheet '!D10</f>
        <v>786239</v>
      </c>
      <c r="D10" s="17"/>
      <c r="E10" s="17" t="s">
        <v>78</v>
      </c>
      <c r="F10" s="32">
        <f>PriorYearBalanceSheet!I10</f>
        <v>61711</v>
      </c>
      <c r="G10" s="32">
        <f>'CurrentYearBalanceSheet '!I10</f>
        <v>32126</v>
      </c>
    </row>
    <row r="11" spans="1:7" x14ac:dyDescent="0.25">
      <c r="A11" s="17" t="s">
        <v>134</v>
      </c>
      <c r="B11" s="32">
        <f>PriorYearBalanceSheet!D11</f>
        <v>0</v>
      </c>
      <c r="C11" s="32">
        <f>'CurrentYearBalanceSheet '!D11</f>
        <v>0</v>
      </c>
      <c r="D11" s="17"/>
      <c r="E11" s="17" t="s">
        <v>81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43</v>
      </c>
      <c r="B12" s="22"/>
      <c r="C12" s="22"/>
      <c r="D12" s="18"/>
      <c r="E12" s="17" t="s">
        <v>82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44</v>
      </c>
      <c r="B13" s="32">
        <f>PriorYearBalanceSheet!D13</f>
        <v>0</v>
      </c>
      <c r="C13" s="32">
        <f>'CurrentYearBalanceSheet '!D13</f>
        <v>0</v>
      </c>
      <c r="D13" s="17"/>
      <c r="E13" s="17" t="s">
        <v>83</v>
      </c>
      <c r="F13" s="32">
        <f>PriorYearBalanceSheet!I13</f>
        <v>0</v>
      </c>
      <c r="G13" s="32">
        <f>'CurrentYearBalanceSheet '!I13</f>
        <v>0</v>
      </c>
    </row>
    <row r="14" spans="1:7" x14ac:dyDescent="0.25">
      <c r="A14" s="17" t="s">
        <v>47</v>
      </c>
      <c r="B14" s="32">
        <f>PriorYearBalanceSheet!D14</f>
        <v>0</v>
      </c>
      <c r="C14" s="32">
        <f>'CurrentYearBalanceSheet '!D14</f>
        <v>0</v>
      </c>
      <c r="D14" s="17"/>
      <c r="E14" s="17" t="s">
        <v>84</v>
      </c>
      <c r="F14" s="32">
        <f>PriorYearBalanceSheet!I14</f>
        <v>0</v>
      </c>
      <c r="G14" s="32">
        <f>'CurrentYearBalanceSheet '!I14</f>
        <v>0</v>
      </c>
    </row>
    <row r="15" spans="1:7" x14ac:dyDescent="0.25">
      <c r="A15" s="17" t="s">
        <v>45</v>
      </c>
      <c r="B15" s="32">
        <f>PriorYearBalanceSheet!D15</f>
        <v>0</v>
      </c>
      <c r="C15" s="32">
        <f>'CurrentYearBalanceSheet '!D15</f>
        <v>0</v>
      </c>
      <c r="D15" s="17"/>
      <c r="E15" s="17" t="s">
        <v>85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46</v>
      </c>
      <c r="B16" s="22"/>
      <c r="C16" s="22"/>
      <c r="D16" s="18"/>
      <c r="E16" s="17" t="s">
        <v>86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44</v>
      </c>
      <c r="B17" s="32">
        <f>PriorYearBalanceSheet!D17</f>
        <v>161233</v>
      </c>
      <c r="C17" s="32">
        <f>'CurrentYearBalanceSheet '!D17</f>
        <v>176976</v>
      </c>
      <c r="D17" s="17"/>
      <c r="E17" s="17" t="s">
        <v>87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47</v>
      </c>
      <c r="B18" s="32">
        <f>PriorYearBalanceSheet!D18</f>
        <v>0</v>
      </c>
      <c r="C18" s="32">
        <f>'CurrentYearBalanceSheet '!D18</f>
        <v>0</v>
      </c>
      <c r="D18" s="17"/>
      <c r="E18" s="17" t="s">
        <v>88</v>
      </c>
      <c r="F18" s="32">
        <f>PriorYearBalanceSheet!I18</f>
        <v>16168</v>
      </c>
      <c r="G18" s="32">
        <f>'CurrentYearBalanceSheet '!I18</f>
        <v>17974</v>
      </c>
    </row>
    <row r="19" spans="1:7" x14ac:dyDescent="0.25">
      <c r="A19" s="17" t="s">
        <v>45</v>
      </c>
      <c r="B19" s="32">
        <f>PriorYearBalanceSheet!D19</f>
        <v>0</v>
      </c>
      <c r="C19" s="32">
        <f>'CurrentYearBalanceSheet '!D19</f>
        <v>0</v>
      </c>
      <c r="D19" s="17"/>
      <c r="E19" s="17" t="s">
        <v>89</v>
      </c>
      <c r="F19" s="33">
        <f>PriorYearBalanceSheet!I19</f>
        <v>186912</v>
      </c>
      <c r="G19" s="32">
        <f>'CurrentYearBalanceSheet '!I19</f>
        <v>215722</v>
      </c>
    </row>
    <row r="20" spans="1:7" x14ac:dyDescent="0.25">
      <c r="A20" s="17" t="s">
        <v>48</v>
      </c>
      <c r="B20" s="32">
        <f>PriorYearBalanceSheet!D20</f>
        <v>0</v>
      </c>
      <c r="C20" s="32">
        <f>'CurrentYearBalanceSheet '!D20</f>
        <v>0</v>
      </c>
      <c r="D20" s="17"/>
      <c r="E20" s="17" t="s">
        <v>90</v>
      </c>
      <c r="F20" s="36">
        <f>SUM(F10:F19)</f>
        <v>264791</v>
      </c>
      <c r="G20" s="35">
        <f>SUM(G10:G19)</f>
        <v>265822</v>
      </c>
    </row>
    <row r="21" spans="1:7" x14ac:dyDescent="0.25">
      <c r="A21" s="17" t="s">
        <v>49</v>
      </c>
      <c r="B21" s="32">
        <f>PriorYearBalanceSheet!D21</f>
        <v>42346</v>
      </c>
      <c r="C21" s="32">
        <f>'CurrentYearBalanceSheet '!D21</f>
        <v>35802</v>
      </c>
      <c r="D21" s="17"/>
      <c r="E21" s="21" t="s">
        <v>91</v>
      </c>
      <c r="F21" s="17"/>
      <c r="G21" s="14"/>
    </row>
    <row r="22" spans="1:7" x14ac:dyDescent="0.25">
      <c r="A22" s="17" t="s">
        <v>50</v>
      </c>
      <c r="B22" s="32">
        <f>PriorYearBalanceSheet!D22</f>
        <v>0</v>
      </c>
      <c r="C22" s="32">
        <f>'CurrentYearBalanceSheet '!D22</f>
        <v>0</v>
      </c>
      <c r="D22" s="17"/>
      <c r="E22" s="17" t="s">
        <v>92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51</v>
      </c>
      <c r="B23" s="32">
        <f>PriorYearBalanceSheet!D23</f>
        <v>0</v>
      </c>
      <c r="C23" s="32">
        <f>'CurrentYearBalanceSheet '!D23</f>
        <v>0</v>
      </c>
      <c r="D23" s="17"/>
      <c r="E23" s="17" t="s">
        <v>93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52</v>
      </c>
      <c r="B24" s="33">
        <f>PriorYearBalanceSheet!D24</f>
        <v>43327</v>
      </c>
      <c r="C24" s="33">
        <f>'CurrentYearBalanceSheet '!D24</f>
        <v>29948</v>
      </c>
      <c r="D24" s="17"/>
      <c r="E24" s="17" t="s">
        <v>94</v>
      </c>
      <c r="F24" s="32">
        <f>PriorYearBalanceSheet!I24</f>
        <v>0</v>
      </c>
      <c r="G24" s="32">
        <f>'CurrentYearBalanceSheet '!I24</f>
        <v>0</v>
      </c>
    </row>
    <row r="25" spans="1:7" x14ac:dyDescent="0.25">
      <c r="A25" s="17" t="s">
        <v>41</v>
      </c>
      <c r="B25" s="32">
        <f>B10+B11+B13+B14+B15+B17+B18+B19+B20+B21+B22+B23+B24</f>
        <v>1036986</v>
      </c>
      <c r="C25" s="32">
        <f>C10+C11+C13+C14+C15+C17+C18+C19+C20+C21+C22+C23+C24</f>
        <v>1028965</v>
      </c>
      <c r="D25" s="17"/>
      <c r="E25" s="17" t="s">
        <v>95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96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97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54</v>
      </c>
      <c r="B28" s="17"/>
      <c r="C28" s="17"/>
      <c r="D28" s="17"/>
      <c r="E28" s="17" t="s">
        <v>135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59</v>
      </c>
      <c r="B29" s="22"/>
      <c r="C29" s="22"/>
      <c r="D29" s="18"/>
      <c r="E29" s="17" t="s">
        <v>98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55</v>
      </c>
      <c r="B30" s="32">
        <f>PriorYearBalanceSheet!D30</f>
        <v>0</v>
      </c>
      <c r="C30" s="32">
        <f>'CurrentYearBalanceSheet '!D30</f>
        <v>0</v>
      </c>
      <c r="D30" s="17"/>
      <c r="E30" s="17" t="s">
        <v>99</v>
      </c>
      <c r="F30" s="32">
        <f>PriorYearBalanceSheet!I30</f>
        <v>2809877</v>
      </c>
      <c r="G30" s="32">
        <f>'CurrentYearBalanceSheet '!I30</f>
        <v>2802947</v>
      </c>
    </row>
    <row r="31" spans="1:7" x14ac:dyDescent="0.25">
      <c r="A31" s="17" t="s">
        <v>56</v>
      </c>
      <c r="B31" s="32">
        <f>PriorYearBalanceSheet!D31</f>
        <v>0</v>
      </c>
      <c r="C31" s="32">
        <f>'CurrentYearBalanceSheet '!D31</f>
        <v>0</v>
      </c>
      <c r="D31" s="17"/>
      <c r="E31" s="17" t="s">
        <v>100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60</v>
      </c>
      <c r="B32" s="22"/>
      <c r="C32" s="22"/>
      <c r="D32" s="18"/>
      <c r="E32" s="17" t="s">
        <v>101</v>
      </c>
      <c r="F32" s="32">
        <f>SUM(F22:F31)</f>
        <v>2809877</v>
      </c>
      <c r="G32" s="32">
        <f>SUM(G22:G31)</f>
        <v>2802947</v>
      </c>
    </row>
    <row r="33" spans="1:7" x14ac:dyDescent="0.25">
      <c r="A33" s="17" t="s">
        <v>57</v>
      </c>
      <c r="B33" s="32">
        <f>PriorYearBalanceSheet!D33</f>
        <v>0</v>
      </c>
      <c r="C33" s="32">
        <f>'CurrentYearBalanceSheet '!D33</f>
        <v>0</v>
      </c>
      <c r="D33" s="17"/>
      <c r="E33" s="21" t="s">
        <v>102</v>
      </c>
      <c r="F33" s="17"/>
      <c r="G33" s="14"/>
    </row>
    <row r="34" spans="1:7" x14ac:dyDescent="0.25">
      <c r="A34" s="17" t="s">
        <v>58</v>
      </c>
      <c r="B34" s="32">
        <f>PriorYearBalanceSheet!D34</f>
        <v>0</v>
      </c>
      <c r="C34" s="32">
        <f>'CurrentYearBalanceSheet '!D34</f>
        <v>0</v>
      </c>
      <c r="D34" s="17"/>
      <c r="E34" s="17" t="s">
        <v>103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61</v>
      </c>
      <c r="B35" s="32">
        <f>PriorYearBalanceSheet!D35</f>
        <v>4744</v>
      </c>
      <c r="C35" s="32">
        <f>'CurrentYearBalanceSheet '!D35</f>
        <v>4134</v>
      </c>
      <c r="D35" s="17"/>
      <c r="E35" s="18" t="s">
        <v>236</v>
      </c>
      <c r="F35" s="32">
        <f>PriorYearBalanceSheet!I35</f>
        <v>0</v>
      </c>
      <c r="G35" s="32">
        <f>'CurrentYearBalanceSheet '!I35</f>
        <v>0</v>
      </c>
    </row>
    <row r="36" spans="1:7" x14ac:dyDescent="0.25">
      <c r="A36" s="17" t="s">
        <v>62</v>
      </c>
      <c r="B36" s="32">
        <f>PriorYearBalanceSheet!D36</f>
        <v>0</v>
      </c>
      <c r="C36" s="32">
        <f>'CurrentYearBalanceSheet '!D36</f>
        <v>0</v>
      </c>
      <c r="D36" s="17"/>
      <c r="E36" s="17" t="s">
        <v>251</v>
      </c>
      <c r="F36" s="32">
        <f>PriorYearBalanceSheet!I36</f>
        <v>0</v>
      </c>
      <c r="G36" s="32">
        <f>'CurrentYearBalanceSheet '!I36</f>
        <v>0</v>
      </c>
    </row>
    <row r="37" spans="1:7" x14ac:dyDescent="0.25">
      <c r="A37" s="17" t="s">
        <v>63</v>
      </c>
      <c r="B37" s="32">
        <f>PriorYearBalanceSheet!D37</f>
        <v>599851</v>
      </c>
      <c r="C37" s="32">
        <f>'CurrentYearBalanceSheet '!D37</f>
        <v>576244</v>
      </c>
      <c r="D37" s="17"/>
      <c r="E37" s="17" t="s">
        <v>235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64</v>
      </c>
      <c r="B38" s="33">
        <f>PriorYearBalanceSheet!D38</f>
        <v>0</v>
      </c>
      <c r="C38" s="33">
        <f>'CurrentYearBalanceSheet '!D38</f>
        <v>0</v>
      </c>
      <c r="D38" s="17"/>
      <c r="E38" s="17" t="s">
        <v>237</v>
      </c>
      <c r="F38" s="32">
        <f>SUM(F34:F37)</f>
        <v>0</v>
      </c>
      <c r="G38" s="32">
        <f>SUM(G34:G37)</f>
        <v>0</v>
      </c>
    </row>
    <row r="39" spans="1:7" x14ac:dyDescent="0.25">
      <c r="A39" s="17" t="s">
        <v>65</v>
      </c>
      <c r="B39" s="32">
        <f>B30+B31+B33+B34+B35+B36+B37+B38</f>
        <v>604595</v>
      </c>
      <c r="C39" s="32">
        <f>C30+C31+C33+C34+C35+C36+C37+C38</f>
        <v>580378</v>
      </c>
      <c r="D39" s="17"/>
      <c r="E39" s="21" t="s">
        <v>104</v>
      </c>
      <c r="F39" s="17"/>
      <c r="G39" s="14"/>
    </row>
    <row r="40" spans="1:7" x14ac:dyDescent="0.25">
      <c r="A40" s="17"/>
      <c r="B40" s="17"/>
      <c r="C40" s="17"/>
      <c r="D40" s="17"/>
      <c r="E40" s="17" t="s">
        <v>238</v>
      </c>
      <c r="F40" s="32">
        <f>PriorYearBalanceSheet!I40</f>
        <v>35000</v>
      </c>
      <c r="G40" s="32">
        <f>'CurrentYearBalanceSheet '!I40</f>
        <v>35000</v>
      </c>
    </row>
    <row r="41" spans="1:7" x14ac:dyDescent="0.25">
      <c r="A41" s="21" t="s">
        <v>66</v>
      </c>
      <c r="B41" s="17"/>
      <c r="C41" s="17"/>
      <c r="D41" s="17"/>
      <c r="E41" s="17" t="s">
        <v>239</v>
      </c>
      <c r="F41" s="32">
        <f>PriorYearBalanceSheet!I41</f>
        <v>0</v>
      </c>
      <c r="G41" s="32">
        <f>'CurrentYearBalanceSheet '!I41</f>
        <v>0</v>
      </c>
    </row>
    <row r="42" spans="1:7" x14ac:dyDescent="0.25">
      <c r="A42" s="17" t="s">
        <v>67</v>
      </c>
      <c r="B42" s="32">
        <f>PriorYearBalanceSheet!D42</f>
        <v>18223404</v>
      </c>
      <c r="C42" s="32">
        <f>'CurrentYearBalanceSheet '!D42</f>
        <v>18735298</v>
      </c>
      <c r="D42" s="17"/>
      <c r="E42" s="17" t="s">
        <v>240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68</v>
      </c>
      <c r="B43" s="32">
        <f>PriorYearBalanceSheet!D43</f>
        <v>0</v>
      </c>
      <c r="C43" s="32">
        <f>'CurrentYearBalanceSheet '!D43</f>
        <v>0</v>
      </c>
      <c r="D43" s="17"/>
      <c r="E43" s="17" t="s">
        <v>246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69</v>
      </c>
      <c r="B44" s="32">
        <f>PriorYearBalanceSheet!D44</f>
        <v>144836</v>
      </c>
      <c r="C44" s="32">
        <f>'CurrentYearBalanceSheet '!D44</f>
        <v>62942</v>
      </c>
      <c r="D44" s="17"/>
      <c r="E44" s="17" t="s">
        <v>241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70</v>
      </c>
      <c r="B45" s="32">
        <f>PriorYearBalanceSheet!D45</f>
        <v>0</v>
      </c>
      <c r="C45" s="32">
        <f>'CurrentYearBalanceSheet '!D45</f>
        <v>0</v>
      </c>
      <c r="D45" s="17"/>
      <c r="E45" s="17" t="s">
        <v>242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113</v>
      </c>
      <c r="B46" s="33">
        <f>PriorYearBalanceSheet!D46</f>
        <v>-16529780</v>
      </c>
      <c r="C46" s="33">
        <f>'CurrentYearBalanceSheet '!D46</f>
        <v>-17169293</v>
      </c>
      <c r="D46" s="17"/>
      <c r="E46" s="17" t="s">
        <v>252</v>
      </c>
      <c r="F46" s="33">
        <f>PriorYearBalanceSheet!I46</f>
        <v>370373</v>
      </c>
      <c r="G46" s="33">
        <f>'CurrentYearBalanceSheet '!I46</f>
        <v>134521</v>
      </c>
    </row>
    <row r="47" spans="1:7" x14ac:dyDescent="0.25">
      <c r="A47" s="17" t="s">
        <v>71</v>
      </c>
      <c r="B47" s="32">
        <f>SUM(B42:B46)</f>
        <v>1838460</v>
      </c>
      <c r="C47" s="32">
        <f>SUM(C42:C46)</f>
        <v>1628947</v>
      </c>
      <c r="D47" s="17"/>
      <c r="E47" s="17" t="s">
        <v>244</v>
      </c>
      <c r="F47" s="32">
        <f>SUM(F40:F46)</f>
        <v>405373</v>
      </c>
      <c r="G47" s="32">
        <f>SUM(G40:G46)</f>
        <v>169521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204</v>
      </c>
      <c r="B49" s="34">
        <f>B25+B39+B47</f>
        <v>3480041</v>
      </c>
      <c r="C49" s="34">
        <f>C25+C39+C47</f>
        <v>3238290</v>
      </c>
      <c r="D49" s="17"/>
      <c r="E49" s="21" t="s">
        <v>245</v>
      </c>
      <c r="F49" s="34">
        <f>F20+F32+F38+F47</f>
        <v>3480041</v>
      </c>
      <c r="G49" s="34">
        <f>G20+G32+G38+G47</f>
        <v>3238290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186</v>
      </c>
      <c r="B51" s="65"/>
      <c r="C51" s="65"/>
      <c r="D51" s="65"/>
      <c r="E51" s="65"/>
      <c r="F51" s="65"/>
      <c r="G51" s="65"/>
    </row>
    <row r="52" spans="1:7" x14ac:dyDescent="0.25">
      <c r="A52" t="s">
        <v>112</v>
      </c>
      <c r="B52" s="65"/>
      <c r="C52" s="65"/>
      <c r="D52" s="65"/>
      <c r="E52" s="65"/>
      <c r="F52" s="65"/>
      <c r="G52" s="65"/>
    </row>
    <row r="53" spans="1:7" x14ac:dyDescent="0.25">
      <c r="A53" t="s">
        <v>193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tOiZJjL8baD49YNewZ44WHImLo0yODug/O8dWZM+l+gf6Qk0C85D7lOTdQuy9RGZGzBBxN9adBt9yerWT1AoOg==" saltValue="w2ldjgyasjR027Q2W9HJU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A13" sqref="A13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169</v>
      </c>
      <c r="D6" s="9" t="s">
        <v>107</v>
      </c>
      <c r="E6" s="9" t="s">
        <v>107</v>
      </c>
      <c r="F6" s="23" t="s">
        <v>121</v>
      </c>
    </row>
    <row r="7" spans="1:6" x14ac:dyDescent="0.25">
      <c r="A7" s="17" t="s">
        <v>0</v>
      </c>
      <c r="B7" s="10" t="s">
        <v>153</v>
      </c>
      <c r="C7" s="10" t="s">
        <v>123</v>
      </c>
      <c r="D7" s="10" t="s">
        <v>74</v>
      </c>
      <c r="E7" s="10" t="s">
        <v>74</v>
      </c>
      <c r="F7" s="4" t="s">
        <v>122</v>
      </c>
    </row>
    <row r="8" spans="1:6" x14ac:dyDescent="0.25">
      <c r="A8" s="11"/>
      <c r="B8" s="19"/>
      <c r="C8" s="11" t="s">
        <v>124</v>
      </c>
      <c r="D8" s="11">
        <v>2015</v>
      </c>
      <c r="E8" s="11">
        <v>2016</v>
      </c>
      <c r="F8" s="5" t="s">
        <v>72</v>
      </c>
    </row>
    <row r="9" spans="1:6" x14ac:dyDescent="0.25">
      <c r="A9" s="9"/>
      <c r="B9" s="20" t="s">
        <v>115</v>
      </c>
      <c r="C9" s="6"/>
      <c r="D9" s="6"/>
      <c r="E9" s="6"/>
      <c r="F9" s="14"/>
    </row>
    <row r="10" spans="1:6" x14ac:dyDescent="0.25">
      <c r="A10" s="10">
        <v>1</v>
      </c>
      <c r="B10" s="17" t="s">
        <v>116</v>
      </c>
      <c r="C10" s="10">
        <v>18</v>
      </c>
      <c r="D10" s="58">
        <f>'BalanceSheet(Summary)'!B42</f>
        <v>18223404</v>
      </c>
      <c r="E10" s="58">
        <f>'BalanceSheet(Summary)'!C42</f>
        <v>18735298</v>
      </c>
      <c r="F10" s="58">
        <f>(D10+E10)/2</f>
        <v>18479351</v>
      </c>
    </row>
    <row r="11" spans="1:6" x14ac:dyDescent="0.25">
      <c r="A11" s="10">
        <v>2</v>
      </c>
      <c r="B11" s="17" t="s">
        <v>168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118</v>
      </c>
      <c r="C12" s="10">
        <v>22</v>
      </c>
      <c r="D12" s="58">
        <f>'BalanceSheet(Summary)'!B46</f>
        <v>-16529780</v>
      </c>
      <c r="E12" s="58">
        <f>'BalanceSheet(Summary)'!C46</f>
        <v>-17169293</v>
      </c>
      <c r="F12" s="58">
        <f t="shared" ref="F12:F15" si="0">(D12+E12)/2</f>
        <v>-16849536.5</v>
      </c>
    </row>
    <row r="13" spans="1:6" x14ac:dyDescent="0.25">
      <c r="A13" s="10">
        <v>4</v>
      </c>
      <c r="B13" s="17" t="s">
        <v>117</v>
      </c>
      <c r="C13" s="10">
        <v>6</v>
      </c>
      <c r="D13" s="58">
        <f>'BalanceSheet(Summary)'!B21</f>
        <v>42346</v>
      </c>
      <c r="E13" s="58">
        <f>'BalanceSheet(Summary)'!C21</f>
        <v>35802</v>
      </c>
      <c r="F13" s="58">
        <f t="shared" si="0"/>
        <v>39074</v>
      </c>
    </row>
    <row r="14" spans="1:6" x14ac:dyDescent="0.25">
      <c r="A14" s="10">
        <v>5</v>
      </c>
      <c r="B14" s="17" t="s">
        <v>119</v>
      </c>
      <c r="C14" s="11">
        <v>48</v>
      </c>
      <c r="D14" s="52">
        <f>'BalanceSheet(Summary)'!F35*-1</f>
        <v>0</v>
      </c>
      <c r="E14" s="52">
        <f>'BalanceSheet(Summary)'!G35*-1</f>
        <v>0</v>
      </c>
      <c r="F14" s="58">
        <f t="shared" si="0"/>
        <v>0</v>
      </c>
    </row>
    <row r="15" spans="1:6" ht="15.75" thickBot="1" x14ac:dyDescent="0.3">
      <c r="A15" s="11">
        <v>6</v>
      </c>
      <c r="B15" s="83" t="s">
        <v>162</v>
      </c>
      <c r="C15" s="85"/>
      <c r="D15" s="88">
        <f>SUM(D10:D14)</f>
        <v>1735970</v>
      </c>
      <c r="E15" s="62">
        <f>SUM(E10:E14)</f>
        <v>1601807</v>
      </c>
      <c r="F15" s="63">
        <f t="shared" si="0"/>
        <v>1668888.5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176</v>
      </c>
      <c r="C17" s="65"/>
      <c r="D17" s="65"/>
      <c r="E17" s="65"/>
      <c r="F17" s="65"/>
    </row>
    <row r="18" spans="1:6" x14ac:dyDescent="0.25">
      <c r="B18" t="s">
        <v>136</v>
      </c>
      <c r="C18" s="65"/>
      <c r="D18" s="65"/>
      <c r="E18" s="65"/>
      <c r="F18" s="65"/>
    </row>
    <row r="19" spans="1:6" x14ac:dyDescent="0.25">
      <c r="B19" t="s">
        <v>120</v>
      </c>
      <c r="C19" s="65"/>
      <c r="D19" s="65"/>
      <c r="E19" s="65"/>
      <c r="F19" s="65"/>
    </row>
    <row r="20" spans="1:6" x14ac:dyDescent="0.25">
      <c r="B20" t="s">
        <v>194</v>
      </c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</sheetData>
  <sheetProtection algorithmName="SHA-512" hashValue="I7kXrJh6T7pdWlWn1i3Ub/XOpkmWIdKPGXvklsropj9n5f9E0Zmiw6FjxwI/G8trc/QC0wDFDLAkCvhqFCzUlA==" saltValue="e+Cai9u/OMkWPP5k5Ozt2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14" sqref="B14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73</v>
      </c>
      <c r="D6" s="9" t="s">
        <v>114</v>
      </c>
      <c r="E6" s="6"/>
      <c r="F6" s="3"/>
    </row>
    <row r="7" spans="1:6" x14ac:dyDescent="0.25">
      <c r="A7" s="10" t="s">
        <v>0</v>
      </c>
      <c r="B7" s="10" t="s">
        <v>153</v>
      </c>
      <c r="C7" s="10" t="s">
        <v>129</v>
      </c>
      <c r="D7" s="10" t="s">
        <v>133</v>
      </c>
      <c r="E7" s="24" t="s">
        <v>130</v>
      </c>
      <c r="F7" s="4" t="s">
        <v>131</v>
      </c>
    </row>
    <row r="8" spans="1:6" x14ac:dyDescent="0.25">
      <c r="A8" s="19"/>
      <c r="B8" s="19"/>
      <c r="C8" s="11" t="s">
        <v>218</v>
      </c>
      <c r="D8" s="11" t="s">
        <v>254</v>
      </c>
      <c r="E8" s="11"/>
      <c r="F8" s="5" t="s">
        <v>132</v>
      </c>
    </row>
    <row r="9" spans="1:6" x14ac:dyDescent="0.25">
      <c r="A9" s="6"/>
      <c r="B9" s="20" t="s">
        <v>125</v>
      </c>
      <c r="C9" s="6"/>
      <c r="D9" s="32"/>
      <c r="E9" s="6"/>
      <c r="F9" s="14"/>
    </row>
    <row r="10" spans="1:6" x14ac:dyDescent="0.25">
      <c r="A10" s="10">
        <v>1</v>
      </c>
      <c r="B10" s="17" t="s">
        <v>126</v>
      </c>
      <c r="C10" s="52">
        <v>1713</v>
      </c>
      <c r="D10" s="52">
        <f>1683+7</f>
        <v>1690</v>
      </c>
      <c r="E10" s="32">
        <f>D10-C10</f>
        <v>-23</v>
      </c>
      <c r="F10" s="38">
        <f>E10/C10</f>
        <v>-1.3426736719206071E-2</v>
      </c>
    </row>
    <row r="11" spans="1:6" x14ac:dyDescent="0.25">
      <c r="A11" s="10">
        <v>2</v>
      </c>
      <c r="B11" s="19" t="s">
        <v>127</v>
      </c>
      <c r="C11" s="52">
        <v>518</v>
      </c>
      <c r="D11" s="52">
        <f>480+49</f>
        <v>529</v>
      </c>
      <c r="E11" s="32">
        <f>D11-C11</f>
        <v>11</v>
      </c>
      <c r="F11" s="38">
        <f t="shared" ref="F11:F12" si="0">E11/C11</f>
        <v>2.1235521235521235E-2</v>
      </c>
    </row>
    <row r="12" spans="1:6" ht="15.75" thickBot="1" x14ac:dyDescent="0.3">
      <c r="A12" s="11">
        <v>3</v>
      </c>
      <c r="B12" s="85" t="s">
        <v>128</v>
      </c>
      <c r="C12" s="34">
        <f>SUM(C10:C11)</f>
        <v>2231</v>
      </c>
      <c r="D12" s="34">
        <f t="shared" ref="D12:E12" si="1">SUM(D10:D11)</f>
        <v>2219</v>
      </c>
      <c r="E12" s="34">
        <f t="shared" si="1"/>
        <v>-12</v>
      </c>
      <c r="F12" s="39">
        <f t="shared" si="0"/>
        <v>-5.378753922008068E-3</v>
      </c>
    </row>
    <row r="13" spans="1:6" ht="15.75" thickTop="1" x14ac:dyDescent="0.25">
      <c r="A13" s="104"/>
      <c r="B13" s="66"/>
      <c r="C13" s="66"/>
      <c r="D13" s="66"/>
      <c r="E13" s="66"/>
      <c r="F13" s="66"/>
    </row>
    <row r="14" spans="1:6" x14ac:dyDescent="0.25">
      <c r="A14" s="65" t="s">
        <v>190</v>
      </c>
      <c r="B14" s="65" t="s">
        <v>255</v>
      </c>
      <c r="C14" s="65"/>
      <c r="D14" s="65"/>
      <c r="E14" s="65"/>
      <c r="F14" s="65"/>
    </row>
    <row r="15" spans="1:6" x14ac:dyDescent="0.25">
      <c r="A15" s="65"/>
      <c r="B15" s="65" t="s">
        <v>219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x+HlzCv49aYIchW6zsxPlrmRQurVjl+1F7OSqBwxJa3fW0z6fYLPe/vGKcLdUXRmvp4ss6Wp+Rc7lCKsmFxGUQ==" saltValue="Zb7QESEIO8vS3clzBNemp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zoomScaleNormal="100" workbookViewId="0">
      <selection activeCell="C9" sqref="C9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73</v>
      </c>
      <c r="D6" s="27" t="s">
        <v>105</v>
      </c>
      <c r="E6" s="26" t="s">
        <v>73</v>
      </c>
    </row>
    <row r="7" spans="1:6" x14ac:dyDescent="0.25">
      <c r="A7" s="17" t="s">
        <v>0</v>
      </c>
      <c r="B7" s="10" t="s">
        <v>153</v>
      </c>
      <c r="C7" s="10">
        <v>2015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258</v>
      </c>
    </row>
    <row r="9" spans="1:6" x14ac:dyDescent="0.25">
      <c r="A9" s="9">
        <v>1</v>
      </c>
      <c r="B9" s="3" t="s">
        <v>1</v>
      </c>
      <c r="C9" s="55">
        <v>551609</v>
      </c>
      <c r="D9" s="52"/>
      <c r="E9" s="58">
        <f>SUM(C9:D9)</f>
        <v>551609</v>
      </c>
    </row>
    <row r="10" spans="1:6" x14ac:dyDescent="0.25">
      <c r="A10" s="10">
        <v>2</v>
      </c>
      <c r="B10" s="14" t="s">
        <v>2</v>
      </c>
      <c r="C10" s="52">
        <v>2387869</v>
      </c>
      <c r="D10" s="52"/>
      <c r="E10" s="58">
        <f t="shared" ref="E10:E14" si="0">SUM(C10:D10)</f>
        <v>2387869</v>
      </c>
    </row>
    <row r="11" spans="1:6" x14ac:dyDescent="0.25">
      <c r="A11" s="10">
        <v>3</v>
      </c>
      <c r="B11" s="14" t="s">
        <v>3</v>
      </c>
      <c r="C11" s="52"/>
      <c r="D11" s="52"/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>
        <f>4063+8406</f>
        <v>12469</v>
      </c>
      <c r="D12" s="52"/>
      <c r="E12" s="58">
        <f t="shared" si="0"/>
        <v>12469</v>
      </c>
    </row>
    <row r="13" spans="1:6" x14ac:dyDescent="0.25">
      <c r="A13" s="10">
        <v>5</v>
      </c>
      <c r="B13" s="14" t="s">
        <v>5</v>
      </c>
      <c r="C13" s="52">
        <f>45437-4063-8406</f>
        <v>32968</v>
      </c>
      <c r="D13" s="52"/>
      <c r="E13" s="58">
        <f t="shared" si="0"/>
        <v>32968</v>
      </c>
    </row>
    <row r="14" spans="1:6" x14ac:dyDescent="0.25">
      <c r="A14" s="10">
        <v>6</v>
      </c>
      <c r="B14" s="14" t="s">
        <v>139</v>
      </c>
      <c r="C14" s="52">
        <v>-2471</v>
      </c>
      <c r="D14" s="52"/>
      <c r="E14" s="58">
        <f t="shared" si="0"/>
        <v>-2471</v>
      </c>
    </row>
    <row r="15" spans="1:6" x14ac:dyDescent="0.25">
      <c r="A15" s="10">
        <v>7</v>
      </c>
      <c r="B15" s="89" t="s">
        <v>138</v>
      </c>
      <c r="C15" s="97">
        <f>SUM(C9:C14)</f>
        <v>2982444</v>
      </c>
      <c r="D15" s="97">
        <f t="shared" ref="D15:E15" si="1">SUM(D9:D14)</f>
        <v>0</v>
      </c>
      <c r="E15" s="97">
        <f t="shared" si="1"/>
        <v>2982444</v>
      </c>
      <c r="F15" s="1"/>
    </row>
    <row r="16" spans="1:6" x14ac:dyDescent="0.25">
      <c r="A16" s="10">
        <v>8</v>
      </c>
      <c r="B16" s="14" t="s">
        <v>6</v>
      </c>
      <c r="C16" s="52">
        <v>964939</v>
      </c>
      <c r="D16" s="52">
        <v>-8553</v>
      </c>
      <c r="E16" s="41">
        <f>SUM(C16:D16)</f>
        <v>956386</v>
      </c>
    </row>
    <row r="17" spans="1:6" x14ac:dyDescent="0.25">
      <c r="A17" s="10">
        <v>9</v>
      </c>
      <c r="B17" s="14" t="s">
        <v>40</v>
      </c>
      <c r="C17" s="52">
        <v>593422</v>
      </c>
      <c r="D17" s="52"/>
      <c r="E17" s="41">
        <f t="shared" ref="E17:E21" si="2">SUM(C17:D17)</f>
        <v>593422</v>
      </c>
    </row>
    <row r="18" spans="1:6" x14ac:dyDescent="0.25">
      <c r="A18" s="10">
        <v>10</v>
      </c>
      <c r="B18" s="14" t="s">
        <v>7</v>
      </c>
      <c r="C18" s="52">
        <v>1058748</v>
      </c>
      <c r="D18" s="52">
        <v>-954</v>
      </c>
      <c r="E18" s="41">
        <f t="shared" si="2"/>
        <v>1057794</v>
      </c>
    </row>
    <row r="19" spans="1:6" x14ac:dyDescent="0.25">
      <c r="A19" s="10">
        <v>11</v>
      </c>
      <c r="B19" s="14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4" t="s">
        <v>9</v>
      </c>
      <c r="C20" s="52">
        <v>211196</v>
      </c>
      <c r="D20" s="52">
        <v>-4311</v>
      </c>
      <c r="E20" s="41">
        <f t="shared" si="2"/>
        <v>206885</v>
      </c>
    </row>
    <row r="21" spans="1:6" x14ac:dyDescent="0.25">
      <c r="A21" s="10">
        <v>13</v>
      </c>
      <c r="B21" s="14" t="s">
        <v>10</v>
      </c>
      <c r="C21" s="52">
        <v>556210</v>
      </c>
      <c r="D21" s="52">
        <v>-4878</v>
      </c>
      <c r="E21" s="41">
        <f t="shared" si="2"/>
        <v>551332</v>
      </c>
    </row>
    <row r="22" spans="1:6" x14ac:dyDescent="0.25">
      <c r="A22" s="10">
        <v>14</v>
      </c>
      <c r="B22" s="84" t="s">
        <v>260</v>
      </c>
      <c r="C22" s="97">
        <f>C16+C17+C18+C19+C20+C21</f>
        <v>3384515</v>
      </c>
      <c r="D22" s="97">
        <f>D16+D17+D18+D19+D20+D21</f>
        <v>-18696</v>
      </c>
      <c r="E22" s="98">
        <f>E16+E17+E18+E19+E20+E21</f>
        <v>3365819</v>
      </c>
      <c r="F22" s="1"/>
    </row>
    <row r="23" spans="1:6" x14ac:dyDescent="0.25">
      <c r="A23" s="10">
        <v>15</v>
      </c>
      <c r="B23" s="14" t="s">
        <v>14</v>
      </c>
      <c r="C23" s="58">
        <f>C15-C22</f>
        <v>-402071</v>
      </c>
      <c r="D23" s="58">
        <f>D15-D22</f>
        <v>18696</v>
      </c>
      <c r="E23" s="58">
        <f>E15-E22</f>
        <v>-383375</v>
      </c>
    </row>
    <row r="24" spans="1:6" x14ac:dyDescent="0.25">
      <c r="A24" s="10">
        <v>16</v>
      </c>
      <c r="B24" s="14" t="s">
        <v>140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91320</v>
      </c>
      <c r="D25" s="114">
        <v>-160</v>
      </c>
      <c r="E25" s="58">
        <f t="shared" ref="E25:E27" si="3">SUM(C25:D25)</f>
        <v>91160</v>
      </c>
    </row>
    <row r="26" spans="1:6" x14ac:dyDescent="0.25">
      <c r="A26" s="10">
        <v>18</v>
      </c>
      <c r="B26" s="14" t="s">
        <v>200</v>
      </c>
      <c r="C26" s="52">
        <f>-218527</f>
        <v>-218527</v>
      </c>
      <c r="D26" s="54">
        <v>10503</v>
      </c>
      <c r="E26" s="58">
        <f t="shared" si="3"/>
        <v>-208024</v>
      </c>
    </row>
    <row r="27" spans="1:6" x14ac:dyDescent="0.25">
      <c r="A27" s="10">
        <v>19</v>
      </c>
      <c r="B27" s="14" t="s">
        <v>13</v>
      </c>
      <c r="C27" s="52"/>
      <c r="D27" s="114"/>
      <c r="E27" s="58">
        <f t="shared" si="3"/>
        <v>0</v>
      </c>
    </row>
    <row r="28" spans="1:6" x14ac:dyDescent="0.25">
      <c r="A28" s="10">
        <v>20</v>
      </c>
      <c r="B28" s="89" t="s">
        <v>12</v>
      </c>
      <c r="C28" s="80">
        <f>SUM(C25:C27)</f>
        <v>-127207</v>
      </c>
      <c r="D28" s="80">
        <f t="shared" ref="D28:E28" si="4">SUM(D25:D27)</f>
        <v>10343</v>
      </c>
      <c r="E28" s="99">
        <f t="shared" si="4"/>
        <v>-116864</v>
      </c>
    </row>
    <row r="29" spans="1:6" x14ac:dyDescent="0.25">
      <c r="A29" s="10">
        <v>21</v>
      </c>
      <c r="B29" s="89" t="s">
        <v>23</v>
      </c>
      <c r="C29" s="80">
        <f>C23+C24-C28</f>
        <v>-274864</v>
      </c>
      <c r="D29" s="80">
        <f>D23+D24-D28</f>
        <v>8353</v>
      </c>
      <c r="E29" s="99">
        <f>E23+E24-E28</f>
        <v>-266511</v>
      </c>
    </row>
    <row r="30" spans="1:6" x14ac:dyDescent="0.25">
      <c r="A30" s="10">
        <v>22</v>
      </c>
      <c r="B30" s="14" t="s">
        <v>15</v>
      </c>
      <c r="C30" s="52">
        <v>151721</v>
      </c>
      <c r="D30" s="54">
        <v>-262</v>
      </c>
      <c r="E30" s="58">
        <f>SUM(C30:D30)</f>
        <v>151459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/>
      <c r="D32" s="54"/>
      <c r="E32" s="58">
        <f t="shared" si="5"/>
        <v>0</v>
      </c>
    </row>
    <row r="33" spans="1:10" x14ac:dyDescent="0.25">
      <c r="A33" s="10">
        <v>25</v>
      </c>
      <c r="B33" s="14" t="s">
        <v>154</v>
      </c>
      <c r="C33" s="52"/>
      <c r="D33" s="54"/>
      <c r="E33" s="59">
        <f t="shared" si="5"/>
        <v>0</v>
      </c>
    </row>
    <row r="34" spans="1:10" x14ac:dyDescent="0.25">
      <c r="A34" s="10">
        <v>26</v>
      </c>
      <c r="B34" s="89" t="s">
        <v>18</v>
      </c>
      <c r="C34" s="80">
        <f>SUM(C30:C33)</f>
        <v>151721</v>
      </c>
      <c r="D34" s="100">
        <f t="shared" ref="D34" si="6">SUM(D30:D33)</f>
        <v>-262</v>
      </c>
      <c r="E34" s="80">
        <f>SUM(E30:E33)</f>
        <v>151459</v>
      </c>
    </row>
    <row r="35" spans="1:10" x14ac:dyDescent="0.25">
      <c r="A35" s="10">
        <v>27</v>
      </c>
      <c r="B35" s="14" t="s">
        <v>19</v>
      </c>
      <c r="C35" s="52">
        <v>557</v>
      </c>
      <c r="D35" s="54"/>
      <c r="E35" s="32">
        <f>SUM(C35:D35)</f>
        <v>557</v>
      </c>
    </row>
    <row r="36" spans="1:10" x14ac:dyDescent="0.25">
      <c r="A36" s="10">
        <v>28</v>
      </c>
      <c r="B36" s="14" t="s">
        <v>20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80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187</v>
      </c>
      <c r="C38" s="52">
        <v>26526</v>
      </c>
      <c r="D38" s="69">
        <f>-1*(D29-D34)</f>
        <v>-8615</v>
      </c>
      <c r="E38" s="32">
        <f t="shared" si="7"/>
        <v>17911</v>
      </c>
    </row>
    <row r="39" spans="1:10" x14ac:dyDescent="0.25">
      <c r="A39" s="10">
        <v>31</v>
      </c>
      <c r="B39" s="89" t="s">
        <v>22</v>
      </c>
      <c r="C39" s="80">
        <f>C29-C34+C35+C36+C37+C38</f>
        <v>-399502</v>
      </c>
      <c r="D39" s="80">
        <f t="shared" ref="D39:E39" si="8">D29-D34+D35+D36+D37+D38</f>
        <v>0</v>
      </c>
      <c r="E39" s="80">
        <f t="shared" si="8"/>
        <v>-399502</v>
      </c>
    </row>
    <row r="40" spans="1:10" x14ac:dyDescent="0.25">
      <c r="A40" s="10">
        <v>32</v>
      </c>
      <c r="B40" s="14" t="s">
        <v>24</v>
      </c>
      <c r="C40" s="101"/>
      <c r="D40" s="101"/>
      <c r="E40" s="101"/>
    </row>
    <row r="41" spans="1:10" x14ac:dyDescent="0.25">
      <c r="A41" s="10">
        <v>33</v>
      </c>
      <c r="B41" s="14" t="s">
        <v>25</v>
      </c>
      <c r="C41" s="52">
        <v>769875</v>
      </c>
      <c r="D41" s="54"/>
      <c r="E41" s="58">
        <f t="shared" ref="E41:E46" si="9">SUM(C41:D41)</f>
        <v>769875</v>
      </c>
    </row>
    <row r="42" spans="1:10" x14ac:dyDescent="0.25">
      <c r="A42" s="10">
        <v>34</v>
      </c>
      <c r="B42" s="14" t="s">
        <v>26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27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28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29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30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9" t="s">
        <v>208</v>
      </c>
      <c r="C47" s="80">
        <f>(C39+C41+C42)-(C43+C44+C45+C46)</f>
        <v>370373</v>
      </c>
      <c r="D47" s="100">
        <f t="shared" ref="D47:E47" si="10">(D39+D41+D42)-(D43+D44+D45+D46)</f>
        <v>0</v>
      </c>
      <c r="E47" s="99">
        <f t="shared" si="10"/>
        <v>370373</v>
      </c>
    </row>
    <row r="48" spans="1:10" x14ac:dyDescent="0.25">
      <c r="A48" s="10">
        <v>40</v>
      </c>
      <c r="B48" s="14" t="s">
        <v>32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30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33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9" t="s">
        <v>34</v>
      </c>
      <c r="C51" s="80">
        <f>C48+C49-C50</f>
        <v>0</v>
      </c>
      <c r="D51" s="100">
        <f t="shared" ref="D51:E51" si="12">D48+D49-D50</f>
        <v>0</v>
      </c>
      <c r="E51" s="99">
        <f t="shared" si="12"/>
        <v>0</v>
      </c>
    </row>
    <row r="52" spans="1:7" x14ac:dyDescent="0.25">
      <c r="A52" s="10">
        <v>44</v>
      </c>
      <c r="B52" s="14" t="s">
        <v>35</v>
      </c>
      <c r="C52" s="55">
        <v>223034</v>
      </c>
      <c r="D52" s="102"/>
      <c r="E52" s="32">
        <f>C52</f>
        <v>223034</v>
      </c>
    </row>
    <row r="53" spans="1:7" x14ac:dyDescent="0.25">
      <c r="A53" s="10">
        <v>45</v>
      </c>
      <c r="B53" s="14" t="s">
        <v>36</v>
      </c>
      <c r="C53" s="103">
        <f>((C22+C28-C18-C19)/C15)</f>
        <v>0.73716723599839595</v>
      </c>
      <c r="D53" s="103" t="e">
        <f>((D22+D28-D18-D19)/D15)</f>
        <v>#DIV/0!</v>
      </c>
      <c r="E53" s="103">
        <f>((E22+E28-E18-E19)/E15)</f>
        <v>0.73468638472340131</v>
      </c>
    </row>
    <row r="54" spans="1:7" x14ac:dyDescent="0.25">
      <c r="A54" s="10">
        <v>46</v>
      </c>
      <c r="B54" s="14" t="s">
        <v>37</v>
      </c>
      <c r="C54" s="103">
        <f>((C22+C28+C34)/C15)</f>
        <v>1.1430320234009423</v>
      </c>
      <c r="D54" s="103" t="e">
        <f>((D22+D28+D34)/D15)</f>
        <v>#DIV/0!</v>
      </c>
      <c r="E54" s="103">
        <f>((E22+E28+E34)/E15)</f>
        <v>1.1401434528192316</v>
      </c>
    </row>
    <row r="55" spans="1:7" x14ac:dyDescent="0.25">
      <c r="A55" s="10">
        <v>47</v>
      </c>
      <c r="B55" s="14" t="s">
        <v>38</v>
      </c>
      <c r="C55" s="103">
        <f>((C39+C34)/C34)</f>
        <v>-1.6331358216726755</v>
      </c>
      <c r="D55" s="103">
        <f t="shared" ref="D55:E55" si="13">((D39+D34)/D34)</f>
        <v>1</v>
      </c>
      <c r="E55" s="103">
        <f t="shared" si="13"/>
        <v>-1.6376907281838649</v>
      </c>
    </row>
    <row r="56" spans="1:7" x14ac:dyDescent="0.25">
      <c r="A56" s="10">
        <v>48</v>
      </c>
      <c r="B56" s="14" t="s">
        <v>39</v>
      </c>
      <c r="C56" s="103">
        <f>(C39+C34+C18+C19)/C52</f>
        <v>3.6360689401615898</v>
      </c>
      <c r="D56" s="103" t="e">
        <f>(D39+D34+D18+D19)/D52</f>
        <v>#DIV/0!</v>
      </c>
      <c r="E56" s="103">
        <f>(E39+E34+E18+E19)/E52</f>
        <v>3.630616856622757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261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228</v>
      </c>
      <c r="C64" s="65"/>
      <c r="D64" s="65"/>
      <c r="E64" s="65"/>
      <c r="F64" s="65"/>
      <c r="G64" s="65"/>
    </row>
    <row r="65" spans="1:7" x14ac:dyDescent="0.25">
      <c r="A65" s="93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UuInvIGnCflyO8msefJO9RvWuQGJD6KQdDiuDaC2EJDKVEowjfD35ZVNG0/G1vQX1RfM+sWQAvpc69CrqBsSVw==" saltValue="Rf8Z1sCibjngkTtmNdAfoA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zoomScaleNormal="100" workbookViewId="0">
      <selection activeCell="C9" sqref="C9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167</v>
      </c>
    </row>
    <row r="3" spans="1:6" x14ac:dyDescent="0.25">
      <c r="B3" s="57" t="str">
        <f>PriorYearBalanceSheet!A3</f>
        <v>Kalama Telephone Company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114</v>
      </c>
      <c r="D6" s="27" t="s">
        <v>105</v>
      </c>
      <c r="E6" s="26" t="s">
        <v>114</v>
      </c>
    </row>
    <row r="7" spans="1:6" x14ac:dyDescent="0.25">
      <c r="A7" s="17" t="s">
        <v>0</v>
      </c>
      <c r="B7" s="10" t="s">
        <v>153</v>
      </c>
      <c r="C7" s="10">
        <v>2016</v>
      </c>
      <c r="D7" s="10" t="s">
        <v>137</v>
      </c>
      <c r="E7" s="4" t="s">
        <v>111</v>
      </c>
    </row>
    <row r="8" spans="1:6" x14ac:dyDescent="0.25">
      <c r="A8" s="11"/>
      <c r="B8" s="11"/>
      <c r="C8" s="11" t="s">
        <v>155</v>
      </c>
      <c r="D8" s="11" t="s">
        <v>163</v>
      </c>
      <c r="E8" s="5" t="s">
        <v>259</v>
      </c>
    </row>
    <row r="9" spans="1:6" x14ac:dyDescent="0.25">
      <c r="A9" s="9">
        <v>1</v>
      </c>
      <c r="B9" s="6" t="s">
        <v>1</v>
      </c>
      <c r="C9" s="55">
        <v>566448</v>
      </c>
      <c r="D9" s="52"/>
      <c r="E9" s="32">
        <f>SUM(C9:D9)</f>
        <v>566448</v>
      </c>
    </row>
    <row r="10" spans="1:6" x14ac:dyDescent="0.25">
      <c r="A10" s="10">
        <v>2</v>
      </c>
      <c r="B10" s="17" t="s">
        <v>2</v>
      </c>
      <c r="C10" s="52">
        <v>2396518</v>
      </c>
      <c r="D10" s="52"/>
      <c r="E10" s="32">
        <f t="shared" ref="E10:E14" si="0">SUM(C10:D10)</f>
        <v>2396518</v>
      </c>
    </row>
    <row r="11" spans="1:6" x14ac:dyDescent="0.25">
      <c r="A11" s="10">
        <v>3</v>
      </c>
      <c r="B11" s="17" t="s">
        <v>3</v>
      </c>
      <c r="C11" s="52"/>
      <c r="D11" s="52"/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12206</v>
      </c>
      <c r="D12" s="52"/>
      <c r="E12" s="32">
        <f t="shared" si="0"/>
        <v>12206</v>
      </c>
    </row>
    <row r="13" spans="1:6" x14ac:dyDescent="0.25">
      <c r="A13" s="10">
        <v>5</v>
      </c>
      <c r="B13" s="17" t="s">
        <v>5</v>
      </c>
      <c r="C13" s="52">
        <v>30026</v>
      </c>
      <c r="D13" s="52"/>
      <c r="E13" s="32">
        <f t="shared" si="0"/>
        <v>30026</v>
      </c>
    </row>
    <row r="14" spans="1:6" x14ac:dyDescent="0.25">
      <c r="A14" s="10">
        <v>6</v>
      </c>
      <c r="B14" s="17" t="s">
        <v>139</v>
      </c>
      <c r="C14" s="52">
        <v>-3053</v>
      </c>
      <c r="D14" s="52"/>
      <c r="E14" s="32">
        <f t="shared" si="0"/>
        <v>-3053</v>
      </c>
    </row>
    <row r="15" spans="1:6" x14ac:dyDescent="0.25">
      <c r="A15" s="10">
        <v>7</v>
      </c>
      <c r="B15" s="84" t="s">
        <v>138</v>
      </c>
      <c r="C15" s="40">
        <f>SUM(C9:C14)</f>
        <v>3002145</v>
      </c>
      <c r="D15" s="40">
        <f t="shared" ref="D15:E15" si="1">SUM(D9:D14)</f>
        <v>0</v>
      </c>
      <c r="E15" s="40">
        <f t="shared" si="1"/>
        <v>3002145</v>
      </c>
      <c r="F15" s="1"/>
    </row>
    <row r="16" spans="1:6" x14ac:dyDescent="0.25">
      <c r="A16" s="10">
        <v>8</v>
      </c>
      <c r="B16" s="17" t="s">
        <v>6</v>
      </c>
      <c r="C16" s="52">
        <v>1054142</v>
      </c>
      <c r="D16" s="52">
        <v>-9350</v>
      </c>
      <c r="E16" s="41">
        <f>SUM(C16:D16)</f>
        <v>1044792</v>
      </c>
    </row>
    <row r="17" spans="1:6" x14ac:dyDescent="0.25">
      <c r="A17" s="10">
        <v>9</v>
      </c>
      <c r="B17" s="17" t="s">
        <v>40</v>
      </c>
      <c r="C17" s="52">
        <v>665004</v>
      </c>
      <c r="D17" s="52"/>
      <c r="E17" s="41">
        <f t="shared" ref="E17:E21" si="2">SUM(C17:D17)</f>
        <v>665004</v>
      </c>
    </row>
    <row r="18" spans="1:6" x14ac:dyDescent="0.25">
      <c r="A18" s="10">
        <v>10</v>
      </c>
      <c r="B18" s="17" t="s">
        <v>7</v>
      </c>
      <c r="C18" s="52">
        <v>660692</v>
      </c>
      <c r="D18" s="52">
        <v>-4183</v>
      </c>
      <c r="E18" s="41">
        <f t="shared" si="2"/>
        <v>656509</v>
      </c>
    </row>
    <row r="19" spans="1:6" x14ac:dyDescent="0.25">
      <c r="A19" s="10">
        <v>11</v>
      </c>
      <c r="B19" s="17" t="s">
        <v>8</v>
      </c>
      <c r="C19" s="52"/>
      <c r="D19" s="52"/>
      <c r="E19" s="41">
        <f t="shared" si="2"/>
        <v>0</v>
      </c>
    </row>
    <row r="20" spans="1:6" x14ac:dyDescent="0.25">
      <c r="A20" s="10">
        <v>12</v>
      </c>
      <c r="B20" s="17" t="s">
        <v>9</v>
      </c>
      <c r="C20" s="52">
        <v>221704</v>
      </c>
      <c r="D20" s="52">
        <v>-4111</v>
      </c>
      <c r="E20" s="41">
        <f t="shared" si="2"/>
        <v>217593</v>
      </c>
    </row>
    <row r="21" spans="1:6" x14ac:dyDescent="0.25">
      <c r="A21" s="10">
        <v>13</v>
      </c>
      <c r="B21" s="17" t="s">
        <v>10</v>
      </c>
      <c r="C21" s="52">
        <v>566713</v>
      </c>
      <c r="D21" s="52">
        <v>-5686</v>
      </c>
      <c r="E21" s="41">
        <f t="shared" si="2"/>
        <v>561027</v>
      </c>
    </row>
    <row r="22" spans="1:6" x14ac:dyDescent="0.25">
      <c r="A22" s="10">
        <v>14</v>
      </c>
      <c r="B22" s="84" t="s">
        <v>260</v>
      </c>
      <c r="C22" s="40">
        <f>C16+C17+C18+C19+C20+C21</f>
        <v>3168255</v>
      </c>
      <c r="D22" s="40">
        <f>D16+D17+D18+D19+D20+D21</f>
        <v>-23330</v>
      </c>
      <c r="E22" s="42">
        <f>E16+E17+E18+E19+E20+E21</f>
        <v>3144925</v>
      </c>
      <c r="F22" s="1"/>
    </row>
    <row r="23" spans="1:6" x14ac:dyDescent="0.25">
      <c r="A23" s="10">
        <v>15</v>
      </c>
      <c r="B23" s="17" t="s">
        <v>14</v>
      </c>
      <c r="C23" s="32">
        <f>C15-C22</f>
        <v>-166110</v>
      </c>
      <c r="D23" s="32">
        <f>D15-D22</f>
        <v>23330</v>
      </c>
      <c r="E23" s="32">
        <f>E15-E22</f>
        <v>-142780</v>
      </c>
    </row>
    <row r="24" spans="1:6" x14ac:dyDescent="0.25">
      <c r="A24" s="10">
        <v>16</v>
      </c>
      <c r="B24" s="17" t="s">
        <v>140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85698</v>
      </c>
      <c r="D25" s="114">
        <v>-155</v>
      </c>
      <c r="E25" s="32">
        <f t="shared" ref="E25:E27" si="3">SUM(C25:D25)</f>
        <v>85543</v>
      </c>
    </row>
    <row r="26" spans="1:6" x14ac:dyDescent="0.25">
      <c r="A26" s="10">
        <v>18</v>
      </c>
      <c r="B26" s="17" t="s">
        <v>200</v>
      </c>
      <c r="C26" s="123">
        <v>-123934</v>
      </c>
      <c r="D26" s="54">
        <v>12021</v>
      </c>
      <c r="E26" s="32">
        <f t="shared" si="3"/>
        <v>-111913</v>
      </c>
    </row>
    <row r="27" spans="1:6" x14ac:dyDescent="0.25">
      <c r="A27" s="10">
        <v>19</v>
      </c>
      <c r="B27" s="17" t="s">
        <v>13</v>
      </c>
      <c r="C27" s="52"/>
      <c r="D27" s="114"/>
      <c r="E27" s="32">
        <f t="shared" si="3"/>
        <v>0</v>
      </c>
    </row>
    <row r="28" spans="1:6" x14ac:dyDescent="0.25">
      <c r="A28" s="10">
        <v>20</v>
      </c>
      <c r="B28" s="84" t="s">
        <v>12</v>
      </c>
      <c r="C28" s="37">
        <f>SUM(C25:C27)</f>
        <v>-38236</v>
      </c>
      <c r="D28" s="37">
        <f t="shared" ref="D28:E28" si="4">SUM(D25:D27)</f>
        <v>11866</v>
      </c>
      <c r="E28" s="43">
        <f t="shared" si="4"/>
        <v>-26370</v>
      </c>
    </row>
    <row r="29" spans="1:6" x14ac:dyDescent="0.25">
      <c r="A29" s="10">
        <v>21</v>
      </c>
      <c r="B29" s="84" t="s">
        <v>23</v>
      </c>
      <c r="C29" s="37">
        <f>C23+C24-C28</f>
        <v>-127874</v>
      </c>
      <c r="D29" s="37">
        <f>D23+D24-D28</f>
        <v>11464</v>
      </c>
      <c r="E29" s="43">
        <f>E23+E24-E28</f>
        <v>-116410</v>
      </c>
    </row>
    <row r="30" spans="1:6" x14ac:dyDescent="0.25">
      <c r="A30" s="10">
        <v>22</v>
      </c>
      <c r="B30" s="17" t="s">
        <v>15</v>
      </c>
      <c r="C30" s="52">
        <v>117547</v>
      </c>
      <c r="D30" s="54"/>
      <c r="E30" s="32">
        <f>SUM(C30:D30)</f>
        <v>117547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/>
      <c r="D32" s="54"/>
      <c r="E32" s="32">
        <f t="shared" si="5"/>
        <v>0</v>
      </c>
    </row>
    <row r="33" spans="1:5" x14ac:dyDescent="0.25">
      <c r="A33" s="10">
        <v>25</v>
      </c>
      <c r="B33" s="17" t="s">
        <v>154</v>
      </c>
      <c r="C33" s="52"/>
      <c r="D33" s="54"/>
      <c r="E33" s="33">
        <f t="shared" si="5"/>
        <v>0</v>
      </c>
    </row>
    <row r="34" spans="1:5" x14ac:dyDescent="0.25">
      <c r="A34" s="10">
        <v>26</v>
      </c>
      <c r="B34" s="84" t="s">
        <v>18</v>
      </c>
      <c r="C34" s="37">
        <f>SUM(C30:C33)</f>
        <v>117547</v>
      </c>
      <c r="D34" s="64">
        <f t="shared" ref="D34" si="6">SUM(D30:D33)</f>
        <v>0</v>
      </c>
      <c r="E34" s="37">
        <f>SUM(E30:E33)</f>
        <v>117547</v>
      </c>
    </row>
    <row r="35" spans="1:5" x14ac:dyDescent="0.25">
      <c r="A35" s="10">
        <v>27</v>
      </c>
      <c r="B35" s="17" t="s">
        <v>19</v>
      </c>
      <c r="C35" s="52">
        <f>7730-36593</f>
        <v>-28863</v>
      </c>
      <c r="D35" s="54"/>
      <c r="E35" s="32">
        <f>SUM(C35:D35)</f>
        <v>-28863</v>
      </c>
    </row>
    <row r="36" spans="1:5" x14ac:dyDescent="0.25">
      <c r="A36" s="10">
        <v>28</v>
      </c>
      <c r="B36" s="17" t="s">
        <v>20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80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187</v>
      </c>
      <c r="C38" s="52">
        <f>43362-4930</f>
        <v>38432</v>
      </c>
      <c r="D38" s="69">
        <f>-1*(D29-D34)</f>
        <v>-11464</v>
      </c>
      <c r="E38" s="32">
        <f t="shared" si="7"/>
        <v>26968</v>
      </c>
    </row>
    <row r="39" spans="1:5" x14ac:dyDescent="0.25">
      <c r="A39" s="10">
        <v>31</v>
      </c>
      <c r="B39" s="84" t="s">
        <v>22</v>
      </c>
      <c r="C39" s="37">
        <f>C29-C34+C35+C36+C37+C38</f>
        <v>-235852</v>
      </c>
      <c r="D39" s="37">
        <f t="shared" ref="D39:E39" si="8">D29-D34+D35+D36+D37+D38</f>
        <v>0</v>
      </c>
      <c r="E39" s="37">
        <f t="shared" si="8"/>
        <v>-235852</v>
      </c>
    </row>
    <row r="40" spans="1:5" x14ac:dyDescent="0.25">
      <c r="A40" s="10">
        <v>32</v>
      </c>
      <c r="B40" s="17" t="s">
        <v>24</v>
      </c>
      <c r="C40" s="67"/>
      <c r="D40" s="67"/>
      <c r="E40" s="44"/>
    </row>
    <row r="41" spans="1:5" x14ac:dyDescent="0.25">
      <c r="A41" s="10">
        <v>33</v>
      </c>
      <c r="B41" s="17" t="s">
        <v>25</v>
      </c>
      <c r="C41" s="52">
        <v>370373</v>
      </c>
      <c r="D41" s="54"/>
      <c r="E41" s="32">
        <f t="shared" ref="E41:E46" si="9">SUM(C41:D41)</f>
        <v>370373</v>
      </c>
    </row>
    <row r="42" spans="1:5" x14ac:dyDescent="0.25">
      <c r="A42" s="10">
        <v>34</v>
      </c>
      <c r="B42" s="17" t="s">
        <v>26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27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28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29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30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4" t="s">
        <v>208</v>
      </c>
      <c r="C47" s="37">
        <f>(C39+C41+C42)-(C43+C44+C45+C46)</f>
        <v>134521</v>
      </c>
      <c r="D47" s="64">
        <f t="shared" ref="D47:E47" si="10">(D39+D41+D42)-(D43+D44+D45+D46)</f>
        <v>0</v>
      </c>
      <c r="E47" s="43">
        <f t="shared" si="10"/>
        <v>134521</v>
      </c>
    </row>
    <row r="48" spans="1:5" x14ac:dyDescent="0.25">
      <c r="A48" s="10">
        <v>40</v>
      </c>
      <c r="B48" s="17" t="s">
        <v>32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30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33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4" t="s">
        <v>34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35</v>
      </c>
      <c r="C52" s="55"/>
      <c r="D52" s="96"/>
      <c r="E52" s="32">
        <f>C52</f>
        <v>0</v>
      </c>
    </row>
    <row r="53" spans="1:7" x14ac:dyDescent="0.25">
      <c r="A53" s="10">
        <v>45</v>
      </c>
      <c r="B53" s="17" t="s">
        <v>36</v>
      </c>
      <c r="C53" s="46">
        <f>((C22+C28-C18-C19)/C15)</f>
        <v>0.82252089755824587</v>
      </c>
      <c r="D53" s="46" t="e">
        <f>((D22+D28-D18-D19)/D15)</f>
        <v>#DIV/0!</v>
      </c>
      <c r="E53" s="46">
        <f>((E22+E28-E18-E19)/E15)</f>
        <v>0.82009563162338928</v>
      </c>
    </row>
    <row r="54" spans="1:7" x14ac:dyDescent="0.25">
      <c r="A54" s="10">
        <v>46</v>
      </c>
      <c r="B54" s="17" t="s">
        <v>37</v>
      </c>
      <c r="C54" s="46">
        <f>((C22+C28+C34)/C15)</f>
        <v>1.0817485497869024</v>
      </c>
      <c r="D54" s="46" t="e">
        <f>((D22+D28+D34)/D15)</f>
        <v>#DIV/0!</v>
      </c>
      <c r="E54" s="46">
        <f>((E22+E28+E34)/E15)</f>
        <v>1.077929946754737</v>
      </c>
    </row>
    <row r="55" spans="1:7" x14ac:dyDescent="0.25">
      <c r="A55" s="10">
        <v>47</v>
      </c>
      <c r="B55" s="17" t="s">
        <v>38</v>
      </c>
      <c r="C55" s="46">
        <f>((C39+C34)/C34)</f>
        <v>-1.0064484844360129</v>
      </c>
      <c r="D55" s="46" t="e">
        <f t="shared" ref="D55:E55" si="13">((D39+D34)/D34)</f>
        <v>#DIV/0!</v>
      </c>
      <c r="E55" s="46">
        <f t="shared" si="13"/>
        <v>-1.0064484844360129</v>
      </c>
    </row>
    <row r="56" spans="1:7" x14ac:dyDescent="0.25">
      <c r="A56" s="10">
        <v>48</v>
      </c>
      <c r="B56" s="17" t="s">
        <v>39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176</v>
      </c>
      <c r="C58" s="66"/>
      <c r="D58" s="65"/>
      <c r="E58" s="65"/>
      <c r="F58" s="65"/>
      <c r="G58" s="65"/>
    </row>
    <row r="59" spans="1:7" x14ac:dyDescent="0.25">
      <c r="A59" s="47" t="s">
        <v>155</v>
      </c>
      <c r="B59" t="s">
        <v>206</v>
      </c>
      <c r="C59" s="65"/>
      <c r="D59" s="65"/>
      <c r="E59" s="65"/>
      <c r="F59" s="65"/>
      <c r="G59" s="65"/>
    </row>
    <row r="60" spans="1:7" x14ac:dyDescent="0.25">
      <c r="A60" s="47" t="s">
        <v>164</v>
      </c>
      <c r="B60" t="s">
        <v>226</v>
      </c>
      <c r="C60" s="65"/>
      <c r="D60" s="65"/>
      <c r="E60" s="65"/>
      <c r="F60" s="65"/>
      <c r="G60" s="65"/>
    </row>
    <row r="61" spans="1:7" x14ac:dyDescent="0.25">
      <c r="A61" s="47"/>
      <c r="B61" t="s">
        <v>207</v>
      </c>
      <c r="C61" s="65"/>
      <c r="D61" s="65"/>
      <c r="E61" s="65"/>
      <c r="F61" s="65"/>
      <c r="G61" s="65"/>
    </row>
    <row r="62" spans="1:7" x14ac:dyDescent="0.25">
      <c r="A62" s="47" t="s">
        <v>175</v>
      </c>
      <c r="B62" s="68" t="s">
        <v>262</v>
      </c>
      <c r="C62" s="65"/>
      <c r="D62" s="65"/>
      <c r="E62" s="65"/>
      <c r="F62" s="65"/>
      <c r="G62" s="65"/>
    </row>
    <row r="63" spans="1:7" x14ac:dyDescent="0.25">
      <c r="A63" s="47" t="s">
        <v>163</v>
      </c>
      <c r="B63" t="s">
        <v>165</v>
      </c>
      <c r="C63" s="65"/>
      <c r="D63" s="65"/>
      <c r="E63" s="65"/>
      <c r="F63" s="65"/>
      <c r="G63" s="65"/>
    </row>
    <row r="64" spans="1:7" x14ac:dyDescent="0.25">
      <c r="A64" s="47" t="s">
        <v>161</v>
      </c>
      <c r="B64" t="s">
        <v>227</v>
      </c>
      <c r="C64" s="65"/>
      <c r="D64" s="65"/>
      <c r="E64" s="65"/>
      <c r="F64" s="65"/>
      <c r="G64" s="65"/>
    </row>
    <row r="65" spans="1:7" x14ac:dyDescent="0.25">
      <c r="A65" s="65"/>
      <c r="B65" s="65" t="s">
        <v>229</v>
      </c>
      <c r="C65" s="65"/>
      <c r="D65" s="65"/>
      <c r="E65" s="65"/>
      <c r="F65" s="65"/>
      <c r="G65" s="65"/>
    </row>
    <row r="66" spans="1:7" x14ac:dyDescent="0.25">
      <c r="A66" s="93" t="s">
        <v>266</v>
      </c>
      <c r="B66" s="65" t="s">
        <v>267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qoOIWeZyVLXv5JVhfmWCg17vjb/jzQ3h73GlBC2KrhvPxbAxup9iE1I7mbkLURYyUZuqfNREqsGITWYTXixSg==" saltValue="Ljb1kuCyQWK463X0WJCev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34" zoomScaleNormal="100" workbookViewId="0">
      <selection activeCell="A13" sqref="A13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152</v>
      </c>
    </row>
    <row r="3" spans="1:5" x14ac:dyDescent="0.25">
      <c r="B3" s="57" t="str">
        <f>PriorYearBalanceSheet!A3</f>
        <v>Kalama Telephone Company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111</v>
      </c>
      <c r="D6" s="26" t="s">
        <v>111</v>
      </c>
    </row>
    <row r="7" spans="1:5" x14ac:dyDescent="0.25">
      <c r="A7" s="17" t="s">
        <v>0</v>
      </c>
      <c r="B7" s="10" t="s">
        <v>153</v>
      </c>
      <c r="C7" s="28" t="s">
        <v>73</v>
      </c>
      <c r="D7" s="4" t="s">
        <v>114</v>
      </c>
    </row>
    <row r="8" spans="1:5" x14ac:dyDescent="0.25">
      <c r="A8" s="11"/>
      <c r="B8" s="11"/>
      <c r="C8" s="11">
        <v>2015</v>
      </c>
      <c r="D8" s="5">
        <v>2016</v>
      </c>
    </row>
    <row r="9" spans="1:5" x14ac:dyDescent="0.25">
      <c r="A9" s="9">
        <v>1</v>
      </c>
      <c r="B9" s="6" t="s">
        <v>1</v>
      </c>
      <c r="C9" s="36">
        <f>PriorYearIncomeStmt!E9</f>
        <v>551609</v>
      </c>
      <c r="D9" s="41">
        <f>'CurrentYearIncomeStmt '!E9</f>
        <v>566448</v>
      </c>
    </row>
    <row r="10" spans="1:5" x14ac:dyDescent="0.25">
      <c r="A10" s="10">
        <v>2</v>
      </c>
      <c r="B10" s="17" t="s">
        <v>2</v>
      </c>
      <c r="C10" s="32">
        <f>PriorYearIncomeStmt!E10</f>
        <v>2387869</v>
      </c>
      <c r="D10" s="41">
        <f>'CurrentYearIncomeStmt '!E10</f>
        <v>2396518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12469</v>
      </c>
      <c r="D12" s="41">
        <f>'CurrentYearIncomeStmt '!E12</f>
        <v>12206</v>
      </c>
    </row>
    <row r="13" spans="1:5" x14ac:dyDescent="0.25">
      <c r="A13" s="10">
        <v>5</v>
      </c>
      <c r="B13" s="17" t="s">
        <v>5</v>
      </c>
      <c r="C13" s="32">
        <f>PriorYearIncomeStmt!E13</f>
        <v>32968</v>
      </c>
      <c r="D13" s="41">
        <f>'CurrentYearIncomeStmt '!E13</f>
        <v>30026</v>
      </c>
    </row>
    <row r="14" spans="1:5" x14ac:dyDescent="0.25">
      <c r="A14" s="10">
        <v>6</v>
      </c>
      <c r="B14" s="17" t="s">
        <v>139</v>
      </c>
      <c r="C14" s="32">
        <f>PriorYearIncomeStmt!E14</f>
        <v>-2471</v>
      </c>
      <c r="D14" s="41">
        <f>'CurrentYearIncomeStmt '!E14</f>
        <v>-3053</v>
      </c>
    </row>
    <row r="15" spans="1:5" x14ac:dyDescent="0.25">
      <c r="A15" s="10">
        <v>7</v>
      </c>
      <c r="B15" s="84" t="s">
        <v>138</v>
      </c>
      <c r="C15" s="40">
        <f>SUM(C9:C14)</f>
        <v>2982444</v>
      </c>
      <c r="D15" s="42">
        <f t="shared" ref="D15" si="0">SUM(D9:D14)</f>
        <v>3002145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956386</v>
      </c>
      <c r="D16" s="41">
        <f>'CurrentYearIncomeStmt '!E16</f>
        <v>1044792</v>
      </c>
    </row>
    <row r="17" spans="1:5" x14ac:dyDescent="0.25">
      <c r="A17" s="10">
        <v>9</v>
      </c>
      <c r="B17" s="17" t="s">
        <v>40</v>
      </c>
      <c r="C17" s="32">
        <f>PriorYearIncomeStmt!E17</f>
        <v>593422</v>
      </c>
      <c r="D17" s="41">
        <f>'CurrentYearIncomeStmt '!E17</f>
        <v>665004</v>
      </c>
    </row>
    <row r="18" spans="1:5" x14ac:dyDescent="0.25">
      <c r="A18" s="10">
        <v>10</v>
      </c>
      <c r="B18" s="17" t="s">
        <v>7</v>
      </c>
      <c r="C18" s="32">
        <f>PriorYearIncomeStmt!E18</f>
        <v>1057794</v>
      </c>
      <c r="D18" s="41">
        <f>'CurrentYearIncomeStmt '!E18</f>
        <v>656509</v>
      </c>
    </row>
    <row r="19" spans="1:5" x14ac:dyDescent="0.25">
      <c r="A19" s="10">
        <v>11</v>
      </c>
      <c r="B19" s="17" t="s">
        <v>8</v>
      </c>
      <c r="C19" s="32">
        <f>PriorYearIncomeStmt!E19</f>
        <v>0</v>
      </c>
      <c r="D19" s="41">
        <f>'CurrentYearIncomeStmt '!E19</f>
        <v>0</v>
      </c>
    </row>
    <row r="20" spans="1:5" x14ac:dyDescent="0.25">
      <c r="A20" s="10">
        <v>12</v>
      </c>
      <c r="B20" s="17" t="s">
        <v>9</v>
      </c>
      <c r="C20" s="32">
        <f>PriorYearIncomeStmt!E20</f>
        <v>206885</v>
      </c>
      <c r="D20" s="41">
        <f>'CurrentYearIncomeStmt '!E20</f>
        <v>217593</v>
      </c>
    </row>
    <row r="21" spans="1:5" x14ac:dyDescent="0.25">
      <c r="A21" s="10">
        <v>13</v>
      </c>
      <c r="B21" s="17" t="s">
        <v>10</v>
      </c>
      <c r="C21" s="32">
        <f>PriorYearIncomeStmt!E21</f>
        <v>551332</v>
      </c>
      <c r="D21" s="41">
        <f>'CurrentYearIncomeStmt '!E21</f>
        <v>561027</v>
      </c>
    </row>
    <row r="22" spans="1:5" x14ac:dyDescent="0.25">
      <c r="A22" s="10">
        <v>14</v>
      </c>
      <c r="B22" s="84" t="s">
        <v>260</v>
      </c>
      <c r="C22" s="40">
        <f>C16+C17+C18+C19+C20+C21</f>
        <v>3365819</v>
      </c>
      <c r="D22" s="42">
        <f>D16+D17+D18+D19+D20+D21</f>
        <v>3144925</v>
      </c>
      <c r="E22" s="1"/>
    </row>
    <row r="23" spans="1:5" x14ac:dyDescent="0.25">
      <c r="A23" s="10">
        <v>15</v>
      </c>
      <c r="B23" s="17" t="s">
        <v>14</v>
      </c>
      <c r="C23" s="32">
        <f>C15-C22</f>
        <v>-383375</v>
      </c>
      <c r="D23" s="41">
        <f>D15-D22</f>
        <v>-142780</v>
      </c>
    </row>
    <row r="24" spans="1:5" x14ac:dyDescent="0.25">
      <c r="A24" s="10">
        <v>16</v>
      </c>
      <c r="B24" s="17" t="s">
        <v>140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91160</v>
      </c>
      <c r="D25" s="41">
        <f>'CurrentYearIncomeStmt '!E25</f>
        <v>85543</v>
      </c>
    </row>
    <row r="26" spans="1:5" x14ac:dyDescent="0.25">
      <c r="A26" s="10">
        <v>18</v>
      </c>
      <c r="B26" s="17" t="s">
        <v>188</v>
      </c>
      <c r="C26" s="32">
        <f>PriorYearIncomeStmt!E26</f>
        <v>-208024</v>
      </c>
      <c r="D26" s="41">
        <f>'CurrentYearIncomeStmt '!E26</f>
        <v>-111913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4" t="s">
        <v>12</v>
      </c>
      <c r="C28" s="37">
        <f>SUM(C25:C27)</f>
        <v>-116864</v>
      </c>
      <c r="D28" s="43">
        <f t="shared" ref="D28" si="1">SUM(D25:D27)</f>
        <v>-26370</v>
      </c>
    </row>
    <row r="29" spans="1:5" x14ac:dyDescent="0.25">
      <c r="A29" s="10">
        <v>21</v>
      </c>
      <c r="B29" s="84" t="s">
        <v>23</v>
      </c>
      <c r="C29" s="37">
        <f>C23+C24-C28</f>
        <v>-266511</v>
      </c>
      <c r="D29" s="43">
        <f>D23+D24-D28</f>
        <v>-116410</v>
      </c>
    </row>
    <row r="30" spans="1:5" x14ac:dyDescent="0.25">
      <c r="A30" s="10">
        <v>22</v>
      </c>
      <c r="B30" s="17" t="s">
        <v>15</v>
      </c>
      <c r="C30" s="32">
        <f>PriorYearIncomeStmt!E30</f>
        <v>151459</v>
      </c>
      <c r="D30" s="41">
        <f>'CurrentYearIncomeStmt '!E30</f>
        <v>117547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0</v>
      </c>
      <c r="D32" s="41">
        <f>'CurrentYearIncomeStmt '!E32</f>
        <v>0</v>
      </c>
    </row>
    <row r="33" spans="1:4" x14ac:dyDescent="0.25">
      <c r="A33" s="10">
        <v>25</v>
      </c>
      <c r="B33" s="17" t="s">
        <v>79</v>
      </c>
      <c r="C33" s="32">
        <f>PriorYearIncomeStmt!E33</f>
        <v>0</v>
      </c>
      <c r="D33" s="41">
        <f>'CurrentYearIncomeStmt '!E33</f>
        <v>0</v>
      </c>
    </row>
    <row r="34" spans="1:4" x14ac:dyDescent="0.25">
      <c r="A34" s="10">
        <v>26</v>
      </c>
      <c r="B34" s="84" t="s">
        <v>18</v>
      </c>
      <c r="C34" s="37">
        <f>SUM(C30:C33)</f>
        <v>151459</v>
      </c>
      <c r="D34" s="43">
        <f t="shared" ref="D34" si="2">SUM(D30:D33)</f>
        <v>117547</v>
      </c>
    </row>
    <row r="35" spans="1:4" x14ac:dyDescent="0.25">
      <c r="A35" s="10">
        <v>27</v>
      </c>
      <c r="B35" s="17" t="s">
        <v>19</v>
      </c>
      <c r="C35" s="32">
        <f>PriorYearIncomeStmt!E35</f>
        <v>557</v>
      </c>
      <c r="D35" s="41">
        <f>'CurrentYearIncomeStmt '!E35</f>
        <v>-28863</v>
      </c>
    </row>
    <row r="36" spans="1:4" x14ac:dyDescent="0.25">
      <c r="A36" s="10">
        <v>28</v>
      </c>
      <c r="B36" s="17" t="s">
        <v>20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80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21</v>
      </c>
      <c r="C38" s="32">
        <f>PriorYearIncomeStmt!E38</f>
        <v>17911</v>
      </c>
      <c r="D38" s="41">
        <f>'CurrentYearIncomeStmt '!E38</f>
        <v>26968</v>
      </c>
    </row>
    <row r="39" spans="1:4" x14ac:dyDescent="0.25">
      <c r="A39" s="10">
        <v>31</v>
      </c>
      <c r="B39" s="84" t="s">
        <v>22</v>
      </c>
      <c r="C39" s="37">
        <f>C29-C34+C35+C36+C37+C38</f>
        <v>-399502</v>
      </c>
      <c r="D39" s="43">
        <f t="shared" ref="D39" si="3">D29-D34+D35+D36+D37+D38</f>
        <v>-235852</v>
      </c>
    </row>
    <row r="40" spans="1:4" x14ac:dyDescent="0.25">
      <c r="A40" s="10">
        <v>32</v>
      </c>
      <c r="B40" s="17" t="s">
        <v>24</v>
      </c>
      <c r="C40" s="44"/>
      <c r="D40" s="70"/>
    </row>
    <row r="41" spans="1:4" x14ac:dyDescent="0.25">
      <c r="A41" s="10">
        <v>33</v>
      </c>
      <c r="B41" s="17" t="s">
        <v>25</v>
      </c>
      <c r="C41" s="32">
        <f>PriorYearIncomeStmt!E41</f>
        <v>769875</v>
      </c>
      <c r="D41" s="41">
        <f>'CurrentYearIncomeStmt '!E41</f>
        <v>370373</v>
      </c>
    </row>
    <row r="42" spans="1:4" x14ac:dyDescent="0.25">
      <c r="A42" s="10">
        <v>34</v>
      </c>
      <c r="B42" s="17" t="s">
        <v>26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27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28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29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30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4" t="s">
        <v>31</v>
      </c>
      <c r="C47" s="37">
        <f>(C39+C41+C42)-(C43+C44+C45+C46)</f>
        <v>370373</v>
      </c>
      <c r="D47" s="43">
        <f t="shared" ref="D47" si="4">(D39+D41+D42)-(D43+D44+D45+D46)</f>
        <v>134521</v>
      </c>
    </row>
    <row r="48" spans="1:4" x14ac:dyDescent="0.25">
      <c r="A48" s="10">
        <v>40</v>
      </c>
      <c r="B48" s="17" t="s">
        <v>32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30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33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4" t="s">
        <v>34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35</v>
      </c>
      <c r="C52" s="32">
        <f>PriorYearIncomeStmt!E52</f>
        <v>223034</v>
      </c>
      <c r="D52" s="41">
        <f>'CurrentYearIncomeStmt '!E52</f>
        <v>0</v>
      </c>
    </row>
    <row r="53" spans="1:8" x14ac:dyDescent="0.25">
      <c r="A53" s="10">
        <v>45</v>
      </c>
      <c r="B53" s="17" t="s">
        <v>36</v>
      </c>
      <c r="C53" s="49">
        <f>((C22+C28-C18-C19)/C15)</f>
        <v>0.73468638472340131</v>
      </c>
      <c r="D53" s="49">
        <f>((D22+D28-D18-D19)/D15)</f>
        <v>0.82009563162338928</v>
      </c>
    </row>
    <row r="54" spans="1:8" x14ac:dyDescent="0.25">
      <c r="A54" s="10">
        <v>46</v>
      </c>
      <c r="B54" s="17" t="s">
        <v>37</v>
      </c>
      <c r="C54" s="49">
        <f>((C22+C28+C34)/C15)</f>
        <v>1.1401434528192316</v>
      </c>
      <c r="D54" s="49">
        <f>((D22+D28+D34)/D15)</f>
        <v>1.077929946754737</v>
      </c>
    </row>
    <row r="55" spans="1:8" x14ac:dyDescent="0.25">
      <c r="A55" s="10">
        <v>47</v>
      </c>
      <c r="B55" s="17" t="s">
        <v>38</v>
      </c>
      <c r="C55" s="49">
        <f>((C39+C34)/C34)</f>
        <v>-1.6376907281838649</v>
      </c>
      <c r="D55" s="49">
        <f t="shared" ref="D55" si="6">((D39+D34)/D34)</f>
        <v>-1.0064484844360129</v>
      </c>
    </row>
    <row r="56" spans="1:8" x14ac:dyDescent="0.25">
      <c r="A56" s="10">
        <v>48</v>
      </c>
      <c r="B56" s="17" t="s">
        <v>39</v>
      </c>
      <c r="C56" s="45">
        <f>(C39+C34+C18+C19)/C52</f>
        <v>3.630616856622757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189</v>
      </c>
      <c r="C59" s="48" t="s">
        <v>220</v>
      </c>
      <c r="D59" s="48" t="s">
        <v>256</v>
      </c>
    </row>
    <row r="60" spans="1:8" x14ac:dyDescent="0.25">
      <c r="A60" s="47" t="s">
        <v>164</v>
      </c>
      <c r="B60" t="s">
        <v>156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190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191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192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AwL+aTkCr2xoQMUiiYfeeYhbQ1XBEz9yWqv3PUncXeP/wkdGowRwAIJ7IxzgDDiZfs2SHOjxn+NVE/3Z+pK1/w==" saltValue="7YxR2G1nkWJt9Ni/pab13Q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3" sqref="B3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167</v>
      </c>
    </row>
    <row r="3" spans="1:5" x14ac:dyDescent="0.25">
      <c r="B3" s="57" t="str">
        <f>PriorYearBalanceSheet!A3</f>
        <v>Kalama Telephone Company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73</v>
      </c>
      <c r="E6" s="23" t="s">
        <v>114</v>
      </c>
    </row>
    <row r="7" spans="1:5" x14ac:dyDescent="0.25">
      <c r="A7" s="17" t="s">
        <v>0</v>
      </c>
      <c r="B7" s="10" t="s">
        <v>153</v>
      </c>
      <c r="C7" s="10" t="s">
        <v>141</v>
      </c>
      <c r="D7" s="10">
        <v>2015</v>
      </c>
      <c r="E7" s="4">
        <v>2016</v>
      </c>
    </row>
    <row r="8" spans="1:5" x14ac:dyDescent="0.25">
      <c r="A8" s="19"/>
      <c r="B8" s="19"/>
      <c r="C8" s="11" t="s">
        <v>142</v>
      </c>
      <c r="D8" s="25"/>
      <c r="E8" s="29"/>
    </row>
    <row r="9" spans="1:5" x14ac:dyDescent="0.25">
      <c r="A9" s="9">
        <v>1</v>
      </c>
      <c r="B9" s="6" t="s">
        <v>143</v>
      </c>
      <c r="C9" s="27" t="s">
        <v>144</v>
      </c>
      <c r="D9" s="55">
        <v>330403</v>
      </c>
      <c r="E9" s="55">
        <v>340427</v>
      </c>
    </row>
    <row r="10" spans="1:5" x14ac:dyDescent="0.25">
      <c r="A10" s="10">
        <v>2</v>
      </c>
      <c r="B10" s="44" t="s">
        <v>145</v>
      </c>
      <c r="C10" s="28" t="s">
        <v>146</v>
      </c>
      <c r="D10" s="44"/>
      <c r="E10" s="44"/>
    </row>
    <row r="11" spans="1:5" x14ac:dyDescent="0.25">
      <c r="A11" s="10" t="s">
        <v>182</v>
      </c>
      <c r="B11" s="17" t="s">
        <v>147</v>
      </c>
      <c r="C11" s="10"/>
      <c r="D11" s="52">
        <v>81615</v>
      </c>
      <c r="E11" s="52">
        <v>57890</v>
      </c>
    </row>
    <row r="12" spans="1:5" x14ac:dyDescent="0.25">
      <c r="A12" s="10" t="s">
        <v>183</v>
      </c>
      <c r="B12" s="17" t="s">
        <v>210</v>
      </c>
      <c r="C12" s="10"/>
      <c r="D12" s="52">
        <v>417449</v>
      </c>
      <c r="E12" s="52">
        <v>198448</v>
      </c>
    </row>
    <row r="13" spans="1:5" x14ac:dyDescent="0.25">
      <c r="A13" s="10">
        <v>3</v>
      </c>
      <c r="B13" s="44" t="s">
        <v>149</v>
      </c>
      <c r="C13" s="10">
        <v>5083</v>
      </c>
      <c r="D13" s="44"/>
      <c r="E13" s="44"/>
    </row>
    <row r="14" spans="1:5" x14ac:dyDescent="0.25">
      <c r="A14" s="10" t="s">
        <v>184</v>
      </c>
      <c r="B14" s="17" t="s">
        <v>147</v>
      </c>
      <c r="C14" s="10"/>
      <c r="D14" s="52">
        <v>5352</v>
      </c>
      <c r="E14" s="52">
        <v>5352</v>
      </c>
    </row>
    <row r="15" spans="1:5" x14ac:dyDescent="0.25">
      <c r="A15" s="10" t="s">
        <v>185</v>
      </c>
      <c r="B15" s="17" t="s">
        <v>148</v>
      </c>
      <c r="C15" s="10"/>
      <c r="D15" s="52">
        <v>387648</v>
      </c>
      <c r="E15" s="52">
        <v>509611</v>
      </c>
    </row>
    <row r="16" spans="1:5" x14ac:dyDescent="0.25">
      <c r="A16" s="10">
        <v>4</v>
      </c>
      <c r="B16" s="17" t="s">
        <v>209</v>
      </c>
      <c r="C16" s="10" t="s">
        <v>150</v>
      </c>
      <c r="D16" s="52">
        <v>963621</v>
      </c>
      <c r="E16" s="52">
        <v>1051555</v>
      </c>
    </row>
    <row r="17" spans="1:5" x14ac:dyDescent="0.25">
      <c r="A17" s="10">
        <v>5</v>
      </c>
      <c r="B17" s="17" t="s">
        <v>199</v>
      </c>
      <c r="C17" s="10"/>
      <c r="D17" s="52">
        <v>201880</v>
      </c>
      <c r="E17" s="52">
        <v>233091</v>
      </c>
    </row>
    <row r="18" spans="1:5" x14ac:dyDescent="0.25">
      <c r="A18" s="10">
        <v>6</v>
      </c>
      <c r="B18" s="17" t="s">
        <v>170</v>
      </c>
      <c r="C18" s="11"/>
      <c r="D18" s="53">
        <v>-99</v>
      </c>
      <c r="E18" s="53">
        <v>144</v>
      </c>
    </row>
    <row r="19" spans="1:5" x14ac:dyDescent="0.25">
      <c r="A19" s="10">
        <v>7</v>
      </c>
      <c r="B19" s="17" t="s">
        <v>151</v>
      </c>
      <c r="C19" s="6"/>
      <c r="D19" s="35">
        <f>D9+D11+D12+D14+D15+D16+D17+D18</f>
        <v>2387869</v>
      </c>
      <c r="E19" s="35">
        <f>E9+E11+E12+E14+E15+E16+E17+E18</f>
        <v>2396518</v>
      </c>
    </row>
    <row r="20" spans="1:5" x14ac:dyDescent="0.25">
      <c r="A20" s="10">
        <v>8</v>
      </c>
      <c r="B20" s="18" t="s">
        <v>157</v>
      </c>
      <c r="C20" s="17"/>
      <c r="D20" s="37">
        <f>IncomeStmtSummary!C10</f>
        <v>2387869</v>
      </c>
      <c r="E20" s="37">
        <f>IncomeStmtSummary!D10</f>
        <v>2396518</v>
      </c>
    </row>
    <row r="21" spans="1:5" ht="15.75" thickBot="1" x14ac:dyDescent="0.3">
      <c r="A21" s="11">
        <v>9</v>
      </c>
      <c r="B21" s="51" t="s">
        <v>130</v>
      </c>
      <c r="C21" s="19"/>
      <c r="D21" s="50">
        <f>D19-D20</f>
        <v>0</v>
      </c>
      <c r="E21" s="34">
        <f>E19-E20</f>
        <v>0</v>
      </c>
    </row>
    <row r="22" spans="1:5" ht="15.75" thickTop="1" x14ac:dyDescent="0.25">
      <c r="B22" s="71" t="s">
        <v>186</v>
      </c>
      <c r="C22" s="65"/>
      <c r="D22" s="65"/>
      <c r="E22" s="65"/>
    </row>
    <row r="23" spans="1:5" x14ac:dyDescent="0.25">
      <c r="B23" t="s">
        <v>171</v>
      </c>
      <c r="C23" s="65"/>
      <c r="D23" s="65"/>
      <c r="E23" s="65"/>
    </row>
    <row r="24" spans="1:5" x14ac:dyDescent="0.25">
      <c r="B24" t="s">
        <v>172</v>
      </c>
      <c r="C24" s="65"/>
      <c r="D24" s="65"/>
      <c r="E24" s="65"/>
    </row>
    <row r="25" spans="1:5" x14ac:dyDescent="0.25">
      <c r="A25" s="65"/>
      <c r="B25" s="65"/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</sheetData>
  <sheetProtection algorithmName="SHA-512" hashValue="FXUexlZ9ZQrYOi0OO8mgKKM4RLKv85pOtKxMVX7/QY1dM82U/JEQlcIDBHLNLLp8X6gHcO8QRNjTk6MpQmR1CQ==" saltValue="X336zRSZDjuwkd3RcDMH+A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167</v>
      </c>
      <c r="B2" s="72"/>
    </row>
    <row r="3" spans="1:5" x14ac:dyDescent="0.25">
      <c r="A3" s="57" t="str">
        <f>PriorYearBalanceSheet!A3</f>
        <v>Kalama Telephone Company</v>
      </c>
      <c r="B3" s="66"/>
    </row>
    <row r="6" spans="1:5" x14ac:dyDescent="0.25">
      <c r="A6" s="9" t="s">
        <v>257</v>
      </c>
      <c r="B6" s="9" t="s">
        <v>230</v>
      </c>
      <c r="C6" s="6"/>
      <c r="D6" s="124" t="s">
        <v>195</v>
      </c>
      <c r="E6" s="125"/>
    </row>
    <row r="7" spans="1:5" x14ac:dyDescent="0.25">
      <c r="A7" s="11" t="s">
        <v>222</v>
      </c>
      <c r="B7" s="11"/>
      <c r="C7" s="11" t="s">
        <v>221</v>
      </c>
      <c r="D7" s="112" t="s">
        <v>201</v>
      </c>
      <c r="E7" s="5" t="s">
        <v>202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196</v>
      </c>
      <c r="B9" s="17"/>
      <c r="C9" s="17"/>
      <c r="D9" s="116"/>
      <c r="E9" s="116"/>
    </row>
    <row r="10" spans="1:5" x14ac:dyDescent="0.25">
      <c r="A10" s="17"/>
      <c r="B10" s="17"/>
      <c r="C10" s="17"/>
      <c r="D10" s="116"/>
      <c r="E10" s="116"/>
    </row>
    <row r="11" spans="1:5" x14ac:dyDescent="0.25">
      <c r="A11" s="17"/>
      <c r="B11" s="17"/>
      <c r="C11" s="17"/>
      <c r="D11" s="116"/>
      <c r="E11" s="116"/>
    </row>
    <row r="12" spans="1:5" x14ac:dyDescent="0.25">
      <c r="A12" s="17"/>
      <c r="B12" s="17"/>
      <c r="C12" s="17"/>
      <c r="D12" s="116"/>
      <c r="E12" s="116"/>
    </row>
    <row r="13" spans="1:5" x14ac:dyDescent="0.25">
      <c r="A13" s="19"/>
      <c r="B13" s="19"/>
      <c r="C13" s="19"/>
      <c r="D13" s="117"/>
      <c r="E13" s="117"/>
    </row>
    <row r="14" spans="1:5" x14ac:dyDescent="0.25">
      <c r="A14" s="17" t="s">
        <v>197</v>
      </c>
      <c r="B14" s="17"/>
      <c r="C14" s="17"/>
      <c r="D14" s="116"/>
      <c r="E14" s="116"/>
    </row>
    <row r="15" spans="1:5" x14ac:dyDescent="0.25">
      <c r="A15" s="17"/>
      <c r="B15" s="17"/>
      <c r="C15" s="17"/>
      <c r="D15" s="116"/>
      <c r="E15" s="116"/>
    </row>
    <row r="16" spans="1:5" x14ac:dyDescent="0.25">
      <c r="A16" s="17"/>
      <c r="B16" s="17"/>
      <c r="C16" s="17"/>
      <c r="D16" s="116"/>
      <c r="E16" s="116"/>
    </row>
    <row r="17" spans="1:5" x14ac:dyDescent="0.25">
      <c r="A17" s="17"/>
      <c r="B17" s="17"/>
      <c r="C17" s="17"/>
      <c r="D17" s="116"/>
      <c r="E17" s="116"/>
    </row>
    <row r="18" spans="1:5" x14ac:dyDescent="0.25">
      <c r="A18" s="19"/>
      <c r="B18" s="19"/>
      <c r="C18" s="19"/>
      <c r="D18" s="117"/>
      <c r="E18" s="117"/>
    </row>
    <row r="19" spans="1:5" x14ac:dyDescent="0.25">
      <c r="A19" s="17" t="s">
        <v>198</v>
      </c>
      <c r="B19" s="17"/>
      <c r="C19" s="17"/>
      <c r="D19" s="116"/>
      <c r="E19" s="116"/>
    </row>
    <row r="20" spans="1:5" x14ac:dyDescent="0.25">
      <c r="A20" s="17"/>
      <c r="B20" s="17"/>
      <c r="C20" s="17"/>
      <c r="D20" s="116"/>
      <c r="E20" s="116"/>
    </row>
    <row r="21" spans="1:5" x14ac:dyDescent="0.25">
      <c r="A21" s="17"/>
      <c r="B21" s="17"/>
      <c r="C21" s="17"/>
      <c r="D21" s="116"/>
      <c r="E21" s="116"/>
    </row>
    <row r="22" spans="1:5" x14ac:dyDescent="0.25">
      <c r="A22" s="17"/>
      <c r="B22" s="17"/>
      <c r="C22" s="17"/>
      <c r="D22" s="116"/>
      <c r="E22" s="116"/>
    </row>
    <row r="23" spans="1:5" x14ac:dyDescent="0.25">
      <c r="A23" s="19"/>
      <c r="B23" s="19"/>
      <c r="C23" s="19"/>
      <c r="D23" s="117"/>
      <c r="E23" s="117"/>
    </row>
    <row r="24" spans="1:5" x14ac:dyDescent="0.25">
      <c r="A24" s="17" t="s">
        <v>203</v>
      </c>
      <c r="B24" s="17"/>
      <c r="C24" s="17"/>
      <c r="D24" s="116"/>
      <c r="E24" s="116"/>
    </row>
    <row r="25" spans="1:5" x14ac:dyDescent="0.25">
      <c r="A25" s="17"/>
      <c r="B25" s="17"/>
      <c r="C25" s="17"/>
      <c r="D25" s="116"/>
      <c r="E25" s="116"/>
    </row>
    <row r="26" spans="1:5" x14ac:dyDescent="0.25">
      <c r="A26" s="17"/>
      <c r="B26" s="17"/>
      <c r="C26" s="17"/>
      <c r="D26" s="116"/>
      <c r="E26" s="116"/>
    </row>
    <row r="27" spans="1:5" x14ac:dyDescent="0.25">
      <c r="A27" s="17"/>
      <c r="B27" s="17"/>
      <c r="C27" s="17"/>
      <c r="D27" s="116"/>
      <c r="E27" s="116"/>
    </row>
    <row r="28" spans="1:5" x14ac:dyDescent="0.25">
      <c r="A28" s="19"/>
      <c r="B28" s="19"/>
      <c r="C28" s="19"/>
      <c r="D28" s="117"/>
      <c r="E28" s="117"/>
    </row>
    <row r="29" spans="1:5" x14ac:dyDescent="0.25">
      <c r="A29" s="17" t="s">
        <v>231</v>
      </c>
      <c r="B29" s="17"/>
      <c r="C29" s="17"/>
      <c r="D29" s="116"/>
      <c r="E29" s="116"/>
    </row>
    <row r="30" spans="1:5" x14ac:dyDescent="0.25">
      <c r="A30" s="17"/>
      <c r="B30" s="17"/>
      <c r="C30" s="17"/>
      <c r="D30" s="116"/>
      <c r="E30" s="116"/>
    </row>
    <row r="31" spans="1:5" x14ac:dyDescent="0.25">
      <c r="A31" s="17"/>
      <c r="B31" s="17"/>
      <c r="C31" s="17"/>
      <c r="D31" s="116"/>
      <c r="E31" s="116"/>
    </row>
    <row r="32" spans="1:5" x14ac:dyDescent="0.25">
      <c r="A32" s="17"/>
      <c r="B32" s="17"/>
      <c r="C32" s="17"/>
      <c r="D32" s="116"/>
      <c r="E32" s="116"/>
    </row>
    <row r="33" spans="1:5" x14ac:dyDescent="0.25">
      <c r="A33" s="19"/>
      <c r="B33" s="19"/>
      <c r="C33" s="19"/>
      <c r="D33" s="117"/>
      <c r="E33" s="117"/>
    </row>
    <row r="34" spans="1:5" x14ac:dyDescent="0.25">
      <c r="D34" s="110"/>
      <c r="E34" s="110"/>
    </row>
    <row r="35" spans="1:5" x14ac:dyDescent="0.25">
      <c r="D35" s="110"/>
      <c r="E35" s="110"/>
    </row>
    <row r="36" spans="1:5" x14ac:dyDescent="0.25">
      <c r="D36" s="110"/>
      <c r="E36" s="110"/>
    </row>
    <row r="37" spans="1:5" x14ac:dyDescent="0.25">
      <c r="D37" s="110"/>
      <c r="E37" s="110"/>
    </row>
    <row r="38" spans="1:5" x14ac:dyDescent="0.25">
      <c r="D38" s="110"/>
      <c r="E38" s="110"/>
    </row>
    <row r="39" spans="1:5" x14ac:dyDescent="0.25">
      <c r="D39" s="110"/>
      <c r="E39" s="110"/>
    </row>
    <row r="40" spans="1:5" x14ac:dyDescent="0.25">
      <c r="D40" s="110"/>
      <c r="E40" s="110"/>
    </row>
    <row r="41" spans="1:5" x14ac:dyDescent="0.25">
      <c r="D41" s="110"/>
      <c r="E41" s="110"/>
    </row>
    <row r="42" spans="1:5" x14ac:dyDescent="0.25">
      <c r="D42" s="110"/>
      <c r="E42" s="110"/>
    </row>
    <row r="43" spans="1:5" x14ac:dyDescent="0.25">
      <c r="D43" s="110"/>
      <c r="E43" s="110"/>
    </row>
    <row r="44" spans="1:5" x14ac:dyDescent="0.25">
      <c r="D44" s="110"/>
      <c r="E44" s="110"/>
    </row>
    <row r="45" spans="1:5" x14ac:dyDescent="0.25">
      <c r="D45" s="110"/>
      <c r="E45" s="110"/>
    </row>
    <row r="46" spans="1:5" x14ac:dyDescent="0.25">
      <c r="D46" s="110"/>
      <c r="E46" s="110"/>
    </row>
    <row r="47" spans="1:5" x14ac:dyDescent="0.25">
      <c r="D47" s="110"/>
      <c r="E47" s="110"/>
    </row>
    <row r="48" spans="1:5" x14ac:dyDescent="0.25">
      <c r="D48" s="110"/>
      <c r="E48" s="110"/>
    </row>
    <row r="49" spans="4:5" x14ac:dyDescent="0.25">
      <c r="D49" s="110"/>
      <c r="E49" s="110"/>
    </row>
    <row r="50" spans="4:5" x14ac:dyDescent="0.25">
      <c r="D50" s="110"/>
      <c r="E50" s="110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zoomScaleNormal="100" workbookViewId="0">
      <selection activeCell="B20" sqref="B20"/>
    </sheetView>
  </sheetViews>
  <sheetFormatPr defaultRowHeight="15" x14ac:dyDescent="0.25"/>
  <cols>
    <col min="1" max="1" width="5.85546875" style="72" customWidth="1"/>
    <col min="2" max="2" width="40.5703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167</v>
      </c>
    </row>
    <row r="4" spans="1:4" x14ac:dyDescent="0.25">
      <c r="B4" s="57" t="str">
        <f>PriorYearBalanceSheet!A3</f>
        <v>Kalama Telephone Company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74"/>
      <c r="D7" s="74"/>
    </row>
    <row r="8" spans="1:4" x14ac:dyDescent="0.25">
      <c r="A8" s="79" t="s">
        <v>0</v>
      </c>
      <c r="B8" s="75" t="s">
        <v>153</v>
      </c>
      <c r="C8" s="76">
        <v>2016</v>
      </c>
      <c r="D8" s="76">
        <v>2016</v>
      </c>
    </row>
    <row r="9" spans="1:4" x14ac:dyDescent="0.25">
      <c r="A9" s="77"/>
      <c r="B9" s="77"/>
      <c r="C9" s="78" t="s">
        <v>155</v>
      </c>
      <c r="D9" s="78" t="s">
        <v>163</v>
      </c>
    </row>
    <row r="10" spans="1:4" x14ac:dyDescent="0.25">
      <c r="A10" s="86">
        <v>1</v>
      </c>
      <c r="B10" s="73" t="s">
        <v>214</v>
      </c>
      <c r="C10" s="82">
        <f>'RateBase '!D15</f>
        <v>1735970</v>
      </c>
      <c r="D10" s="82">
        <f>C10</f>
        <v>1735970</v>
      </c>
    </row>
    <row r="11" spans="1:4" x14ac:dyDescent="0.25">
      <c r="A11" s="75">
        <v>2</v>
      </c>
      <c r="B11" s="79" t="s">
        <v>177</v>
      </c>
      <c r="C11" s="94">
        <f>'RateBase '!E15</f>
        <v>1601807</v>
      </c>
      <c r="D11" s="94">
        <f>C11</f>
        <v>1601807</v>
      </c>
    </row>
    <row r="12" spans="1:4" x14ac:dyDescent="0.25">
      <c r="A12" s="75">
        <v>3</v>
      </c>
      <c r="B12" s="90" t="s">
        <v>178</v>
      </c>
      <c r="C12" s="80">
        <f>(C10+C11)/2</f>
        <v>1668888.5</v>
      </c>
      <c r="D12" s="80">
        <f>(D10+D11)/2</f>
        <v>1668888.5</v>
      </c>
    </row>
    <row r="13" spans="1:4" x14ac:dyDescent="0.25">
      <c r="A13" s="75">
        <v>4</v>
      </c>
      <c r="B13" s="79" t="s">
        <v>179</v>
      </c>
      <c r="C13" s="58">
        <f>IncomeStmtSummary!D29</f>
        <v>-116410</v>
      </c>
      <c r="D13" s="58">
        <f>C13</f>
        <v>-116410</v>
      </c>
    </row>
    <row r="14" spans="1:4" x14ac:dyDescent="0.25">
      <c r="A14" s="75">
        <v>5</v>
      </c>
      <c r="B14" s="79" t="s">
        <v>223</v>
      </c>
      <c r="C14" s="111"/>
      <c r="D14" s="53"/>
    </row>
    <row r="15" spans="1:4" x14ac:dyDescent="0.25">
      <c r="A15" s="75">
        <v>6</v>
      </c>
      <c r="B15" s="91" t="s">
        <v>181</v>
      </c>
      <c r="C15" s="80">
        <f>C13+C14</f>
        <v>-116410</v>
      </c>
      <c r="D15" s="80">
        <f>D13+D14</f>
        <v>-116410</v>
      </c>
    </row>
    <row r="16" spans="1:4" x14ac:dyDescent="0.25">
      <c r="A16" s="75">
        <v>7</v>
      </c>
      <c r="B16" s="90" t="s">
        <v>180</v>
      </c>
      <c r="C16" s="81">
        <f>C15/C12</f>
        <v>-6.9753012259357053E-2</v>
      </c>
      <c r="D16" s="81">
        <f>D15/D12</f>
        <v>-6.9753012259357053E-2</v>
      </c>
    </row>
    <row r="17" spans="1:7" x14ac:dyDescent="0.25">
      <c r="A17" s="87"/>
      <c r="B17" s="122"/>
      <c r="C17" s="81"/>
      <c r="D17" s="81"/>
    </row>
    <row r="18" spans="1:7" x14ac:dyDescent="0.25">
      <c r="B18" s="92" t="s">
        <v>176</v>
      </c>
      <c r="C18" s="65"/>
      <c r="D18" s="65"/>
      <c r="E18" s="65"/>
      <c r="F18" s="65"/>
      <c r="G18" s="65"/>
    </row>
    <row r="19" spans="1:7" x14ac:dyDescent="0.25">
      <c r="A19" s="107" t="s">
        <v>224</v>
      </c>
      <c r="B19" s="92" t="s">
        <v>232</v>
      </c>
      <c r="C19" s="65"/>
      <c r="D19" s="65"/>
      <c r="E19" s="65"/>
      <c r="F19" s="65"/>
      <c r="G19" s="65"/>
    </row>
    <row r="20" spans="1:7" x14ac:dyDescent="0.25">
      <c r="A20" s="109" t="s">
        <v>155</v>
      </c>
      <c r="B20" s="105" t="s">
        <v>225</v>
      </c>
      <c r="C20" s="65"/>
      <c r="D20" s="65"/>
      <c r="E20" s="65"/>
      <c r="F20" s="65"/>
      <c r="G20" s="65"/>
    </row>
    <row r="21" spans="1:7" x14ac:dyDescent="0.25">
      <c r="A21" s="109" t="s">
        <v>163</v>
      </c>
      <c r="B21" s="108" t="s">
        <v>233</v>
      </c>
      <c r="C21" s="65"/>
      <c r="D21" s="65"/>
      <c r="E21" s="65"/>
      <c r="F21" s="65"/>
      <c r="G21" s="65"/>
    </row>
    <row r="22" spans="1:7" x14ac:dyDescent="0.25">
      <c r="A22" s="65"/>
      <c r="B22" s="108" t="s">
        <v>234</v>
      </c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  <row r="29" spans="1:7" x14ac:dyDescent="0.25">
      <c r="A29" s="65"/>
      <c r="B29" s="65"/>
      <c r="C29" s="65"/>
      <c r="D29" s="65"/>
      <c r="E29" s="65"/>
      <c r="F29" s="65"/>
      <c r="G29" s="65"/>
    </row>
  </sheetData>
  <sheetProtection algorithmName="SHA-512" hashValue="oWhumdgxEo4+O2xZXjUeplHTGBcDJD/KksqOQnMA+7LB7WBvrZ0W+b9wq0weKF7caQraFjpOxMNHyNcR+NdwwA==" saltValue="B+XQ3kNNRqLVmh/ageHd4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0FC0463360B4479DFEC980E36E8A2A" ma:contentTypeVersion="104" ma:contentTypeDescription="" ma:contentTypeScope="" ma:versionID="4d99ac6e369fde698f6ed9ba599b09a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2017-07-31T07:00:00+00:00</OpenedDate>
    <Date1 xmlns="dc463f71-b30c-4ab2-9473-d307f9d35888">2017-07-31T07:00:00+00:00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Kalama Telephone Company</CaseCompanyNames>
    <Nickname xmlns="http://schemas.microsoft.com/sharepoint/v3" xsi:nil="true"/>
    <DocketNumber xmlns="dc463f71-b30c-4ab2-9473-d307f9d35888">170856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BDBCE2A-219C-41A3-8A4C-B3EFE4FDE3B8}"/>
</file>

<file path=customXml/itemProps2.xml><?xml version="1.0" encoding="utf-8"?>
<ds:datastoreItem xmlns:ds="http://schemas.openxmlformats.org/officeDocument/2006/customXml" ds:itemID="{DFEB8B30-566C-44A9-995D-AC95A6DF1C4B}"/>
</file>

<file path=customXml/itemProps3.xml><?xml version="1.0" encoding="utf-8"?>
<ds:datastoreItem xmlns:ds="http://schemas.openxmlformats.org/officeDocument/2006/customXml" ds:itemID="{BE6D6C2F-630F-411B-8970-81540C0AB3E8}"/>
</file>

<file path=customXml/itemProps4.xml><?xml version="1.0" encoding="utf-8"?>
<ds:datastoreItem xmlns:ds="http://schemas.openxmlformats.org/officeDocument/2006/customXml" ds:itemID="{6D2F78E7-6C7B-47A2-A0BF-45257011F5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Rick Vitzthum</cp:lastModifiedBy>
  <cp:lastPrinted>2017-05-11T21:23:33Z</cp:lastPrinted>
  <dcterms:created xsi:type="dcterms:W3CDTF">2014-05-21T17:51:51Z</dcterms:created>
  <dcterms:modified xsi:type="dcterms:W3CDTF">2017-07-24T20:23:20Z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0x0101006E56B4D1795A2E4DB2F0B01679ED314A007A0FC0463360B4479DFEC980E36E8A2A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