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2017\2017 WA I937 RPS Report\"/>
    </mc:Choice>
  </mc:AlternateContent>
  <bookViews>
    <workbookView xWindow="120" yWindow="120" windowWidth="1980" windowHeight="8820" tabRatio="653" activeTab="1"/>
  </bookViews>
  <sheets>
    <sheet name="Summary" sheetId="6" r:id="rId1"/>
    <sheet name="Facility Detail" sheetId="1" r:id="rId2"/>
    <sheet name="Generation Rollup" sheetId="9" r:id="rId3"/>
  </sheet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Facility">'Facility Detail'!$B$607:$B$616</definedName>
    <definedName name="LaborBonus" localSheetId="2">'Facility Detail'!$B$596:$B$598</definedName>
    <definedName name="LaborBonus">'Facility Detail'!$B$596:$B$598</definedName>
    <definedName name="OwnedCont">#REF!</definedName>
    <definedName name="_xlnm.Print_Area" localSheetId="1">'Facility Detail'!$A$1:$I$582</definedName>
    <definedName name="_xlnm.Print_Area" localSheetId="0">Summary!$A$1:$H$44</definedName>
    <definedName name="REN_Expenditure_Amount_2014">#REF!</definedName>
    <definedName name="REN_Load_2012">#REF!</definedName>
    <definedName name="REN_Load_2013">#REF!</definedName>
    <definedName name="REN_RetailRevenueRequirement_2014">#REF!</definedName>
    <definedName name="Resourc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YesNo">#REF!</definedName>
  </definedNames>
  <calcPr calcId="152511"/>
</workbook>
</file>

<file path=xl/calcChain.xml><?xml version="1.0" encoding="utf-8"?>
<calcChain xmlns="http://schemas.openxmlformats.org/spreadsheetml/2006/main">
  <c r="I428" i="1" l="1"/>
  <c r="H428" i="1"/>
  <c r="F432" i="1"/>
  <c r="J403" i="1"/>
  <c r="H426" i="1" l="1"/>
  <c r="H413" i="1" l="1"/>
  <c r="I413" i="1"/>
  <c r="G413" i="1"/>
  <c r="H406" i="1"/>
  <c r="I406" i="1"/>
  <c r="G406" i="1"/>
  <c r="G30" i="6"/>
  <c r="E27" i="6"/>
  <c r="F27" i="6"/>
  <c r="H38" i="6"/>
  <c r="H36" i="6"/>
  <c r="H22" i="6"/>
  <c r="H18" i="6"/>
  <c r="H17" i="6"/>
  <c r="H16" i="6"/>
  <c r="H11" i="6"/>
  <c r="H9" i="6"/>
  <c r="H6" i="6"/>
  <c r="F460" i="1"/>
  <c r="G462" i="1"/>
  <c r="H32" i="6"/>
  <c r="H34" i="6" s="1"/>
  <c r="F428" i="1"/>
  <c r="I425" i="1"/>
  <c r="G424" i="1"/>
  <c r="G428" i="1" s="1"/>
  <c r="F30" i="6" s="1"/>
  <c r="H423" i="1"/>
  <c r="E420" i="1"/>
  <c r="E428" i="1" s="1"/>
  <c r="H572" i="1"/>
  <c r="I571" i="1"/>
  <c r="G570" i="1"/>
  <c r="H569" i="1"/>
  <c r="G567" i="1"/>
  <c r="I567" i="1"/>
  <c r="I574" i="1" s="1"/>
  <c r="B573" i="1"/>
  <c r="B572" i="1"/>
  <c r="B571" i="1"/>
  <c r="B570" i="1"/>
  <c r="B427" i="1"/>
  <c r="B426" i="1"/>
  <c r="B425" i="1"/>
  <c r="B424" i="1"/>
  <c r="I545" i="1"/>
  <c r="I549" i="1"/>
  <c r="I551" i="1"/>
  <c r="I556" i="1"/>
  <c r="I560" i="1"/>
  <c r="I562" i="1"/>
  <c r="I38" i="1"/>
  <c r="I49" i="1" s="1"/>
  <c r="I42" i="1"/>
  <c r="I44" i="1"/>
  <c r="I45" i="1"/>
  <c r="I46" i="1"/>
  <c r="I53" i="1"/>
  <c r="I55" i="1"/>
  <c r="I60" i="1"/>
  <c r="I64" i="1"/>
  <c r="I75" i="1"/>
  <c r="I79" i="1"/>
  <c r="I81" i="1"/>
  <c r="I82" i="1"/>
  <c r="I83" i="1"/>
  <c r="I86" i="1"/>
  <c r="I90" i="1"/>
  <c r="I92" i="1"/>
  <c r="I97" i="1"/>
  <c r="I100" i="1" s="1"/>
  <c r="I111" i="1"/>
  <c r="I115" i="1"/>
  <c r="I117" i="1"/>
  <c r="I118" i="1"/>
  <c r="I119" i="1"/>
  <c r="I122" i="1"/>
  <c r="I126" i="1"/>
  <c r="I128" i="1"/>
  <c r="I133" i="1"/>
  <c r="I136" i="1"/>
  <c r="I147" i="1"/>
  <c r="I151" i="1"/>
  <c r="I153" i="1"/>
  <c r="I154" i="1"/>
  <c r="I155" i="1"/>
  <c r="I158" i="1"/>
  <c r="I162" i="1"/>
  <c r="I164" i="1"/>
  <c r="I169" i="1"/>
  <c r="I172" i="1" s="1"/>
  <c r="I183" i="1"/>
  <c r="I187" i="1"/>
  <c r="I189" i="1"/>
  <c r="I190" i="1"/>
  <c r="I191" i="1"/>
  <c r="I194" i="1"/>
  <c r="I198" i="1"/>
  <c r="I200" i="1"/>
  <c r="I205" i="1"/>
  <c r="I208" i="1"/>
  <c r="I219" i="1"/>
  <c r="I223" i="1"/>
  <c r="I225" i="1"/>
  <c r="I226" i="1"/>
  <c r="I228" i="1" s="1"/>
  <c r="I227" i="1"/>
  <c r="I230" i="1"/>
  <c r="I234" i="1"/>
  <c r="I236" i="1"/>
  <c r="I241" i="1"/>
  <c r="I244" i="1" s="1"/>
  <c r="I255" i="1"/>
  <c r="I259" i="1"/>
  <c r="I261" i="1"/>
  <c r="I262" i="1"/>
  <c r="I264" i="1" s="1"/>
  <c r="I263" i="1"/>
  <c r="I266" i="1"/>
  <c r="I270" i="1"/>
  <c r="I272" i="1"/>
  <c r="I277" i="1"/>
  <c r="I280" i="1"/>
  <c r="I291" i="1"/>
  <c r="I295" i="1"/>
  <c r="I297" i="1"/>
  <c r="I298" i="1"/>
  <c r="I300" i="1" s="1"/>
  <c r="I299" i="1"/>
  <c r="I302" i="1"/>
  <c r="I306" i="1"/>
  <c r="I308" i="1"/>
  <c r="I313" i="1"/>
  <c r="I316" i="1" s="1"/>
  <c r="I327" i="1"/>
  <c r="I331" i="1"/>
  <c r="I333" i="1"/>
  <c r="I334" i="1"/>
  <c r="I335" i="1"/>
  <c r="I338" i="1"/>
  <c r="I342" i="1"/>
  <c r="I344" i="1"/>
  <c r="I349" i="1"/>
  <c r="I352" i="1"/>
  <c r="I363" i="1"/>
  <c r="I367" i="1"/>
  <c r="I369" i="1"/>
  <c r="I370" i="1"/>
  <c r="I372" i="1" s="1"/>
  <c r="I371" i="1"/>
  <c r="I374" i="1"/>
  <c r="I378" i="1"/>
  <c r="I380" i="1"/>
  <c r="I385" i="1"/>
  <c r="I388" i="1" s="1"/>
  <c r="I399" i="1"/>
  <c r="I403" i="1"/>
  <c r="I405" i="1"/>
  <c r="I407" i="1"/>
  <c r="I410" i="1"/>
  <c r="H19" i="6"/>
  <c r="I414" i="1"/>
  <c r="I416" i="1"/>
  <c r="I437" i="1"/>
  <c r="I441" i="1"/>
  <c r="I443" i="1"/>
  <c r="I448" i="1"/>
  <c r="I452" i="1"/>
  <c r="I454" i="1"/>
  <c r="I462" i="1"/>
  <c r="I473" i="1"/>
  <c r="I477" i="1"/>
  <c r="I479" i="1"/>
  <c r="I484" i="1"/>
  <c r="I488" i="1"/>
  <c r="I490" i="1"/>
  <c r="I495" i="1"/>
  <c r="I498" i="1"/>
  <c r="I509" i="1"/>
  <c r="I513" i="1"/>
  <c r="I515" i="1"/>
  <c r="I520" i="1"/>
  <c r="I524" i="1"/>
  <c r="I526" i="1"/>
  <c r="I531" i="1"/>
  <c r="I534" i="1" s="1"/>
  <c r="A33" i="6"/>
  <c r="A32" i="6"/>
  <c r="A31" i="6"/>
  <c r="A30" i="6"/>
  <c r="A29" i="6"/>
  <c r="A28" i="6"/>
  <c r="A26" i="6"/>
  <c r="A27" i="6"/>
  <c r="F19" i="6"/>
  <c r="F17" i="6"/>
  <c r="I156" i="1" l="1"/>
  <c r="I176" i="1" s="1"/>
  <c r="I120" i="1"/>
  <c r="I140" i="1" s="1"/>
  <c r="I84" i="1"/>
  <c r="I104" i="1" s="1"/>
  <c r="H12" i="6"/>
  <c r="I47" i="1"/>
  <c r="G32" i="6"/>
  <c r="I408" i="1"/>
  <c r="H20" i="6"/>
  <c r="I336" i="1"/>
  <c r="I356" i="1" s="1"/>
  <c r="I192" i="1"/>
  <c r="I212" i="1" s="1"/>
  <c r="I284" i="1"/>
  <c r="I320" i="1"/>
  <c r="I392" i="1"/>
  <c r="I248" i="1"/>
  <c r="I68" i="1"/>
  <c r="E551" i="1" l="1"/>
  <c r="D562" i="1"/>
  <c r="D556" i="1"/>
  <c r="D551" i="1"/>
  <c r="E545" i="1"/>
  <c r="D526" i="1"/>
  <c r="D520" i="1"/>
  <c r="D515" i="1"/>
  <c r="E515" i="1" s="1"/>
  <c r="E509" i="1"/>
  <c r="D490" i="1" l="1"/>
  <c r="D484" i="1"/>
  <c r="E484" i="1" s="1"/>
  <c r="D479" i="1"/>
  <c r="E479" i="1" s="1"/>
  <c r="E473" i="1"/>
  <c r="D454" i="1"/>
  <c r="D448" i="1"/>
  <c r="D443" i="1"/>
  <c r="E437" i="1"/>
  <c r="E405" i="1"/>
  <c r="E399" i="1"/>
  <c r="D416" i="1"/>
  <c r="D410" i="1"/>
  <c r="D405" i="1"/>
  <c r="D380" i="1"/>
  <c r="D374" i="1"/>
  <c r="D369" i="1"/>
  <c r="D344" i="1"/>
  <c r="D338" i="1"/>
  <c r="D333" i="1"/>
  <c r="D308" i="1"/>
  <c r="D302" i="1"/>
  <c r="D297" i="1"/>
  <c r="D272" i="1"/>
  <c r="D266" i="1"/>
  <c r="D261" i="1"/>
  <c r="D236" i="1"/>
  <c r="D230" i="1"/>
  <c r="D225" i="1"/>
  <c r="D200" i="1"/>
  <c r="D194" i="1"/>
  <c r="D189" i="1"/>
  <c r="D164" i="1"/>
  <c r="D158" i="1"/>
  <c r="D153" i="1"/>
  <c r="D128" i="1"/>
  <c r="D122" i="1"/>
  <c r="D117" i="1"/>
  <c r="D92" i="1"/>
  <c r="D86" i="1"/>
  <c r="D81" i="1"/>
  <c r="D55" i="1"/>
  <c r="D44" i="1"/>
  <c r="G17" i="6" l="1"/>
  <c r="A35" i="9"/>
  <c r="B34" i="9"/>
  <c r="B35" i="9"/>
  <c r="A34" i="9"/>
  <c r="C543" i="1" l="1"/>
  <c r="B546" i="1" s="1"/>
  <c r="B569" i="1"/>
  <c r="B568" i="1"/>
  <c r="B567" i="1"/>
  <c r="E566" i="1"/>
  <c r="B566" i="1"/>
  <c r="F565" i="1"/>
  <c r="B565" i="1"/>
  <c r="D564" i="1"/>
  <c r="D574" i="1" s="1"/>
  <c r="B564" i="1"/>
  <c r="E563" i="1"/>
  <c r="E574" i="1" s="1"/>
  <c r="B563" i="1"/>
  <c r="E562" i="1"/>
  <c r="F562" i="1" s="1"/>
  <c r="G562" i="1" s="1"/>
  <c r="H562" i="1" s="1"/>
  <c r="H560" i="1"/>
  <c r="G560" i="1"/>
  <c r="F560" i="1"/>
  <c r="E560" i="1"/>
  <c r="D560" i="1"/>
  <c r="E556" i="1"/>
  <c r="F556" i="1" s="1"/>
  <c r="G556" i="1" s="1"/>
  <c r="H556" i="1" s="1"/>
  <c r="F551" i="1"/>
  <c r="G551" i="1" s="1"/>
  <c r="H551" i="1" s="1"/>
  <c r="H549" i="1"/>
  <c r="G549" i="1"/>
  <c r="F549" i="1"/>
  <c r="E549" i="1"/>
  <c r="D549" i="1"/>
  <c r="F545" i="1"/>
  <c r="G545" i="1" s="1"/>
  <c r="H545" i="1" s="1"/>
  <c r="F413" i="1" l="1"/>
  <c r="G19" i="6"/>
  <c r="B33" i="9" l="1"/>
  <c r="A33" i="9"/>
  <c r="B32" i="9"/>
  <c r="C507" i="1" l="1"/>
  <c r="B510" i="1" s="1"/>
  <c r="C471" i="1"/>
  <c r="D534" i="1"/>
  <c r="B533" i="1"/>
  <c r="F532" i="1"/>
  <c r="B532" i="1"/>
  <c r="G531" i="1"/>
  <c r="H531" i="1" s="1"/>
  <c r="H534" i="1" s="1"/>
  <c r="B531" i="1"/>
  <c r="E530" i="1"/>
  <c r="B530" i="1"/>
  <c r="F529" i="1"/>
  <c r="F534" i="1" s="1"/>
  <c r="B529" i="1"/>
  <c r="D528" i="1"/>
  <c r="B528" i="1"/>
  <c r="E527" i="1"/>
  <c r="E534" i="1" s="1"/>
  <c r="B527" i="1"/>
  <c r="E526" i="1"/>
  <c r="F526" i="1" s="1"/>
  <c r="G526" i="1" s="1"/>
  <c r="H526" i="1" s="1"/>
  <c r="H524" i="1"/>
  <c r="G524" i="1"/>
  <c r="F524" i="1"/>
  <c r="E524" i="1"/>
  <c r="D524" i="1"/>
  <c r="E520" i="1"/>
  <c r="F520" i="1" s="1"/>
  <c r="G520" i="1" s="1"/>
  <c r="H520" i="1" s="1"/>
  <c r="F515" i="1"/>
  <c r="G515" i="1" s="1"/>
  <c r="H515" i="1" s="1"/>
  <c r="H513" i="1"/>
  <c r="G513" i="1"/>
  <c r="F513" i="1"/>
  <c r="E513" i="1"/>
  <c r="D513" i="1"/>
  <c r="F509" i="1"/>
  <c r="G509" i="1" s="1"/>
  <c r="H509" i="1" s="1"/>
  <c r="B497" i="1"/>
  <c r="B461" i="1"/>
  <c r="B423" i="1"/>
  <c r="B387" i="1"/>
  <c r="B351" i="1"/>
  <c r="B315" i="1"/>
  <c r="B279" i="1"/>
  <c r="B243" i="1"/>
  <c r="B242" i="1"/>
  <c r="B207" i="1"/>
  <c r="B171" i="1"/>
  <c r="B135" i="1"/>
  <c r="B99" i="1"/>
  <c r="B62" i="1"/>
  <c r="H488" i="1"/>
  <c r="H477" i="1"/>
  <c r="H452" i="1"/>
  <c r="H441" i="1"/>
  <c r="H414" i="1"/>
  <c r="H407" i="1"/>
  <c r="H403" i="1"/>
  <c r="H378" i="1"/>
  <c r="H371" i="1"/>
  <c r="H370" i="1"/>
  <c r="H372" i="1" s="1"/>
  <c r="H367" i="1"/>
  <c r="H342" i="1"/>
  <c r="H335" i="1"/>
  <c r="H334" i="1"/>
  <c r="H336" i="1" s="1"/>
  <c r="H331" i="1"/>
  <c r="H306" i="1"/>
  <c r="H299" i="1"/>
  <c r="H298" i="1"/>
  <c r="H295" i="1"/>
  <c r="H270" i="1"/>
  <c r="H263" i="1"/>
  <c r="H262" i="1"/>
  <c r="H259" i="1"/>
  <c r="H234" i="1"/>
  <c r="H227" i="1"/>
  <c r="H226" i="1"/>
  <c r="H228" i="1" s="1"/>
  <c r="H223" i="1"/>
  <c r="H198" i="1"/>
  <c r="H191" i="1"/>
  <c r="H190" i="1"/>
  <c r="H187" i="1"/>
  <c r="H162" i="1"/>
  <c r="H155" i="1"/>
  <c r="H154" i="1"/>
  <c r="H156" i="1" s="1"/>
  <c r="H151" i="1"/>
  <c r="H126" i="1"/>
  <c r="H119" i="1"/>
  <c r="H118" i="1"/>
  <c r="H115" i="1"/>
  <c r="H90" i="1"/>
  <c r="H83" i="1"/>
  <c r="H82" i="1"/>
  <c r="H84" i="1" s="1"/>
  <c r="H79" i="1"/>
  <c r="H53" i="1"/>
  <c r="H46" i="1"/>
  <c r="H45" i="1"/>
  <c r="H47" i="1" s="1"/>
  <c r="H42" i="1"/>
  <c r="H264" i="1" l="1"/>
  <c r="H120" i="1"/>
  <c r="G12" i="6"/>
  <c r="G534" i="1"/>
  <c r="H192" i="1"/>
  <c r="H300" i="1"/>
  <c r="H408" i="1"/>
  <c r="F496" i="1" l="1"/>
  <c r="B496" i="1"/>
  <c r="G495" i="1"/>
  <c r="B495" i="1"/>
  <c r="E494" i="1"/>
  <c r="B494" i="1"/>
  <c r="F493" i="1"/>
  <c r="B493" i="1"/>
  <c r="D492" i="1"/>
  <c r="D498" i="1" s="1"/>
  <c r="B492" i="1"/>
  <c r="E491" i="1"/>
  <c r="B491" i="1"/>
  <c r="E490" i="1"/>
  <c r="F490" i="1" s="1"/>
  <c r="G490" i="1" s="1"/>
  <c r="H490" i="1" s="1"/>
  <c r="G488" i="1"/>
  <c r="F488" i="1"/>
  <c r="E488" i="1"/>
  <c r="D488" i="1"/>
  <c r="F484" i="1"/>
  <c r="G484" i="1" s="1"/>
  <c r="H484" i="1" s="1"/>
  <c r="F479" i="1"/>
  <c r="G479" i="1" s="1"/>
  <c r="H479" i="1" s="1"/>
  <c r="G477" i="1"/>
  <c r="F477" i="1"/>
  <c r="E477" i="1"/>
  <c r="D477" i="1"/>
  <c r="F473" i="1"/>
  <c r="G473" i="1" s="1"/>
  <c r="H473" i="1" s="1"/>
  <c r="B474" i="1"/>
  <c r="E498" i="1" l="1"/>
  <c r="G498" i="1"/>
  <c r="H495" i="1"/>
  <c r="H498" i="1" s="1"/>
  <c r="F498" i="1"/>
  <c r="E36" i="6"/>
  <c r="F36" i="6"/>
  <c r="G36" i="6"/>
  <c r="F18" i="6"/>
  <c r="G18" i="6"/>
  <c r="F9" i="6"/>
  <c r="G9" i="6"/>
  <c r="F20" i="6" l="1"/>
  <c r="G20" i="6"/>
  <c r="C435" i="1"/>
  <c r="B438" i="1" s="1"/>
  <c r="B460" i="1"/>
  <c r="G459" i="1"/>
  <c r="B459" i="1"/>
  <c r="E458" i="1"/>
  <c r="B458" i="1"/>
  <c r="F457" i="1"/>
  <c r="B457" i="1"/>
  <c r="D456" i="1"/>
  <c r="D462" i="1" s="1"/>
  <c r="B456" i="1"/>
  <c r="E455" i="1"/>
  <c r="B455" i="1"/>
  <c r="E454" i="1"/>
  <c r="F454" i="1" s="1"/>
  <c r="G454" i="1" s="1"/>
  <c r="H454" i="1" s="1"/>
  <c r="G452" i="1"/>
  <c r="F452" i="1"/>
  <c r="E452" i="1"/>
  <c r="D452" i="1"/>
  <c r="E448" i="1"/>
  <c r="F448" i="1" s="1"/>
  <c r="G448" i="1" s="1"/>
  <c r="H448" i="1" s="1"/>
  <c r="F443" i="1"/>
  <c r="G443" i="1" s="1"/>
  <c r="H443" i="1" s="1"/>
  <c r="G441" i="1"/>
  <c r="F441" i="1"/>
  <c r="E441" i="1"/>
  <c r="D441" i="1"/>
  <c r="F437" i="1"/>
  <c r="G437" i="1" s="1"/>
  <c r="H437" i="1" s="1"/>
  <c r="H462" i="1" l="1"/>
  <c r="F462" i="1"/>
  <c r="E462" i="1"/>
  <c r="A32" i="9"/>
  <c r="F422" i="1" l="1"/>
  <c r="G421" i="1"/>
  <c r="F419" i="1"/>
  <c r="D418" i="1"/>
  <c r="D428" i="1" s="1"/>
  <c r="E417" i="1"/>
  <c r="D388" i="1"/>
  <c r="F386" i="1"/>
  <c r="G385" i="1"/>
  <c r="E384" i="1"/>
  <c r="F383" i="1"/>
  <c r="D382" i="1"/>
  <c r="E381" i="1"/>
  <c r="F350" i="1"/>
  <c r="G349" i="1"/>
  <c r="E348" i="1"/>
  <c r="F347" i="1"/>
  <c r="D346" i="1"/>
  <c r="D352" i="1" s="1"/>
  <c r="E345" i="1"/>
  <c r="F314" i="1"/>
  <c r="G313" i="1"/>
  <c r="E312" i="1"/>
  <c r="F311" i="1"/>
  <c r="D310" i="1"/>
  <c r="D316" i="1" s="1"/>
  <c r="E309" i="1"/>
  <c r="F278" i="1"/>
  <c r="G277" i="1"/>
  <c r="E276" i="1"/>
  <c r="F275" i="1"/>
  <c r="D274" i="1"/>
  <c r="D280" i="1" s="1"/>
  <c r="E273" i="1"/>
  <c r="E280" i="1" s="1"/>
  <c r="F242" i="1"/>
  <c r="G241" i="1"/>
  <c r="E240" i="1"/>
  <c r="F239" i="1"/>
  <c r="D238" i="1"/>
  <c r="D244" i="1" s="1"/>
  <c r="E237" i="1"/>
  <c r="F206" i="1"/>
  <c r="G205" i="1"/>
  <c r="E204" i="1"/>
  <c r="F203" i="1"/>
  <c r="D202" i="1"/>
  <c r="D208" i="1" s="1"/>
  <c r="E201" i="1"/>
  <c r="F170" i="1"/>
  <c r="G169" i="1"/>
  <c r="E168" i="1"/>
  <c r="F167" i="1"/>
  <c r="D166" i="1"/>
  <c r="D172" i="1" s="1"/>
  <c r="E165" i="1"/>
  <c r="F134" i="1"/>
  <c r="G133" i="1"/>
  <c r="E132" i="1"/>
  <c r="F131" i="1"/>
  <c r="D130" i="1"/>
  <c r="D136" i="1" s="1"/>
  <c r="E129" i="1"/>
  <c r="F98" i="1"/>
  <c r="G97" i="1"/>
  <c r="E96" i="1"/>
  <c r="F95" i="1"/>
  <c r="D94" i="1"/>
  <c r="D100" i="1" s="1"/>
  <c r="E93" i="1"/>
  <c r="F61" i="1"/>
  <c r="B61" i="1"/>
  <c r="B422" i="1"/>
  <c r="B386" i="1"/>
  <c r="B350" i="1"/>
  <c r="B314" i="1"/>
  <c r="B278" i="1"/>
  <c r="B206" i="1"/>
  <c r="B170" i="1"/>
  <c r="B134" i="1"/>
  <c r="B98" i="1"/>
  <c r="G60" i="1"/>
  <c r="E59" i="1"/>
  <c r="E100" i="1" l="1"/>
  <c r="E244" i="1"/>
  <c r="F280" i="1"/>
  <c r="E388" i="1"/>
  <c r="E208" i="1"/>
  <c r="F244" i="1"/>
  <c r="F388" i="1"/>
  <c r="G208" i="1"/>
  <c r="H205" i="1"/>
  <c r="H208" i="1" s="1"/>
  <c r="H212" i="1" s="1"/>
  <c r="G25" i="9" s="1"/>
  <c r="G352" i="1"/>
  <c r="H349" i="1"/>
  <c r="H352" i="1" s="1"/>
  <c r="H356" i="1" s="1"/>
  <c r="G29" i="9" s="1"/>
  <c r="G316" i="1"/>
  <c r="H313" i="1"/>
  <c r="H316" i="1" s="1"/>
  <c r="H320" i="1" s="1"/>
  <c r="G28" i="9" s="1"/>
  <c r="G136" i="1"/>
  <c r="H133" i="1"/>
  <c r="H136" i="1" s="1"/>
  <c r="H140" i="1" s="1"/>
  <c r="G23" i="9" s="1"/>
  <c r="G280" i="1"/>
  <c r="H277" i="1"/>
  <c r="H280" i="1" s="1"/>
  <c r="H284" i="1" s="1"/>
  <c r="G27" i="9" s="1"/>
  <c r="G64" i="1"/>
  <c r="H60" i="1"/>
  <c r="H64" i="1" s="1"/>
  <c r="G172" i="1"/>
  <c r="H169" i="1"/>
  <c r="H172" i="1" s="1"/>
  <c r="H176" i="1" s="1"/>
  <c r="G24" i="9" s="1"/>
  <c r="G100" i="1"/>
  <c r="H97" i="1"/>
  <c r="H100" i="1" s="1"/>
  <c r="H104" i="1" s="1"/>
  <c r="G22" i="9" s="1"/>
  <c r="G244" i="1"/>
  <c r="H241" i="1"/>
  <c r="H244" i="1" s="1"/>
  <c r="H248" i="1" s="1"/>
  <c r="G26" i="9" s="1"/>
  <c r="H421" i="1"/>
  <c r="G388" i="1"/>
  <c r="H385" i="1"/>
  <c r="H388" i="1" s="1"/>
  <c r="H392" i="1" s="1"/>
  <c r="G30" i="9" s="1"/>
  <c r="E172" i="1"/>
  <c r="F208" i="1"/>
  <c r="E136" i="1"/>
  <c r="F172" i="1"/>
  <c r="F136" i="1"/>
  <c r="E352" i="1"/>
  <c r="F316" i="1"/>
  <c r="F100" i="1"/>
  <c r="E316" i="1"/>
  <c r="F352" i="1"/>
  <c r="B421" i="1"/>
  <c r="B385" i="1"/>
  <c r="B349" i="1"/>
  <c r="B313" i="1"/>
  <c r="B277" i="1"/>
  <c r="B241" i="1"/>
  <c r="B205" i="1"/>
  <c r="B169" i="1"/>
  <c r="B133" i="1"/>
  <c r="B97" i="1"/>
  <c r="B60" i="1"/>
  <c r="E19" i="6"/>
  <c r="E18" i="6"/>
  <c r="E17" i="6"/>
  <c r="E9" i="6"/>
  <c r="G414" i="1"/>
  <c r="G407" i="1"/>
  <c r="G403" i="1"/>
  <c r="G378" i="1"/>
  <c r="G371" i="1"/>
  <c r="G370" i="1"/>
  <c r="G367" i="1"/>
  <c r="G342" i="1"/>
  <c r="G335" i="1"/>
  <c r="G334" i="1"/>
  <c r="G331" i="1"/>
  <c r="G306" i="1"/>
  <c r="G299" i="1"/>
  <c r="G298" i="1"/>
  <c r="G295" i="1"/>
  <c r="G270" i="1"/>
  <c r="G263" i="1"/>
  <c r="G262" i="1"/>
  <c r="G259" i="1"/>
  <c r="G234" i="1"/>
  <c r="G227" i="1"/>
  <c r="G226" i="1"/>
  <c r="G223" i="1"/>
  <c r="G198" i="1"/>
  <c r="G191" i="1"/>
  <c r="G190" i="1"/>
  <c r="G187" i="1"/>
  <c r="G162" i="1"/>
  <c r="G155" i="1"/>
  <c r="G154" i="1"/>
  <c r="G151" i="1"/>
  <c r="G126" i="1"/>
  <c r="G119" i="1"/>
  <c r="G118" i="1"/>
  <c r="G115" i="1"/>
  <c r="G90" i="1"/>
  <c r="G83" i="1"/>
  <c r="G82" i="1"/>
  <c r="G79" i="1"/>
  <c r="G53" i="1"/>
  <c r="G46" i="1"/>
  <c r="G45" i="1"/>
  <c r="G42" i="1"/>
  <c r="D19" i="6"/>
  <c r="D17" i="6"/>
  <c r="C19" i="6"/>
  <c r="C17" i="6"/>
  <c r="F12" i="6" l="1"/>
  <c r="H432" i="1"/>
  <c r="G31" i="9" s="1"/>
  <c r="I421" i="1"/>
  <c r="I432" i="1" s="1"/>
  <c r="H68" i="1"/>
  <c r="G21" i="9" s="1"/>
  <c r="G47" i="1"/>
  <c r="G120" i="1"/>
  <c r="G264" i="1"/>
  <c r="G408" i="1"/>
  <c r="G432" i="1" s="1"/>
  <c r="G84" i="1"/>
  <c r="G228" i="1"/>
  <c r="G372" i="1"/>
  <c r="G192" i="1"/>
  <c r="G336" i="1"/>
  <c r="G156" i="1"/>
  <c r="G300" i="1"/>
  <c r="E20" i="6"/>
  <c r="C38" i="6"/>
  <c r="E38" i="6" l="1"/>
  <c r="G38" i="6"/>
  <c r="F38" i="6"/>
  <c r="F13" i="6"/>
  <c r="F14" i="6" s="1"/>
  <c r="D36" i="6" l="1"/>
  <c r="D18" i="6"/>
  <c r="C36" i="6"/>
  <c r="C18" i="6"/>
  <c r="C20" i="6" l="1"/>
  <c r="E187" i="1"/>
  <c r="F187" i="1"/>
  <c r="A41" i="6"/>
  <c r="F58" i="1" l="1"/>
  <c r="F64" i="1" s="1"/>
  <c r="D57" i="1"/>
  <c r="E56" i="1"/>
  <c r="G104" i="1"/>
  <c r="F22" i="9" s="1"/>
  <c r="G140" i="1"/>
  <c r="F23" i="9" s="1"/>
  <c r="G176" i="1"/>
  <c r="F24" i="9" s="1"/>
  <c r="G212" i="1"/>
  <c r="F25" i="9" s="1"/>
  <c r="G248" i="1"/>
  <c r="F26" i="9" s="1"/>
  <c r="G284" i="1"/>
  <c r="F27" i="9" s="1"/>
  <c r="G320" i="1"/>
  <c r="F28" i="9" s="1"/>
  <c r="G356" i="1"/>
  <c r="F29" i="9" s="1"/>
  <c r="F31" i="9" l="1"/>
  <c r="B31" i="9"/>
  <c r="A31" i="9"/>
  <c r="B30" i="9"/>
  <c r="A30" i="9"/>
  <c r="B29" i="9"/>
  <c r="A29" i="9"/>
  <c r="B28" i="9"/>
  <c r="A28" i="9"/>
  <c r="B27" i="9"/>
  <c r="A27" i="9"/>
  <c r="B26" i="9"/>
  <c r="A26" i="9"/>
  <c r="B25" i="9"/>
  <c r="A25" i="9"/>
  <c r="B24" i="9"/>
  <c r="A24" i="9"/>
  <c r="B23" i="9"/>
  <c r="A23" i="9"/>
  <c r="B22" i="9"/>
  <c r="A22" i="9"/>
  <c r="B21" i="9"/>
  <c r="A21" i="9"/>
  <c r="E13" i="9" l="1"/>
  <c r="D11" i="9"/>
  <c r="C11" i="9"/>
  <c r="B12" i="9"/>
  <c r="E12" i="9"/>
  <c r="D10" i="9"/>
  <c r="B11" i="9"/>
  <c r="F13" i="9"/>
  <c r="E11" i="9"/>
  <c r="D9" i="9"/>
  <c r="B9" i="9"/>
  <c r="E6" i="9"/>
  <c r="F9" i="9"/>
  <c r="B6" i="9"/>
  <c r="C12" i="9"/>
  <c r="C10" i="9"/>
  <c r="C9" i="9"/>
  <c r="F10" i="9"/>
  <c r="D13" i="9"/>
  <c r="D12" i="9"/>
  <c r="F12" i="9"/>
  <c r="E10" i="9"/>
  <c r="F11" i="9"/>
  <c r="E9" i="9"/>
  <c r="C6" i="9"/>
  <c r="D6" i="9"/>
  <c r="C13" i="9"/>
  <c r="B13" i="9"/>
  <c r="F6" i="9"/>
  <c r="B10" i="9"/>
  <c r="D9" i="6"/>
  <c r="E367" i="1"/>
  <c r="G68" i="1" l="1"/>
  <c r="F21" i="9" s="1"/>
  <c r="A25" i="6"/>
  <c r="A24" i="6"/>
  <c r="A23" i="6"/>
  <c r="B420" i="1"/>
  <c r="B419" i="1"/>
  <c r="B418" i="1"/>
  <c r="B417" i="1"/>
  <c r="B384" i="1"/>
  <c r="B383" i="1"/>
  <c r="B382" i="1"/>
  <c r="B381" i="1"/>
  <c r="B348" i="1"/>
  <c r="B347" i="1"/>
  <c r="B346" i="1"/>
  <c r="B345" i="1"/>
  <c r="B312" i="1"/>
  <c r="B311" i="1"/>
  <c r="B310" i="1"/>
  <c r="B309" i="1"/>
  <c r="B276" i="1"/>
  <c r="B275" i="1"/>
  <c r="B274" i="1"/>
  <c r="B273" i="1"/>
  <c r="B240" i="1"/>
  <c r="B239" i="1"/>
  <c r="B238" i="1"/>
  <c r="B237" i="1"/>
  <c r="B204" i="1"/>
  <c r="B203" i="1"/>
  <c r="B202" i="1"/>
  <c r="B201" i="1"/>
  <c r="B168" i="1"/>
  <c r="B167" i="1"/>
  <c r="B166" i="1"/>
  <c r="B165" i="1"/>
  <c r="B132" i="1"/>
  <c r="B131" i="1"/>
  <c r="B130" i="1"/>
  <c r="B129" i="1"/>
  <c r="B96" i="1"/>
  <c r="B95" i="1"/>
  <c r="B94" i="1"/>
  <c r="B93" i="1"/>
  <c r="F403" i="1"/>
  <c r="F406" i="1" s="1"/>
  <c r="E403" i="1"/>
  <c r="E406" i="1" s="1"/>
  <c r="D403" i="1"/>
  <c r="D406" i="1" s="1"/>
  <c r="F367" i="1"/>
  <c r="D367" i="1"/>
  <c r="D370" i="1" s="1"/>
  <c r="F331" i="1"/>
  <c r="E331" i="1"/>
  <c r="D331" i="1"/>
  <c r="F295" i="1"/>
  <c r="E295" i="1"/>
  <c r="D295" i="1"/>
  <c r="F259" i="1"/>
  <c r="E259" i="1"/>
  <c r="D259" i="1"/>
  <c r="F223" i="1"/>
  <c r="E223" i="1"/>
  <c r="D223" i="1"/>
  <c r="D187" i="1"/>
  <c r="F151" i="1"/>
  <c r="E151" i="1"/>
  <c r="D151" i="1"/>
  <c r="F115" i="1"/>
  <c r="E115" i="1"/>
  <c r="D115" i="1"/>
  <c r="F79" i="1"/>
  <c r="E79" i="1"/>
  <c r="D79" i="1"/>
  <c r="F42" i="1"/>
  <c r="E42" i="1"/>
  <c r="D42" i="1"/>
  <c r="A20" i="6"/>
  <c r="F414" i="1"/>
  <c r="E414" i="1"/>
  <c r="D414" i="1"/>
  <c r="F378" i="1"/>
  <c r="E378" i="1"/>
  <c r="D378" i="1"/>
  <c r="F342" i="1"/>
  <c r="E342" i="1"/>
  <c r="D342" i="1"/>
  <c r="F306" i="1"/>
  <c r="E306" i="1"/>
  <c r="D306" i="1"/>
  <c r="F270" i="1"/>
  <c r="E270" i="1"/>
  <c r="D270" i="1"/>
  <c r="F234" i="1"/>
  <c r="E234" i="1"/>
  <c r="D234" i="1"/>
  <c r="F198" i="1"/>
  <c r="E198" i="1"/>
  <c r="D198" i="1"/>
  <c r="F162" i="1"/>
  <c r="E162" i="1"/>
  <c r="D162" i="1"/>
  <c r="F126" i="1"/>
  <c r="E126" i="1"/>
  <c r="F90" i="1"/>
  <c r="E90" i="1"/>
  <c r="D90" i="1"/>
  <c r="F53" i="1"/>
  <c r="E53" i="1"/>
  <c r="D53" i="1"/>
  <c r="D38" i="6"/>
  <c r="C397" i="1"/>
  <c r="C361" i="1"/>
  <c r="B364" i="1" s="1"/>
  <c r="C325" i="1"/>
  <c r="B328" i="1" s="1"/>
  <c r="C289" i="1"/>
  <c r="B292" i="1" s="1"/>
  <c r="C253" i="1"/>
  <c r="B256" i="1" s="1"/>
  <c r="C217" i="1"/>
  <c r="B220" i="1" s="1"/>
  <c r="C181" i="1"/>
  <c r="B184" i="1" s="1"/>
  <c r="C145" i="1"/>
  <c r="B148" i="1" s="1"/>
  <c r="C109" i="1"/>
  <c r="B112" i="1" s="1"/>
  <c r="C73" i="1"/>
  <c r="B76" i="1" s="1"/>
  <c r="F45" i="1"/>
  <c r="F46" i="1"/>
  <c r="F82" i="1"/>
  <c r="I481" i="1" s="1"/>
  <c r="F83" i="1"/>
  <c r="F118" i="1"/>
  <c r="I517" i="1" s="1"/>
  <c r="F119" i="1"/>
  <c r="F154" i="1"/>
  <c r="I553" i="1" s="1"/>
  <c r="F155" i="1"/>
  <c r="F190" i="1"/>
  <c r="F191" i="1"/>
  <c r="F226" i="1"/>
  <c r="F227" i="1"/>
  <c r="F262" i="1"/>
  <c r="F263" i="1"/>
  <c r="F298" i="1"/>
  <c r="F299" i="1"/>
  <c r="F334" i="1"/>
  <c r="F335" i="1"/>
  <c r="F370" i="1"/>
  <c r="F371" i="1"/>
  <c r="F407" i="1"/>
  <c r="E45" i="1"/>
  <c r="E46" i="1"/>
  <c r="E82" i="1"/>
  <c r="I480" i="1" s="1"/>
  <c r="E83" i="1"/>
  <c r="E118" i="1"/>
  <c r="I516" i="1" s="1"/>
  <c r="E119" i="1"/>
  <c r="E154" i="1"/>
  <c r="I552" i="1" s="1"/>
  <c r="E155" i="1"/>
  <c r="E190" i="1"/>
  <c r="E191" i="1"/>
  <c r="E226" i="1"/>
  <c r="E227" i="1"/>
  <c r="E262" i="1"/>
  <c r="E263" i="1"/>
  <c r="E298" i="1"/>
  <c r="E299" i="1"/>
  <c r="E334" i="1"/>
  <c r="E335" i="1"/>
  <c r="E370" i="1"/>
  <c r="E371" i="1"/>
  <c r="D45" i="1"/>
  <c r="D46" i="1"/>
  <c r="D82" i="1"/>
  <c r="D83" i="1"/>
  <c r="D118" i="1"/>
  <c r="D119" i="1"/>
  <c r="D154" i="1"/>
  <c r="D155" i="1"/>
  <c r="D190" i="1"/>
  <c r="D191" i="1"/>
  <c r="D226" i="1"/>
  <c r="D227" i="1"/>
  <c r="D262" i="1"/>
  <c r="D263" i="1"/>
  <c r="D298" i="1"/>
  <c r="D299" i="1"/>
  <c r="D334" i="1"/>
  <c r="D335" i="1"/>
  <c r="D371" i="1"/>
  <c r="B57" i="1"/>
  <c r="B59" i="1"/>
  <c r="B58" i="1"/>
  <c r="B56" i="1"/>
  <c r="D64" i="1"/>
  <c r="C22" i="6"/>
  <c r="B22" i="6" s="1"/>
  <c r="E416" i="1"/>
  <c r="F416" i="1" s="1"/>
  <c r="G416" i="1" s="1"/>
  <c r="H416" i="1" s="1"/>
  <c r="E380" i="1"/>
  <c r="F380" i="1" s="1"/>
  <c r="G380" i="1" s="1"/>
  <c r="H380" i="1" s="1"/>
  <c r="E344" i="1"/>
  <c r="F344" i="1" s="1"/>
  <c r="G344" i="1" s="1"/>
  <c r="H344" i="1" s="1"/>
  <c r="E308" i="1"/>
  <c r="F308" i="1" s="1"/>
  <c r="G308" i="1" s="1"/>
  <c r="H308" i="1" s="1"/>
  <c r="E272" i="1"/>
  <c r="F272" i="1" s="1"/>
  <c r="G272" i="1" s="1"/>
  <c r="H272" i="1" s="1"/>
  <c r="E236" i="1"/>
  <c r="F236" i="1" s="1"/>
  <c r="G236" i="1" s="1"/>
  <c r="H236" i="1" s="1"/>
  <c r="E200" i="1"/>
  <c r="F200" i="1" s="1"/>
  <c r="G200" i="1" s="1"/>
  <c r="H200" i="1" s="1"/>
  <c r="E164" i="1"/>
  <c r="F164" i="1" s="1"/>
  <c r="G164" i="1" s="1"/>
  <c r="H164" i="1" s="1"/>
  <c r="E128" i="1"/>
  <c r="F128" i="1" s="1"/>
  <c r="G128" i="1" s="1"/>
  <c r="H128" i="1" s="1"/>
  <c r="E92" i="1"/>
  <c r="F92" i="1" s="1"/>
  <c r="G92" i="1" s="1"/>
  <c r="H92" i="1" s="1"/>
  <c r="E55" i="1"/>
  <c r="F55" i="1" s="1"/>
  <c r="G55" i="1" s="1"/>
  <c r="H55" i="1" s="1"/>
  <c r="C16" i="6"/>
  <c r="B16" i="6" s="1"/>
  <c r="C11" i="6"/>
  <c r="B11" i="6" s="1"/>
  <c r="C6" i="6"/>
  <c r="E410" i="1"/>
  <c r="F410" i="1" s="1"/>
  <c r="G410" i="1" s="1"/>
  <c r="H410" i="1" s="1"/>
  <c r="F405" i="1"/>
  <c r="G405" i="1" s="1"/>
  <c r="H405" i="1" s="1"/>
  <c r="E374" i="1"/>
  <c r="F374" i="1" s="1"/>
  <c r="G374" i="1" s="1"/>
  <c r="H374" i="1" s="1"/>
  <c r="E369" i="1"/>
  <c r="F369" i="1" s="1"/>
  <c r="G369" i="1" s="1"/>
  <c r="H369" i="1" s="1"/>
  <c r="E338" i="1"/>
  <c r="F338" i="1" s="1"/>
  <c r="G338" i="1" s="1"/>
  <c r="H338" i="1" s="1"/>
  <c r="E333" i="1"/>
  <c r="F333" i="1" s="1"/>
  <c r="G333" i="1" s="1"/>
  <c r="H333" i="1" s="1"/>
  <c r="E302" i="1"/>
  <c r="F302" i="1" s="1"/>
  <c r="G302" i="1" s="1"/>
  <c r="H302" i="1" s="1"/>
  <c r="E297" i="1"/>
  <c r="F297" i="1" s="1"/>
  <c r="G297" i="1" s="1"/>
  <c r="H297" i="1" s="1"/>
  <c r="E266" i="1"/>
  <c r="F266" i="1" s="1"/>
  <c r="G266" i="1" s="1"/>
  <c r="H266" i="1" s="1"/>
  <c r="E261" i="1"/>
  <c r="F261" i="1" s="1"/>
  <c r="G261" i="1" s="1"/>
  <c r="H261" i="1" s="1"/>
  <c r="E230" i="1"/>
  <c r="F230" i="1" s="1"/>
  <c r="G230" i="1" s="1"/>
  <c r="H230" i="1" s="1"/>
  <c r="E225" i="1"/>
  <c r="F225" i="1" s="1"/>
  <c r="G225" i="1" s="1"/>
  <c r="H225" i="1" s="1"/>
  <c r="E194" i="1"/>
  <c r="F194" i="1" s="1"/>
  <c r="G194" i="1" s="1"/>
  <c r="H194" i="1" s="1"/>
  <c r="E189" i="1"/>
  <c r="F189" i="1" s="1"/>
  <c r="G189" i="1" s="1"/>
  <c r="H189" i="1" s="1"/>
  <c r="E158" i="1"/>
  <c r="F158" i="1" s="1"/>
  <c r="G158" i="1" s="1"/>
  <c r="H158" i="1" s="1"/>
  <c r="E153" i="1"/>
  <c r="F153" i="1" s="1"/>
  <c r="G153" i="1" s="1"/>
  <c r="H153" i="1" s="1"/>
  <c r="E122" i="1"/>
  <c r="F122" i="1" s="1"/>
  <c r="G122" i="1" s="1"/>
  <c r="H122" i="1" s="1"/>
  <c r="E117" i="1"/>
  <c r="F117" i="1" s="1"/>
  <c r="G117" i="1" s="1"/>
  <c r="H117" i="1" s="1"/>
  <c r="E86" i="1"/>
  <c r="F86" i="1" s="1"/>
  <c r="G86" i="1" s="1"/>
  <c r="H86" i="1" s="1"/>
  <c r="E81" i="1"/>
  <c r="F81" i="1" s="1"/>
  <c r="G81" i="1" s="1"/>
  <c r="H81" i="1" s="1"/>
  <c r="C36" i="1"/>
  <c r="B39" i="1" s="1"/>
  <c r="E147" i="1"/>
  <c r="F147" i="1" s="1"/>
  <c r="G147" i="1" s="1"/>
  <c r="H147" i="1" s="1"/>
  <c r="E111" i="1"/>
  <c r="F111" i="1" s="1"/>
  <c r="G111" i="1" s="1"/>
  <c r="H111" i="1" s="1"/>
  <c r="F399" i="1"/>
  <c r="G399" i="1" s="1"/>
  <c r="H399" i="1" s="1"/>
  <c r="E363" i="1"/>
  <c r="F363" i="1" s="1"/>
  <c r="G363" i="1" s="1"/>
  <c r="H363" i="1" s="1"/>
  <c r="E327" i="1"/>
  <c r="F327" i="1" s="1"/>
  <c r="G327" i="1" s="1"/>
  <c r="H327" i="1" s="1"/>
  <c r="E291" i="1"/>
  <c r="F291" i="1" s="1"/>
  <c r="G291" i="1" s="1"/>
  <c r="H291" i="1" s="1"/>
  <c r="E255" i="1"/>
  <c r="F255" i="1" s="1"/>
  <c r="G255" i="1" s="1"/>
  <c r="H255" i="1" s="1"/>
  <c r="E219" i="1"/>
  <c r="F219" i="1" s="1"/>
  <c r="G219" i="1" s="1"/>
  <c r="H219" i="1" s="1"/>
  <c r="E183" i="1"/>
  <c r="F183" i="1" s="1"/>
  <c r="G183" i="1" s="1"/>
  <c r="H183" i="1" s="1"/>
  <c r="E75" i="1"/>
  <c r="F75" i="1" s="1"/>
  <c r="G75" i="1" s="1"/>
  <c r="H75" i="1" s="1"/>
  <c r="E38" i="1"/>
  <c r="E49" i="1" s="1"/>
  <c r="E12" i="6" l="1"/>
  <c r="I518" i="1"/>
  <c r="I538" i="1" s="1"/>
  <c r="I554" i="1"/>
  <c r="I578" i="1" s="1"/>
  <c r="H445" i="1"/>
  <c r="I445" i="1"/>
  <c r="I482" i="1"/>
  <c r="I502" i="1" s="1"/>
  <c r="H444" i="1"/>
  <c r="I444" i="1"/>
  <c r="B6" i="6"/>
  <c r="D6" i="6"/>
  <c r="E6" i="6" s="1"/>
  <c r="F6" i="6" s="1"/>
  <c r="G6" i="6" s="1"/>
  <c r="H553" i="1"/>
  <c r="G553" i="1"/>
  <c r="F553" i="1"/>
  <c r="E553" i="1"/>
  <c r="D553" i="1"/>
  <c r="E552" i="1"/>
  <c r="F552" i="1"/>
  <c r="D552" i="1"/>
  <c r="H552" i="1"/>
  <c r="H554" i="1" s="1"/>
  <c r="G552" i="1"/>
  <c r="H517" i="1"/>
  <c r="G517" i="1"/>
  <c r="F517" i="1"/>
  <c r="E517" i="1"/>
  <c r="D517" i="1"/>
  <c r="E516" i="1"/>
  <c r="D516" i="1"/>
  <c r="H516" i="1"/>
  <c r="G516" i="1"/>
  <c r="F516" i="1"/>
  <c r="H480" i="1"/>
  <c r="G480" i="1"/>
  <c r="F480" i="1"/>
  <c r="E480" i="1"/>
  <c r="D480" i="1"/>
  <c r="H481" i="1"/>
  <c r="D481" i="1"/>
  <c r="G481" i="1"/>
  <c r="F481" i="1"/>
  <c r="E481" i="1"/>
  <c r="F336" i="1"/>
  <c r="F356" i="1" s="1"/>
  <c r="G445" i="1"/>
  <c r="F445" i="1"/>
  <c r="E445" i="1"/>
  <c r="D445" i="1"/>
  <c r="D300" i="1"/>
  <c r="D320" i="1" s="1"/>
  <c r="C28" i="9" s="1"/>
  <c r="F444" i="1"/>
  <c r="E444" i="1"/>
  <c r="G444" i="1"/>
  <c r="D444" i="1"/>
  <c r="C12" i="6"/>
  <c r="D12" i="6"/>
  <c r="E120" i="1"/>
  <c r="E140" i="1" s="1"/>
  <c r="D23" i="9" s="1"/>
  <c r="F192" i="1"/>
  <c r="F212" i="1" s="1"/>
  <c r="D228" i="1"/>
  <c r="D248" i="1" s="1"/>
  <c r="C26" i="9" s="1"/>
  <c r="F300" i="1"/>
  <c r="F320" i="1" s="1"/>
  <c r="F156" i="1"/>
  <c r="F176" i="1" s="1"/>
  <c r="F47" i="1"/>
  <c r="D372" i="1"/>
  <c r="D392" i="1" s="1"/>
  <c r="C30" i="9" s="1"/>
  <c r="E300" i="1"/>
  <c r="E320" i="1" s="1"/>
  <c r="D28" i="9" s="1"/>
  <c r="E192" i="1"/>
  <c r="E47" i="1"/>
  <c r="B400" i="1"/>
  <c r="D49" i="1"/>
  <c r="B38" i="6"/>
  <c r="E44" i="1"/>
  <c r="F38" i="1"/>
  <c r="F49" i="1" s="1"/>
  <c r="D336" i="1"/>
  <c r="D356" i="1" s="1"/>
  <c r="C29" i="9" s="1"/>
  <c r="D192" i="1"/>
  <c r="D212" i="1" s="1"/>
  <c r="C25" i="9" s="1"/>
  <c r="D47" i="1"/>
  <c r="D16" i="6"/>
  <c r="E16" i="6" s="1"/>
  <c r="F16" i="6" s="1"/>
  <c r="G16" i="6" s="1"/>
  <c r="D22" i="6"/>
  <c r="E22" i="6" s="1"/>
  <c r="F22" i="6" s="1"/>
  <c r="G22" i="6" s="1"/>
  <c r="D120" i="1"/>
  <c r="E84" i="1"/>
  <c r="E104" i="1" s="1"/>
  <c r="D22" i="9" s="1"/>
  <c r="E264" i="1"/>
  <c r="E284" i="1" s="1"/>
  <c r="D27" i="9" s="1"/>
  <c r="F264" i="1"/>
  <c r="F284" i="1" s="1"/>
  <c r="D264" i="1"/>
  <c r="D284" i="1" s="1"/>
  <c r="C27" i="9" s="1"/>
  <c r="E372" i="1"/>
  <c r="D407" i="1"/>
  <c r="D408" i="1" s="1"/>
  <c r="D11" i="6"/>
  <c r="E11" i="6" s="1"/>
  <c r="F11" i="6" s="1"/>
  <c r="G11" i="6" s="1"/>
  <c r="F408" i="1"/>
  <c r="D20" i="6"/>
  <c r="E64" i="1"/>
  <c r="E407" i="1"/>
  <c r="E408" i="1" s="1"/>
  <c r="F372" i="1"/>
  <c r="E336" i="1"/>
  <c r="F228" i="1"/>
  <c r="F248" i="1" s="1"/>
  <c r="E228" i="1"/>
  <c r="F84" i="1"/>
  <c r="F104" i="1" s="1"/>
  <c r="D84" i="1"/>
  <c r="D104" i="1" s="1"/>
  <c r="C22" i="9" s="1"/>
  <c r="D156" i="1"/>
  <c r="E156" i="1"/>
  <c r="F120" i="1"/>
  <c r="F140" i="1" s="1"/>
  <c r="G554" i="1" l="1"/>
  <c r="H446" i="1"/>
  <c r="E518" i="1"/>
  <c r="E538" i="1" s="1"/>
  <c r="D34" i="9" s="1"/>
  <c r="F554" i="1"/>
  <c r="I446" i="1"/>
  <c r="H518" i="1"/>
  <c r="H538" i="1" s="1"/>
  <c r="G34" i="9" s="1"/>
  <c r="E554" i="1"/>
  <c r="E578" i="1" s="1"/>
  <c r="D35" i="9" s="1"/>
  <c r="C8" i="9" s="1"/>
  <c r="D554" i="1"/>
  <c r="D578" i="1" s="1"/>
  <c r="C35" i="9" s="1"/>
  <c r="B8" i="9" s="1"/>
  <c r="F518" i="1"/>
  <c r="F538" i="1" s="1"/>
  <c r="E34" i="9" s="1"/>
  <c r="H466" i="1"/>
  <c r="G32" i="9" s="1"/>
  <c r="D518" i="1"/>
  <c r="D538" i="1" s="1"/>
  <c r="C34" i="9" s="1"/>
  <c r="G518" i="1"/>
  <c r="G538" i="1" s="1"/>
  <c r="F34" i="9" s="1"/>
  <c r="F482" i="1"/>
  <c r="F502" i="1" s="1"/>
  <c r="E33" i="9" s="1"/>
  <c r="G482" i="1"/>
  <c r="G502" i="1" s="1"/>
  <c r="F33" i="9" s="1"/>
  <c r="D482" i="1"/>
  <c r="D502" i="1" s="1"/>
  <c r="C33" i="9" s="1"/>
  <c r="E482" i="1"/>
  <c r="E502" i="1" s="1"/>
  <c r="D33" i="9" s="1"/>
  <c r="H482" i="1"/>
  <c r="H502" i="1" s="1"/>
  <c r="G33" i="9" s="1"/>
  <c r="D446" i="1"/>
  <c r="D466" i="1" s="1"/>
  <c r="C32" i="9" s="1"/>
  <c r="E446" i="1"/>
  <c r="E466" i="1" s="1"/>
  <c r="D32" i="9" s="1"/>
  <c r="F446" i="1"/>
  <c r="F466" i="1" s="1"/>
  <c r="E32" i="9" s="1"/>
  <c r="D68" i="1"/>
  <c r="C21" i="9" s="1"/>
  <c r="C13" i="6"/>
  <c r="C14" i="6" s="1"/>
  <c r="D13" i="6"/>
  <c r="D14" i="6" s="1"/>
  <c r="E13" i="6"/>
  <c r="E14" i="6" s="1"/>
  <c r="G446" i="1"/>
  <c r="G466" i="1" s="1"/>
  <c r="F44" i="1"/>
  <c r="G38" i="1"/>
  <c r="H38" i="1" s="1"/>
  <c r="F68" i="1"/>
  <c r="E21" i="9" s="1"/>
  <c r="E23" i="9"/>
  <c r="E22" i="9"/>
  <c r="E26" i="9"/>
  <c r="E27" i="9"/>
  <c r="E29" i="9"/>
  <c r="E24" i="9"/>
  <c r="E28" i="9"/>
  <c r="E25" i="9"/>
  <c r="E356" i="1"/>
  <c r="D29" i="9" s="1"/>
  <c r="E248" i="1"/>
  <c r="D26" i="9" s="1"/>
  <c r="E212" i="1"/>
  <c r="D25" i="9" s="1"/>
  <c r="E68" i="1"/>
  <c r="D21" i="9" s="1"/>
  <c r="D176" i="1"/>
  <c r="C24" i="9" s="1"/>
  <c r="E176" i="1"/>
  <c r="D24" i="9" s="1"/>
  <c r="D126" i="1"/>
  <c r="D140" i="1" s="1"/>
  <c r="C23" i="9" s="1"/>
  <c r="I466" i="1" l="1"/>
  <c r="H13" i="6"/>
  <c r="H14" i="6" s="1"/>
  <c r="H39" i="6" s="1"/>
  <c r="F7" i="9"/>
  <c r="G13" i="6"/>
  <c r="G14" i="6" s="1"/>
  <c r="B7" i="9"/>
  <c r="F5" i="9"/>
  <c r="F32" i="9"/>
  <c r="E5" i="9" s="1"/>
  <c r="H44" i="1"/>
  <c r="H49" i="1"/>
  <c r="G44" i="1"/>
  <c r="G49" i="1"/>
  <c r="E31" i="9"/>
  <c r="D5" i="9" s="1"/>
  <c r="C34" i="6"/>
  <c r="C39" i="6" s="1"/>
  <c r="E392" i="1" l="1"/>
  <c r="D30" i="9" s="1"/>
  <c r="C7" i="9" s="1"/>
  <c r="F392" i="1"/>
  <c r="E30" i="9" s="1"/>
  <c r="E34" i="6"/>
  <c r="E39" i="6" s="1"/>
  <c r="D432" i="1"/>
  <c r="C31" i="9" s="1"/>
  <c r="B5" i="9" s="1"/>
  <c r="D34" i="6"/>
  <c r="D39" i="6" s="1"/>
  <c r="D7" i="9" l="1"/>
  <c r="E432" i="1"/>
  <c r="D31" i="9" s="1"/>
  <c r="C5" i="9" s="1"/>
  <c r="G392" i="1"/>
  <c r="F30" i="9" s="1"/>
  <c r="B14" i="9"/>
  <c r="E7" i="9" l="1"/>
  <c r="C14" i="9"/>
  <c r="H574" i="1" l="1"/>
  <c r="H578" i="1" s="1"/>
  <c r="G35" i="9" s="1"/>
  <c r="F8" i="9" s="1"/>
  <c r="F14" i="9" s="1"/>
  <c r="F568" i="1"/>
  <c r="F574" i="1" s="1"/>
  <c r="F578" i="1" s="1"/>
  <c r="E35" i="9" s="1"/>
  <c r="D8" i="9" s="1"/>
  <c r="D14" i="9" s="1"/>
  <c r="G574" i="1"/>
  <c r="G578" i="1" s="1"/>
  <c r="F35" i="9" s="1"/>
  <c r="E8" i="9" s="1"/>
  <c r="E14" i="9" s="1"/>
  <c r="G34" i="6" l="1"/>
  <c r="G39" i="6" s="1"/>
  <c r="F34" i="6"/>
  <c r="F39" i="6" s="1"/>
</calcChain>
</file>

<file path=xl/sharedStrings.xml><?xml version="1.0" encoding="utf-8"?>
<sst xmlns="http://schemas.openxmlformats.org/spreadsheetml/2006/main" count="469" uniqueCount="116">
  <si>
    <t>Eligible</t>
  </si>
  <si>
    <t>Not Eligible</t>
  </si>
  <si>
    <t>---</t>
  </si>
  <si>
    <t>Reporting Entity:</t>
  </si>
  <si>
    <t>Facility Name:</t>
  </si>
  <si>
    <t>Reporting Date:</t>
  </si>
  <si>
    <t>Distributed Generation Bonus</t>
  </si>
  <si>
    <t>Quantity Required for Compliance</t>
  </si>
  <si>
    <t>Start Year</t>
  </si>
  <si>
    <t>WA State RCW 19.285 Requirement</t>
  </si>
  <si>
    <t>Facility 16</t>
  </si>
  <si>
    <t>Facility 17</t>
  </si>
  <si>
    <t>Facility 18</t>
  </si>
  <si>
    <t>Facility 19</t>
  </si>
  <si>
    <t>Facility 20</t>
  </si>
  <si>
    <t>Facility 21</t>
  </si>
  <si>
    <t>Facility 22</t>
  </si>
  <si>
    <t>Facility 23</t>
  </si>
  <si>
    <t>Facility 24</t>
  </si>
  <si>
    <t>Facility 25</t>
  </si>
  <si>
    <t>Facility 26</t>
  </si>
  <si>
    <t>Facility 27</t>
  </si>
  <si>
    <t>Facility 28</t>
  </si>
  <si>
    <t>Facility 29</t>
  </si>
  <si>
    <t>Facility 30</t>
  </si>
  <si>
    <t>Extra Apprenticeship Credit</t>
  </si>
  <si>
    <t>Delivered Load to Retail Customers (MWh)</t>
  </si>
  <si>
    <t>Adjustment for Events Beyond Control</t>
  </si>
  <si>
    <t>Facility WREGIS ID:</t>
  </si>
  <si>
    <t>Extra Apprenticeship Credit Eligibility:</t>
  </si>
  <si>
    <t>Distributed Generation Bonus Eligibility:</t>
  </si>
  <si>
    <t>Net Surplus Adjustments</t>
  </si>
  <si>
    <t>Percent of Qualifying MWh Allocated to WA</t>
  </si>
  <si>
    <t>MWh Allocated to WA Compliance</t>
  </si>
  <si>
    <t>Eligible MWh Available for RCW 19.285 Compliance</t>
  </si>
  <si>
    <t>Bonus Incentives Transferred</t>
  </si>
  <si>
    <t>Renewable Bonus Incentives</t>
  </si>
  <si>
    <t>Total Quantity Available for RCW 19.285 Compliance</t>
  </si>
  <si>
    <t>Percent of MWh Qualifying Under RCW 19.285</t>
  </si>
  <si>
    <t>Contribution to RCW 19.285 Compliance</t>
  </si>
  <si>
    <t>RCW 19.285 Compliance Surplus / (Deficit)</t>
  </si>
  <si>
    <t>Extra Apprenticeship Labor Bonus</t>
  </si>
  <si>
    <t>Bonus Incentive Eligibility</t>
  </si>
  <si>
    <t>REC Sales / Transfers</t>
  </si>
  <si>
    <t>Quantity from Bonus Incentives</t>
  </si>
  <si>
    <t>Total Quantity from Bonus Incentives</t>
  </si>
  <si>
    <t>Qualifying MWh Allocated to WA</t>
  </si>
  <si>
    <t>Quantity of RECs Sold</t>
  </si>
  <si>
    <t>Facility Name</t>
  </si>
  <si>
    <t>Bonus Incentives Not Realized</t>
  </si>
  <si>
    <t>Total Sold / Transferred / Unrealized</t>
  </si>
  <si>
    <t>Adjustments</t>
  </si>
  <si>
    <t>Palouse Wind</t>
  </si>
  <si>
    <t>Avista</t>
  </si>
  <si>
    <t>Long Lake #3</t>
  </si>
  <si>
    <t>Little Falls #4</t>
  </si>
  <si>
    <t>Cabinet Gorge #2</t>
  </si>
  <si>
    <t>Cabinet Gorge #3</t>
  </si>
  <si>
    <t>Cabinet Gorge #4</t>
  </si>
  <si>
    <t>Noxon Rapids #1</t>
  </si>
  <si>
    <t>Noxon Rapids #2</t>
  </si>
  <si>
    <t>Noxon Rapids #3</t>
  </si>
  <si>
    <t>Noxon Rapids #4</t>
  </si>
  <si>
    <t>Wanapum Fish Bypass</t>
  </si>
  <si>
    <t>Total</t>
  </si>
  <si>
    <t>W2103</t>
  </si>
  <si>
    <t>W2102</t>
  </si>
  <si>
    <t>W1560</t>
  </si>
  <si>
    <t>W1561</t>
  </si>
  <si>
    <t>W1562</t>
  </si>
  <si>
    <t>W1530</t>
  </si>
  <si>
    <t>W1552</t>
  </si>
  <si>
    <t>W1554</t>
  </si>
  <si>
    <t>W1555</t>
  </si>
  <si>
    <t>N/A</t>
  </si>
  <si>
    <t>Type</t>
  </si>
  <si>
    <t>Wind</t>
  </si>
  <si>
    <t>Contract</t>
  </si>
  <si>
    <t>4/2008</t>
  </si>
  <si>
    <t>Water (Incremental Hydro)</t>
  </si>
  <si>
    <t>Compliance Contribution by Generation Type</t>
  </si>
  <si>
    <t>Solar</t>
  </si>
  <si>
    <t>Biomass</t>
  </si>
  <si>
    <t>Geothermal</t>
  </si>
  <si>
    <t>Landfill Gas</t>
  </si>
  <si>
    <t>Sewage Treatment Gas</t>
  </si>
  <si>
    <t>Wave, Ocean, Tidal</t>
  </si>
  <si>
    <t>Biodiesel Fuel</t>
  </si>
  <si>
    <t>Facility Type</t>
  </si>
  <si>
    <t>Facility Types</t>
  </si>
  <si>
    <t>On-Line Date:</t>
  </si>
  <si>
    <t>Ownership/Contract:</t>
  </si>
  <si>
    <t>Ownership</t>
  </si>
  <si>
    <t>Eligible Quantity Acquired **</t>
  </si>
  <si>
    <t>W2906</t>
  </si>
  <si>
    <t>MWh Allocated to WA Compliance *</t>
  </si>
  <si>
    <t>* 2012 only shows a partial year to reflect the qualified generation in 2012 after the upgrade project at Noxon Rapids #4 was completed.</t>
  </si>
  <si>
    <t>RCW 19.285 Compliance Need</t>
  </si>
  <si>
    <t xml:space="preserve">Sales and Transfers </t>
  </si>
  <si>
    <t>Bonus Incentives Not Realized***</t>
  </si>
  <si>
    <t>W249</t>
  </si>
  <si>
    <t xml:space="preserve">** In 2008, Avista purchased 50,000 renewable energy certificates per year generated from the Stateline Wind Project for the 2012 through 2015 period to comply with RCW 19.285 requirements.  The renewable energy certificates for 2012 through 2014 were sold because they were determined to be surplus of the Company’s needs in 2011 because of the acquisition of the Palouse Wind Power Purchase Agreement and decisions concerning the need for reserves for qualifying hydroelectric upgrades. The 2015 renewable energy certificates were not sold since they are eligible to be used for 2016 compliance obligations. </t>
  </si>
  <si>
    <t>Nine Mile #1</t>
  </si>
  <si>
    <t>Nine Mile #2</t>
  </si>
  <si>
    <t>EWEB (Stateline) Wind REC Purchase</t>
  </si>
  <si>
    <t>W216</t>
  </si>
  <si>
    <t>W283</t>
  </si>
  <si>
    <t>Kettle Falls</t>
  </si>
  <si>
    <t>* 2016 is the first year of eligibility for Kettle Falls as a legacy biomass project.</t>
  </si>
  <si>
    <t xml:space="preserve">* Wanapum is an eligible resource under the Energy Independence Act, but the project has not been registed in WREGIS by the owners so it is not eligible under WAC 480-109-210. The amount listed for 2013 was done before the WREGIS requirement was instituted. </t>
  </si>
  <si>
    <t>W130 &amp; W797</t>
  </si>
  <si>
    <t>Quantity of RECs Sold **</t>
  </si>
  <si>
    <t>** Discounted for non-qualifying RECs sold from old growth fuel. Actual REC sales were 294,923 for 2016 and 246,675 for 2017.</t>
  </si>
  <si>
    <t>***The Company sold RECs  from its Palouse Wind facility, which has been certified to receive bonus apprenticeship credits, to a non-Washington utility, thus the bonus incentives were not realized.</t>
  </si>
  <si>
    <t>* 2016 only shows a partial year to reflect the qualified generation in 2016 because the upgrade project at Nine Mile #1 was completed in July 2016.</t>
  </si>
  <si>
    <t>* 2016 only shows a partial year to reflect the qualified generation in 2016 because the upgrade project at Nine Mile #2 was completed in July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</si>
</sst>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0_);_(* \(#,##0\);_(* &quot;-&quot;??_);_(@_)"/>
    <numFmt numFmtId="165" formatCode="[$-409]mmmm\ d\,\ yyyy;@"/>
    <numFmt numFmtId="166" formatCode="_(* #,##0.0_);_(* \(#,##0.0\);_(* &quot;-&quot;??_);_(@_)"/>
  </numFmts>
  <fonts count="15" x14ac:knownFonts="1">
    <font>
      <sz val="10"/>
      <name val="Arial"/>
    </font>
    <font>
      <sz val="10"/>
      <name val="Arial"/>
      <family val="2"/>
    </font>
    <font>
      <sz val="11"/>
      <name val="Calibri"/>
      <family val="2"/>
    </font>
    <font>
      <b/>
      <sz val="11"/>
      <name val="Calibri"/>
      <family val="2"/>
    </font>
    <font>
      <b/>
      <sz val="14"/>
      <name val="Calibri"/>
      <family val="2"/>
    </font>
    <font>
      <sz val="8"/>
      <name val="Arial"/>
      <family val="2"/>
    </font>
    <font>
      <b/>
      <sz val="16"/>
      <name val="Calibri"/>
      <family val="2"/>
    </font>
    <font>
      <b/>
      <sz val="12"/>
      <name val="Calibri"/>
      <family val="2"/>
    </font>
    <font>
      <b/>
      <sz val="16"/>
      <name val="Calibri"/>
      <family val="2"/>
      <scheme val="minor"/>
    </font>
    <font>
      <sz val="10"/>
      <name val="Calibri"/>
      <family val="2"/>
      <scheme val="minor"/>
    </font>
    <font>
      <sz val="11"/>
      <name val="Calibri"/>
      <family val="2"/>
      <scheme val="minor"/>
    </font>
    <font>
      <b/>
      <sz val="12"/>
      <name val="Calibri"/>
      <family val="2"/>
      <scheme val="minor"/>
    </font>
    <font>
      <b/>
      <sz val="11"/>
      <name val="Calibri"/>
      <family val="2"/>
      <scheme val="minor"/>
    </font>
    <font>
      <sz val="10"/>
      <color theme="1"/>
      <name val="Arial"/>
      <family val="2"/>
    </font>
    <font>
      <sz val="11"/>
      <color rgb="FF1F497D"/>
      <name val="Calibri"/>
      <family val="2"/>
    </font>
  </fonts>
  <fills count="10">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9"/>
        <bgColor indexed="64"/>
      </patternFill>
    </fill>
    <fill>
      <patternFill patternType="solid">
        <fgColor indexed="65"/>
        <bgColor indexed="64"/>
      </patternFill>
    </fill>
    <fill>
      <patternFill patternType="solid">
        <fgColor indexed="44"/>
        <bgColor indexed="64"/>
      </patternFill>
    </fill>
    <fill>
      <patternFill patternType="solid">
        <fgColor indexed="22"/>
        <bgColor indexed="64"/>
      </patternFill>
    </fill>
    <fill>
      <patternFill patternType="solid">
        <fgColor theme="0"/>
        <bgColor indexed="64"/>
      </patternFill>
    </fill>
    <fill>
      <patternFill patternType="solid">
        <fgColor rgb="FFFFFF99"/>
        <bgColor indexed="64"/>
      </patternFill>
    </fill>
  </fills>
  <borders count="30">
    <border>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mediumDashDotDot">
        <color indexed="64"/>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thin">
        <color indexed="64"/>
      </top>
      <bottom style="thin">
        <color indexed="64"/>
      </bottom>
      <diagonal/>
    </border>
    <border>
      <left/>
      <right/>
      <top/>
      <bottom style="mediumDashDotDot">
        <color indexed="64"/>
      </bottom>
      <diagonal/>
    </border>
    <border>
      <left style="thin">
        <color indexed="64"/>
      </left>
      <right/>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cellStyleXfs>
  <cellXfs count="187">
    <xf numFmtId="0" fontId="0" fillId="0" borderId="0" xfId="0"/>
    <xf numFmtId="0" fontId="2" fillId="0" borderId="0" xfId="0" applyFont="1"/>
    <xf numFmtId="0" fontId="2" fillId="0" borderId="0" xfId="0" applyFont="1" applyAlignment="1">
      <alignment horizontal="center"/>
    </xf>
    <xf numFmtId="164" fontId="2" fillId="2" borderId="1" xfId="1" applyNumberFormat="1" applyFont="1" applyFill="1" applyBorder="1"/>
    <xf numFmtId="164" fontId="2" fillId="2" borderId="2" xfId="1" applyNumberFormat="1" applyFont="1" applyFill="1" applyBorder="1"/>
    <xf numFmtId="164" fontId="2" fillId="2" borderId="3" xfId="1" applyNumberFormat="1" applyFont="1" applyFill="1" applyBorder="1"/>
    <xf numFmtId="0" fontId="3" fillId="0" borderId="0" xfId="0" applyFont="1"/>
    <xf numFmtId="164" fontId="3" fillId="0" borderId="0" xfId="1" applyNumberFormat="1" applyFont="1"/>
    <xf numFmtId="0" fontId="2" fillId="0" borderId="4" xfId="0" applyFont="1" applyBorder="1"/>
    <xf numFmtId="0" fontId="4" fillId="0" borderId="0" xfId="0" applyFont="1"/>
    <xf numFmtId="164" fontId="2" fillId="2" borderId="5" xfId="1" applyNumberFormat="1" applyFont="1" applyFill="1" applyBorder="1"/>
    <xf numFmtId="164" fontId="2" fillId="2" borderId="2" xfId="1" applyNumberFormat="1" applyFont="1" applyFill="1" applyBorder="1" applyAlignment="1">
      <alignment horizontal="center"/>
    </xf>
    <xf numFmtId="164" fontId="2" fillId="2" borderId="3" xfId="1" applyNumberFormat="1" applyFont="1" applyFill="1" applyBorder="1" applyAlignment="1">
      <alignment horizontal="center"/>
    </xf>
    <xf numFmtId="164" fontId="2" fillId="0" borderId="2" xfId="1" applyNumberFormat="1" applyFont="1" applyBorder="1"/>
    <xf numFmtId="164" fontId="2" fillId="0" borderId="3" xfId="1" applyNumberFormat="1" applyFont="1" applyBorder="1"/>
    <xf numFmtId="43" fontId="2" fillId="0" borderId="0" xfId="0" applyNumberFormat="1" applyFont="1"/>
    <xf numFmtId="0" fontId="6" fillId="0" borderId="0" xfId="0" applyFont="1"/>
    <xf numFmtId="164" fontId="2" fillId="0" borderId="0" xfId="1" applyNumberFormat="1" applyFont="1" applyFill="1" applyBorder="1" applyAlignment="1">
      <alignment horizontal="center"/>
    </xf>
    <xf numFmtId="0" fontId="2" fillId="2" borderId="6" xfId="0" applyFont="1" applyFill="1" applyBorder="1"/>
    <xf numFmtId="0" fontId="2" fillId="2" borderId="7" xfId="0" applyFont="1" applyFill="1" applyBorder="1" applyAlignment="1">
      <alignment horizontal="center"/>
    </xf>
    <xf numFmtId="0" fontId="2" fillId="2" borderId="8" xfId="0" applyFont="1" applyFill="1" applyBorder="1"/>
    <xf numFmtId="0" fontId="2" fillId="2" borderId="9" xfId="0" quotePrefix="1" applyFont="1" applyFill="1" applyBorder="1"/>
    <xf numFmtId="164" fontId="3" fillId="0" borderId="0" xfId="1" applyNumberFormat="1" applyFont="1" applyFill="1" applyBorder="1" applyAlignment="1">
      <alignment horizontal="center" vertical="center"/>
    </xf>
    <xf numFmtId="164" fontId="7" fillId="0" borderId="0" xfId="1" applyNumberFormat="1" applyFont="1" applyFill="1" applyBorder="1" applyAlignment="1">
      <alignment horizontal="center"/>
    </xf>
    <xf numFmtId="0" fontId="3" fillId="0" borderId="0" xfId="0" applyFont="1" applyFill="1" applyBorder="1" applyAlignment="1">
      <alignment horizontal="center"/>
    </xf>
    <xf numFmtId="9" fontId="2" fillId="0" borderId="0" xfId="2" applyFont="1" applyFill="1" applyBorder="1" applyAlignment="1">
      <alignment horizontal="center"/>
    </xf>
    <xf numFmtId="0" fontId="2" fillId="0" borderId="0" xfId="0" applyFont="1" applyFill="1" applyBorder="1"/>
    <xf numFmtId="164" fontId="2" fillId="0" borderId="0" xfId="1" applyNumberFormat="1" applyFont="1" applyFill="1" applyBorder="1"/>
    <xf numFmtId="0" fontId="2" fillId="0" borderId="0" xfId="0" applyFont="1" applyFill="1" applyBorder="1" applyAlignment="1">
      <alignment horizontal="center"/>
    </xf>
    <xf numFmtId="0" fontId="2" fillId="0" borderId="0" xfId="0" applyFont="1" applyAlignment="1">
      <alignment horizontal="center" vertical="center" wrapText="1"/>
    </xf>
    <xf numFmtId="0" fontId="2" fillId="2" borderId="1" xfId="0" applyFont="1" applyFill="1" applyBorder="1" applyAlignment="1">
      <alignment horizontal="center"/>
    </xf>
    <xf numFmtId="0" fontId="2" fillId="2" borderId="10" xfId="0" applyFont="1" applyFill="1" applyBorder="1" applyAlignment="1">
      <alignment horizontal="center"/>
    </xf>
    <xf numFmtId="0" fontId="2" fillId="2" borderId="11" xfId="0" applyFont="1" applyFill="1" applyBorder="1" applyAlignment="1">
      <alignment horizontal="center"/>
    </xf>
    <xf numFmtId="0" fontId="2" fillId="3" borderId="2" xfId="0" applyFont="1" applyFill="1" applyBorder="1" applyAlignment="1">
      <alignment horizontal="center"/>
    </xf>
    <xf numFmtId="0" fontId="2" fillId="3" borderId="5" xfId="0" applyFont="1" applyFill="1" applyBorder="1" applyAlignment="1">
      <alignment horizontal="center"/>
    </xf>
    <xf numFmtId="0" fontId="2" fillId="3" borderId="12" xfId="0" applyFont="1" applyFill="1" applyBorder="1" applyAlignment="1">
      <alignment horizontal="center"/>
    </xf>
    <xf numFmtId="0" fontId="2" fillId="3" borderId="13" xfId="0" applyFont="1" applyFill="1" applyBorder="1" applyAlignment="1">
      <alignment horizontal="center"/>
    </xf>
    <xf numFmtId="0" fontId="2" fillId="3" borderId="3" xfId="0" applyFont="1" applyFill="1" applyBorder="1" applyAlignment="1">
      <alignment horizontal="center"/>
    </xf>
    <xf numFmtId="0" fontId="2" fillId="3" borderId="14" xfId="0" applyFont="1" applyFill="1" applyBorder="1" applyAlignment="1">
      <alignment horizontal="center"/>
    </xf>
    <xf numFmtId="164" fontId="3" fillId="0" borderId="0" xfId="1" applyNumberFormat="1" applyFont="1" applyFill="1" applyBorder="1"/>
    <xf numFmtId="0" fontId="3" fillId="0" borderId="0" xfId="0" applyFont="1" applyFill="1" applyBorder="1" applyAlignment="1">
      <alignment horizontal="center" vertical="center" wrapText="1"/>
    </xf>
    <xf numFmtId="0" fontId="2" fillId="0" borderId="0" xfId="0" applyFont="1" applyBorder="1"/>
    <xf numFmtId="164" fontId="2" fillId="0" borderId="0" xfId="1" applyNumberFormat="1" applyFont="1" applyBorder="1"/>
    <xf numFmtId="0" fontId="7" fillId="0" borderId="0" xfId="0" applyFont="1" applyAlignment="1">
      <alignment horizontal="center" vertical="center" wrapText="1"/>
    </xf>
    <xf numFmtId="0" fontId="3" fillId="0" borderId="0" xfId="0" applyFont="1" applyAlignment="1">
      <alignment horizontal="left"/>
    </xf>
    <xf numFmtId="0" fontId="2" fillId="2" borderId="2" xfId="0" applyFont="1" applyFill="1" applyBorder="1" applyAlignment="1">
      <alignment horizontal="center"/>
    </xf>
    <xf numFmtId="0" fontId="2" fillId="2" borderId="5" xfId="0" applyFont="1" applyFill="1" applyBorder="1" applyAlignment="1">
      <alignment horizontal="center"/>
    </xf>
    <xf numFmtId="0" fontId="2" fillId="2" borderId="12" xfId="0" applyFont="1" applyFill="1" applyBorder="1" applyAlignment="1">
      <alignment horizontal="center"/>
    </xf>
    <xf numFmtId="164" fontId="2" fillId="4" borderId="0" xfId="1" applyNumberFormat="1" applyFont="1" applyFill="1" applyBorder="1"/>
    <xf numFmtId="164" fontId="3" fillId="4" borderId="15" xfId="1" applyNumberFormat="1" applyFont="1" applyFill="1" applyBorder="1"/>
    <xf numFmtId="164" fontId="2" fillId="5" borderId="0" xfId="1" applyNumberFormat="1" applyFont="1" applyFill="1" applyBorder="1"/>
    <xf numFmtId="164" fontId="3" fillId="5" borderId="15" xfId="1" applyNumberFormat="1" applyFont="1" applyFill="1" applyBorder="1"/>
    <xf numFmtId="164" fontId="3" fillId="0" borderId="15" xfId="1" applyNumberFormat="1" applyFont="1" applyBorder="1"/>
    <xf numFmtId="0" fontId="4" fillId="0" borderId="0" xfId="0" applyFont="1" applyBorder="1"/>
    <xf numFmtId="0" fontId="6" fillId="0" borderId="7" xfId="0" applyFont="1" applyFill="1" applyBorder="1" applyAlignment="1">
      <alignment horizontal="centerContinuous"/>
    </xf>
    <xf numFmtId="0" fontId="6" fillId="0" borderId="16" xfId="0" applyFont="1" applyFill="1" applyBorder="1" applyAlignment="1">
      <alignment horizontal="centerContinuous"/>
    </xf>
    <xf numFmtId="0" fontId="4" fillId="0" borderId="0" xfId="0" applyFont="1" applyFill="1" applyBorder="1"/>
    <xf numFmtId="164" fontId="7" fillId="6" borderId="17" xfId="1" applyNumberFormat="1" applyFont="1" applyFill="1" applyBorder="1"/>
    <xf numFmtId="164" fontId="7" fillId="6" borderId="18" xfId="1" applyNumberFormat="1" applyFont="1" applyFill="1" applyBorder="1"/>
    <xf numFmtId="164" fontId="7" fillId="6" borderId="19" xfId="1" applyNumberFormat="1" applyFont="1" applyFill="1" applyBorder="1"/>
    <xf numFmtId="43" fontId="2" fillId="0" borderId="0" xfId="1" applyFont="1"/>
    <xf numFmtId="164" fontId="3" fillId="5" borderId="0" xfId="1" applyNumberFormat="1" applyFont="1" applyFill="1" applyBorder="1"/>
    <xf numFmtId="9" fontId="2" fillId="2" borderId="11" xfId="2" applyFont="1" applyFill="1" applyBorder="1" applyAlignment="1">
      <alignment horizontal="right"/>
    </xf>
    <xf numFmtId="9" fontId="2" fillId="2" borderId="12" xfId="2" applyFont="1" applyFill="1" applyBorder="1"/>
    <xf numFmtId="9" fontId="2" fillId="2" borderId="14" xfId="2" applyFont="1" applyFill="1" applyBorder="1"/>
    <xf numFmtId="164" fontId="2" fillId="0" borderId="1" xfId="1" applyNumberFormat="1" applyFont="1" applyFill="1" applyBorder="1"/>
    <xf numFmtId="164" fontId="2" fillId="0" borderId="11" xfId="1" applyNumberFormat="1" applyFont="1" applyFill="1" applyBorder="1"/>
    <xf numFmtId="164" fontId="2" fillId="0" borderId="12" xfId="1" applyNumberFormat="1" applyFont="1" applyBorder="1"/>
    <xf numFmtId="164" fontId="2" fillId="0" borderId="14" xfId="1" applyNumberFormat="1" applyFont="1" applyBorder="1"/>
    <xf numFmtId="9" fontId="2" fillId="2" borderId="20" xfId="2" applyFont="1" applyFill="1" applyBorder="1" applyAlignment="1">
      <alignment horizontal="right"/>
    </xf>
    <xf numFmtId="9" fontId="2" fillId="2" borderId="21" xfId="2" applyFont="1" applyFill="1" applyBorder="1"/>
    <xf numFmtId="9" fontId="2" fillId="2" borderId="22" xfId="2" applyFont="1" applyFill="1" applyBorder="1"/>
    <xf numFmtId="164" fontId="2" fillId="2" borderId="11" xfId="1" applyNumberFormat="1" applyFont="1" applyFill="1" applyBorder="1" applyAlignment="1"/>
    <xf numFmtId="164" fontId="2" fillId="2" borderId="12" xfId="1" applyNumberFormat="1" applyFont="1" applyFill="1" applyBorder="1" applyAlignment="1"/>
    <xf numFmtId="164" fontId="2" fillId="2" borderId="14" xfId="1" applyNumberFormat="1" applyFont="1" applyFill="1" applyBorder="1" applyAlignment="1"/>
    <xf numFmtId="164" fontId="2" fillId="0" borderId="2" xfId="1" applyNumberFormat="1" applyFont="1" applyFill="1" applyBorder="1"/>
    <xf numFmtId="164" fontId="2" fillId="0" borderId="12" xfId="1" applyNumberFormat="1" applyFont="1" applyFill="1" applyBorder="1"/>
    <xf numFmtId="164" fontId="2" fillId="7" borderId="3" xfId="1" applyNumberFormat="1" applyFont="1" applyFill="1" applyBorder="1"/>
    <xf numFmtId="164" fontId="2" fillId="7" borderId="10" xfId="1" applyNumberFormat="1" applyFont="1" applyFill="1" applyBorder="1"/>
    <xf numFmtId="164" fontId="2" fillId="7" borderId="11" xfId="1" applyNumberFormat="1" applyFont="1" applyFill="1" applyBorder="1"/>
    <xf numFmtId="164" fontId="2" fillId="7" borderId="1" xfId="1" applyNumberFormat="1" applyFont="1" applyFill="1" applyBorder="1"/>
    <xf numFmtId="164" fontId="2" fillId="7" borderId="1" xfId="1" applyNumberFormat="1" applyFont="1" applyFill="1" applyBorder="1" applyAlignment="1">
      <alignment horizontal="center"/>
    </xf>
    <xf numFmtId="164" fontId="2" fillId="7" borderId="11" xfId="1" applyNumberFormat="1" applyFont="1" applyFill="1" applyBorder="1" applyAlignment="1">
      <alignment horizontal="left" vertical="center" wrapText="1" shrinkToFit="1"/>
    </xf>
    <xf numFmtId="164" fontId="7" fillId="7" borderId="17" xfId="1" applyNumberFormat="1" applyFont="1" applyFill="1" applyBorder="1" applyAlignment="1">
      <alignment horizontal="center" vertical="center"/>
    </xf>
    <xf numFmtId="0" fontId="7" fillId="0" borderId="0" xfId="0" applyFont="1" applyAlignment="1">
      <alignment horizontal="left" vertical="center" wrapText="1"/>
    </xf>
    <xf numFmtId="164" fontId="7" fillId="6" borderId="18" xfId="1" applyNumberFormat="1" applyFont="1" applyFill="1" applyBorder="1" applyAlignment="1">
      <alignment horizontal="center" vertical="center"/>
    </xf>
    <xf numFmtId="164" fontId="2" fillId="0" borderId="2" xfId="1" applyNumberFormat="1" applyFont="1" applyFill="1" applyBorder="1" applyAlignment="1">
      <alignment horizontal="center"/>
    </xf>
    <xf numFmtId="164" fontId="2" fillId="0" borderId="12" xfId="1" applyNumberFormat="1" applyFont="1" applyFill="1" applyBorder="1" applyAlignment="1">
      <alignment horizontal="center" vertical="center"/>
    </xf>
    <xf numFmtId="164" fontId="2" fillId="0" borderId="5" xfId="1" applyNumberFormat="1" applyFont="1" applyFill="1" applyBorder="1"/>
    <xf numFmtId="0" fontId="2" fillId="0" borderId="23" xfId="0" applyFont="1" applyBorder="1"/>
    <xf numFmtId="164" fontId="2" fillId="7" borderId="24" xfId="1" applyNumberFormat="1" applyFont="1" applyFill="1" applyBorder="1"/>
    <xf numFmtId="164" fontId="2" fillId="0" borderId="25" xfId="1" applyNumberFormat="1" applyFont="1" applyBorder="1"/>
    <xf numFmtId="164" fontId="2" fillId="7" borderId="26" xfId="1" applyNumberFormat="1" applyFont="1" applyFill="1" applyBorder="1"/>
    <xf numFmtId="164" fontId="2" fillId="7" borderId="13" xfId="1" applyNumberFormat="1" applyFont="1" applyFill="1" applyBorder="1"/>
    <xf numFmtId="164" fontId="2" fillId="7" borderId="5" xfId="1" applyNumberFormat="1" applyFont="1" applyFill="1" applyBorder="1"/>
    <xf numFmtId="164" fontId="2" fillId="7" borderId="12" xfId="1" applyNumberFormat="1" applyFont="1" applyFill="1" applyBorder="1"/>
    <xf numFmtId="0" fontId="3" fillId="0" borderId="0" xfId="0" applyFont="1" applyAlignment="1">
      <alignment horizontal="left" indent="2"/>
    </xf>
    <xf numFmtId="0" fontId="3" fillId="0" borderId="0" xfId="0" applyFont="1" applyFill="1" applyBorder="1" applyAlignment="1">
      <alignment horizontal="left"/>
    </xf>
    <xf numFmtId="0" fontId="3" fillId="0" borderId="0" xfId="0" applyFont="1" applyBorder="1"/>
    <xf numFmtId="0" fontId="3" fillId="0" borderId="0" xfId="0" applyFont="1" applyBorder="1" applyAlignment="1">
      <alignment horizontal="left"/>
    </xf>
    <xf numFmtId="0" fontId="2" fillId="0" borderId="0" xfId="0" applyFont="1" applyBorder="1" applyAlignment="1">
      <alignment horizontal="left"/>
    </xf>
    <xf numFmtId="0" fontId="2" fillId="0" borderId="0" xfId="0" applyFont="1" applyBorder="1" applyAlignment="1">
      <alignment horizontal="left" vertical="center"/>
    </xf>
    <xf numFmtId="0" fontId="0" fillId="0" borderId="23" xfId="0" applyBorder="1" applyAlignment="1"/>
    <xf numFmtId="0" fontId="7" fillId="0" borderId="0" xfId="0" applyFont="1" applyBorder="1"/>
    <xf numFmtId="0" fontId="2" fillId="0" borderId="23" xfId="0" applyFont="1" applyBorder="1" applyAlignment="1">
      <alignment horizontal="left" indent="2"/>
    </xf>
    <xf numFmtId="0" fontId="2" fillId="0" borderId="23" xfId="0" applyFont="1" applyBorder="1" applyAlignment="1">
      <alignment horizontal="left" vertical="center" wrapText="1" indent="2" shrinkToFit="1"/>
    </xf>
    <xf numFmtId="0" fontId="0" fillId="0" borderId="0" xfId="0" applyBorder="1" applyAlignment="1"/>
    <xf numFmtId="0" fontId="2" fillId="0" borderId="0" xfId="0" applyFont="1" applyFill="1" applyBorder="1" applyAlignment="1">
      <alignment horizontal="left"/>
    </xf>
    <xf numFmtId="164" fontId="2" fillId="2" borderId="1" xfId="1" applyNumberFormat="1" applyFont="1" applyFill="1" applyBorder="1" applyAlignment="1"/>
    <xf numFmtId="164" fontId="2" fillId="2" borderId="2" xfId="1" applyNumberFormat="1" applyFont="1" applyFill="1" applyBorder="1" applyAlignment="1"/>
    <xf numFmtId="164" fontId="2" fillId="2" borderId="3" xfId="1" applyNumberFormat="1" applyFont="1" applyFill="1" applyBorder="1" applyAlignment="1"/>
    <xf numFmtId="164" fontId="2" fillId="2" borderId="10" xfId="1" applyNumberFormat="1" applyFont="1" applyFill="1" applyBorder="1" applyAlignment="1"/>
    <xf numFmtId="164" fontId="2" fillId="2" borderId="5" xfId="1" applyNumberFormat="1" applyFont="1" applyFill="1" applyBorder="1" applyAlignment="1"/>
    <xf numFmtId="164" fontId="2" fillId="2" borderId="13" xfId="1" applyNumberFormat="1" applyFont="1" applyFill="1" applyBorder="1" applyAlignment="1"/>
    <xf numFmtId="0" fontId="2" fillId="0" borderId="0" xfId="0" applyFont="1" applyFill="1" applyBorder="1" applyAlignment="1">
      <alignment horizontal="left" vertical="center"/>
    </xf>
    <xf numFmtId="0" fontId="2" fillId="0" borderId="0" xfId="0" applyFont="1" applyBorder="1" applyAlignment="1">
      <alignment horizontal="left" vertical="center" wrapText="1" indent="2" shrinkToFit="1"/>
    </xf>
    <xf numFmtId="164" fontId="2" fillId="7" borderId="20" xfId="1" applyNumberFormat="1" applyFont="1" applyFill="1" applyBorder="1" applyAlignment="1">
      <alignment horizontal="left" vertical="center" wrapText="1" shrinkToFit="1"/>
    </xf>
    <xf numFmtId="164" fontId="2" fillId="0" borderId="21" xfId="1" applyNumberFormat="1" applyFont="1" applyFill="1" applyBorder="1" applyAlignment="1">
      <alignment horizontal="center" vertical="center"/>
    </xf>
    <xf numFmtId="9" fontId="2" fillId="7" borderId="11" xfId="2" applyFont="1" applyFill="1" applyBorder="1" applyAlignment="1">
      <alignment horizontal="center"/>
    </xf>
    <xf numFmtId="9" fontId="2" fillId="0" borderId="12" xfId="2" applyFont="1" applyBorder="1" applyAlignment="1">
      <alignment horizontal="center"/>
    </xf>
    <xf numFmtId="9" fontId="2" fillId="0" borderId="14" xfId="2" applyFont="1" applyBorder="1" applyAlignment="1">
      <alignment horizontal="center"/>
    </xf>
    <xf numFmtId="164" fontId="2" fillId="0" borderId="15" xfId="1" applyNumberFormat="1" applyFont="1" applyBorder="1" applyAlignment="1">
      <alignment horizontal="center"/>
    </xf>
    <xf numFmtId="164" fontId="2" fillId="0" borderId="15" xfId="1" applyNumberFormat="1" applyFont="1" applyFill="1" applyBorder="1" applyAlignment="1">
      <alignment horizontal="center"/>
    </xf>
    <xf numFmtId="164" fontId="2" fillId="2" borderId="17" xfId="1" applyNumberFormat="1" applyFont="1" applyFill="1" applyBorder="1"/>
    <xf numFmtId="164" fontId="2" fillId="2" borderId="18" xfId="1" applyNumberFormat="1" applyFont="1" applyFill="1" applyBorder="1"/>
    <xf numFmtId="164" fontId="2" fillId="2" borderId="19" xfId="1" applyNumberFormat="1" applyFont="1" applyFill="1" applyBorder="1"/>
    <xf numFmtId="164" fontId="2" fillId="7" borderId="17" xfId="1" applyNumberFormat="1" applyFont="1" applyFill="1" applyBorder="1"/>
    <xf numFmtId="164" fontId="2" fillId="0" borderId="18" xfId="1" applyNumberFormat="1" applyFont="1" applyBorder="1"/>
    <xf numFmtId="0" fontId="2" fillId="0" borderId="0" xfId="0" applyFont="1" applyBorder="1" applyAlignment="1">
      <alignment horizontal="left" indent="2"/>
    </xf>
    <xf numFmtId="0" fontId="3" fillId="0" borderId="0" xfId="0" applyFont="1" applyFill="1" applyBorder="1" applyAlignment="1">
      <alignment horizontal="left" indent="2"/>
    </xf>
    <xf numFmtId="0" fontId="8" fillId="0" borderId="0" xfId="3" applyFont="1"/>
    <xf numFmtId="0" fontId="9" fillId="0" borderId="0" xfId="3" applyFont="1"/>
    <xf numFmtId="0" fontId="10" fillId="0" borderId="0" xfId="3" applyFont="1" applyAlignment="1">
      <alignment horizontal="center"/>
    </xf>
    <xf numFmtId="0" fontId="10" fillId="0" borderId="0" xfId="3" applyFont="1"/>
    <xf numFmtId="164" fontId="10" fillId="0" borderId="1" xfId="1" applyNumberFormat="1" applyFont="1" applyBorder="1"/>
    <xf numFmtId="164" fontId="10" fillId="0" borderId="2" xfId="1" applyNumberFormat="1" applyFont="1" applyBorder="1"/>
    <xf numFmtId="164" fontId="10" fillId="0" borderId="3" xfId="1" applyNumberFormat="1" applyFont="1" applyBorder="1"/>
    <xf numFmtId="164" fontId="10" fillId="0" borderId="10" xfId="1" applyNumberFormat="1" applyFont="1" applyBorder="1"/>
    <xf numFmtId="164" fontId="10" fillId="0" borderId="5" xfId="1" applyNumberFormat="1" applyFont="1" applyBorder="1"/>
    <xf numFmtId="164" fontId="10" fillId="0" borderId="13" xfId="1" applyNumberFormat="1" applyFont="1" applyBorder="1"/>
    <xf numFmtId="164" fontId="10" fillId="0" borderId="11" xfId="1" applyNumberFormat="1" applyFont="1" applyBorder="1"/>
    <xf numFmtId="164" fontId="10" fillId="0" borderId="12" xfId="1" applyNumberFormat="1" applyFont="1" applyBorder="1"/>
    <xf numFmtId="164" fontId="10" fillId="0" borderId="14" xfId="1" applyNumberFormat="1" applyFont="1" applyBorder="1"/>
    <xf numFmtId="0" fontId="11" fillId="0" borderId="0" xfId="3" applyFont="1"/>
    <xf numFmtId="164" fontId="11" fillId="0" borderId="0" xfId="1" applyNumberFormat="1" applyFont="1"/>
    <xf numFmtId="0" fontId="12" fillId="0" borderId="0" xfId="3" applyFont="1" applyAlignment="1">
      <alignment horizontal="left"/>
    </xf>
    <xf numFmtId="0" fontId="12" fillId="0" borderId="0" xfId="3" applyFont="1" applyAlignment="1">
      <alignment horizontal="center"/>
    </xf>
    <xf numFmtId="0" fontId="10" fillId="0" borderId="6" xfId="3" applyFont="1" applyBorder="1"/>
    <xf numFmtId="0" fontId="10" fillId="0" borderId="8" xfId="3" applyFont="1" applyBorder="1"/>
    <xf numFmtId="0" fontId="2" fillId="2" borderId="9" xfId="0" applyFont="1" applyFill="1" applyBorder="1"/>
    <xf numFmtId="14" fontId="2" fillId="3" borderId="2" xfId="0" applyNumberFormat="1" applyFont="1" applyFill="1" applyBorder="1" applyAlignment="1">
      <alignment horizontal="center"/>
    </xf>
    <xf numFmtId="14" fontId="2" fillId="3" borderId="5" xfId="0" applyNumberFormat="1" applyFont="1" applyFill="1" applyBorder="1" applyAlignment="1">
      <alignment horizontal="center"/>
    </xf>
    <xf numFmtId="164" fontId="2" fillId="0" borderId="0" xfId="0" applyNumberFormat="1" applyFont="1"/>
    <xf numFmtId="0" fontId="13" fillId="8" borderId="0" xfId="0" applyFont="1" applyFill="1"/>
    <xf numFmtId="164" fontId="13" fillId="8" borderId="0" xfId="1" applyNumberFormat="1" applyFont="1" applyFill="1"/>
    <xf numFmtId="0" fontId="2" fillId="0" borderId="0" xfId="0" applyFont="1" applyAlignment="1">
      <alignment vertical="center" wrapText="1"/>
    </xf>
    <xf numFmtId="164" fontId="2" fillId="7" borderId="2" xfId="1" applyNumberFormat="1" applyFont="1" applyFill="1" applyBorder="1"/>
    <xf numFmtId="164" fontId="2" fillId="0" borderId="10" xfId="1" applyNumberFormat="1" applyFont="1" applyFill="1" applyBorder="1"/>
    <xf numFmtId="164" fontId="2" fillId="8" borderId="13" xfId="1" applyNumberFormat="1" applyFont="1" applyFill="1" applyBorder="1"/>
    <xf numFmtId="164" fontId="2" fillId="9" borderId="14" xfId="1" applyNumberFormat="1" applyFont="1" applyFill="1" applyBorder="1"/>
    <xf numFmtId="1" fontId="2" fillId="0" borderId="0" xfId="0" applyNumberFormat="1" applyFont="1"/>
    <xf numFmtId="0" fontId="2" fillId="0" borderId="0" xfId="0" applyFont="1" applyBorder="1" applyAlignment="1">
      <alignment horizontal="left" vertical="center" wrapText="1"/>
    </xf>
    <xf numFmtId="0" fontId="14" fillId="0" borderId="0" xfId="0" applyFont="1" applyAlignment="1">
      <alignment vertical="center"/>
    </xf>
    <xf numFmtId="17" fontId="2" fillId="3" borderId="5" xfId="0" applyNumberFormat="1" applyFont="1" applyFill="1" applyBorder="1" applyAlignment="1">
      <alignment horizontal="center"/>
    </xf>
    <xf numFmtId="164" fontId="2" fillId="7" borderId="0" xfId="1" applyNumberFormat="1" applyFont="1" applyFill="1" applyBorder="1"/>
    <xf numFmtId="164" fontId="2" fillId="9" borderId="0" xfId="1" applyNumberFormat="1" applyFont="1" applyFill="1" applyBorder="1"/>
    <xf numFmtId="37" fontId="10" fillId="0" borderId="10" xfId="1" applyNumberFormat="1" applyFont="1" applyBorder="1"/>
    <xf numFmtId="164" fontId="2" fillId="0" borderId="6" xfId="1" applyNumberFormat="1" applyFont="1" applyFill="1" applyBorder="1"/>
    <xf numFmtId="0" fontId="2" fillId="0" borderId="28" xfId="0" applyFont="1" applyBorder="1" applyAlignment="1">
      <alignment horizontal="left" vertical="center" wrapText="1"/>
    </xf>
    <xf numFmtId="164" fontId="2" fillId="0" borderId="26" xfId="1" applyNumberFormat="1" applyFont="1" applyFill="1" applyBorder="1"/>
    <xf numFmtId="164" fontId="2" fillId="0" borderId="13" xfId="1" applyNumberFormat="1" applyFont="1" applyFill="1" applyBorder="1"/>
    <xf numFmtId="166" fontId="7" fillId="6" borderId="18" xfId="1" applyNumberFormat="1" applyFont="1" applyFill="1" applyBorder="1" applyAlignment="1">
      <alignment horizontal="center" vertical="center"/>
    </xf>
    <xf numFmtId="166" fontId="2" fillId="0" borderId="1" xfId="1" applyNumberFormat="1" applyFont="1" applyFill="1" applyBorder="1"/>
    <xf numFmtId="166" fontId="2" fillId="0" borderId="2" xfId="1" applyNumberFormat="1" applyFont="1" applyBorder="1"/>
    <xf numFmtId="166" fontId="2" fillId="0" borderId="25" xfId="1" applyNumberFormat="1" applyFont="1" applyBorder="1"/>
    <xf numFmtId="166" fontId="3" fillId="5" borderId="0" xfId="1" applyNumberFormat="1" applyFont="1" applyFill="1" applyBorder="1"/>
    <xf numFmtId="165" fontId="4" fillId="2" borderId="27" xfId="0" applyNumberFormat="1" applyFont="1" applyFill="1" applyBorder="1" applyAlignment="1">
      <alignment horizontal="center" vertical="center"/>
    </xf>
    <xf numFmtId="165" fontId="4" fillId="2" borderId="16" xfId="0" applyNumberFormat="1" applyFont="1" applyFill="1" applyBorder="1" applyAlignment="1">
      <alignment horizontal="center" vertical="center"/>
    </xf>
    <xf numFmtId="0" fontId="2" fillId="0" borderId="0" xfId="0" quotePrefix="1" applyFont="1" applyAlignment="1">
      <alignment horizontal="left" vertical="center" wrapText="1"/>
    </xf>
    <xf numFmtId="0" fontId="2" fillId="0" borderId="0" xfId="0" applyFont="1" applyAlignment="1">
      <alignment horizontal="left" wrapText="1"/>
    </xf>
    <xf numFmtId="0" fontId="2" fillId="0" borderId="0" xfId="0" applyFont="1" applyAlignment="1">
      <alignment horizontal="left" vertical="center" wrapText="1"/>
    </xf>
    <xf numFmtId="43" fontId="6" fillId="2" borderId="29" xfId="0" applyNumberFormat="1" applyFont="1" applyFill="1" applyBorder="1" applyAlignment="1">
      <alignment horizontal="center" vertical="center"/>
    </xf>
    <xf numFmtId="43" fontId="6" fillId="2" borderId="0" xfId="0" applyNumberFormat="1" applyFont="1" applyFill="1" applyBorder="1" applyAlignment="1">
      <alignment horizontal="center" vertical="center"/>
    </xf>
    <xf numFmtId="0" fontId="2" fillId="0" borderId="28" xfId="0" applyFont="1" applyBorder="1" applyAlignment="1">
      <alignment horizontal="left" vertical="center" wrapText="1"/>
    </xf>
    <xf numFmtId="0" fontId="2" fillId="0" borderId="28" xfId="0" applyFont="1" applyBorder="1" applyAlignment="1">
      <alignment horizontal="left" vertical="top" wrapText="1"/>
    </xf>
    <xf numFmtId="0" fontId="2" fillId="0" borderId="28" xfId="0" applyFont="1" applyBorder="1" applyAlignment="1">
      <alignment horizontal="center" vertical="center" wrapText="1"/>
    </xf>
    <xf numFmtId="0" fontId="2" fillId="0" borderId="0" xfId="0" applyFont="1" applyBorder="1" applyAlignment="1">
      <alignment horizontal="center" vertical="center" wrapText="1"/>
    </xf>
  </cellXfs>
  <cellStyles count="4">
    <cellStyle name="Comma" xfId="1" builtinId="3"/>
    <cellStyle name="Normal" xfId="0" builtinId="0"/>
    <cellStyle name="Normal 2" xfId="3"/>
    <cellStyle name="Percent" xfId="2" builtinId="5"/>
  </cellStyles>
  <dxfs count="2">
    <dxf>
      <font>
        <condense val="0"/>
        <extend val="0"/>
        <color indexed="10"/>
      </font>
    </dxf>
    <dxf>
      <font>
        <condense val="0"/>
        <extend val="0"/>
        <color indexed="10"/>
      </font>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N45"/>
  <sheetViews>
    <sheetView showGridLines="0" view="pageBreakPreview" zoomScale="115" zoomScaleNormal="100" zoomScaleSheetLayoutView="115" workbookViewId="0">
      <selection activeCell="G9" sqref="G9"/>
    </sheetView>
  </sheetViews>
  <sheetFormatPr defaultColWidth="12.140625" defaultRowHeight="15" x14ac:dyDescent="0.25"/>
  <cols>
    <col min="1" max="1" width="42.42578125" style="1" customWidth="1"/>
    <col min="2" max="8" width="16.42578125" style="1" customWidth="1"/>
    <col min="9" max="16384" width="12.140625" style="1"/>
  </cols>
  <sheetData>
    <row r="1" spans="1:14" x14ac:dyDescent="0.25">
      <c r="B1" s="15"/>
    </row>
    <row r="2" spans="1:14" ht="21" x14ac:dyDescent="0.35">
      <c r="A2" s="16" t="s">
        <v>3</v>
      </c>
      <c r="B2" s="181" t="s">
        <v>53</v>
      </c>
      <c r="C2" s="182"/>
      <c r="D2" s="182"/>
      <c r="E2" s="182"/>
      <c r="F2" s="182"/>
      <c r="G2" s="182"/>
      <c r="H2" s="182"/>
    </row>
    <row r="3" spans="1:14" x14ac:dyDescent="0.25">
      <c r="B3" s="15"/>
      <c r="J3" s="60"/>
    </row>
    <row r="4" spans="1:14" ht="18.75" x14ac:dyDescent="0.3">
      <c r="A4" s="9" t="s">
        <v>5</v>
      </c>
      <c r="B4" s="176">
        <v>42886</v>
      </c>
      <c r="C4" s="177"/>
      <c r="J4" s="60"/>
    </row>
    <row r="5" spans="1:14" x14ac:dyDescent="0.25">
      <c r="B5" s="15"/>
      <c r="J5" s="60"/>
    </row>
    <row r="6" spans="1:14" ht="18.75" x14ac:dyDescent="0.3">
      <c r="A6" s="9" t="s">
        <v>97</v>
      </c>
      <c r="B6" s="2">
        <f>C6 - 1</f>
        <v>2012</v>
      </c>
      <c r="C6" s="2">
        <f>'Facility Detail'!$B$604</f>
        <v>2013</v>
      </c>
      <c r="D6" s="2">
        <f>C6+1</f>
        <v>2014</v>
      </c>
      <c r="E6" s="2">
        <f>D6+1</f>
        <v>2015</v>
      </c>
      <c r="F6" s="2">
        <f>E6+1</f>
        <v>2016</v>
      </c>
      <c r="G6" s="2">
        <f>F6+1</f>
        <v>2017</v>
      </c>
      <c r="H6" s="2">
        <f>G6+1</f>
        <v>2018</v>
      </c>
      <c r="J6" s="60"/>
      <c r="K6" s="24"/>
      <c r="L6" s="24"/>
      <c r="M6" s="24"/>
      <c r="N6" s="24"/>
    </row>
    <row r="7" spans="1:14" x14ac:dyDescent="0.25">
      <c r="A7" s="104" t="s">
        <v>26</v>
      </c>
      <c r="B7" s="11">
        <v>5602601</v>
      </c>
      <c r="C7" s="11">
        <v>5513396</v>
      </c>
      <c r="D7" s="11">
        <v>5685958</v>
      </c>
      <c r="E7" s="12">
        <v>5732025</v>
      </c>
      <c r="F7" s="12">
        <v>5521300</v>
      </c>
      <c r="G7" s="12">
        <v>5761469</v>
      </c>
      <c r="H7" s="12">
        <v>5755750</v>
      </c>
      <c r="I7" s="153"/>
      <c r="J7" s="153"/>
      <c r="K7" s="153"/>
      <c r="L7" s="153"/>
      <c r="M7" s="153"/>
      <c r="N7" s="17"/>
    </row>
    <row r="8" spans="1:14" x14ac:dyDescent="0.25">
      <c r="A8" s="104" t="s">
        <v>9</v>
      </c>
      <c r="B8" s="118"/>
      <c r="C8" s="119">
        <v>0.03</v>
      </c>
      <c r="D8" s="119">
        <v>0.03</v>
      </c>
      <c r="E8" s="120">
        <v>0.03</v>
      </c>
      <c r="F8" s="120">
        <v>0.09</v>
      </c>
      <c r="G8" s="120">
        <v>0.09</v>
      </c>
      <c r="H8" s="120">
        <v>0.09</v>
      </c>
      <c r="I8" s="153"/>
      <c r="J8" s="153"/>
      <c r="K8" s="153"/>
      <c r="L8" s="153"/>
      <c r="M8" s="153"/>
      <c r="N8" s="25"/>
    </row>
    <row r="9" spans="1:14" x14ac:dyDescent="0.25">
      <c r="A9" s="96" t="s">
        <v>7</v>
      </c>
      <c r="B9" s="122"/>
      <c r="C9" s="121">
        <v>166047</v>
      </c>
      <c r="D9" s="121">
        <f>ROUND( IF( SUM(B7:C7) = 0, 0, AVERAGE(B7:C7) * D8 ),0)</f>
        <v>166740</v>
      </c>
      <c r="E9" s="121">
        <f t="shared" ref="E9" si="0">ROUND( IF( SUM(C7:D7) = 0, 0, AVERAGE(C7:D7) * E8 ),0)</f>
        <v>167990</v>
      </c>
      <c r="F9" s="121">
        <f t="shared" ref="F9" si="1">ROUND( IF( SUM(D7:E7) = 0, 0, AVERAGE(D7:E7) * F8 ),0)</f>
        <v>513809</v>
      </c>
      <c r="G9" s="121">
        <f>ROUND( IF( SUM(E7:F7) = 0, 0, AVERAGE(E7:F7) * G8 ),0)</f>
        <v>506400</v>
      </c>
      <c r="H9" s="121">
        <f>ROUND( IF( SUM(F7:G7) = 0, 0, AVERAGE(F7:G7) * H8 ),0)</f>
        <v>507725</v>
      </c>
      <c r="I9" s="153"/>
      <c r="J9" s="153"/>
      <c r="K9" s="153"/>
      <c r="L9" s="153"/>
      <c r="M9" s="154"/>
      <c r="N9" s="25"/>
    </row>
    <row r="10" spans="1:14" x14ac:dyDescent="0.25">
      <c r="D10" s="160"/>
      <c r="E10" s="160"/>
      <c r="F10" s="160"/>
      <c r="G10" s="160"/>
      <c r="H10" s="160"/>
      <c r="I10" s="153"/>
      <c r="J10" s="153"/>
      <c r="K10" s="153"/>
      <c r="L10" s="153"/>
      <c r="M10" s="154"/>
      <c r="N10" s="26"/>
    </row>
    <row r="11" spans="1:14" ht="18.75" x14ac:dyDescent="0.3">
      <c r="A11" s="9" t="s">
        <v>93</v>
      </c>
      <c r="B11" s="2">
        <f>C11 - 1</f>
        <v>2012</v>
      </c>
      <c r="C11" s="2">
        <f>'Facility Detail'!$B$604</f>
        <v>2013</v>
      </c>
      <c r="D11" s="2">
        <f>C11+1</f>
        <v>2014</v>
      </c>
      <c r="E11" s="2">
        <f>D11+1</f>
        <v>2015</v>
      </c>
      <c r="F11" s="2">
        <f t="shared" ref="F11" si="2">E11+1</f>
        <v>2016</v>
      </c>
      <c r="G11" s="2">
        <f>F11+1</f>
        <v>2017</v>
      </c>
      <c r="H11" s="2">
        <f>G11+1</f>
        <v>2018</v>
      </c>
      <c r="I11" s="153"/>
      <c r="J11" s="153"/>
      <c r="K11" s="153"/>
      <c r="L11" s="153"/>
      <c r="M11" s="154"/>
      <c r="N11" s="26"/>
    </row>
    <row r="12" spans="1:14" x14ac:dyDescent="0.25">
      <c r="A12" s="104" t="s">
        <v>46</v>
      </c>
      <c r="B12" s="80"/>
      <c r="C12" s="13">
        <f xml:space="preserve"> 'Facility Detail'!D42 + 'Facility Detail'!D79 + 'Facility Detail'!D115 + 'Facility Detail'!D151 + 'Facility Detail'!D187 + 'Facility Detail'!D223 + 'Facility Detail'!D259 + 'Facility Detail'!D295 + 'Facility Detail'!D331 + 'Facility Detail'!D367 + 'Facility Detail'!D403 + 'Facility Detail'!D441</f>
        <v>488232</v>
      </c>
      <c r="D12" s="13">
        <f xml:space="preserve"> 'Facility Detail'!E42 + 'Facility Detail'!E79 + 'Facility Detail'!E115 + 'Facility Detail'!E151 + 'Facility Detail'!E187 + 'Facility Detail'!E223 + 'Facility Detail'!E259 + 'Facility Detail'!E295 + 'Facility Detail'!E331 + 'Facility Detail'!E367 + 'Facility Detail'!E403 + 'Facility Detail'!E441</f>
        <v>505380</v>
      </c>
      <c r="E12" s="13">
        <f xml:space="preserve"> 'Facility Detail'!F42 + 'Facility Detail'!F79 + 'Facility Detail'!F115 + 'Facility Detail'!F151 + 'Facility Detail'!F187 + 'Facility Detail'!F223 + 'Facility Detail'!F259 + 'Facility Detail'!F295 + 'Facility Detail'!F331 + 'Facility Detail'!F367 + 'Facility Detail'!F403 + 'Facility Detail'!F441</f>
        <v>513652</v>
      </c>
      <c r="F12" s="173">
        <f xml:space="preserve"> 'Facility Detail'!G42 + 'Facility Detail'!G79 + 'Facility Detail'!G115 + 'Facility Detail'!G151 + 'Facility Detail'!G187 + 'Facility Detail'!G223 + 'Facility Detail'!G259 + 'Facility Detail'!G295 + 'Facility Detail'!G331 + 'Facility Detail'!G367 + 'Facility Detail'!G403 + 'Facility Detail'!G441+'Facility Detail'!G477+'Facility Detail'!G513+'Facility Detail'!G549</f>
        <v>845122</v>
      </c>
      <c r="G12" s="13">
        <f xml:space="preserve"> 'Facility Detail'!H42 + 'Facility Detail'!H79 + 'Facility Detail'!H115 + 'Facility Detail'!H151 + 'Facility Detail'!H187 + 'Facility Detail'!H223 + 'Facility Detail'!H259 + 'Facility Detail'!H295 + 'Facility Detail'!H331 + 'Facility Detail'!H367 + 'Facility Detail'!H403 + 'Facility Detail'!H441+'Facility Detail'!H477+'Facility Detail'!H513+'Facility Detail'!H549</f>
        <v>794612</v>
      </c>
      <c r="H12" s="13">
        <f xml:space="preserve"> 'Facility Detail'!I42 + 'Facility Detail'!I79 + 'Facility Detail'!I115 + 'Facility Detail'!I151 + 'Facility Detail'!I187 + 'Facility Detail'!I223 + 'Facility Detail'!I259 + 'Facility Detail'!I295 + 'Facility Detail'!I331 + 'Facility Detail'!I367 + 'Facility Detail'!I403 + 'Facility Detail'!I441+'Facility Detail'!I477+'Facility Detail'!I513+'Facility Detail'!I549</f>
        <v>794612</v>
      </c>
      <c r="I12" s="153"/>
      <c r="J12" s="153"/>
      <c r="K12" s="153"/>
      <c r="L12" s="153"/>
      <c r="M12" s="154"/>
      <c r="N12" s="27"/>
    </row>
    <row r="13" spans="1:14" x14ac:dyDescent="0.25">
      <c r="A13" s="104" t="s">
        <v>44</v>
      </c>
      <c r="B13" s="90"/>
      <c r="C13" s="91">
        <f xml:space="preserve"> 'Facility Detail'!D47 + 'Facility Detail'!D84 + 'Facility Detail'!D120 + 'Facility Detail'!D156 + 'Facility Detail'!D192 + 'Facility Detail'!D228 + 'Facility Detail'!D264 + 'Facility Detail'!D300 + 'Facility Detail'!D336 + 'Facility Detail'!D372 + 'Facility Detail'!D408 + 'Facility Detail'!D452</f>
        <v>59405.4</v>
      </c>
      <c r="D13" s="91">
        <f xml:space="preserve"> 'Facility Detail'!E47 + 'Facility Detail'!E84 + 'Facility Detail'!E120 + 'Facility Detail'!E156 + 'Facility Detail'!E192 + 'Facility Detail'!E228 + 'Facility Detail'!E264 + 'Facility Detail'!E300 + 'Facility Detail'!E336 + 'Facility Detail'!E372 + 'Facility Detail'!E408 + 'Facility Detail'!E452</f>
        <v>67058.2</v>
      </c>
      <c r="E13" s="91">
        <f xml:space="preserve"> 'Facility Detail'!F47 + 'Facility Detail'!F84 + 'Facility Detail'!F120 + 'Facility Detail'!F156 + 'Facility Detail'!F192 + 'Facility Detail'!F228 + 'Facility Detail'!F264 + 'Facility Detail'!F300 + 'Facility Detail'!F336 + 'Facility Detail'!F372 + 'Facility Detail'!F408 + 'Facility Detail'!F452</f>
        <v>58712.600000000006</v>
      </c>
      <c r="F13" s="174">
        <f xml:space="preserve"> 'Facility Detail'!G47 + 'Facility Detail'!G84 + 'Facility Detail'!G120 + 'Facility Detail'!G156 + 'Facility Detail'!G192 + 'Facility Detail'!G228 + 'Facility Detail'!G264 + 'Facility Detail'!G300 + 'Facility Detail'!G336 + 'Facility Detail'!G372 + 'Facility Detail'!G408 + 'Facility Detail'!G452</f>
        <v>69954</v>
      </c>
      <c r="G13" s="91">
        <f xml:space="preserve"> 'Facility Detail'!H47 + 'Facility Detail'!H84 + 'Facility Detail'!H120 + 'Facility Detail'!H156 + 'Facility Detail'!H192 + 'Facility Detail'!H228 + 'Facility Detail'!H264 + 'Facility Detail'!H300 + 'Facility Detail'!H336 + 'Facility Detail'!H372 + 'Facility Detail'!H408 +'Facility Detail'!H446+'Facility Detail'!H482+'Facility Detail'!H518+'Facility Detail'!H554</f>
        <v>63086</v>
      </c>
      <c r="H13" s="91">
        <f xml:space="preserve"> 'Facility Detail'!I47 + 'Facility Detail'!I84 + 'Facility Detail'!I120 + 'Facility Detail'!I156 + 'Facility Detail'!I192 + 'Facility Detail'!I228 + 'Facility Detail'!I264 + 'Facility Detail'!I300 + 'Facility Detail'!I336 + 'Facility Detail'!I372 + 'Facility Detail'!I408 +'Facility Detail'!I446+'Facility Detail'!I482+'Facility Detail'!I518+'Facility Detail'!I554</f>
        <v>63086</v>
      </c>
      <c r="I13" s="27"/>
      <c r="J13" s="27"/>
      <c r="K13" s="27"/>
      <c r="L13" s="27"/>
      <c r="M13" s="27"/>
      <c r="N13" s="27"/>
    </row>
    <row r="14" spans="1:14" x14ac:dyDescent="0.25">
      <c r="A14" s="96" t="s">
        <v>37</v>
      </c>
      <c r="B14" s="61"/>
      <c r="C14" s="61">
        <f>SUM(C12:C13)</f>
        <v>547637.4</v>
      </c>
      <c r="D14" s="61">
        <f>SUM(D12:D13)</f>
        <v>572438.19999999995</v>
      </c>
      <c r="E14" s="61">
        <f t="shared" ref="E14:G14" si="3">SUM(E12:E13)</f>
        <v>572364.6</v>
      </c>
      <c r="F14" s="175">
        <f t="shared" si="3"/>
        <v>915076</v>
      </c>
      <c r="G14" s="61">
        <f t="shared" si="3"/>
        <v>857698</v>
      </c>
      <c r="H14" s="61">
        <f t="shared" ref="H14" si="4">SUM(H12:H13)</f>
        <v>857698</v>
      </c>
      <c r="I14" s="27"/>
      <c r="J14" s="27"/>
      <c r="K14" s="27"/>
      <c r="L14" s="27"/>
      <c r="M14" s="27"/>
      <c r="N14" s="27"/>
    </row>
    <row r="15" spans="1:14" x14ac:dyDescent="0.25">
      <c r="A15" s="6"/>
      <c r="B15" s="61"/>
      <c r="C15" s="61"/>
      <c r="D15" s="61"/>
      <c r="E15" s="61"/>
      <c r="F15" s="61"/>
      <c r="G15" s="61"/>
      <c r="H15" s="61"/>
      <c r="I15" s="27"/>
      <c r="J15" s="27"/>
      <c r="K15" s="27"/>
      <c r="L15" s="27"/>
      <c r="M15" s="27"/>
      <c r="N15" s="27"/>
    </row>
    <row r="16" spans="1:14" ht="18.75" x14ac:dyDescent="0.3">
      <c r="A16" s="53" t="s">
        <v>98</v>
      </c>
      <c r="B16" s="2">
        <f>C16 - 1</f>
        <v>2012</v>
      </c>
      <c r="C16" s="2">
        <f>'Facility Detail'!$B$604</f>
        <v>2013</v>
      </c>
      <c r="D16" s="2">
        <f>C16+1</f>
        <v>2014</v>
      </c>
      <c r="E16" s="2">
        <f t="shared" ref="E16" si="5">D16+1</f>
        <v>2015</v>
      </c>
      <c r="F16" s="2">
        <f t="shared" ref="F16" si="6">E16+1</f>
        <v>2016</v>
      </c>
      <c r="G16" s="2">
        <f>F16+1</f>
        <v>2017</v>
      </c>
      <c r="H16" s="2">
        <f>G16+1</f>
        <v>2018</v>
      </c>
      <c r="I16" s="27"/>
      <c r="J16" s="27"/>
      <c r="K16" s="27"/>
      <c r="L16" s="27"/>
      <c r="M16" s="27"/>
      <c r="N16" s="27"/>
    </row>
    <row r="17" spans="1:14" x14ac:dyDescent="0.25">
      <c r="A17" s="104" t="s">
        <v>47</v>
      </c>
      <c r="B17" s="81"/>
      <c r="C17" s="86">
        <f>( 'Facility Detail'!D50 + 'Facility Detail'!D87 + 'Facility Detail'!D123 + 'Facility Detail'!D159 + 'Facility Detail'!D195 + 'Facility Detail'!D231 + 'Facility Detail'!D267 + 'Facility Detail'!D303 + 'Facility Detail'!D339 + 'Facility Detail'!D375 + 'Facility Detail'!D411)</f>
        <v>-61450</v>
      </c>
      <c r="D17" s="86">
        <f>('Facility Detail'!E50+'Facility Detail'!E87+'Facility Detail'!E123+'Facility Detail'!E159+'Facility Detail'!E195+'Facility Detail'!E231+'Facility Detail'!E267+'Facility Detail'!E303+'Facility Detail'!E339+'Facility Detail'!E375+'Facility Detail'!E411)</f>
        <v>-297027</v>
      </c>
      <c r="E17" s="86">
        <f>('Facility Detail'!F50+'Facility Detail'!F87+'Facility Detail'!F123+'Facility Detail'!F159+'Facility Detail'!F195+'Facility Detail'!F231+'Facility Detail'!F267+'Facility Detail'!F303+'Facility Detail'!F339+'Facility Detail'!F375+'Facility Detail'!F411)</f>
        <v>-293563</v>
      </c>
      <c r="F17" s="86">
        <f>('Facility Detail'!G50+'Facility Detail'!G87+'Facility Detail'!G123+'Facility Detail'!G159+'Facility Detail'!G195+'Facility Detail'!G231+'Facility Detail'!G267+'Facility Detail'!G303+'Facility Detail'!G339+'Facility Detail'!G375+'Facility Detail'!G411+'Facility Detail'!G449+'Facility Detail'!G485+'Facility Detail'!G521+'Facility Detail'!G557)</f>
        <v>-533950</v>
      </c>
      <c r="G17" s="86">
        <f>('Facility Detail'!H50+'Facility Detail'!H87+'Facility Detail'!H123+'Facility Detail'!H159+'Facility Detail'!H195+'Facility Detail'!H231+'Facility Detail'!H267+'Facility Detail'!H303+'Facility Detail'!H339+'Facility Detail'!H375+'Facility Detail'!H411+'Facility Detail'!H449+'Facility Detail'!H485+'Facility Detail'!H521+'Facility Detail'!H557)</f>
        <v>-274644</v>
      </c>
      <c r="H17" s="86">
        <f>('Facility Detail'!I50+'Facility Detail'!I87+'Facility Detail'!I123+'Facility Detail'!I159+'Facility Detail'!I195+'Facility Detail'!I231+'Facility Detail'!I267+'Facility Detail'!I303+'Facility Detail'!I339+'Facility Detail'!I375+'Facility Detail'!I411+'Facility Detail'!I449+'Facility Detail'!I485+'Facility Detail'!I521+'Facility Detail'!I557)</f>
        <v>-99118</v>
      </c>
      <c r="I17" s="17"/>
      <c r="J17" s="17"/>
      <c r="K17" s="17"/>
      <c r="L17" s="17"/>
      <c r="M17" s="17"/>
      <c r="N17" s="17"/>
    </row>
    <row r="18" spans="1:14" x14ac:dyDescent="0.25">
      <c r="A18" s="105" t="s">
        <v>35</v>
      </c>
      <c r="B18" s="116"/>
      <c r="C18" s="117">
        <f xml:space="preserve"> -1 * ( 'Facility Detail'!D51 + 'Facility Detail'!D88 + 'Facility Detail'!D124 + 'Facility Detail'!D160 + 'Facility Detail'!D196 + 'Facility Detail'!D232 + 'Facility Detail'!D268 + 'Facility Detail'!D304 + 'Facility Detail'!D340 + 'Facility Detail'!D376 + 'Facility Detail'!D412)</f>
        <v>0</v>
      </c>
      <c r="D18" s="117">
        <f xml:space="preserve"> -1 * ( 'Facility Detail'!E51 + 'Facility Detail'!E88 + 'Facility Detail'!E124 + 'Facility Detail'!E160 + 'Facility Detail'!E196 + 'Facility Detail'!E232 + 'Facility Detail'!E268 + 'Facility Detail'!E304 + 'Facility Detail'!E340 + 'Facility Detail'!E376 + 'Facility Detail'!E412)</f>
        <v>0</v>
      </c>
      <c r="E18" s="117">
        <f xml:space="preserve"> -1 * ( 'Facility Detail'!F51 + 'Facility Detail'!F88 + 'Facility Detail'!F124 + 'Facility Detail'!F160 + 'Facility Detail'!F196 + 'Facility Detail'!F232 + 'Facility Detail'!F268 + 'Facility Detail'!F304 + 'Facility Detail'!F340 + 'Facility Detail'!F376 + 'Facility Detail'!F412)</f>
        <v>0</v>
      </c>
      <c r="F18" s="117">
        <f xml:space="preserve"> -1 * ( 'Facility Detail'!G51 + 'Facility Detail'!G88 + 'Facility Detail'!G124 + 'Facility Detail'!G160 + 'Facility Detail'!G196 + 'Facility Detail'!G232 + 'Facility Detail'!G268 + 'Facility Detail'!G304 + 'Facility Detail'!G340 + 'Facility Detail'!G376 + 'Facility Detail'!G412)</f>
        <v>0</v>
      </c>
      <c r="G18" s="117">
        <f xml:space="preserve"> -1 * ( 'Facility Detail'!H51 + 'Facility Detail'!H88 + 'Facility Detail'!H124 + 'Facility Detail'!H160 + 'Facility Detail'!H196 + 'Facility Detail'!H232 + 'Facility Detail'!H268 + 'Facility Detail'!H304 + 'Facility Detail'!H340 + 'Facility Detail'!H376 + 'Facility Detail'!H412)</f>
        <v>0</v>
      </c>
      <c r="H18" s="117">
        <f xml:space="preserve"> -1 * ( 'Facility Detail'!I51 + 'Facility Detail'!I88 + 'Facility Detail'!I124 + 'Facility Detail'!I160 + 'Facility Detail'!I196 + 'Facility Detail'!I232 + 'Facility Detail'!I268 + 'Facility Detail'!I304 + 'Facility Detail'!I340 + 'Facility Detail'!I376 + 'Facility Detail'!I412)</f>
        <v>0</v>
      </c>
      <c r="I18" s="17"/>
      <c r="J18" s="17"/>
      <c r="K18" s="17"/>
      <c r="L18" s="17"/>
      <c r="M18" s="17"/>
      <c r="N18" s="17"/>
    </row>
    <row r="19" spans="1:14" x14ac:dyDescent="0.25">
      <c r="A19" s="115" t="s">
        <v>99</v>
      </c>
      <c r="B19" s="82"/>
      <c r="C19" s="87">
        <f>( 'Facility Detail'!D52 + 'Facility Detail'!D89 + 'Facility Detail'!D125 + 'Facility Detail'!D161 + 'Facility Detail'!D197 + 'Facility Detail'!D233 + 'Facility Detail'!D269 + 'Facility Detail'!D305 + 'Facility Detail'!D341 + 'Facility Detail'!D377 + 'Facility Detail'!D413)</f>
        <v>-12290</v>
      </c>
      <c r="D19" s="87">
        <f>( 'Facility Detail'!E52 + 'Facility Detail'!E89 + 'Facility Detail'!E125 + 'Facility Detail'!E161 + 'Facility Detail'!E197 + 'Facility Detail'!E233 + 'Facility Detail'!E269 + 'Facility Detail'!E305 + 'Facility Detail'!E341 + 'Facility Detail'!E377 + 'Facility Detail'!E413)</f>
        <v>-59405</v>
      </c>
      <c r="E19" s="87">
        <f>( 'Facility Detail'!F52 + 'Facility Detail'!F89 + 'Facility Detail'!F125 + 'Facility Detail'!F161 + 'Facility Detail'!F197 + 'Facility Detail'!F233 + 'Facility Detail'!F269 + 'Facility Detail'!F305 + 'Facility Detail'!F341 + 'Facility Detail'!F377 + 'Facility Detail'!F413)</f>
        <v>-58712.600000000006</v>
      </c>
      <c r="F19" s="87">
        <f>( 'Facility Detail'!G52 + 'Facility Detail'!G89 + 'Facility Detail'!G125 + 'Facility Detail'!G161 + 'Facility Detail'!G197 + 'Facility Detail'!G233 + 'Facility Detail'!G269 + 'Facility Detail'!G305 + 'Facility Detail'!G341 + 'Facility Detail'!G377 + 'Facility Detail'!G413+'Facility Detail'!G451+'Facility Detail'!G487+'Facility Detail'!G523+'Facility Detail'!G559)</f>
        <v>-50814</v>
      </c>
      <c r="G19" s="87">
        <f>( 'Facility Detail'!H52 + 'Facility Detail'!H89 + 'Facility Detail'!H125 + 'Facility Detail'!H161 + 'Facility Detail'!H197 + 'Facility Detail'!H233 + 'Facility Detail'!H269 + 'Facility Detail'!H305 + 'Facility Detail'!H341 + 'Facility Detail'!H377 + 'Facility Detail'!H413+'Facility Detail'!H451+'Facility Detail'!H487+'Facility Detail'!H523+'Facility Detail'!H559)</f>
        <v>-8110</v>
      </c>
      <c r="H19" s="87">
        <f>( 'Facility Detail'!I52 + 'Facility Detail'!I89 + 'Facility Detail'!I125 + 'Facility Detail'!I161 + 'Facility Detail'!I197 + 'Facility Detail'!I233 + 'Facility Detail'!I269 + 'Facility Detail'!I305 + 'Facility Detail'!I341 + 'Facility Detail'!I377 + 'Facility Detail'!I413+'Facility Detail'!I451+'Facility Detail'!I487+'Facility Detail'!I523+'Facility Detail'!I559)</f>
        <v>0</v>
      </c>
      <c r="I19" s="17"/>
      <c r="J19" s="17"/>
      <c r="K19" s="17"/>
      <c r="L19" s="17"/>
      <c r="M19" s="17"/>
      <c r="N19" s="17"/>
    </row>
    <row r="20" spans="1:14" x14ac:dyDescent="0.25">
      <c r="A20" s="96" t="str">
        <f>'Facility Detail'!B53</f>
        <v>Total Sold / Transferred / Unrealized</v>
      </c>
      <c r="B20" s="22"/>
      <c r="C20" s="22">
        <f>SUM(C17:C19)</f>
        <v>-73740</v>
      </c>
      <c r="D20" s="22">
        <f>SUM(D17:D19)</f>
        <v>-356432</v>
      </c>
      <c r="E20" s="22">
        <f t="shared" ref="E20:G20" si="7">SUM(E17:E19)</f>
        <v>-352275.6</v>
      </c>
      <c r="F20" s="22">
        <f t="shared" si="7"/>
        <v>-584764</v>
      </c>
      <c r="G20" s="22">
        <f t="shared" si="7"/>
        <v>-282754</v>
      </c>
      <c r="H20" s="22">
        <f t="shared" ref="H20" si="8">SUM(H17:H19)</f>
        <v>-99118</v>
      </c>
      <c r="I20" s="22"/>
      <c r="J20" s="22"/>
      <c r="K20" s="22"/>
      <c r="L20" s="22"/>
      <c r="M20" s="22"/>
      <c r="N20" s="22"/>
    </row>
    <row r="21" spans="1:14" x14ac:dyDescent="0.25">
      <c r="B21" s="17"/>
      <c r="C21" s="17"/>
      <c r="D21" s="17"/>
      <c r="E21" s="17"/>
      <c r="F21" s="17"/>
      <c r="G21" s="17"/>
      <c r="H21" s="17"/>
      <c r="I21" s="17"/>
      <c r="J21" s="17"/>
      <c r="K21" s="17"/>
      <c r="L21" s="17"/>
      <c r="M21" s="17"/>
      <c r="N21" s="17"/>
    </row>
    <row r="22" spans="1:14" ht="18.75" x14ac:dyDescent="0.3">
      <c r="A22" s="9" t="s">
        <v>51</v>
      </c>
      <c r="B22" s="2">
        <f>C22 - 1</f>
        <v>2012</v>
      </c>
      <c r="C22" s="2">
        <f>'Facility Detail'!$B$604</f>
        <v>2013</v>
      </c>
      <c r="D22" s="2">
        <f>C22+1</f>
        <v>2014</v>
      </c>
      <c r="E22" s="2">
        <f t="shared" ref="E22" si="9">D22+1</f>
        <v>2015</v>
      </c>
      <c r="F22" s="2">
        <f t="shared" ref="F22" si="10">E22+1</f>
        <v>2016</v>
      </c>
      <c r="G22" s="2">
        <f>F22+1</f>
        <v>2017</v>
      </c>
      <c r="H22" s="2">
        <f>G22+1</f>
        <v>2018</v>
      </c>
      <c r="I22" s="17"/>
      <c r="J22" s="17"/>
      <c r="K22" s="17"/>
      <c r="L22" s="17"/>
      <c r="M22" s="17"/>
      <c r="N22" s="17"/>
    </row>
    <row r="23" spans="1:14" x14ac:dyDescent="0.25">
      <c r="A23" s="128" t="str">
        <f xml:space="preserve"> 'Facility Detail'!$B$604 &amp; " Surplus Applied to " &amp; ( 'Facility Detail'!$B$604 + 1 )</f>
        <v>2013 Surplus Applied to 2014</v>
      </c>
      <c r="B23" s="92"/>
      <c r="C23" s="169"/>
      <c r="D23" s="169"/>
      <c r="E23" s="92"/>
      <c r="F23" s="92"/>
      <c r="G23" s="92"/>
      <c r="H23" s="92"/>
      <c r="I23" s="17"/>
      <c r="J23" s="17"/>
      <c r="K23" s="17"/>
      <c r="L23" s="17"/>
      <c r="M23" s="17"/>
      <c r="N23" s="17"/>
    </row>
    <row r="24" spans="1:14" x14ac:dyDescent="0.25">
      <c r="A24" s="128" t="str">
        <f xml:space="preserve"> ( 'Facility Detail'!$B$604 + 1 ) &amp; " Surplus Applied to " &amp; ( 'Facility Detail'!$B$604 )</f>
        <v>2014 Surplus Applied to 2013</v>
      </c>
      <c r="B24" s="92"/>
      <c r="C24" s="169"/>
      <c r="D24" s="169"/>
      <c r="E24" s="92"/>
      <c r="F24" s="92"/>
      <c r="G24" s="92"/>
      <c r="H24" s="92"/>
      <c r="I24" s="17"/>
      <c r="J24" s="17"/>
      <c r="K24" s="17"/>
      <c r="L24" s="17"/>
      <c r="M24" s="17"/>
      <c r="N24" s="17"/>
    </row>
    <row r="25" spans="1:14" x14ac:dyDescent="0.25">
      <c r="A25" s="128" t="str">
        <f xml:space="preserve"> ( 'Facility Detail'!$B$604 + 1 ) &amp; " Surplus Applied to " &amp; ( 'Facility Detail'!$B$604 + 2 )</f>
        <v>2014 Surplus Applied to 2015</v>
      </c>
      <c r="B25" s="92"/>
      <c r="C25" s="92"/>
      <c r="D25" s="169"/>
      <c r="E25" s="169"/>
      <c r="F25" s="92"/>
      <c r="G25" s="92"/>
      <c r="H25" s="92"/>
      <c r="I25" s="17"/>
      <c r="J25" s="17"/>
      <c r="K25" s="17"/>
      <c r="L25" s="17"/>
      <c r="M25" s="17"/>
      <c r="N25" s="17"/>
    </row>
    <row r="26" spans="1:14" x14ac:dyDescent="0.25">
      <c r="A26" s="128" t="str">
        <f xml:space="preserve"> ( 'Facility Detail'!$B$604 + 2 ) &amp; " Surplus Applied to " &amp; ( 'Facility Detail'!$B$604 + 1 )</f>
        <v>2015 Surplus Applied to 2014</v>
      </c>
      <c r="B26" s="92"/>
      <c r="C26" s="92"/>
      <c r="D26" s="169"/>
      <c r="E26" s="169"/>
      <c r="F26" s="92"/>
      <c r="G26" s="92"/>
      <c r="H26" s="92"/>
      <c r="I26" s="17"/>
      <c r="J26" s="17"/>
      <c r="K26" s="17"/>
      <c r="L26" s="17"/>
      <c r="M26" s="17"/>
      <c r="N26" s="17"/>
    </row>
    <row r="27" spans="1:14" x14ac:dyDescent="0.25">
      <c r="A27" s="128" t="str">
        <f xml:space="preserve"> ( 'Facility Detail'!$B$604 + 2 ) &amp; " Surplus Applied to " &amp; ( 'Facility Detail'!$B$604 + 3 )</f>
        <v>2015 Surplus Applied to 2016</v>
      </c>
      <c r="B27" s="92"/>
      <c r="C27" s="92"/>
      <c r="D27" s="92"/>
      <c r="E27" s="169">
        <f>-F27</f>
        <v>-49617</v>
      </c>
      <c r="F27" s="169">
        <f>'Facility Detail'!G462</f>
        <v>49617</v>
      </c>
      <c r="G27" s="92"/>
      <c r="H27" s="92"/>
      <c r="I27" s="17"/>
      <c r="J27" s="17"/>
      <c r="K27" s="17"/>
      <c r="L27" s="17"/>
      <c r="M27" s="17"/>
      <c r="N27" s="17"/>
    </row>
    <row r="28" spans="1:14" x14ac:dyDescent="0.25">
      <c r="A28" s="128" t="str">
        <f xml:space="preserve"> ( 'Facility Detail'!$B$604 + 3 ) &amp; " Surplus Applied to " &amp; ( 'Facility Detail'!$B$604 + 2 )</f>
        <v>2016 Surplus Applied to 2015</v>
      </c>
      <c r="B28" s="92"/>
      <c r="C28" s="92"/>
      <c r="D28" s="92"/>
      <c r="E28" s="169"/>
      <c r="F28" s="169"/>
      <c r="G28" s="92"/>
      <c r="H28" s="92"/>
      <c r="I28" s="17"/>
      <c r="J28" s="17"/>
      <c r="K28" s="17"/>
      <c r="L28" s="17"/>
      <c r="M28" s="17"/>
      <c r="N28" s="17"/>
    </row>
    <row r="29" spans="1:14" x14ac:dyDescent="0.25">
      <c r="A29" s="128" t="str">
        <f xml:space="preserve"> ( 'Facility Detail'!$B$604 + 3 ) &amp; " Surplus Applied to " &amp; ( 'Facility Detail'!$B$604 + 4 )</f>
        <v>2016 Surplus Applied to 2017</v>
      </c>
      <c r="B29" s="92"/>
      <c r="C29" s="92"/>
      <c r="D29" s="92"/>
      <c r="E29" s="92"/>
      <c r="F29" s="169"/>
      <c r="G29" s="169"/>
      <c r="H29" s="169"/>
      <c r="I29" s="17"/>
      <c r="J29" s="17"/>
      <c r="K29" s="17"/>
      <c r="L29" s="17"/>
      <c r="M29" s="17"/>
      <c r="N29" s="17"/>
    </row>
    <row r="30" spans="1:14" x14ac:dyDescent="0.25">
      <c r="A30" s="128" t="str">
        <f xml:space="preserve"> ( 'Facility Detail'!$B$604 + 4 ) &amp; " Surplus Applied to " &amp; ( 'Facility Detail'!$B$604 + 3 )</f>
        <v>2017 Surplus Applied to 2016</v>
      </c>
      <c r="B30" s="92"/>
      <c r="C30" s="92"/>
      <c r="D30" s="92"/>
      <c r="E30" s="92"/>
      <c r="F30" s="169">
        <f>'Facility Detail'!G428+'Facility Detail'!G574</f>
        <v>133880</v>
      </c>
      <c r="G30" s="169">
        <f>-'Facility Detail'!H424</f>
        <v>-133880</v>
      </c>
      <c r="H30" s="169"/>
      <c r="I30" s="17"/>
      <c r="J30" s="17"/>
      <c r="K30" s="17"/>
      <c r="L30" s="17"/>
      <c r="M30" s="17"/>
      <c r="N30" s="17"/>
    </row>
    <row r="31" spans="1:14" x14ac:dyDescent="0.25">
      <c r="A31" s="128" t="str">
        <f xml:space="preserve"> ( 'Facility Detail'!$B$604 + 4 ) &amp; " Surplus Applied to " &amp; ( 'Facility Detail'!$B$604 + 5 )</f>
        <v>2017 Surplus Applied to 2018</v>
      </c>
      <c r="B31" s="92"/>
      <c r="C31" s="92"/>
      <c r="D31" s="92"/>
      <c r="E31" s="92"/>
      <c r="F31" s="92"/>
      <c r="G31" s="169"/>
      <c r="H31" s="169"/>
      <c r="I31" s="17"/>
      <c r="J31" s="17"/>
      <c r="K31" s="17"/>
      <c r="L31" s="17"/>
      <c r="M31" s="17"/>
      <c r="N31" s="17"/>
    </row>
    <row r="32" spans="1:14" x14ac:dyDescent="0.25">
      <c r="A32" s="128" t="str">
        <f xml:space="preserve"> ( 'Facility Detail'!$B$604 + 5 ) &amp; " Surplus Applied to " &amp; ( 'Facility Detail'!$B$604 + 4 )</f>
        <v>2018 Surplus Applied to 2017</v>
      </c>
      <c r="B32" s="92"/>
      <c r="C32" s="92"/>
      <c r="D32" s="92"/>
      <c r="E32" s="92"/>
      <c r="F32" s="92"/>
      <c r="G32" s="169">
        <f>-H32</f>
        <v>65336</v>
      </c>
      <c r="H32" s="169">
        <f>'Facility Detail'!I428</f>
        <v>-65336</v>
      </c>
      <c r="I32" s="17"/>
      <c r="J32" s="17"/>
      <c r="K32" s="17"/>
      <c r="L32" s="17"/>
      <c r="M32" s="17"/>
      <c r="N32" s="17"/>
    </row>
    <row r="33" spans="1:14" x14ac:dyDescent="0.25">
      <c r="A33" s="128" t="str">
        <f xml:space="preserve"> ( 'Facility Detail'!$B$604 + 5 ) &amp; " Surplus Applied to " &amp; ( 'Facility Detail'!$B$604 + 6 )</f>
        <v>2018 Surplus Applied to 2019</v>
      </c>
      <c r="B33" s="92"/>
      <c r="C33" s="92"/>
      <c r="D33" s="92"/>
      <c r="E33" s="92"/>
      <c r="F33" s="92"/>
      <c r="G33" s="92"/>
      <c r="H33" s="92"/>
      <c r="I33" s="17"/>
      <c r="J33" s="17"/>
      <c r="K33" s="17"/>
      <c r="L33" s="17"/>
      <c r="M33" s="17"/>
      <c r="N33" s="17"/>
    </row>
    <row r="34" spans="1:14" x14ac:dyDescent="0.25">
      <c r="A34" s="96" t="s">
        <v>31</v>
      </c>
      <c r="B34" s="61"/>
      <c r="C34" s="61">
        <f>SUM(C23:C27)</f>
        <v>0</v>
      </c>
      <c r="D34" s="61">
        <f>SUM(D23:D27)</f>
        <v>0</v>
      </c>
      <c r="E34" s="61">
        <f t="shared" ref="E34" si="11">SUM(E23:E27)</f>
        <v>-49617</v>
      </c>
      <c r="F34" s="61">
        <f>SUM(F27:F30)</f>
        <v>183497</v>
      </c>
      <c r="G34" s="61">
        <f>SUM(G23:G33)</f>
        <v>-68544</v>
      </c>
      <c r="H34" s="61">
        <f>SUM(H23:H33)</f>
        <v>-65336</v>
      </c>
      <c r="I34" s="17"/>
      <c r="J34" s="17"/>
      <c r="K34" s="17"/>
      <c r="L34" s="17"/>
      <c r="M34" s="17"/>
      <c r="N34" s="17"/>
    </row>
    <row r="35" spans="1:14" x14ac:dyDescent="0.25">
      <c r="B35" s="61"/>
      <c r="C35" s="61"/>
      <c r="D35" s="61"/>
      <c r="E35" s="61"/>
      <c r="F35" s="61"/>
      <c r="G35" s="61"/>
      <c r="H35" s="61"/>
      <c r="I35" s="17"/>
      <c r="J35" s="17"/>
      <c r="K35" s="17"/>
      <c r="L35" s="17"/>
      <c r="M35" s="17"/>
      <c r="N35" s="17"/>
    </row>
    <row r="36" spans="1:14" x14ac:dyDescent="0.25">
      <c r="A36" s="129" t="s">
        <v>27</v>
      </c>
      <c r="B36" s="126"/>
      <c r="C36" s="127">
        <f xml:space="preserve"> 'Facility Detail'!D66 + 'Facility Detail'!D102 + 'Facility Detail'!D138 + 'Facility Detail'!D174 + 'Facility Detail'!D210 + 'Facility Detail'!D246 + 'Facility Detail'!D282 + 'Facility Detail'!D318 + 'Facility Detail'!D354 + 'Facility Detail'!D390 + 'Facility Detail'!D430</f>
        <v>0</v>
      </c>
      <c r="D36" s="127">
        <f xml:space="preserve"> 'Facility Detail'!E66 + 'Facility Detail'!E102 + 'Facility Detail'!E138 + 'Facility Detail'!E174 + 'Facility Detail'!E210 + 'Facility Detail'!E246 + 'Facility Detail'!E282 + 'Facility Detail'!E318 + 'Facility Detail'!E354 + 'Facility Detail'!E390 + 'Facility Detail'!E430</f>
        <v>0</v>
      </c>
      <c r="E36" s="127">
        <f xml:space="preserve"> 'Facility Detail'!F66 + 'Facility Detail'!F102 + 'Facility Detail'!F138 + 'Facility Detail'!F174 + 'Facility Detail'!F210 + 'Facility Detail'!F246 + 'Facility Detail'!F282 + 'Facility Detail'!F318 + 'Facility Detail'!F354 + 'Facility Detail'!F390 + 'Facility Detail'!F430</f>
        <v>0</v>
      </c>
      <c r="F36" s="127">
        <f xml:space="preserve"> 'Facility Detail'!G66 + 'Facility Detail'!G102 + 'Facility Detail'!G138 + 'Facility Detail'!G174 + 'Facility Detail'!G210 + 'Facility Detail'!G246 + 'Facility Detail'!G282 + 'Facility Detail'!G318 + 'Facility Detail'!G354 + 'Facility Detail'!G390 + 'Facility Detail'!G430</f>
        <v>0</v>
      </c>
      <c r="G36" s="127">
        <f xml:space="preserve"> 'Facility Detail'!H66 + 'Facility Detail'!H102 + 'Facility Detail'!H138 + 'Facility Detail'!H174 + 'Facility Detail'!H210 + 'Facility Detail'!H246 + 'Facility Detail'!H282 + 'Facility Detail'!H318 + 'Facility Detail'!H354 + 'Facility Detail'!H390 + 'Facility Detail'!H430</f>
        <v>0</v>
      </c>
      <c r="H36" s="127">
        <f xml:space="preserve"> 'Facility Detail'!I66 + 'Facility Detail'!I102 + 'Facility Detail'!I138 + 'Facility Detail'!I174 + 'Facility Detail'!I210 + 'Facility Detail'!I246 + 'Facility Detail'!I282 + 'Facility Detail'!I318 + 'Facility Detail'!I354 + 'Facility Detail'!I390 + 'Facility Detail'!I430</f>
        <v>0</v>
      </c>
      <c r="I36" s="17"/>
      <c r="J36" s="17"/>
      <c r="K36" s="17"/>
      <c r="L36" s="17"/>
      <c r="M36" s="17"/>
      <c r="N36" s="17"/>
    </row>
    <row r="37" spans="1:14" x14ac:dyDescent="0.25">
      <c r="B37" s="61"/>
      <c r="C37" s="61"/>
      <c r="D37" s="61"/>
      <c r="E37" s="61"/>
      <c r="F37" s="61"/>
      <c r="G37" s="61"/>
      <c r="H37" s="61"/>
      <c r="I37" s="17"/>
      <c r="J37" s="17"/>
      <c r="K37" s="17"/>
      <c r="L37" s="17"/>
      <c r="M37" s="17"/>
      <c r="N37" s="17"/>
    </row>
    <row r="38" spans="1:14" x14ac:dyDescent="0.25">
      <c r="B38" s="2">
        <f>C38 - 1</f>
        <v>2012</v>
      </c>
      <c r="C38" s="2">
        <f>'Facility Detail'!$B$604</f>
        <v>2013</v>
      </c>
      <c r="D38" s="2" t="str">
        <f>C38+1 &amp; "*"</f>
        <v>2014*</v>
      </c>
      <c r="E38" s="2" t="str">
        <f>C38+2 &amp;"*"</f>
        <v>2015*</v>
      </c>
      <c r="F38" s="2" t="str">
        <f>C38+3 &amp;"*"</f>
        <v>2016*</v>
      </c>
      <c r="G38" s="2" t="str">
        <f>C38+4 &amp;"*"</f>
        <v>2017*</v>
      </c>
      <c r="H38" s="2" t="str">
        <f>C38+5 &amp;"*"</f>
        <v>2018*</v>
      </c>
      <c r="I38" s="17"/>
      <c r="J38" s="17"/>
      <c r="K38" s="17"/>
      <c r="L38" s="17"/>
      <c r="M38" s="17"/>
      <c r="N38" s="17"/>
    </row>
    <row r="39" spans="1:14" ht="32.25" customHeight="1" x14ac:dyDescent="0.25">
      <c r="A39" s="84" t="s">
        <v>40</v>
      </c>
      <c r="B39" s="83"/>
      <c r="C39" s="85">
        <f>C14 + C20 - C9 + C34 + C36</f>
        <v>307850.40000000002</v>
      </c>
      <c r="D39" s="85">
        <f>D14 + D20 - D9 + D34 + D36</f>
        <v>49266.199999999953</v>
      </c>
      <c r="E39" s="85">
        <f t="shared" ref="E39:G39" si="12">E14 + E20 - E9 + E34 + E36</f>
        <v>2482</v>
      </c>
      <c r="F39" s="171">
        <f t="shared" si="12"/>
        <v>0</v>
      </c>
      <c r="G39" s="85">
        <f t="shared" si="12"/>
        <v>0</v>
      </c>
      <c r="H39" s="85">
        <f t="shared" ref="H39" si="13">H14 + H20 - H9 + H34 + H36</f>
        <v>185519</v>
      </c>
      <c r="I39" s="23"/>
      <c r="J39" s="23"/>
      <c r="K39" s="23"/>
      <c r="L39" s="23"/>
      <c r="M39" s="23"/>
      <c r="N39" s="23"/>
    </row>
    <row r="40" spans="1:14" x14ac:dyDescent="0.25">
      <c r="D40" s="152"/>
      <c r="E40" s="152"/>
      <c r="F40" s="15"/>
    </row>
    <row r="41" spans="1:14" ht="31.5" customHeight="1" x14ac:dyDescent="0.25">
      <c r="A41" s="178" t="str">
        <f>"* Any surplus shown in " &amp; YEAR( B4 ) &amp; " or " &amp; YEAR( B4 ) + 1 &amp; " may be sold or used for compliance in subsequent years.  Compliance deficits shown" &amp; " in " &amp;  YEAR( B4 ) + 1 &amp; "  may be filled by REC procurement from subsequent years."</f>
        <v>* Any surplus shown in 2017 or 2018 may be sold or used for compliance in subsequent years.  Compliance deficits shown in 2018  may be filled by REC procurement from subsequent years.</v>
      </c>
      <c r="B41" s="178"/>
      <c r="C41" s="178"/>
      <c r="D41" s="178"/>
      <c r="E41" s="178"/>
      <c r="F41" s="178"/>
      <c r="G41" s="178"/>
    </row>
    <row r="42" spans="1:14" ht="96.75" customHeight="1" x14ac:dyDescent="0.25">
      <c r="A42" s="179" t="s">
        <v>101</v>
      </c>
      <c r="B42" s="179"/>
      <c r="C42" s="179"/>
      <c r="D42" s="179"/>
      <c r="E42" s="179"/>
      <c r="F42" s="179"/>
      <c r="G42" s="179"/>
    </row>
    <row r="43" spans="1:14" ht="46.5" customHeight="1" x14ac:dyDescent="0.25">
      <c r="A43" s="180" t="s">
        <v>113</v>
      </c>
      <c r="B43" s="180"/>
      <c r="C43" s="180"/>
      <c r="D43" s="180"/>
      <c r="E43" s="180"/>
      <c r="F43" s="180"/>
      <c r="G43" s="180"/>
    </row>
    <row r="44" spans="1:14" ht="30.75" customHeight="1" x14ac:dyDescent="0.25">
      <c r="A44" s="155"/>
      <c r="B44" s="155"/>
      <c r="C44" s="155"/>
      <c r="D44" s="155"/>
      <c r="E44" s="155"/>
      <c r="F44" s="155"/>
      <c r="G44" s="155"/>
      <c r="H44" s="155"/>
    </row>
    <row r="45" spans="1:14" x14ac:dyDescent="0.25">
      <c r="A45" s="155"/>
      <c r="B45" s="155"/>
      <c r="C45" s="155"/>
      <c r="D45" s="155"/>
      <c r="E45" s="155"/>
      <c r="F45" s="155"/>
      <c r="G45" s="155"/>
      <c r="H45" s="155"/>
    </row>
  </sheetData>
  <mergeCells count="5">
    <mergeCell ref="B4:C4"/>
    <mergeCell ref="A41:G41"/>
    <mergeCell ref="A42:G42"/>
    <mergeCell ref="A43:G43"/>
    <mergeCell ref="B2:H2"/>
  </mergeCells>
  <phoneticPr fontId="5" type="noConversion"/>
  <conditionalFormatting sqref="B39:G39 I39:N39">
    <cfRule type="cellIs" dxfId="1" priority="6" stopIfTrue="1" operator="lessThan">
      <formula>0</formula>
    </cfRule>
  </conditionalFormatting>
  <conditionalFormatting sqref="H39">
    <cfRule type="cellIs" dxfId="0" priority="1" stopIfTrue="1" operator="lessThan">
      <formula>0</formula>
    </cfRule>
  </conditionalFormatting>
  <pageMargins left="0.75" right="0.75" top="1" bottom="1" header="0.5" footer="0.5"/>
  <pageSetup scale="57" orientation="portrait" r:id="rId1"/>
  <headerFooter alignWithMargins="0"/>
  <rowBreaks count="1" manualBreakCount="1">
    <brk id="5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M616"/>
  <sheetViews>
    <sheetView showGridLines="0" tabSelected="1" view="pageBreakPreview" topLeftCell="A401" zoomScale="60" zoomScaleNormal="85" workbookViewId="0">
      <selection activeCell="I429" sqref="I429"/>
    </sheetView>
  </sheetViews>
  <sheetFormatPr defaultRowHeight="15" outlineLevelRow="1" x14ac:dyDescent="0.25"/>
  <cols>
    <col min="1" max="1" width="5.28515625" style="1" customWidth="1"/>
    <col min="2" max="2" width="37.42578125" style="1" customWidth="1"/>
    <col min="3" max="3" width="13.140625" style="1" bestFit="1" customWidth="1"/>
    <col min="4" max="4" width="25.42578125" style="1" customWidth="1"/>
    <col min="5" max="5" width="18.42578125" style="1" customWidth="1"/>
    <col min="6" max="8" width="16.85546875" style="1" customWidth="1"/>
    <col min="9" max="10" width="17.85546875" style="1" customWidth="1"/>
    <col min="11" max="11" width="16.42578125" style="1" customWidth="1"/>
    <col min="12" max="12" width="13.7109375" style="1" customWidth="1"/>
    <col min="13" max="23" width="12.140625" style="1" customWidth="1"/>
    <col min="24" max="16384" width="9.140625" style="1"/>
  </cols>
  <sheetData>
    <row r="1" spans="2:13" ht="63" x14ac:dyDescent="0.25">
      <c r="B1" s="43" t="s">
        <v>4</v>
      </c>
      <c r="C1" s="43" t="s">
        <v>28</v>
      </c>
      <c r="D1" s="43" t="s">
        <v>75</v>
      </c>
      <c r="E1" s="43" t="s">
        <v>29</v>
      </c>
      <c r="F1" s="43" t="s">
        <v>30</v>
      </c>
      <c r="G1" s="43" t="s">
        <v>90</v>
      </c>
      <c r="H1" s="43" t="s">
        <v>91</v>
      </c>
      <c r="K1" s="29"/>
      <c r="M1" s="40"/>
    </row>
    <row r="2" spans="2:13" x14ac:dyDescent="0.25">
      <c r="B2" s="30" t="s">
        <v>54</v>
      </c>
      <c r="C2" s="45" t="s">
        <v>65</v>
      </c>
      <c r="D2" s="33" t="s">
        <v>79</v>
      </c>
      <c r="E2" s="33" t="s">
        <v>1</v>
      </c>
      <c r="F2" s="33" t="s">
        <v>1</v>
      </c>
      <c r="G2" s="150">
        <v>36462</v>
      </c>
      <c r="H2" s="37" t="s">
        <v>92</v>
      </c>
      <c r="M2" s="28"/>
    </row>
    <row r="3" spans="2:13" x14ac:dyDescent="0.25">
      <c r="B3" s="31" t="s">
        <v>55</v>
      </c>
      <c r="C3" s="46" t="s">
        <v>66</v>
      </c>
      <c r="D3" s="34" t="s">
        <v>79</v>
      </c>
      <c r="E3" s="34" t="s">
        <v>1</v>
      </c>
      <c r="F3" s="34" t="s">
        <v>1</v>
      </c>
      <c r="G3" s="151">
        <v>37209</v>
      </c>
      <c r="H3" s="36" t="s">
        <v>92</v>
      </c>
      <c r="M3" s="28"/>
    </row>
    <row r="4" spans="2:13" x14ac:dyDescent="0.25">
      <c r="B4" s="31" t="s">
        <v>56</v>
      </c>
      <c r="C4" s="46" t="s">
        <v>67</v>
      </c>
      <c r="D4" s="34" t="s">
        <v>79</v>
      </c>
      <c r="E4" s="34" t="s">
        <v>1</v>
      </c>
      <c r="F4" s="34" t="s">
        <v>1</v>
      </c>
      <c r="G4" s="151">
        <v>38065</v>
      </c>
      <c r="H4" s="36" t="s">
        <v>92</v>
      </c>
      <c r="M4" s="28"/>
    </row>
    <row r="5" spans="2:13" x14ac:dyDescent="0.25">
      <c r="B5" s="31" t="s">
        <v>57</v>
      </c>
      <c r="C5" s="46" t="s">
        <v>68</v>
      </c>
      <c r="D5" s="34" t="s">
        <v>79</v>
      </c>
      <c r="E5" s="34" t="s">
        <v>1</v>
      </c>
      <c r="F5" s="34" t="s">
        <v>1</v>
      </c>
      <c r="G5" s="151">
        <v>36977</v>
      </c>
      <c r="H5" s="36" t="s">
        <v>92</v>
      </c>
      <c r="M5" s="28"/>
    </row>
    <row r="6" spans="2:13" x14ac:dyDescent="0.25">
      <c r="B6" s="31" t="s">
        <v>58</v>
      </c>
      <c r="C6" s="46" t="s">
        <v>69</v>
      </c>
      <c r="D6" s="34" t="s">
        <v>79</v>
      </c>
      <c r="E6" s="34" t="s">
        <v>1</v>
      </c>
      <c r="F6" s="34" t="s">
        <v>1</v>
      </c>
      <c r="G6" s="151">
        <v>39177</v>
      </c>
      <c r="H6" s="36" t="s">
        <v>92</v>
      </c>
      <c r="M6" s="28"/>
    </row>
    <row r="7" spans="2:13" x14ac:dyDescent="0.25">
      <c r="B7" s="31" t="s">
        <v>59</v>
      </c>
      <c r="C7" s="46" t="s">
        <v>70</v>
      </c>
      <c r="D7" s="34" t="s">
        <v>79</v>
      </c>
      <c r="E7" s="34" t="s">
        <v>1</v>
      </c>
      <c r="F7" s="34" t="s">
        <v>1</v>
      </c>
      <c r="G7" s="151">
        <v>39954</v>
      </c>
      <c r="H7" s="36" t="s">
        <v>92</v>
      </c>
      <c r="M7" s="28"/>
    </row>
    <row r="8" spans="2:13" x14ac:dyDescent="0.25">
      <c r="B8" s="31" t="s">
        <v>60</v>
      </c>
      <c r="C8" s="46" t="s">
        <v>71</v>
      </c>
      <c r="D8" s="34" t="s">
        <v>79</v>
      </c>
      <c r="E8" s="34" t="s">
        <v>1</v>
      </c>
      <c r="F8" s="34" t="s">
        <v>1</v>
      </c>
      <c r="G8" s="151">
        <v>40669</v>
      </c>
      <c r="H8" s="36" t="s">
        <v>92</v>
      </c>
      <c r="M8" s="28"/>
    </row>
    <row r="9" spans="2:13" x14ac:dyDescent="0.25">
      <c r="B9" s="31" t="s">
        <v>61</v>
      </c>
      <c r="C9" s="46" t="s">
        <v>72</v>
      </c>
      <c r="D9" s="34" t="s">
        <v>79</v>
      </c>
      <c r="E9" s="34" t="s">
        <v>1</v>
      </c>
      <c r="F9" s="34" t="s">
        <v>1</v>
      </c>
      <c r="G9" s="151">
        <v>40340</v>
      </c>
      <c r="H9" s="36" t="s">
        <v>92</v>
      </c>
      <c r="M9" s="28"/>
    </row>
    <row r="10" spans="2:13" x14ac:dyDescent="0.25">
      <c r="B10" s="31" t="s">
        <v>62</v>
      </c>
      <c r="C10" s="46" t="s">
        <v>73</v>
      </c>
      <c r="D10" s="34" t="s">
        <v>79</v>
      </c>
      <c r="E10" s="34" t="s">
        <v>1</v>
      </c>
      <c r="F10" s="34" t="s">
        <v>1</v>
      </c>
      <c r="G10" s="151">
        <v>41031</v>
      </c>
      <c r="H10" s="36" t="s">
        <v>92</v>
      </c>
      <c r="M10" s="28"/>
    </row>
    <row r="11" spans="2:13" x14ac:dyDescent="0.25">
      <c r="B11" s="31" t="s">
        <v>63</v>
      </c>
      <c r="C11" s="46" t="s">
        <v>74</v>
      </c>
      <c r="D11" s="34" t="s">
        <v>79</v>
      </c>
      <c r="E11" s="34" t="s">
        <v>1</v>
      </c>
      <c r="F11" s="34" t="s">
        <v>1</v>
      </c>
      <c r="G11" s="34" t="s">
        <v>78</v>
      </c>
      <c r="H11" s="36" t="s">
        <v>77</v>
      </c>
      <c r="M11" s="28"/>
    </row>
    <row r="12" spans="2:13" x14ac:dyDescent="0.25">
      <c r="B12" s="31" t="s">
        <v>52</v>
      </c>
      <c r="C12" s="46" t="s">
        <v>94</v>
      </c>
      <c r="D12" s="34" t="s">
        <v>76</v>
      </c>
      <c r="E12" s="34" t="s">
        <v>0</v>
      </c>
      <c r="F12" s="34" t="s">
        <v>1</v>
      </c>
      <c r="G12" s="151">
        <v>41257</v>
      </c>
      <c r="H12" s="36" t="s">
        <v>77</v>
      </c>
      <c r="J12" s="162"/>
      <c r="M12" s="28"/>
    </row>
    <row r="13" spans="2:13" x14ac:dyDescent="0.25">
      <c r="B13" s="31" t="s">
        <v>104</v>
      </c>
      <c r="C13" s="46" t="s">
        <v>100</v>
      </c>
      <c r="D13" s="34" t="s">
        <v>76</v>
      </c>
      <c r="E13" s="34" t="s">
        <v>1</v>
      </c>
      <c r="F13" s="34" t="s">
        <v>1</v>
      </c>
      <c r="G13" s="151">
        <v>37246</v>
      </c>
      <c r="H13" s="36" t="s">
        <v>77</v>
      </c>
      <c r="J13" s="162"/>
      <c r="M13" s="28"/>
    </row>
    <row r="14" spans="2:13" x14ac:dyDescent="0.25">
      <c r="B14" s="31" t="s">
        <v>102</v>
      </c>
      <c r="C14" s="46" t="s">
        <v>105</v>
      </c>
      <c r="D14" s="34" t="s">
        <v>79</v>
      </c>
      <c r="E14" s="34" t="s">
        <v>1</v>
      </c>
      <c r="F14" s="34" t="s">
        <v>1</v>
      </c>
      <c r="G14" s="163">
        <v>42552</v>
      </c>
      <c r="H14" s="36" t="s">
        <v>92</v>
      </c>
      <c r="M14" s="28"/>
    </row>
    <row r="15" spans="2:13" x14ac:dyDescent="0.25">
      <c r="B15" s="31" t="s">
        <v>103</v>
      </c>
      <c r="C15" s="46" t="s">
        <v>106</v>
      </c>
      <c r="D15" s="34" t="s">
        <v>79</v>
      </c>
      <c r="E15" s="34" t="s">
        <v>1</v>
      </c>
      <c r="F15" s="34" t="s">
        <v>1</v>
      </c>
      <c r="G15" s="163">
        <v>42552</v>
      </c>
      <c r="H15" s="36" t="s">
        <v>92</v>
      </c>
      <c r="M15" s="28"/>
    </row>
    <row r="16" spans="2:13" x14ac:dyDescent="0.25">
      <c r="B16" s="31" t="s">
        <v>107</v>
      </c>
      <c r="C16" s="46" t="s">
        <v>110</v>
      </c>
      <c r="D16" s="34" t="s">
        <v>82</v>
      </c>
      <c r="E16" s="34" t="s">
        <v>1</v>
      </c>
      <c r="F16" s="34" t="s">
        <v>0</v>
      </c>
      <c r="G16" s="151">
        <v>42370</v>
      </c>
      <c r="H16" s="36" t="s">
        <v>92</v>
      </c>
      <c r="M16" s="28"/>
    </row>
    <row r="17" spans="2:13" x14ac:dyDescent="0.25">
      <c r="B17" s="31" t="s">
        <v>10</v>
      </c>
      <c r="C17" s="46"/>
      <c r="D17" s="34"/>
      <c r="E17" s="34" t="s">
        <v>2</v>
      </c>
      <c r="F17" s="34" t="s">
        <v>2</v>
      </c>
      <c r="G17" s="34"/>
      <c r="H17" s="36"/>
      <c r="M17" s="28"/>
    </row>
    <row r="18" spans="2:13" x14ac:dyDescent="0.25">
      <c r="B18" s="31" t="s">
        <v>11</v>
      </c>
      <c r="C18" s="46"/>
      <c r="D18" s="34"/>
      <c r="E18" s="34" t="s">
        <v>2</v>
      </c>
      <c r="F18" s="34" t="s">
        <v>2</v>
      </c>
      <c r="G18" s="34"/>
      <c r="H18" s="36"/>
      <c r="M18" s="28"/>
    </row>
    <row r="19" spans="2:13" x14ac:dyDescent="0.25">
      <c r="B19" s="31" t="s">
        <v>12</v>
      </c>
      <c r="C19" s="46"/>
      <c r="D19" s="34"/>
      <c r="E19" s="34" t="s">
        <v>2</v>
      </c>
      <c r="F19" s="34" t="s">
        <v>2</v>
      </c>
      <c r="G19" s="34"/>
      <c r="H19" s="36"/>
      <c r="M19" s="28"/>
    </row>
    <row r="20" spans="2:13" x14ac:dyDescent="0.25">
      <c r="B20" s="31" t="s">
        <v>13</v>
      </c>
      <c r="C20" s="46"/>
      <c r="D20" s="34"/>
      <c r="E20" s="34" t="s">
        <v>2</v>
      </c>
      <c r="F20" s="34" t="s">
        <v>2</v>
      </c>
      <c r="G20" s="34"/>
      <c r="H20" s="36"/>
      <c r="M20" s="28"/>
    </row>
    <row r="21" spans="2:13" x14ac:dyDescent="0.25">
      <c r="B21" s="31" t="s">
        <v>14</v>
      </c>
      <c r="C21" s="46"/>
      <c r="D21" s="34"/>
      <c r="E21" s="34" t="s">
        <v>2</v>
      </c>
      <c r="F21" s="34" t="s">
        <v>2</v>
      </c>
      <c r="G21" s="34"/>
      <c r="H21" s="36"/>
      <c r="M21" s="28"/>
    </row>
    <row r="22" spans="2:13" x14ac:dyDescent="0.25">
      <c r="B22" s="31" t="s">
        <v>15</v>
      </c>
      <c r="C22" s="46"/>
      <c r="D22" s="34"/>
      <c r="E22" s="34" t="s">
        <v>2</v>
      </c>
      <c r="F22" s="34" t="s">
        <v>2</v>
      </c>
      <c r="G22" s="34"/>
      <c r="H22" s="36"/>
      <c r="M22" s="28"/>
    </row>
    <row r="23" spans="2:13" x14ac:dyDescent="0.25">
      <c r="B23" s="31" t="s">
        <v>16</v>
      </c>
      <c r="C23" s="46"/>
      <c r="D23" s="34"/>
      <c r="E23" s="34" t="s">
        <v>2</v>
      </c>
      <c r="F23" s="34" t="s">
        <v>2</v>
      </c>
      <c r="G23" s="34"/>
      <c r="H23" s="36"/>
      <c r="M23" s="28"/>
    </row>
    <row r="24" spans="2:13" x14ac:dyDescent="0.25">
      <c r="B24" s="31" t="s">
        <v>17</v>
      </c>
      <c r="C24" s="46"/>
      <c r="D24" s="34"/>
      <c r="E24" s="34" t="s">
        <v>2</v>
      </c>
      <c r="F24" s="34" t="s">
        <v>2</v>
      </c>
      <c r="G24" s="34"/>
      <c r="H24" s="36"/>
      <c r="M24" s="28"/>
    </row>
    <row r="25" spans="2:13" x14ac:dyDescent="0.25">
      <c r="B25" s="31" t="s">
        <v>18</v>
      </c>
      <c r="C25" s="46"/>
      <c r="D25" s="34"/>
      <c r="E25" s="34" t="s">
        <v>2</v>
      </c>
      <c r="F25" s="34" t="s">
        <v>2</v>
      </c>
      <c r="G25" s="34"/>
      <c r="H25" s="36"/>
      <c r="M25" s="28"/>
    </row>
    <row r="26" spans="2:13" x14ac:dyDescent="0.25">
      <c r="B26" s="31" t="s">
        <v>19</v>
      </c>
      <c r="C26" s="46"/>
      <c r="D26" s="34"/>
      <c r="E26" s="34" t="s">
        <v>2</v>
      </c>
      <c r="F26" s="34" t="s">
        <v>2</v>
      </c>
      <c r="G26" s="34"/>
      <c r="H26" s="36"/>
      <c r="M26" s="28"/>
    </row>
    <row r="27" spans="2:13" x14ac:dyDescent="0.25">
      <c r="B27" s="31" t="s">
        <v>20</v>
      </c>
      <c r="C27" s="46"/>
      <c r="D27" s="34"/>
      <c r="E27" s="34" t="s">
        <v>2</v>
      </c>
      <c r="F27" s="34" t="s">
        <v>2</v>
      </c>
      <c r="G27" s="34"/>
      <c r="H27" s="36"/>
      <c r="M27" s="28"/>
    </row>
    <row r="28" spans="2:13" x14ac:dyDescent="0.25">
      <c r="B28" s="31" t="s">
        <v>21</v>
      </c>
      <c r="C28" s="46"/>
      <c r="D28" s="34"/>
      <c r="E28" s="34" t="s">
        <v>2</v>
      </c>
      <c r="F28" s="34" t="s">
        <v>2</v>
      </c>
      <c r="G28" s="34"/>
      <c r="H28" s="36"/>
      <c r="M28" s="28"/>
    </row>
    <row r="29" spans="2:13" x14ac:dyDescent="0.25">
      <c r="B29" s="31" t="s">
        <v>22</v>
      </c>
      <c r="C29" s="46"/>
      <c r="D29" s="34"/>
      <c r="E29" s="34" t="s">
        <v>2</v>
      </c>
      <c r="F29" s="34" t="s">
        <v>2</v>
      </c>
      <c r="G29" s="34"/>
      <c r="H29" s="36"/>
      <c r="M29" s="28"/>
    </row>
    <row r="30" spans="2:13" x14ac:dyDescent="0.25">
      <c r="B30" s="31" t="s">
        <v>23</v>
      </c>
      <c r="C30" s="46"/>
      <c r="D30" s="34"/>
      <c r="E30" s="34" t="s">
        <v>2</v>
      </c>
      <c r="F30" s="34" t="s">
        <v>2</v>
      </c>
      <c r="G30" s="34"/>
      <c r="H30" s="36"/>
      <c r="M30" s="28"/>
    </row>
    <row r="31" spans="2:13" x14ac:dyDescent="0.25">
      <c r="B31" s="32" t="s">
        <v>24</v>
      </c>
      <c r="C31" s="47"/>
      <c r="D31" s="35"/>
      <c r="E31" s="35" t="s">
        <v>2</v>
      </c>
      <c r="F31" s="35" t="s">
        <v>2</v>
      </c>
      <c r="G31" s="35"/>
      <c r="H31" s="38"/>
      <c r="M31" s="28"/>
    </row>
    <row r="32" spans="2:13" x14ac:dyDescent="0.25">
      <c r="B32" s="28"/>
    </row>
    <row r="33" spans="1:12" ht="31.5" customHeight="1" thickBot="1" x14ac:dyDescent="0.3">
      <c r="B33" s="180"/>
      <c r="C33" s="180"/>
      <c r="D33" s="180"/>
      <c r="E33" s="180"/>
      <c r="F33" s="180"/>
      <c r="H33" s="41"/>
      <c r="I33" s="41"/>
      <c r="J33" s="41"/>
      <c r="K33" s="41"/>
      <c r="L33" s="41"/>
    </row>
    <row r="34" spans="1:12" x14ac:dyDescent="0.25">
      <c r="A34" s="8"/>
      <c r="B34" s="8"/>
      <c r="C34" s="8"/>
      <c r="D34" s="8"/>
      <c r="E34" s="8"/>
      <c r="F34" s="8"/>
      <c r="G34" s="8"/>
      <c r="H34" s="8"/>
      <c r="I34" s="8"/>
      <c r="J34" s="41"/>
      <c r="K34" s="41"/>
    </row>
    <row r="35" spans="1:12" x14ac:dyDescent="0.25">
      <c r="I35" s="41"/>
      <c r="J35" s="41"/>
      <c r="K35" s="41"/>
    </row>
    <row r="36" spans="1:12" ht="21" x14ac:dyDescent="0.35">
      <c r="A36" s="16" t="s">
        <v>4</v>
      </c>
      <c r="C36" s="54" t="str">
        <f>B2</f>
        <v>Long Lake #3</v>
      </c>
      <c r="D36" s="55"/>
      <c r="E36" s="26"/>
      <c r="F36" s="26"/>
      <c r="I36" s="41"/>
      <c r="J36" s="41"/>
      <c r="K36" s="41"/>
    </row>
    <row r="37" spans="1:12" x14ac:dyDescent="0.25">
      <c r="I37" s="41"/>
      <c r="J37" s="41"/>
      <c r="K37" s="41"/>
    </row>
    <row r="38" spans="1:12" ht="18.75" x14ac:dyDescent="0.3">
      <c r="A38" s="9" t="s">
        <v>33</v>
      </c>
      <c r="D38" s="2">
        <v>2013</v>
      </c>
      <c r="E38" s="2">
        <f>D38+1</f>
        <v>2014</v>
      </c>
      <c r="F38" s="2">
        <f>E38+1</f>
        <v>2015</v>
      </c>
      <c r="G38" s="2">
        <f>F38+1</f>
        <v>2016</v>
      </c>
      <c r="H38" s="2">
        <f>G38+1</f>
        <v>2017</v>
      </c>
      <c r="I38" s="2">
        <f>H38+1</f>
        <v>2018</v>
      </c>
      <c r="J38" s="28"/>
      <c r="K38" s="41"/>
    </row>
    <row r="39" spans="1:12" x14ac:dyDescent="0.25">
      <c r="B39" s="100" t="str">
        <f>"Total MWh Produced / Purchased from " &amp; C36</f>
        <v>Total MWh Produced / Purchased from Long Lake #3</v>
      </c>
      <c r="C39" s="89"/>
      <c r="D39" s="3">
        <v>14197</v>
      </c>
      <c r="E39" s="3">
        <v>14197</v>
      </c>
      <c r="F39" s="3">
        <v>14197</v>
      </c>
      <c r="G39" s="3">
        <v>14197</v>
      </c>
      <c r="H39" s="3">
        <v>14197</v>
      </c>
      <c r="I39" s="3">
        <v>14197</v>
      </c>
      <c r="J39" s="27"/>
      <c r="K39" s="41"/>
    </row>
    <row r="40" spans="1:12" x14ac:dyDescent="0.25">
      <c r="B40" s="100" t="s">
        <v>38</v>
      </c>
      <c r="C40" s="89"/>
      <c r="D40" s="69">
        <v>1</v>
      </c>
      <c r="E40" s="70">
        <v>1</v>
      </c>
      <c r="F40" s="71">
        <v>1</v>
      </c>
      <c r="G40" s="71">
        <v>1</v>
      </c>
      <c r="H40" s="71">
        <v>1</v>
      </c>
      <c r="I40" s="71">
        <v>1</v>
      </c>
      <c r="J40" s="27"/>
      <c r="K40" s="41"/>
    </row>
    <row r="41" spans="1:12" x14ac:dyDescent="0.25">
      <c r="B41" s="100" t="s">
        <v>32</v>
      </c>
      <c r="C41" s="89"/>
      <c r="D41" s="62">
        <v>1</v>
      </c>
      <c r="E41" s="63">
        <v>1</v>
      </c>
      <c r="F41" s="64">
        <v>1</v>
      </c>
      <c r="G41" s="64">
        <v>1</v>
      </c>
      <c r="H41" s="64">
        <v>1</v>
      </c>
      <c r="I41" s="64">
        <v>1</v>
      </c>
      <c r="J41" s="27"/>
      <c r="K41" s="41"/>
    </row>
    <row r="42" spans="1:12" x14ac:dyDescent="0.25">
      <c r="B42" s="97" t="s">
        <v>34</v>
      </c>
      <c r="C42" s="98"/>
      <c r="D42" s="49">
        <f t="shared" ref="D42:I42" si="0" xml:space="preserve"> D39 * D40 * D41</f>
        <v>14197</v>
      </c>
      <c r="E42" s="49">
        <f t="shared" si="0"/>
        <v>14197</v>
      </c>
      <c r="F42" s="49">
        <f t="shared" si="0"/>
        <v>14197</v>
      </c>
      <c r="G42" s="49">
        <f t="shared" si="0"/>
        <v>14197</v>
      </c>
      <c r="H42" s="49">
        <f t="shared" si="0"/>
        <v>14197</v>
      </c>
      <c r="I42" s="49">
        <f t="shared" si="0"/>
        <v>14197</v>
      </c>
      <c r="J42" s="27"/>
      <c r="K42" s="41"/>
    </row>
    <row r="43" spans="1:12" x14ac:dyDescent="0.25">
      <c r="B43" s="26"/>
      <c r="C43" s="41"/>
      <c r="D43" s="48"/>
      <c r="E43" s="48"/>
      <c r="F43" s="48"/>
      <c r="G43" s="48"/>
      <c r="H43" s="48"/>
      <c r="I43" s="48"/>
      <c r="J43" s="27"/>
      <c r="K43" s="41"/>
    </row>
    <row r="44" spans="1:12" ht="18.75" x14ac:dyDescent="0.3">
      <c r="A44" s="56" t="s">
        <v>36</v>
      </c>
      <c r="C44" s="41"/>
      <c r="D44" s="2">
        <f t="shared" ref="D44:I44" si="1">D38</f>
        <v>2013</v>
      </c>
      <c r="E44" s="2">
        <f t="shared" si="1"/>
        <v>2014</v>
      </c>
      <c r="F44" s="2">
        <f t="shared" si="1"/>
        <v>2015</v>
      </c>
      <c r="G44" s="2">
        <f t="shared" si="1"/>
        <v>2016</v>
      </c>
      <c r="H44" s="2">
        <f t="shared" si="1"/>
        <v>2017</v>
      </c>
      <c r="I44" s="2">
        <f t="shared" si="1"/>
        <v>2018</v>
      </c>
      <c r="J44" s="27"/>
      <c r="K44" s="41"/>
    </row>
    <row r="45" spans="1:12" x14ac:dyDescent="0.25">
      <c r="B45" s="100" t="s">
        <v>25</v>
      </c>
      <c r="C45" s="89"/>
      <c r="D45" s="65">
        <f>IF( $E2 = "Eligible", D42 * 'Facility Detail'!$B$601, 0 )</f>
        <v>0</v>
      </c>
      <c r="E45" s="13">
        <f>IF( $E2 = "Eligible", E42 * 'Facility Detail'!$B$601, 0 )</f>
        <v>0</v>
      </c>
      <c r="F45" s="14">
        <f>IF( $E2 = "Eligible", F42 * 'Facility Detail'!$B$601, 0 )</f>
        <v>0</v>
      </c>
      <c r="G45" s="14">
        <f>IF( $E2 = "Eligible", G42 * 'Facility Detail'!$B$601, 0 )</f>
        <v>0</v>
      </c>
      <c r="H45" s="14">
        <f>IF( $E2 = "Eligible", H42 * 'Facility Detail'!$B$601, 0 )</f>
        <v>0</v>
      </c>
      <c r="I45" s="14">
        <f>IF( $E2 = "Eligible", I42 * 'Facility Detail'!$B$601, 0 )</f>
        <v>0</v>
      </c>
      <c r="J45" s="27"/>
      <c r="K45" s="41"/>
    </row>
    <row r="46" spans="1:12" x14ac:dyDescent="0.25">
      <c r="B46" s="100" t="s">
        <v>6</v>
      </c>
      <c r="C46" s="89"/>
      <c r="D46" s="66">
        <f t="shared" ref="D46:I46" si="2">IF( $F2 = "Eligible", D42, 0 )</f>
        <v>0</v>
      </c>
      <c r="E46" s="67">
        <f t="shared" si="2"/>
        <v>0</v>
      </c>
      <c r="F46" s="68">
        <f t="shared" si="2"/>
        <v>0</v>
      </c>
      <c r="G46" s="68">
        <f t="shared" si="2"/>
        <v>0</v>
      </c>
      <c r="H46" s="68">
        <f t="shared" si="2"/>
        <v>0</v>
      </c>
      <c r="I46" s="68">
        <f t="shared" si="2"/>
        <v>0</v>
      </c>
      <c r="J46" s="27"/>
      <c r="K46" s="41"/>
    </row>
    <row r="47" spans="1:12" x14ac:dyDescent="0.25">
      <c r="B47" s="99" t="s">
        <v>45</v>
      </c>
      <c r="C47" s="98"/>
      <c r="D47" s="51">
        <f t="shared" ref="D47:I47" si="3">SUM(D45:D46)</f>
        <v>0</v>
      </c>
      <c r="E47" s="52">
        <f t="shared" si="3"/>
        <v>0</v>
      </c>
      <c r="F47" s="52">
        <f t="shared" si="3"/>
        <v>0</v>
      </c>
      <c r="G47" s="52">
        <f t="shared" si="3"/>
        <v>0</v>
      </c>
      <c r="H47" s="52">
        <f t="shared" si="3"/>
        <v>0</v>
      </c>
      <c r="I47" s="52">
        <f t="shared" si="3"/>
        <v>0</v>
      </c>
      <c r="J47" s="27"/>
      <c r="K47" s="41"/>
    </row>
    <row r="48" spans="1:12" x14ac:dyDescent="0.25">
      <c r="B48" s="41"/>
      <c r="C48" s="41"/>
      <c r="D48" s="50"/>
      <c r="E48" s="42"/>
      <c r="F48" s="42"/>
      <c r="G48" s="42"/>
      <c r="H48" s="42"/>
      <c r="I48" s="42"/>
      <c r="J48" s="27"/>
      <c r="K48" s="41"/>
    </row>
    <row r="49" spans="1:11" ht="18.75" x14ac:dyDescent="0.3">
      <c r="A49" s="53" t="s">
        <v>43</v>
      </c>
      <c r="C49" s="41"/>
      <c r="D49" s="2">
        <f t="shared" ref="D49:I49" si="4">D38</f>
        <v>2013</v>
      </c>
      <c r="E49" s="2">
        <f t="shared" si="4"/>
        <v>2014</v>
      </c>
      <c r="F49" s="2">
        <f t="shared" si="4"/>
        <v>2015</v>
      </c>
      <c r="G49" s="2">
        <f t="shared" si="4"/>
        <v>2016</v>
      </c>
      <c r="H49" s="2">
        <f t="shared" si="4"/>
        <v>2017</v>
      </c>
      <c r="I49" s="2">
        <f t="shared" si="4"/>
        <v>2018</v>
      </c>
      <c r="J49" s="27"/>
      <c r="K49" s="41"/>
    </row>
    <row r="50" spans="1:11" x14ac:dyDescent="0.25">
      <c r="B50" s="100" t="s">
        <v>47</v>
      </c>
      <c r="C50" s="41"/>
      <c r="D50" s="108">
        <v>0</v>
      </c>
      <c r="E50" s="109">
        <v>0</v>
      </c>
      <c r="F50" s="110">
        <v>0</v>
      </c>
      <c r="G50" s="110">
        <v>0</v>
      </c>
      <c r="H50" s="110">
        <v>0</v>
      </c>
      <c r="I50" s="110">
        <v>0</v>
      </c>
      <c r="J50" s="27"/>
      <c r="K50" s="41"/>
    </row>
    <row r="51" spans="1:11" x14ac:dyDescent="0.25">
      <c r="B51" s="101" t="s">
        <v>35</v>
      </c>
      <c r="C51" s="106"/>
      <c r="D51" s="111">
        <v>0</v>
      </c>
      <c r="E51" s="112">
        <v>0</v>
      </c>
      <c r="F51" s="113">
        <v>0</v>
      </c>
      <c r="G51" s="113">
        <v>0</v>
      </c>
      <c r="H51" s="113">
        <v>0</v>
      </c>
      <c r="I51" s="113">
        <v>0</v>
      </c>
      <c r="J51" s="27"/>
      <c r="K51" s="41"/>
    </row>
    <row r="52" spans="1:11" x14ac:dyDescent="0.25">
      <c r="B52" s="114" t="s">
        <v>49</v>
      </c>
      <c r="C52" s="106"/>
      <c r="D52" s="72">
        <v>0</v>
      </c>
      <c r="E52" s="73">
        <v>0</v>
      </c>
      <c r="F52" s="74">
        <v>0</v>
      </c>
      <c r="G52" s="74">
        <v>0</v>
      </c>
      <c r="H52" s="74">
        <v>0</v>
      </c>
      <c r="I52" s="74">
        <v>0</v>
      </c>
      <c r="J52" s="27"/>
      <c r="K52" s="41"/>
    </row>
    <row r="53" spans="1:11" x14ac:dyDescent="0.25">
      <c r="B53" s="44" t="s">
        <v>50</v>
      </c>
      <c r="D53" s="7">
        <f t="shared" ref="D53:I53" si="5">SUM(D50:D52)</f>
        <v>0</v>
      </c>
      <c r="E53" s="7">
        <f t="shared" si="5"/>
        <v>0</v>
      </c>
      <c r="F53" s="7">
        <f t="shared" si="5"/>
        <v>0</v>
      </c>
      <c r="G53" s="7">
        <f t="shared" si="5"/>
        <v>0</v>
      </c>
      <c r="H53" s="7">
        <f t="shared" si="5"/>
        <v>0</v>
      </c>
      <c r="I53" s="7">
        <f t="shared" si="5"/>
        <v>0</v>
      </c>
      <c r="J53" s="39"/>
      <c r="K53" s="41"/>
    </row>
    <row r="54" spans="1:11" x14ac:dyDescent="0.25">
      <c r="B54" s="6"/>
      <c r="D54" s="7"/>
      <c r="E54" s="7"/>
      <c r="F54" s="7"/>
      <c r="G54" s="7"/>
      <c r="H54" s="7"/>
      <c r="I54" s="7"/>
      <c r="J54" s="39"/>
      <c r="K54" s="41"/>
    </row>
    <row r="55" spans="1:11" ht="18.75" x14ac:dyDescent="0.3">
      <c r="A55" s="9" t="s">
        <v>51</v>
      </c>
      <c r="D55" s="2">
        <f>D38</f>
        <v>2013</v>
      </c>
      <c r="E55" s="2">
        <f>D55+1</f>
        <v>2014</v>
      </c>
      <c r="F55" s="2">
        <f>E55+1</f>
        <v>2015</v>
      </c>
      <c r="G55" s="2">
        <f>F55+1</f>
        <v>2016</v>
      </c>
      <c r="H55" s="2">
        <f>G55+1</f>
        <v>2017</v>
      </c>
      <c r="I55" s="2">
        <f>H55+1</f>
        <v>2018</v>
      </c>
      <c r="J55" s="39"/>
      <c r="K55" s="41"/>
    </row>
    <row r="56" spans="1:11" x14ac:dyDescent="0.25">
      <c r="B56" s="100" t="str">
        <f xml:space="preserve"> 'Facility Detail'!$B$604 &amp; " Surplus Applied to " &amp; ( 'Facility Detail'!$B$604 + 1 )</f>
        <v>2013 Surplus Applied to 2014</v>
      </c>
      <c r="C56" s="41"/>
      <c r="D56" s="3"/>
      <c r="E56" s="75">
        <f>D56</f>
        <v>0</v>
      </c>
      <c r="F56" s="156"/>
      <c r="G56" s="77"/>
      <c r="H56" s="77"/>
      <c r="I56" s="77"/>
      <c r="J56" s="39"/>
      <c r="K56" s="41"/>
    </row>
    <row r="57" spans="1:11" x14ac:dyDescent="0.25">
      <c r="B57" s="100" t="str">
        <f xml:space="preserve"> ( 'Facility Detail'!$B$604 + 1 ) &amp; " Surplus Applied to " &amp; ( 'Facility Detail'!$B$604 )</f>
        <v>2014 Surplus Applied to 2013</v>
      </c>
      <c r="C57" s="41"/>
      <c r="D57" s="157">
        <f>E57</f>
        <v>0</v>
      </c>
      <c r="E57" s="10"/>
      <c r="F57" s="94"/>
      <c r="G57" s="93"/>
      <c r="H57" s="93"/>
      <c r="I57" s="93"/>
      <c r="J57" s="39"/>
      <c r="K57" s="41"/>
    </row>
    <row r="58" spans="1:11" x14ac:dyDescent="0.25">
      <c r="B58" s="100" t="str">
        <f xml:space="preserve"> ( 'Facility Detail'!$B$604 + 1 ) &amp; " Surplus Applied to " &amp; ( 'Facility Detail'!$B$604 + 2 )</f>
        <v>2014 Surplus Applied to 2015</v>
      </c>
      <c r="C58" s="41"/>
      <c r="D58" s="78"/>
      <c r="E58" s="10"/>
      <c r="F58" s="88">
        <f>E58</f>
        <v>0</v>
      </c>
      <c r="G58" s="93"/>
      <c r="H58" s="93"/>
      <c r="I58" s="93"/>
      <c r="J58" s="39"/>
      <c r="K58" s="41"/>
    </row>
    <row r="59" spans="1:11" x14ac:dyDescent="0.25">
      <c r="B59" s="100" t="str">
        <f xml:space="preserve"> ( 'Facility Detail'!$B$604 + 2 ) &amp; " Surplus Applied to " &amp; ( 'Facility Detail'!$B$604 + 1 )</f>
        <v>2015 Surplus Applied to 2014</v>
      </c>
      <c r="C59" s="41"/>
      <c r="D59" s="78"/>
      <c r="E59" s="88">
        <f>F59</f>
        <v>0</v>
      </c>
      <c r="F59" s="10"/>
      <c r="G59" s="93"/>
      <c r="H59" s="93"/>
      <c r="I59" s="93"/>
      <c r="J59" s="39"/>
      <c r="K59" s="41"/>
    </row>
    <row r="60" spans="1:11" x14ac:dyDescent="0.25">
      <c r="B60" s="100" t="str">
        <f xml:space="preserve"> ( 'Facility Detail'!$B$604 + 2 ) &amp; " Surplus Applied to " &amp; ( 'Facility Detail'!$B$604 + 3 )</f>
        <v>2015 Surplus Applied to 2016</v>
      </c>
      <c r="C60" s="41"/>
      <c r="D60" s="78"/>
      <c r="E60" s="94"/>
      <c r="F60" s="10"/>
      <c r="G60" s="158">
        <f>F60</f>
        <v>0</v>
      </c>
      <c r="H60" s="158">
        <f>G60</f>
        <v>0</v>
      </c>
      <c r="I60" s="158">
        <f>H60</f>
        <v>0</v>
      </c>
      <c r="J60" s="39"/>
      <c r="K60" s="41"/>
    </row>
    <row r="61" spans="1:11" x14ac:dyDescent="0.25">
      <c r="B61" s="100" t="str">
        <f xml:space="preserve"> ( 'Facility Detail'!$B$604 +3 ) &amp; " Surplus Applied to " &amp; ( 'Facility Detail'!$B$604 + 2 )</f>
        <v>2016 Surplus Applied to 2015</v>
      </c>
      <c r="C61" s="41"/>
      <c r="D61" s="79"/>
      <c r="E61" s="95"/>
      <c r="F61" s="76">
        <f>G61</f>
        <v>0</v>
      </c>
      <c r="G61" s="159"/>
      <c r="H61" s="159"/>
      <c r="I61" s="159"/>
      <c r="J61" s="39"/>
      <c r="K61" s="41"/>
    </row>
    <row r="62" spans="1:11" x14ac:dyDescent="0.25">
      <c r="B62" s="100" t="str">
        <f xml:space="preserve"> ( 'Facility Detail'!$B$604 +3 ) &amp; " Surplus Applied to " &amp; ( 'Facility Detail'!$B$604 + 4 )</f>
        <v>2016 Surplus Applied to 2017</v>
      </c>
      <c r="C62" s="41"/>
      <c r="D62" s="164"/>
      <c r="E62" s="164"/>
      <c r="F62" s="27"/>
      <c r="G62" s="165"/>
      <c r="H62" s="165"/>
      <c r="I62" s="165"/>
      <c r="J62" s="39"/>
      <c r="K62" s="41"/>
    </row>
    <row r="63" spans="1:11" x14ac:dyDescent="0.25">
      <c r="B63" s="100"/>
      <c r="C63" s="41"/>
      <c r="D63" s="164"/>
      <c r="E63" s="164"/>
      <c r="F63" s="27"/>
      <c r="G63" s="165"/>
      <c r="H63" s="165"/>
      <c r="I63" s="165"/>
      <c r="J63" s="39"/>
      <c r="K63" s="41"/>
    </row>
    <row r="64" spans="1:11" x14ac:dyDescent="0.25">
      <c r="B64" s="44" t="s">
        <v>31</v>
      </c>
      <c r="D64" s="7">
        <f xml:space="preserve"> D57 - D56</f>
        <v>0</v>
      </c>
      <c r="E64" s="7">
        <f xml:space="preserve"> E56 + E59 - E58 - E57</f>
        <v>0</v>
      </c>
      <c r="F64" s="7">
        <f>F58+F61-F59-F60</f>
        <v>0</v>
      </c>
      <c r="G64" s="7">
        <f>G60-G61</f>
        <v>0</v>
      </c>
      <c r="H64" s="7">
        <f>H60-H61</f>
        <v>0</v>
      </c>
      <c r="I64" s="7">
        <f>I60-I61</f>
        <v>0</v>
      </c>
      <c r="J64" s="39"/>
      <c r="K64" s="41"/>
    </row>
    <row r="65" spans="1:11" x14ac:dyDescent="0.25">
      <c r="B65" s="6"/>
      <c r="D65" s="7"/>
      <c r="E65" s="7"/>
      <c r="F65" s="7"/>
      <c r="G65" s="7"/>
      <c r="H65" s="7"/>
      <c r="I65" s="7"/>
      <c r="J65" s="39"/>
      <c r="K65" s="41"/>
    </row>
    <row r="66" spans="1:11" x14ac:dyDescent="0.25">
      <c r="B66" s="107" t="s">
        <v>27</v>
      </c>
      <c r="C66" s="89"/>
      <c r="D66" s="123"/>
      <c r="E66" s="124"/>
      <c r="F66" s="125"/>
      <c r="G66" s="125"/>
      <c r="H66" s="125"/>
      <c r="I66" s="125"/>
      <c r="J66" s="39"/>
      <c r="K66" s="41"/>
    </row>
    <row r="67" spans="1:11" x14ac:dyDescent="0.25">
      <c r="B67" s="6"/>
      <c r="D67" s="7"/>
      <c r="E67" s="7"/>
      <c r="F67" s="7"/>
      <c r="G67" s="7"/>
      <c r="H67" s="7"/>
      <c r="I67" s="7"/>
      <c r="J67" s="39"/>
      <c r="K67" s="41"/>
    </row>
    <row r="68" spans="1:11" ht="15.75" x14ac:dyDescent="0.25">
      <c r="A68" s="103" t="s">
        <v>39</v>
      </c>
      <c r="C68" s="89"/>
      <c r="D68" s="57">
        <f t="shared" ref="D68:I68" si="6" xml:space="preserve"> D42 + D47 - D53 + D64 + D66</f>
        <v>14197</v>
      </c>
      <c r="E68" s="58">
        <f t="shared" si="6"/>
        <v>14197</v>
      </c>
      <c r="F68" s="59">
        <f t="shared" si="6"/>
        <v>14197</v>
      </c>
      <c r="G68" s="59">
        <f t="shared" si="6"/>
        <v>14197</v>
      </c>
      <c r="H68" s="59">
        <f t="shared" si="6"/>
        <v>14197</v>
      </c>
      <c r="I68" s="59">
        <f t="shared" si="6"/>
        <v>14197</v>
      </c>
      <c r="J68" s="39"/>
      <c r="K68" s="41"/>
    </row>
    <row r="69" spans="1:11" x14ac:dyDescent="0.25">
      <c r="B69" s="6"/>
      <c r="D69" s="7"/>
      <c r="E69" s="7"/>
      <c r="F69" s="7"/>
      <c r="G69" s="39"/>
      <c r="H69" s="39"/>
      <c r="I69" s="39"/>
      <c r="J69" s="39"/>
      <c r="K69" s="41"/>
    </row>
    <row r="70" spans="1:11" ht="15.75" thickBot="1" x14ac:dyDescent="0.3">
      <c r="J70" s="41"/>
      <c r="K70" s="41"/>
    </row>
    <row r="71" spans="1:11" x14ac:dyDescent="0.25">
      <c r="A71" s="8"/>
      <c r="B71" s="8"/>
      <c r="C71" s="8"/>
      <c r="D71" s="8"/>
      <c r="E71" s="8"/>
      <c r="F71" s="8"/>
      <c r="G71" s="8"/>
      <c r="H71" s="8"/>
      <c r="I71" s="8"/>
      <c r="J71" s="41"/>
      <c r="K71" s="41"/>
    </row>
    <row r="72" spans="1:11" x14ac:dyDescent="0.25">
      <c r="B72" s="41"/>
      <c r="C72" s="41"/>
      <c r="D72" s="41"/>
      <c r="E72" s="41"/>
      <c r="F72" s="41"/>
      <c r="G72" s="41"/>
      <c r="H72" s="41"/>
      <c r="I72" s="41"/>
      <c r="J72" s="41"/>
      <c r="K72" s="41"/>
    </row>
    <row r="73" spans="1:11" ht="21" x14ac:dyDescent="0.35">
      <c r="A73" s="16" t="s">
        <v>4</v>
      </c>
      <c r="B73" s="16"/>
      <c r="C73" s="54" t="str">
        <f>B3</f>
        <v>Little Falls #4</v>
      </c>
      <c r="D73" s="55"/>
      <c r="E73" s="26"/>
      <c r="F73" s="26"/>
      <c r="J73" s="41"/>
      <c r="K73" s="41"/>
    </row>
    <row r="74" spans="1:11" x14ac:dyDescent="0.25">
      <c r="J74" s="41"/>
      <c r="K74" s="41"/>
    </row>
    <row r="75" spans="1:11" ht="18.75" x14ac:dyDescent="0.3">
      <c r="A75" s="9" t="s">
        <v>33</v>
      </c>
      <c r="B75" s="9"/>
      <c r="D75" s="2">
        <v>2013</v>
      </c>
      <c r="E75" s="2">
        <f>D75+1</f>
        <v>2014</v>
      </c>
      <c r="F75" s="2">
        <f>E75+1</f>
        <v>2015</v>
      </c>
      <c r="G75" s="2">
        <f>F75+1</f>
        <v>2016</v>
      </c>
      <c r="H75" s="2">
        <f>G75+1</f>
        <v>2017</v>
      </c>
      <c r="I75" s="2">
        <f>H75+1</f>
        <v>2018</v>
      </c>
      <c r="J75" s="28"/>
      <c r="K75" s="41"/>
    </row>
    <row r="76" spans="1:11" x14ac:dyDescent="0.25">
      <c r="B76" s="100" t="str">
        <f>"Total MWh Produced / Purchased from " &amp; C73</f>
        <v>Total MWh Produced / Purchased from Little Falls #4</v>
      </c>
      <c r="C76" s="89"/>
      <c r="D76" s="3">
        <v>4862</v>
      </c>
      <c r="E76" s="3">
        <v>4862</v>
      </c>
      <c r="F76" s="3">
        <v>4862</v>
      </c>
      <c r="G76" s="3">
        <v>4862</v>
      </c>
      <c r="H76" s="3">
        <v>4862</v>
      </c>
      <c r="I76" s="3">
        <v>4862</v>
      </c>
      <c r="J76" s="27"/>
      <c r="K76" s="41"/>
    </row>
    <row r="77" spans="1:11" x14ac:dyDescent="0.25">
      <c r="B77" s="100" t="s">
        <v>38</v>
      </c>
      <c r="C77" s="89"/>
      <c r="D77" s="69">
        <v>1</v>
      </c>
      <c r="E77" s="70">
        <v>1</v>
      </c>
      <c r="F77" s="71">
        <v>1</v>
      </c>
      <c r="G77" s="71">
        <v>1</v>
      </c>
      <c r="H77" s="71">
        <v>1</v>
      </c>
      <c r="I77" s="71">
        <v>1</v>
      </c>
      <c r="J77" s="27"/>
      <c r="K77" s="41"/>
    </row>
    <row r="78" spans="1:11" x14ac:dyDescent="0.25">
      <c r="B78" s="100" t="s">
        <v>32</v>
      </c>
      <c r="C78" s="89"/>
      <c r="D78" s="62">
        <v>1</v>
      </c>
      <c r="E78" s="63">
        <v>1</v>
      </c>
      <c r="F78" s="64">
        <v>1</v>
      </c>
      <c r="G78" s="64">
        <v>1</v>
      </c>
      <c r="H78" s="64">
        <v>1</v>
      </c>
      <c r="I78" s="64">
        <v>1</v>
      </c>
      <c r="J78" s="27"/>
      <c r="K78" s="41"/>
    </row>
    <row r="79" spans="1:11" x14ac:dyDescent="0.25">
      <c r="B79" s="97" t="s">
        <v>34</v>
      </c>
      <c r="C79" s="98"/>
      <c r="D79" s="49">
        <f t="shared" ref="D79:I79" si="7" xml:space="preserve"> D76 * D77 * D78</f>
        <v>4862</v>
      </c>
      <c r="E79" s="49">
        <f t="shared" si="7"/>
        <v>4862</v>
      </c>
      <c r="F79" s="49">
        <f t="shared" si="7"/>
        <v>4862</v>
      </c>
      <c r="G79" s="49">
        <f t="shared" si="7"/>
        <v>4862</v>
      </c>
      <c r="H79" s="49">
        <f t="shared" si="7"/>
        <v>4862</v>
      </c>
      <c r="I79" s="49">
        <f t="shared" si="7"/>
        <v>4862</v>
      </c>
      <c r="J79" s="27"/>
      <c r="K79" s="41"/>
    </row>
    <row r="80" spans="1:11" x14ac:dyDescent="0.25">
      <c r="B80" s="26"/>
      <c r="C80" s="41"/>
      <c r="D80" s="48"/>
      <c r="E80" s="48"/>
      <c r="F80" s="48"/>
      <c r="G80" s="48"/>
      <c r="H80" s="48"/>
      <c r="I80" s="48"/>
      <c r="J80" s="27"/>
      <c r="K80" s="41"/>
    </row>
    <row r="81" spans="1:11" ht="18.75" x14ac:dyDescent="0.3">
      <c r="A81" s="56" t="s">
        <v>36</v>
      </c>
      <c r="C81" s="41"/>
      <c r="D81" s="2">
        <f>D75</f>
        <v>2013</v>
      </c>
      <c r="E81" s="2">
        <f>D81+1</f>
        <v>2014</v>
      </c>
      <c r="F81" s="2">
        <f>E81+1</f>
        <v>2015</v>
      </c>
      <c r="G81" s="2">
        <f>F81+1</f>
        <v>2016</v>
      </c>
      <c r="H81" s="2">
        <f>G81+1</f>
        <v>2017</v>
      </c>
      <c r="I81" s="2">
        <f>H81+1</f>
        <v>2018</v>
      </c>
      <c r="J81" s="27"/>
      <c r="K81" s="41"/>
    </row>
    <row r="82" spans="1:11" x14ac:dyDescent="0.25">
      <c r="B82" s="100" t="s">
        <v>25</v>
      </c>
      <c r="C82" s="89"/>
      <c r="D82" s="65">
        <f>IF( $E3 = "Eligible",D79 * 'Facility Detail'!$B$601, 0 )</f>
        <v>0</v>
      </c>
      <c r="E82" s="13">
        <f>IF( $E3 = "Eligible",E79 * 'Facility Detail'!$B$601, 0 )</f>
        <v>0</v>
      </c>
      <c r="F82" s="14">
        <f>IF( $E3 = "Eligible",F79 * 'Facility Detail'!$B$601, 0 )</f>
        <v>0</v>
      </c>
      <c r="G82" s="14">
        <f>IF( $E3 = "Eligible",G79 * 'Facility Detail'!$B$601, 0 )</f>
        <v>0</v>
      </c>
      <c r="H82" s="14">
        <f>IF( $E3 = "Eligible",H79 * 'Facility Detail'!$B$601, 0 )</f>
        <v>0</v>
      </c>
      <c r="I82" s="14">
        <f>IF( $E3 = "Eligible",I79 * 'Facility Detail'!$B$601, 0 )</f>
        <v>0</v>
      </c>
      <c r="J82" s="27"/>
      <c r="K82" s="41"/>
    </row>
    <row r="83" spans="1:11" x14ac:dyDescent="0.25">
      <c r="B83" s="100" t="s">
        <v>6</v>
      </c>
      <c r="C83" s="89"/>
      <c r="D83" s="66">
        <f t="shared" ref="D83:I83" si="8">IF( $F3 = "Eligible", D79, 0 )</f>
        <v>0</v>
      </c>
      <c r="E83" s="67">
        <f t="shared" si="8"/>
        <v>0</v>
      </c>
      <c r="F83" s="68">
        <f t="shared" si="8"/>
        <v>0</v>
      </c>
      <c r="G83" s="68">
        <f t="shared" si="8"/>
        <v>0</v>
      </c>
      <c r="H83" s="68">
        <f t="shared" si="8"/>
        <v>0</v>
      </c>
      <c r="I83" s="68">
        <f t="shared" si="8"/>
        <v>0</v>
      </c>
      <c r="J83" s="27"/>
      <c r="K83" s="41"/>
    </row>
    <row r="84" spans="1:11" x14ac:dyDescent="0.25">
      <c r="B84" s="99" t="s">
        <v>45</v>
      </c>
      <c r="C84" s="98"/>
      <c r="D84" s="51">
        <f t="shared" ref="D84:I84" si="9">SUM(D82:D83)</f>
        <v>0</v>
      </c>
      <c r="E84" s="52">
        <f t="shared" si="9"/>
        <v>0</v>
      </c>
      <c r="F84" s="52">
        <f t="shared" si="9"/>
        <v>0</v>
      </c>
      <c r="G84" s="52">
        <f t="shared" si="9"/>
        <v>0</v>
      </c>
      <c r="H84" s="52">
        <f t="shared" si="9"/>
        <v>0</v>
      </c>
      <c r="I84" s="52">
        <f t="shared" si="9"/>
        <v>0</v>
      </c>
      <c r="J84" s="27"/>
      <c r="K84" s="41"/>
    </row>
    <row r="85" spans="1:11" x14ac:dyDescent="0.25">
      <c r="B85" s="41"/>
      <c r="C85" s="41"/>
      <c r="D85" s="50"/>
      <c r="E85" s="42"/>
      <c r="F85" s="42"/>
      <c r="G85" s="42"/>
      <c r="H85" s="42"/>
      <c r="I85" s="42"/>
      <c r="J85" s="27"/>
      <c r="K85" s="41"/>
    </row>
    <row r="86" spans="1:11" ht="18.75" x14ac:dyDescent="0.3">
      <c r="A86" s="53" t="s">
        <v>43</v>
      </c>
      <c r="C86" s="41"/>
      <c r="D86" s="2">
        <f>D75</f>
        <v>2013</v>
      </c>
      <c r="E86" s="2">
        <f>D86+1</f>
        <v>2014</v>
      </c>
      <c r="F86" s="2">
        <f>E86+1</f>
        <v>2015</v>
      </c>
      <c r="G86" s="2">
        <f>F86+1</f>
        <v>2016</v>
      </c>
      <c r="H86" s="2">
        <f>G86+1</f>
        <v>2017</v>
      </c>
      <c r="I86" s="2">
        <f>H86+1</f>
        <v>2018</v>
      </c>
      <c r="J86" s="27"/>
      <c r="K86" s="41"/>
    </row>
    <row r="87" spans="1:11" x14ac:dyDescent="0.25">
      <c r="B87" s="100" t="s">
        <v>47</v>
      </c>
      <c r="C87" s="89"/>
      <c r="D87" s="108">
        <v>0</v>
      </c>
      <c r="E87" s="109">
        <v>0</v>
      </c>
      <c r="F87" s="110">
        <v>0</v>
      </c>
      <c r="G87" s="110">
        <v>0</v>
      </c>
      <c r="H87" s="110">
        <v>0</v>
      </c>
      <c r="I87" s="110">
        <v>0</v>
      </c>
      <c r="J87" s="27"/>
      <c r="K87" s="41"/>
    </row>
    <row r="88" spans="1:11" x14ac:dyDescent="0.25">
      <c r="B88" s="101" t="s">
        <v>35</v>
      </c>
      <c r="C88" s="102"/>
      <c r="D88" s="111">
        <v>0</v>
      </c>
      <c r="E88" s="112">
        <v>0</v>
      </c>
      <c r="F88" s="113">
        <v>0</v>
      </c>
      <c r="G88" s="113">
        <v>0</v>
      </c>
      <c r="H88" s="113">
        <v>0</v>
      </c>
      <c r="I88" s="113">
        <v>0</v>
      </c>
      <c r="J88" s="27"/>
      <c r="K88" s="41"/>
    </row>
    <row r="89" spans="1:11" x14ac:dyDescent="0.25">
      <c r="B89" s="114" t="s">
        <v>49</v>
      </c>
      <c r="C89" s="106"/>
      <c r="D89" s="72">
        <v>0</v>
      </c>
      <c r="E89" s="73">
        <v>0</v>
      </c>
      <c r="F89" s="74">
        <v>0</v>
      </c>
      <c r="G89" s="74">
        <v>0</v>
      </c>
      <c r="H89" s="74">
        <v>0</v>
      </c>
      <c r="I89" s="74">
        <v>0</v>
      </c>
      <c r="J89" s="27"/>
      <c r="K89" s="41"/>
    </row>
    <row r="90" spans="1:11" x14ac:dyDescent="0.25">
      <c r="B90" s="44" t="s">
        <v>50</v>
      </c>
      <c r="D90" s="7">
        <f t="shared" ref="D90:I90" si="10">SUM(D87:D89)</f>
        <v>0</v>
      </c>
      <c r="E90" s="7">
        <f t="shared" si="10"/>
        <v>0</v>
      </c>
      <c r="F90" s="7">
        <f t="shared" si="10"/>
        <v>0</v>
      </c>
      <c r="G90" s="7">
        <f t="shared" si="10"/>
        <v>0</v>
      </c>
      <c r="H90" s="7">
        <f t="shared" si="10"/>
        <v>0</v>
      </c>
      <c r="I90" s="7">
        <f t="shared" si="10"/>
        <v>0</v>
      </c>
      <c r="J90" s="39"/>
      <c r="K90" s="41"/>
    </row>
    <row r="91" spans="1:11" x14ac:dyDescent="0.25">
      <c r="B91" s="6"/>
      <c r="D91" s="7"/>
      <c r="E91" s="7"/>
      <c r="F91" s="7"/>
      <c r="G91" s="7"/>
      <c r="H91" s="7"/>
      <c r="I91" s="7"/>
      <c r="J91" s="39"/>
      <c r="K91" s="41"/>
    </row>
    <row r="92" spans="1:11" ht="18.75" x14ac:dyDescent="0.3">
      <c r="A92" s="9" t="s">
        <v>51</v>
      </c>
      <c r="D92" s="2">
        <f>D75</f>
        <v>2013</v>
      </c>
      <c r="E92" s="2">
        <f>D92+1</f>
        <v>2014</v>
      </c>
      <c r="F92" s="2">
        <f>E92+1</f>
        <v>2015</v>
      </c>
      <c r="G92" s="2">
        <f>F92+1</f>
        <v>2016</v>
      </c>
      <c r="H92" s="2">
        <f>G92+1</f>
        <v>2017</v>
      </c>
      <c r="I92" s="2">
        <f>H92+1</f>
        <v>2018</v>
      </c>
      <c r="J92" s="39"/>
      <c r="K92" s="41"/>
    </row>
    <row r="93" spans="1:11" x14ac:dyDescent="0.25">
      <c r="B93" s="100" t="str">
        <f xml:space="preserve"> 'Facility Detail'!$B$604 &amp; " Surplus Applied to " &amp; ( 'Facility Detail'!$B$604 + 1 )</f>
        <v>2013 Surplus Applied to 2014</v>
      </c>
      <c r="C93" s="41"/>
      <c r="D93" s="3"/>
      <c r="E93" s="75">
        <f>D93</f>
        <v>0</v>
      </c>
      <c r="F93" s="156"/>
      <c r="G93" s="77"/>
      <c r="H93" s="77"/>
      <c r="I93" s="77"/>
      <c r="J93" s="39"/>
      <c r="K93" s="41"/>
    </row>
    <row r="94" spans="1:11" x14ac:dyDescent="0.25">
      <c r="B94" s="100" t="str">
        <f xml:space="preserve"> ( 'Facility Detail'!$B$604 + 1 ) &amp; " Surplus Applied to " &amp; ( 'Facility Detail'!$B$604 )</f>
        <v>2014 Surplus Applied to 2013</v>
      </c>
      <c r="C94" s="41"/>
      <c r="D94" s="157">
        <f>E94</f>
        <v>0</v>
      </c>
      <c r="E94" s="10"/>
      <c r="F94" s="94"/>
      <c r="G94" s="93"/>
      <c r="H94" s="93"/>
      <c r="I94" s="93"/>
      <c r="J94" s="39"/>
      <c r="K94" s="41"/>
    </row>
    <row r="95" spans="1:11" x14ac:dyDescent="0.25">
      <c r="B95" s="100" t="str">
        <f xml:space="preserve"> ( 'Facility Detail'!$B$604 + 1 ) &amp; " Surplus Applied to " &amp; ( 'Facility Detail'!$B$604 + 2 )</f>
        <v>2014 Surplus Applied to 2015</v>
      </c>
      <c r="C95" s="41"/>
      <c r="D95" s="78"/>
      <c r="E95" s="10"/>
      <c r="F95" s="88">
        <f>E95</f>
        <v>0</v>
      </c>
      <c r="G95" s="93"/>
      <c r="H95" s="93"/>
      <c r="I95" s="93"/>
      <c r="J95" s="39"/>
      <c r="K95" s="41"/>
    </row>
    <row r="96" spans="1:11" x14ac:dyDescent="0.25">
      <c r="B96" s="100" t="str">
        <f xml:space="preserve"> ( 'Facility Detail'!$B$604 + 2 ) &amp; " Surplus Applied to " &amp; ( 'Facility Detail'!$B$604 + 1 )</f>
        <v>2015 Surplus Applied to 2014</v>
      </c>
      <c r="C96" s="41"/>
      <c r="D96" s="78"/>
      <c r="E96" s="88">
        <f>F96</f>
        <v>0</v>
      </c>
      <c r="F96" s="10"/>
      <c r="G96" s="93"/>
      <c r="H96" s="93"/>
      <c r="I96" s="93"/>
      <c r="J96" s="39"/>
      <c r="K96" s="41"/>
    </row>
    <row r="97" spans="1:11" x14ac:dyDescent="0.25">
      <c r="B97" s="100" t="str">
        <f xml:space="preserve"> ( 'Facility Detail'!$B$604 + 2 ) &amp; " Surplus Applied to " &amp; ( 'Facility Detail'!$B$604 + 3 )</f>
        <v>2015 Surplus Applied to 2016</v>
      </c>
      <c r="C97" s="41"/>
      <c r="D97" s="78"/>
      <c r="E97" s="94"/>
      <c r="F97" s="10"/>
      <c r="G97" s="158">
        <f>F97</f>
        <v>0</v>
      </c>
      <c r="H97" s="158">
        <f>G97</f>
        <v>0</v>
      </c>
      <c r="I97" s="158">
        <f>H97</f>
        <v>0</v>
      </c>
      <c r="J97" s="39"/>
      <c r="K97" s="41"/>
    </row>
    <row r="98" spans="1:11" x14ac:dyDescent="0.25">
      <c r="B98" s="100" t="str">
        <f xml:space="preserve"> ( 'Facility Detail'!$B$604 +3 ) &amp; " Surplus Applied to " &amp; ( 'Facility Detail'!$B$604 + 2 )</f>
        <v>2016 Surplus Applied to 2015</v>
      </c>
      <c r="C98" s="41"/>
      <c r="D98" s="79"/>
      <c r="E98" s="95"/>
      <c r="F98" s="76">
        <f>G98</f>
        <v>0</v>
      </c>
      <c r="G98" s="159"/>
      <c r="H98" s="159"/>
      <c r="I98" s="159"/>
      <c r="J98" s="39"/>
      <c r="K98" s="41"/>
    </row>
    <row r="99" spans="1:11" x14ac:dyDescent="0.25">
      <c r="B99" s="100" t="str">
        <f xml:space="preserve"> ( 'Facility Detail'!$B$604 +3 ) &amp; " Surplus Applied to " &amp; ( 'Facility Detail'!$B$604 + 4 )</f>
        <v>2016 Surplus Applied to 2017</v>
      </c>
      <c r="C99" s="41"/>
      <c r="D99" s="164"/>
      <c r="E99" s="164"/>
      <c r="F99" s="27"/>
      <c r="G99" s="165"/>
      <c r="H99" s="165"/>
      <c r="I99" s="165"/>
      <c r="J99" s="39"/>
      <c r="K99" s="41"/>
    </row>
    <row r="100" spans="1:11" x14ac:dyDescent="0.25">
      <c r="B100" s="44" t="s">
        <v>31</v>
      </c>
      <c r="D100" s="7">
        <f xml:space="preserve"> D94 - D93</f>
        <v>0</v>
      </c>
      <c r="E100" s="7">
        <f xml:space="preserve"> E93 + E96 - E95 - E94</f>
        <v>0</v>
      </c>
      <c r="F100" s="7">
        <f>F95+F98-F96-F97</f>
        <v>0</v>
      </c>
      <c r="G100" s="7">
        <f>G97-G98</f>
        <v>0</v>
      </c>
      <c r="H100" s="7">
        <f>H97-H98</f>
        <v>0</v>
      </c>
      <c r="I100" s="7">
        <f>I97-I98</f>
        <v>0</v>
      </c>
      <c r="J100" s="39"/>
      <c r="K100" s="41"/>
    </row>
    <row r="101" spans="1:11" x14ac:dyDescent="0.25">
      <c r="B101" s="6"/>
      <c r="D101" s="7"/>
      <c r="E101" s="7"/>
      <c r="F101" s="7"/>
      <c r="G101" s="7"/>
      <c r="H101" s="7"/>
      <c r="I101" s="7"/>
      <c r="J101" s="39"/>
      <c r="K101" s="41"/>
    </row>
    <row r="102" spans="1:11" x14ac:dyDescent="0.25">
      <c r="B102" s="107" t="s">
        <v>27</v>
      </c>
      <c r="C102" s="89"/>
      <c r="D102" s="123"/>
      <c r="E102" s="124"/>
      <c r="F102" s="125"/>
      <c r="G102" s="125"/>
      <c r="H102" s="125"/>
      <c r="I102" s="125"/>
      <c r="J102" s="39"/>
      <c r="K102" s="41"/>
    </row>
    <row r="103" spans="1:11" x14ac:dyDescent="0.25">
      <c r="B103" s="6"/>
      <c r="D103" s="7"/>
      <c r="E103" s="7"/>
      <c r="F103" s="7"/>
      <c r="G103" s="7"/>
      <c r="H103" s="7"/>
      <c r="I103" s="7"/>
      <c r="J103" s="39"/>
      <c r="K103" s="41"/>
    </row>
    <row r="104" spans="1:11" ht="15.75" x14ac:dyDescent="0.25">
      <c r="A104" s="103" t="s">
        <v>39</v>
      </c>
      <c r="C104" s="89"/>
      <c r="D104" s="57">
        <f t="shared" ref="D104:I104" si="11" xml:space="preserve"> D79 + D84 - D90 + D100 + D102</f>
        <v>4862</v>
      </c>
      <c r="E104" s="58">
        <f t="shared" si="11"/>
        <v>4862</v>
      </c>
      <c r="F104" s="59">
        <f t="shared" si="11"/>
        <v>4862</v>
      </c>
      <c r="G104" s="59">
        <f t="shared" si="11"/>
        <v>4862</v>
      </c>
      <c r="H104" s="59">
        <f t="shared" si="11"/>
        <v>4862</v>
      </c>
      <c r="I104" s="59">
        <f t="shared" si="11"/>
        <v>4862</v>
      </c>
      <c r="J104" s="39"/>
      <c r="K104" s="41"/>
    </row>
    <row r="105" spans="1:11" x14ac:dyDescent="0.25">
      <c r="B105" s="6"/>
      <c r="D105" s="7"/>
      <c r="E105" s="7"/>
      <c r="F105" s="7"/>
      <c r="G105" s="39"/>
      <c r="H105" s="39"/>
      <c r="I105" s="39"/>
      <c r="J105" s="39"/>
      <c r="K105" s="41"/>
    </row>
    <row r="106" spans="1:11" ht="15.75" thickBot="1" x14ac:dyDescent="0.3">
      <c r="J106" s="41"/>
      <c r="K106" s="41"/>
    </row>
    <row r="107" spans="1:11" x14ac:dyDescent="0.25">
      <c r="A107" s="8"/>
      <c r="B107" s="8"/>
      <c r="C107" s="8"/>
      <c r="D107" s="8"/>
      <c r="E107" s="8"/>
      <c r="F107" s="8"/>
      <c r="G107" s="8"/>
      <c r="H107" s="8"/>
      <c r="I107" s="8"/>
      <c r="J107" s="41"/>
      <c r="K107" s="41"/>
    </row>
    <row r="108" spans="1:11" x14ac:dyDescent="0.25">
      <c r="B108" s="41"/>
      <c r="C108" s="41"/>
      <c r="D108" s="41"/>
      <c r="E108" s="41"/>
      <c r="F108" s="41"/>
      <c r="G108" s="41"/>
      <c r="H108" s="41"/>
      <c r="I108" s="41"/>
      <c r="J108" s="41"/>
      <c r="K108" s="41"/>
    </row>
    <row r="109" spans="1:11" ht="21" x14ac:dyDescent="0.35">
      <c r="A109" s="16" t="s">
        <v>4</v>
      </c>
      <c r="B109" s="16"/>
      <c r="C109" s="54" t="str">
        <f>B4</f>
        <v>Cabinet Gorge #2</v>
      </c>
      <c r="D109" s="55"/>
      <c r="E109" s="26"/>
      <c r="F109" s="26"/>
      <c r="J109" s="41"/>
      <c r="K109" s="41"/>
    </row>
    <row r="110" spans="1:11" x14ac:dyDescent="0.25">
      <c r="J110" s="41"/>
      <c r="K110" s="41"/>
    </row>
    <row r="111" spans="1:11" ht="18.75" x14ac:dyDescent="0.3">
      <c r="A111" s="9" t="s">
        <v>33</v>
      </c>
      <c r="B111" s="9"/>
      <c r="D111" s="2">
        <v>2013</v>
      </c>
      <c r="E111" s="2">
        <f>D111+1</f>
        <v>2014</v>
      </c>
      <c r="F111" s="2">
        <f>E111+1</f>
        <v>2015</v>
      </c>
      <c r="G111" s="2">
        <f>F111+1</f>
        <v>2016</v>
      </c>
      <c r="H111" s="2">
        <f>G111+1</f>
        <v>2017</v>
      </c>
      <c r="I111" s="2">
        <f>H111+1</f>
        <v>2018</v>
      </c>
      <c r="J111" s="28"/>
      <c r="K111" s="41"/>
    </row>
    <row r="112" spans="1:11" x14ac:dyDescent="0.25">
      <c r="B112" s="100" t="str">
        <f>"Total MWh Produced / Purchased from " &amp; C109</f>
        <v>Total MWh Produced / Purchased from Cabinet Gorge #2</v>
      </c>
      <c r="C112" s="89"/>
      <c r="D112" s="3">
        <v>29008</v>
      </c>
      <c r="E112" s="3">
        <v>29008</v>
      </c>
      <c r="F112" s="3">
        <v>29008</v>
      </c>
      <c r="G112" s="3">
        <v>29008</v>
      </c>
      <c r="H112" s="3">
        <v>29008</v>
      </c>
      <c r="I112" s="3">
        <v>29008</v>
      </c>
      <c r="J112" s="27"/>
      <c r="K112" s="41"/>
    </row>
    <row r="113" spans="1:11" x14ac:dyDescent="0.25">
      <c r="B113" s="100" t="s">
        <v>38</v>
      </c>
      <c r="C113" s="89"/>
      <c r="D113" s="69">
        <v>1</v>
      </c>
      <c r="E113" s="70">
        <v>1</v>
      </c>
      <c r="F113" s="71">
        <v>1</v>
      </c>
      <c r="G113" s="71">
        <v>1</v>
      </c>
      <c r="H113" s="71">
        <v>1</v>
      </c>
      <c r="I113" s="71">
        <v>1</v>
      </c>
      <c r="J113" s="27"/>
      <c r="K113" s="41"/>
    </row>
    <row r="114" spans="1:11" x14ac:dyDescent="0.25">
      <c r="B114" s="100" t="s">
        <v>32</v>
      </c>
      <c r="C114" s="89"/>
      <c r="D114" s="62">
        <v>1</v>
      </c>
      <c r="E114" s="63">
        <v>1</v>
      </c>
      <c r="F114" s="64">
        <v>1</v>
      </c>
      <c r="G114" s="64">
        <v>1</v>
      </c>
      <c r="H114" s="64">
        <v>1</v>
      </c>
      <c r="I114" s="64">
        <v>1</v>
      </c>
      <c r="J114" s="27"/>
      <c r="K114" s="41"/>
    </row>
    <row r="115" spans="1:11" x14ac:dyDescent="0.25">
      <c r="B115" s="97" t="s">
        <v>34</v>
      </c>
      <c r="C115" s="98"/>
      <c r="D115" s="49">
        <f t="shared" ref="D115:I115" si="12" xml:space="preserve"> D112 * D113 * D114</f>
        <v>29008</v>
      </c>
      <c r="E115" s="49">
        <f t="shared" si="12"/>
        <v>29008</v>
      </c>
      <c r="F115" s="49">
        <f t="shared" si="12"/>
        <v>29008</v>
      </c>
      <c r="G115" s="49">
        <f t="shared" si="12"/>
        <v>29008</v>
      </c>
      <c r="H115" s="49">
        <f t="shared" si="12"/>
        <v>29008</v>
      </c>
      <c r="I115" s="49">
        <f t="shared" si="12"/>
        <v>29008</v>
      </c>
      <c r="J115" s="27"/>
      <c r="K115" s="41"/>
    </row>
    <row r="116" spans="1:11" x14ac:dyDescent="0.25">
      <c r="B116" s="26"/>
      <c r="C116" s="41"/>
      <c r="D116" s="48"/>
      <c r="E116" s="48"/>
      <c r="F116" s="48"/>
      <c r="G116" s="48"/>
      <c r="H116" s="48"/>
      <c r="I116" s="48"/>
      <c r="J116" s="27"/>
      <c r="K116" s="41"/>
    </row>
    <row r="117" spans="1:11" ht="18.75" x14ac:dyDescent="0.3">
      <c r="A117" s="56" t="s">
        <v>36</v>
      </c>
      <c r="C117" s="41"/>
      <c r="D117" s="2">
        <f>D111</f>
        <v>2013</v>
      </c>
      <c r="E117" s="2">
        <f>D117+1</f>
        <v>2014</v>
      </c>
      <c r="F117" s="2">
        <f>E117+1</f>
        <v>2015</v>
      </c>
      <c r="G117" s="2">
        <f>F117+1</f>
        <v>2016</v>
      </c>
      <c r="H117" s="2">
        <f>G117+1</f>
        <v>2017</v>
      </c>
      <c r="I117" s="2">
        <f>H117+1</f>
        <v>2018</v>
      </c>
      <c r="J117" s="27"/>
      <c r="K117" s="41"/>
    </row>
    <row r="118" spans="1:11" x14ac:dyDescent="0.25">
      <c r="B118" s="100" t="s">
        <v>25</v>
      </c>
      <c r="C118" s="89"/>
      <c r="D118" s="65">
        <f>IF( $E4 = "Eligible", D115 * 'Facility Detail'!$B$601, 0 )</f>
        <v>0</v>
      </c>
      <c r="E118" s="13">
        <f>IF( $E4 = "Eligible", E115 * 'Facility Detail'!$B$601, 0 )</f>
        <v>0</v>
      </c>
      <c r="F118" s="14">
        <f>IF( $E4 = "Eligible", F115 * 'Facility Detail'!$B$601, 0 )</f>
        <v>0</v>
      </c>
      <c r="G118" s="14">
        <f>IF( $E4 = "Eligible", G115 * 'Facility Detail'!$B$601, 0 )</f>
        <v>0</v>
      </c>
      <c r="H118" s="14">
        <f>IF( $E4 = "Eligible", H115 * 'Facility Detail'!$B$601, 0 )</f>
        <v>0</v>
      </c>
      <c r="I118" s="14">
        <f>IF( $E4 = "Eligible", I115 * 'Facility Detail'!$B$601, 0 )</f>
        <v>0</v>
      </c>
      <c r="J118" s="27"/>
      <c r="K118" s="41"/>
    </row>
    <row r="119" spans="1:11" x14ac:dyDescent="0.25">
      <c r="B119" s="100" t="s">
        <v>6</v>
      </c>
      <c r="C119" s="89"/>
      <c r="D119" s="66">
        <f t="shared" ref="D119:I119" si="13">IF( $F4 = "Eligible", D115, 0 )</f>
        <v>0</v>
      </c>
      <c r="E119" s="67">
        <f t="shared" si="13"/>
        <v>0</v>
      </c>
      <c r="F119" s="68">
        <f t="shared" si="13"/>
        <v>0</v>
      </c>
      <c r="G119" s="68">
        <f t="shared" si="13"/>
        <v>0</v>
      </c>
      <c r="H119" s="68">
        <f t="shared" si="13"/>
        <v>0</v>
      </c>
      <c r="I119" s="68">
        <f t="shared" si="13"/>
        <v>0</v>
      </c>
      <c r="J119" s="27"/>
      <c r="K119" s="41"/>
    </row>
    <row r="120" spans="1:11" x14ac:dyDescent="0.25">
      <c r="B120" s="99" t="s">
        <v>45</v>
      </c>
      <c r="C120" s="98"/>
      <c r="D120" s="51">
        <f t="shared" ref="D120:I120" si="14">SUM(D118:D119)</f>
        <v>0</v>
      </c>
      <c r="E120" s="52">
        <f t="shared" si="14"/>
        <v>0</v>
      </c>
      <c r="F120" s="52">
        <f t="shared" si="14"/>
        <v>0</v>
      </c>
      <c r="G120" s="52">
        <f t="shared" si="14"/>
        <v>0</v>
      </c>
      <c r="H120" s="52">
        <f t="shared" si="14"/>
        <v>0</v>
      </c>
      <c r="I120" s="52">
        <f t="shared" si="14"/>
        <v>0</v>
      </c>
      <c r="J120" s="27"/>
      <c r="K120" s="41"/>
    </row>
    <row r="121" spans="1:11" x14ac:dyDescent="0.25">
      <c r="B121" s="41"/>
      <c r="C121" s="41"/>
      <c r="D121" s="50"/>
      <c r="E121" s="42"/>
      <c r="F121" s="42"/>
      <c r="G121" s="42"/>
      <c r="H121" s="42"/>
      <c r="I121" s="42"/>
      <c r="J121" s="27"/>
      <c r="K121" s="41"/>
    </row>
    <row r="122" spans="1:11" ht="18.75" x14ac:dyDescent="0.3">
      <c r="A122" s="53" t="s">
        <v>43</v>
      </c>
      <c r="C122" s="41"/>
      <c r="D122" s="2">
        <f>D111</f>
        <v>2013</v>
      </c>
      <c r="E122" s="2">
        <f>D122+1</f>
        <v>2014</v>
      </c>
      <c r="F122" s="2">
        <f>E122+1</f>
        <v>2015</v>
      </c>
      <c r="G122" s="2">
        <f>F122+1</f>
        <v>2016</v>
      </c>
      <c r="H122" s="2">
        <f>G122+1</f>
        <v>2017</v>
      </c>
      <c r="I122" s="2">
        <f>H122+1</f>
        <v>2018</v>
      </c>
      <c r="J122" s="27"/>
      <c r="K122" s="41"/>
    </row>
    <row r="123" spans="1:11" x14ac:dyDescent="0.25">
      <c r="B123" s="100" t="s">
        <v>47</v>
      </c>
      <c r="C123" s="89"/>
      <c r="D123" s="108">
        <v>0</v>
      </c>
      <c r="E123" s="109">
        <v>0</v>
      </c>
      <c r="F123" s="110">
        <v>0</v>
      </c>
      <c r="G123" s="110">
        <v>0</v>
      </c>
      <c r="H123" s="110">
        <v>0</v>
      </c>
      <c r="I123" s="110">
        <v>0</v>
      </c>
      <c r="J123" s="27"/>
      <c r="K123" s="41"/>
    </row>
    <row r="124" spans="1:11" x14ac:dyDescent="0.25">
      <c r="B124" s="101" t="s">
        <v>35</v>
      </c>
      <c r="C124" s="102"/>
      <c r="D124" s="111">
        <v>0</v>
      </c>
      <c r="E124" s="112">
        <v>0</v>
      </c>
      <c r="F124" s="113">
        <v>0</v>
      </c>
      <c r="G124" s="113">
        <v>0</v>
      </c>
      <c r="H124" s="113">
        <v>0</v>
      </c>
      <c r="I124" s="113">
        <v>0</v>
      </c>
      <c r="J124" s="27"/>
      <c r="K124" s="41"/>
    </row>
    <row r="125" spans="1:11" x14ac:dyDescent="0.25">
      <c r="B125" s="114" t="s">
        <v>49</v>
      </c>
      <c r="C125" s="106"/>
      <c r="D125" s="72">
        <v>0</v>
      </c>
      <c r="E125" s="73">
        <v>0</v>
      </c>
      <c r="F125" s="74">
        <v>0</v>
      </c>
      <c r="G125" s="74">
        <v>0</v>
      </c>
      <c r="H125" s="74">
        <v>0</v>
      </c>
      <c r="I125" s="74">
        <v>0</v>
      </c>
      <c r="J125" s="27"/>
      <c r="K125" s="41"/>
    </row>
    <row r="126" spans="1:11" x14ac:dyDescent="0.25">
      <c r="B126" s="44" t="s">
        <v>50</v>
      </c>
      <c r="D126" s="7">
        <f t="shared" ref="D126:I126" si="15">SUM(D123:D125)</f>
        <v>0</v>
      </c>
      <c r="E126" s="7">
        <f t="shared" si="15"/>
        <v>0</v>
      </c>
      <c r="F126" s="7">
        <f t="shared" si="15"/>
        <v>0</v>
      </c>
      <c r="G126" s="7">
        <f t="shared" si="15"/>
        <v>0</v>
      </c>
      <c r="H126" s="7">
        <f t="shared" si="15"/>
        <v>0</v>
      </c>
      <c r="I126" s="7">
        <f t="shared" si="15"/>
        <v>0</v>
      </c>
      <c r="J126" s="39"/>
      <c r="K126" s="41"/>
    </row>
    <row r="127" spans="1:11" x14ac:dyDescent="0.25">
      <c r="B127" s="6"/>
      <c r="D127" s="7"/>
      <c r="E127" s="7"/>
      <c r="F127" s="7"/>
      <c r="G127" s="7"/>
      <c r="H127" s="7"/>
      <c r="I127" s="7"/>
      <c r="J127" s="39"/>
      <c r="K127" s="41"/>
    </row>
    <row r="128" spans="1:11" ht="18.75" x14ac:dyDescent="0.3">
      <c r="A128" s="9" t="s">
        <v>51</v>
      </c>
      <c r="D128" s="2">
        <f>D111</f>
        <v>2013</v>
      </c>
      <c r="E128" s="2">
        <f>D128+1</f>
        <v>2014</v>
      </c>
      <c r="F128" s="2">
        <f>E128+1</f>
        <v>2015</v>
      </c>
      <c r="G128" s="2">
        <f>F128+1</f>
        <v>2016</v>
      </c>
      <c r="H128" s="2">
        <f>G128+1</f>
        <v>2017</v>
      </c>
      <c r="I128" s="2">
        <f>H128+1</f>
        <v>2018</v>
      </c>
      <c r="J128" s="39"/>
      <c r="K128" s="41"/>
    </row>
    <row r="129" spans="1:11" x14ac:dyDescent="0.25">
      <c r="B129" s="100" t="str">
        <f xml:space="preserve"> 'Facility Detail'!$B$604 &amp; " Surplus Applied to " &amp; ( 'Facility Detail'!$B$604 + 1 )</f>
        <v>2013 Surplus Applied to 2014</v>
      </c>
      <c r="C129" s="89"/>
      <c r="D129" s="3"/>
      <c r="E129" s="75">
        <f>D129</f>
        <v>0</v>
      </c>
      <c r="F129" s="156"/>
      <c r="G129" s="77"/>
      <c r="H129" s="77"/>
      <c r="I129" s="77"/>
      <c r="J129" s="39"/>
      <c r="K129" s="41"/>
    </row>
    <row r="130" spans="1:11" x14ac:dyDescent="0.25">
      <c r="B130" s="100" t="str">
        <f xml:space="preserve"> ( 'Facility Detail'!$B$604 + 1 ) &amp; " Surplus Applied to " &amp; ( 'Facility Detail'!$B$604 )</f>
        <v>2014 Surplus Applied to 2013</v>
      </c>
      <c r="C130" s="89"/>
      <c r="D130" s="157">
        <f>E130</f>
        <v>0</v>
      </c>
      <c r="E130" s="10"/>
      <c r="F130" s="94"/>
      <c r="G130" s="93"/>
      <c r="H130" s="93"/>
      <c r="I130" s="93"/>
      <c r="J130" s="39"/>
      <c r="K130" s="41"/>
    </row>
    <row r="131" spans="1:11" x14ac:dyDescent="0.25">
      <c r="B131" s="100" t="str">
        <f xml:space="preserve"> ( 'Facility Detail'!$B$604 + 1 ) &amp; " Surplus Applied to " &amp; ( 'Facility Detail'!$B$604 + 2 )</f>
        <v>2014 Surplus Applied to 2015</v>
      </c>
      <c r="C131" s="89"/>
      <c r="D131" s="78"/>
      <c r="E131" s="10"/>
      <c r="F131" s="88">
        <f>E131</f>
        <v>0</v>
      </c>
      <c r="G131" s="93"/>
      <c r="H131" s="93"/>
      <c r="I131" s="93"/>
      <c r="J131" s="39"/>
      <c r="K131" s="41"/>
    </row>
    <row r="132" spans="1:11" x14ac:dyDescent="0.25">
      <c r="B132" s="100" t="str">
        <f xml:space="preserve"> ( 'Facility Detail'!$B$604 + 2 ) &amp; " Surplus Applied to " &amp; ( 'Facility Detail'!$B$604 + 1 )</f>
        <v>2015 Surplus Applied to 2014</v>
      </c>
      <c r="C132" s="89"/>
      <c r="D132" s="78"/>
      <c r="E132" s="88">
        <f>F132</f>
        <v>0</v>
      </c>
      <c r="F132" s="10"/>
      <c r="G132" s="93"/>
      <c r="H132" s="93"/>
      <c r="I132" s="93"/>
      <c r="J132" s="39"/>
      <c r="K132" s="41"/>
    </row>
    <row r="133" spans="1:11" x14ac:dyDescent="0.25">
      <c r="B133" s="100" t="str">
        <f xml:space="preserve"> ( 'Facility Detail'!$B$604 + 2 ) &amp; " Surplus Applied to " &amp; ( 'Facility Detail'!$B$604 + 3 )</f>
        <v>2015 Surplus Applied to 2016</v>
      </c>
      <c r="C133" s="41"/>
      <c r="D133" s="78"/>
      <c r="E133" s="94"/>
      <c r="F133" s="10"/>
      <c r="G133" s="158">
        <f>F133</f>
        <v>0</v>
      </c>
      <c r="H133" s="158">
        <f>G133</f>
        <v>0</v>
      </c>
      <c r="I133" s="158">
        <f>H133</f>
        <v>0</v>
      </c>
      <c r="J133" s="39"/>
      <c r="K133" s="41"/>
    </row>
    <row r="134" spans="1:11" x14ac:dyDescent="0.25">
      <c r="B134" s="100" t="str">
        <f xml:space="preserve"> ( 'Facility Detail'!$B$604 +3 ) &amp; " Surplus Applied to " &amp; ( 'Facility Detail'!$B$604 + 2 )</f>
        <v>2016 Surplus Applied to 2015</v>
      </c>
      <c r="C134" s="41"/>
      <c r="D134" s="79"/>
      <c r="E134" s="95"/>
      <c r="F134" s="76">
        <f>G134</f>
        <v>0</v>
      </c>
      <c r="G134" s="159"/>
      <c r="H134" s="159"/>
      <c r="I134" s="159"/>
      <c r="J134" s="39"/>
      <c r="K134" s="41"/>
    </row>
    <row r="135" spans="1:11" x14ac:dyDescent="0.25">
      <c r="B135" s="100" t="str">
        <f xml:space="preserve"> ( 'Facility Detail'!$B$604 +3 ) &amp; " Surplus Applied to " &amp; ( 'Facility Detail'!$B$604 + 4 )</f>
        <v>2016 Surplus Applied to 2017</v>
      </c>
      <c r="C135" s="41"/>
      <c r="D135" s="164"/>
      <c r="E135" s="164"/>
      <c r="F135" s="27"/>
      <c r="G135" s="165"/>
      <c r="H135" s="165"/>
      <c r="I135" s="165"/>
      <c r="J135" s="39"/>
      <c r="K135" s="41"/>
    </row>
    <row r="136" spans="1:11" x14ac:dyDescent="0.25">
      <c r="B136" s="44" t="s">
        <v>31</v>
      </c>
      <c r="D136" s="7">
        <f xml:space="preserve"> D130 - D129</f>
        <v>0</v>
      </c>
      <c r="E136" s="7">
        <f xml:space="preserve"> E129 + E132 - E131 - E130</f>
        <v>0</v>
      </c>
      <c r="F136" s="7">
        <f>F131+F134-F132-F133</f>
        <v>0</v>
      </c>
      <c r="G136" s="7">
        <f>G133-G134</f>
        <v>0</v>
      </c>
      <c r="H136" s="7">
        <f>H133-H134</f>
        <v>0</v>
      </c>
      <c r="I136" s="7">
        <f>I133-I134</f>
        <v>0</v>
      </c>
      <c r="J136" s="39"/>
      <c r="K136" s="41"/>
    </row>
    <row r="137" spans="1:11" x14ac:dyDescent="0.25">
      <c r="B137" s="6"/>
      <c r="D137" s="7"/>
      <c r="E137" s="7"/>
      <c r="F137" s="7"/>
      <c r="G137" s="7"/>
      <c r="H137" s="7"/>
      <c r="I137" s="7"/>
      <c r="J137" s="39"/>
      <c r="K137" s="41"/>
    </row>
    <row r="138" spans="1:11" x14ac:dyDescent="0.25">
      <c r="B138" s="107" t="s">
        <v>27</v>
      </c>
      <c r="C138" s="89"/>
      <c r="D138" s="123"/>
      <c r="E138" s="124"/>
      <c r="F138" s="125"/>
      <c r="G138" s="125"/>
      <c r="H138" s="125"/>
      <c r="I138" s="125"/>
      <c r="J138" s="39"/>
      <c r="K138" s="41"/>
    </row>
    <row r="139" spans="1:11" x14ac:dyDescent="0.25">
      <c r="B139" s="6"/>
      <c r="D139" s="7"/>
      <c r="E139" s="7"/>
      <c r="F139" s="7"/>
      <c r="G139" s="7"/>
      <c r="H139" s="7"/>
      <c r="I139" s="7"/>
      <c r="J139" s="39"/>
      <c r="K139" s="41"/>
    </row>
    <row r="140" spans="1:11" ht="15.75" x14ac:dyDescent="0.25">
      <c r="A140" s="103" t="s">
        <v>39</v>
      </c>
      <c r="C140" s="89"/>
      <c r="D140" s="57">
        <f t="shared" ref="D140:I140" si="16" xml:space="preserve"> D115 + D120 - D126 + D136 + D138</f>
        <v>29008</v>
      </c>
      <c r="E140" s="58">
        <f t="shared" si="16"/>
        <v>29008</v>
      </c>
      <c r="F140" s="59">
        <f t="shared" si="16"/>
        <v>29008</v>
      </c>
      <c r="G140" s="59">
        <f t="shared" si="16"/>
        <v>29008</v>
      </c>
      <c r="H140" s="59">
        <f t="shared" si="16"/>
        <v>29008</v>
      </c>
      <c r="I140" s="59">
        <f t="shared" si="16"/>
        <v>29008</v>
      </c>
      <c r="J140" s="39"/>
      <c r="K140" s="41"/>
    </row>
    <row r="141" spans="1:11" x14ac:dyDescent="0.25">
      <c r="B141" s="6"/>
      <c r="D141" s="7"/>
      <c r="E141" s="7"/>
      <c r="F141" s="7"/>
      <c r="G141" s="39"/>
      <c r="H141" s="39"/>
      <c r="I141" s="39"/>
      <c r="J141" s="39"/>
      <c r="K141" s="41"/>
    </row>
    <row r="142" spans="1:11" ht="15.75" thickBot="1" x14ac:dyDescent="0.3">
      <c r="J142" s="41"/>
      <c r="K142" s="41"/>
    </row>
    <row r="143" spans="1:11" x14ac:dyDescent="0.25">
      <c r="A143" s="8"/>
      <c r="B143" s="8"/>
      <c r="C143" s="8"/>
      <c r="D143" s="8"/>
      <c r="E143" s="8"/>
      <c r="F143" s="8"/>
      <c r="G143" s="8"/>
      <c r="H143" s="8"/>
      <c r="I143" s="8"/>
      <c r="J143" s="41"/>
      <c r="K143" s="41"/>
    </row>
    <row r="144" spans="1:11" x14ac:dyDescent="0.25">
      <c r="B144" s="41"/>
      <c r="C144" s="41"/>
      <c r="D144" s="41"/>
      <c r="E144" s="41"/>
      <c r="F144" s="41"/>
      <c r="G144" s="41"/>
      <c r="H144" s="41"/>
      <c r="I144" s="41"/>
      <c r="J144" s="41"/>
      <c r="K144" s="41"/>
    </row>
    <row r="145" spans="1:11" ht="21" x14ac:dyDescent="0.35">
      <c r="A145" s="16" t="s">
        <v>4</v>
      </c>
      <c r="B145" s="16"/>
      <c r="C145" s="54" t="str">
        <f>B5</f>
        <v>Cabinet Gorge #3</v>
      </c>
      <c r="D145" s="55"/>
      <c r="E145" s="26"/>
      <c r="F145" s="26"/>
      <c r="J145" s="41"/>
      <c r="K145" s="41"/>
    </row>
    <row r="146" spans="1:11" x14ac:dyDescent="0.25">
      <c r="J146" s="41"/>
      <c r="K146" s="41"/>
    </row>
    <row r="147" spans="1:11" ht="18.75" x14ac:dyDescent="0.3">
      <c r="A147" s="9" t="s">
        <v>33</v>
      </c>
      <c r="B147" s="9"/>
      <c r="D147" s="2">
        <v>2013</v>
      </c>
      <c r="E147" s="2">
        <f>D147+1</f>
        <v>2014</v>
      </c>
      <c r="F147" s="2">
        <f>E147+1</f>
        <v>2015</v>
      </c>
      <c r="G147" s="2">
        <f>F147+1</f>
        <v>2016</v>
      </c>
      <c r="H147" s="2">
        <f>G147+1</f>
        <v>2017</v>
      </c>
      <c r="I147" s="2">
        <f>H147+1</f>
        <v>2018</v>
      </c>
      <c r="J147" s="28"/>
      <c r="K147" s="41"/>
    </row>
    <row r="148" spans="1:11" x14ac:dyDescent="0.25">
      <c r="B148" s="100" t="str">
        <f>"Total MWh Produced / Purchased from " &amp; C145</f>
        <v>Total MWh Produced / Purchased from Cabinet Gorge #3</v>
      </c>
      <c r="C148" s="89"/>
      <c r="D148" s="3">
        <v>45808</v>
      </c>
      <c r="E148" s="3">
        <v>45808</v>
      </c>
      <c r="F148" s="3">
        <v>45808</v>
      </c>
      <c r="G148" s="3">
        <v>45808</v>
      </c>
      <c r="H148" s="3">
        <v>45808</v>
      </c>
      <c r="I148" s="3">
        <v>45808</v>
      </c>
      <c r="J148" s="27"/>
      <c r="K148" s="41"/>
    </row>
    <row r="149" spans="1:11" x14ac:dyDescent="0.25">
      <c r="B149" s="100" t="s">
        <v>38</v>
      </c>
      <c r="C149" s="89"/>
      <c r="D149" s="69">
        <v>1</v>
      </c>
      <c r="E149" s="70">
        <v>1</v>
      </c>
      <c r="F149" s="71">
        <v>1</v>
      </c>
      <c r="G149" s="71">
        <v>1</v>
      </c>
      <c r="H149" s="71">
        <v>1</v>
      </c>
      <c r="I149" s="71">
        <v>1</v>
      </c>
      <c r="J149" s="27"/>
      <c r="K149" s="41"/>
    </row>
    <row r="150" spans="1:11" x14ac:dyDescent="0.25">
      <c r="B150" s="100" t="s">
        <v>32</v>
      </c>
      <c r="C150" s="89"/>
      <c r="D150" s="62">
        <v>1</v>
      </c>
      <c r="E150" s="63">
        <v>1</v>
      </c>
      <c r="F150" s="64">
        <v>1</v>
      </c>
      <c r="G150" s="64">
        <v>1</v>
      </c>
      <c r="H150" s="64">
        <v>1</v>
      </c>
      <c r="I150" s="64">
        <v>1</v>
      </c>
      <c r="J150" s="27"/>
      <c r="K150" s="41"/>
    </row>
    <row r="151" spans="1:11" x14ac:dyDescent="0.25">
      <c r="B151" s="97" t="s">
        <v>34</v>
      </c>
      <c r="C151" s="98"/>
      <c r="D151" s="49">
        <f t="shared" ref="D151:I151" si="17" xml:space="preserve"> D148 * D149 * D150</f>
        <v>45808</v>
      </c>
      <c r="E151" s="49">
        <f t="shared" si="17"/>
        <v>45808</v>
      </c>
      <c r="F151" s="49">
        <f t="shared" si="17"/>
        <v>45808</v>
      </c>
      <c r="G151" s="49">
        <f t="shared" si="17"/>
        <v>45808</v>
      </c>
      <c r="H151" s="49">
        <f t="shared" si="17"/>
        <v>45808</v>
      </c>
      <c r="I151" s="49">
        <f t="shared" si="17"/>
        <v>45808</v>
      </c>
      <c r="J151" s="27"/>
      <c r="K151" s="41"/>
    </row>
    <row r="152" spans="1:11" x14ac:dyDescent="0.25">
      <c r="B152" s="26"/>
      <c r="C152" s="41"/>
      <c r="D152" s="48"/>
      <c r="E152" s="48"/>
      <c r="F152" s="48"/>
      <c r="G152" s="48"/>
      <c r="H152" s="48"/>
      <c r="I152" s="48"/>
      <c r="J152" s="27"/>
      <c r="K152" s="41"/>
    </row>
    <row r="153" spans="1:11" ht="18.75" x14ac:dyDescent="0.3">
      <c r="A153" s="56" t="s">
        <v>36</v>
      </c>
      <c r="C153" s="41"/>
      <c r="D153" s="2">
        <f>D147</f>
        <v>2013</v>
      </c>
      <c r="E153" s="2">
        <f>D153+1</f>
        <v>2014</v>
      </c>
      <c r="F153" s="2">
        <f>E153+1</f>
        <v>2015</v>
      </c>
      <c r="G153" s="2">
        <f>F153+1</f>
        <v>2016</v>
      </c>
      <c r="H153" s="2">
        <f>G153+1</f>
        <v>2017</v>
      </c>
      <c r="I153" s="2">
        <f>H153+1</f>
        <v>2018</v>
      </c>
      <c r="J153" s="27"/>
      <c r="K153" s="41"/>
    </row>
    <row r="154" spans="1:11" x14ac:dyDescent="0.25">
      <c r="B154" s="100" t="s">
        <v>25</v>
      </c>
      <c r="C154" s="89"/>
      <c r="D154" s="65">
        <f>IF( $E5 = "Eligible",D151 * 'Facility Detail'!$B$601, 0 )</f>
        <v>0</v>
      </c>
      <c r="E154" s="13">
        <f>IF( $E5 = "Eligible",E151 * 'Facility Detail'!$B$601, 0 )</f>
        <v>0</v>
      </c>
      <c r="F154" s="14">
        <f>IF( $E5 = "Eligible",F151 * 'Facility Detail'!$B$601, 0 )</f>
        <v>0</v>
      </c>
      <c r="G154" s="14">
        <f>IF( $E5 = "Eligible",G151 * 'Facility Detail'!$B$601, 0 )</f>
        <v>0</v>
      </c>
      <c r="H154" s="14">
        <f>IF( $E5 = "Eligible",H151 * 'Facility Detail'!$B$601, 0 )</f>
        <v>0</v>
      </c>
      <c r="I154" s="14">
        <f>IF( $E5 = "Eligible",I151 * 'Facility Detail'!$B$601, 0 )</f>
        <v>0</v>
      </c>
      <c r="J154" s="27"/>
      <c r="K154" s="41"/>
    </row>
    <row r="155" spans="1:11" x14ac:dyDescent="0.25">
      <c r="B155" s="100" t="s">
        <v>6</v>
      </c>
      <c r="C155" s="89"/>
      <c r="D155" s="66">
        <f t="shared" ref="D155:I155" si="18">IF( $F5 = "Eligible", D151, 0 )</f>
        <v>0</v>
      </c>
      <c r="E155" s="67">
        <f t="shared" si="18"/>
        <v>0</v>
      </c>
      <c r="F155" s="68">
        <f t="shared" si="18"/>
        <v>0</v>
      </c>
      <c r="G155" s="68">
        <f t="shared" si="18"/>
        <v>0</v>
      </c>
      <c r="H155" s="68">
        <f t="shared" si="18"/>
        <v>0</v>
      </c>
      <c r="I155" s="68">
        <f t="shared" si="18"/>
        <v>0</v>
      </c>
      <c r="J155" s="27"/>
      <c r="K155" s="41"/>
    </row>
    <row r="156" spans="1:11" x14ac:dyDescent="0.25">
      <c r="B156" s="99" t="s">
        <v>45</v>
      </c>
      <c r="C156" s="98"/>
      <c r="D156" s="51">
        <f t="shared" ref="D156:I156" si="19">SUM(D154:D155)</f>
        <v>0</v>
      </c>
      <c r="E156" s="52">
        <f t="shared" si="19"/>
        <v>0</v>
      </c>
      <c r="F156" s="52">
        <f t="shared" si="19"/>
        <v>0</v>
      </c>
      <c r="G156" s="52">
        <f t="shared" si="19"/>
        <v>0</v>
      </c>
      <c r="H156" s="52">
        <f t="shared" si="19"/>
        <v>0</v>
      </c>
      <c r="I156" s="52">
        <f t="shared" si="19"/>
        <v>0</v>
      </c>
      <c r="J156" s="27"/>
      <c r="K156" s="41"/>
    </row>
    <row r="157" spans="1:11" x14ac:dyDescent="0.25">
      <c r="B157" s="41"/>
      <c r="C157" s="41"/>
      <c r="D157" s="50"/>
      <c r="E157" s="42"/>
      <c r="F157" s="42"/>
      <c r="G157" s="42"/>
      <c r="H157" s="42"/>
      <c r="I157" s="42"/>
      <c r="J157" s="27"/>
      <c r="K157" s="41"/>
    </row>
    <row r="158" spans="1:11" ht="18.75" x14ac:dyDescent="0.3">
      <c r="A158" s="53" t="s">
        <v>43</v>
      </c>
      <c r="C158" s="41"/>
      <c r="D158" s="2">
        <f>D147</f>
        <v>2013</v>
      </c>
      <c r="E158" s="2">
        <f>D158+1</f>
        <v>2014</v>
      </c>
      <c r="F158" s="2">
        <f>E158+1</f>
        <v>2015</v>
      </c>
      <c r="G158" s="2">
        <f>F158+1</f>
        <v>2016</v>
      </c>
      <c r="H158" s="2">
        <f>G158+1</f>
        <v>2017</v>
      </c>
      <c r="I158" s="2">
        <f>H158+1</f>
        <v>2018</v>
      </c>
      <c r="J158" s="27"/>
      <c r="K158" s="41"/>
    </row>
    <row r="159" spans="1:11" x14ac:dyDescent="0.25">
      <c r="B159" s="100" t="s">
        <v>47</v>
      </c>
      <c r="C159" s="89"/>
      <c r="D159" s="108">
        <v>0</v>
      </c>
      <c r="E159" s="109">
        <v>0</v>
      </c>
      <c r="F159" s="110">
        <v>0</v>
      </c>
      <c r="G159" s="110">
        <v>0</v>
      </c>
      <c r="H159" s="110">
        <v>0</v>
      </c>
      <c r="I159" s="110">
        <v>0</v>
      </c>
      <c r="J159" s="27"/>
      <c r="K159" s="41"/>
    </row>
    <row r="160" spans="1:11" x14ac:dyDescent="0.25">
      <c r="B160" s="101" t="s">
        <v>35</v>
      </c>
      <c r="C160" s="102"/>
      <c r="D160" s="111">
        <v>0</v>
      </c>
      <c r="E160" s="112">
        <v>0</v>
      </c>
      <c r="F160" s="113">
        <v>0</v>
      </c>
      <c r="G160" s="113">
        <v>0</v>
      </c>
      <c r="H160" s="113">
        <v>0</v>
      </c>
      <c r="I160" s="113">
        <v>0</v>
      </c>
      <c r="J160" s="27"/>
      <c r="K160" s="41"/>
    </row>
    <row r="161" spans="1:11" x14ac:dyDescent="0.25">
      <c r="B161" s="114" t="s">
        <v>49</v>
      </c>
      <c r="C161" s="106"/>
      <c r="D161" s="72">
        <v>0</v>
      </c>
      <c r="E161" s="73">
        <v>0</v>
      </c>
      <c r="F161" s="74">
        <v>0</v>
      </c>
      <c r="G161" s="74">
        <v>0</v>
      </c>
      <c r="H161" s="74">
        <v>0</v>
      </c>
      <c r="I161" s="74">
        <v>0</v>
      </c>
      <c r="J161" s="27"/>
      <c r="K161" s="41"/>
    </row>
    <row r="162" spans="1:11" x14ac:dyDescent="0.25">
      <c r="B162" s="44" t="s">
        <v>50</v>
      </c>
      <c r="D162" s="7">
        <f t="shared" ref="D162:I162" si="20">SUM(D159:D161)</f>
        <v>0</v>
      </c>
      <c r="E162" s="7">
        <f t="shared" si="20"/>
        <v>0</v>
      </c>
      <c r="F162" s="7">
        <f t="shared" si="20"/>
        <v>0</v>
      </c>
      <c r="G162" s="7">
        <f t="shared" si="20"/>
        <v>0</v>
      </c>
      <c r="H162" s="7">
        <f t="shared" si="20"/>
        <v>0</v>
      </c>
      <c r="I162" s="7">
        <f t="shared" si="20"/>
        <v>0</v>
      </c>
      <c r="J162" s="39"/>
      <c r="K162" s="41"/>
    </row>
    <row r="163" spans="1:11" x14ac:dyDescent="0.25">
      <c r="B163" s="6"/>
      <c r="D163" s="7"/>
      <c r="E163" s="7"/>
      <c r="F163" s="7"/>
      <c r="G163" s="7"/>
      <c r="H163" s="7"/>
      <c r="I163" s="7"/>
      <c r="J163" s="39"/>
      <c r="K163" s="41"/>
    </row>
    <row r="164" spans="1:11" ht="18.75" x14ac:dyDescent="0.3">
      <c r="A164" s="9" t="s">
        <v>51</v>
      </c>
      <c r="D164" s="2">
        <f>D147</f>
        <v>2013</v>
      </c>
      <c r="E164" s="2">
        <f>D164+1</f>
        <v>2014</v>
      </c>
      <c r="F164" s="2">
        <f>E164+1</f>
        <v>2015</v>
      </c>
      <c r="G164" s="2">
        <f>F164+1</f>
        <v>2016</v>
      </c>
      <c r="H164" s="2">
        <f>G164+1</f>
        <v>2017</v>
      </c>
      <c r="I164" s="2">
        <f>H164+1</f>
        <v>2018</v>
      </c>
      <c r="J164" s="39"/>
      <c r="K164" s="41"/>
    </row>
    <row r="165" spans="1:11" x14ac:dyDescent="0.25">
      <c r="B165" s="100" t="str">
        <f xml:space="preserve"> 'Facility Detail'!$B$604 &amp; " Surplus Applied to " &amp; ( 'Facility Detail'!$B$604 + 1 )</f>
        <v>2013 Surplus Applied to 2014</v>
      </c>
      <c r="C165" s="41"/>
      <c r="D165" s="3"/>
      <c r="E165" s="75">
        <f>D165</f>
        <v>0</v>
      </c>
      <c r="F165" s="156"/>
      <c r="G165" s="77"/>
      <c r="H165" s="77"/>
      <c r="I165" s="77"/>
      <c r="J165" s="39"/>
      <c r="K165" s="41"/>
    </row>
    <row r="166" spans="1:11" x14ac:dyDescent="0.25">
      <c r="B166" s="100" t="str">
        <f xml:space="preserve"> ( 'Facility Detail'!$B$604 + 1 ) &amp; " Surplus Applied to " &amp; ( 'Facility Detail'!$B$604 )</f>
        <v>2014 Surplus Applied to 2013</v>
      </c>
      <c r="C166" s="41"/>
      <c r="D166" s="157">
        <f>E166</f>
        <v>0</v>
      </c>
      <c r="E166" s="10"/>
      <c r="F166" s="94"/>
      <c r="G166" s="93"/>
      <c r="H166" s="93"/>
      <c r="I166" s="93"/>
      <c r="J166" s="39"/>
      <c r="K166" s="41"/>
    </row>
    <row r="167" spans="1:11" x14ac:dyDescent="0.25">
      <c r="B167" s="100" t="str">
        <f xml:space="preserve"> ( 'Facility Detail'!$B$604 + 1 ) &amp; " Surplus Applied to " &amp; ( 'Facility Detail'!$B$604 + 2 )</f>
        <v>2014 Surplus Applied to 2015</v>
      </c>
      <c r="C167" s="41"/>
      <c r="D167" s="78"/>
      <c r="E167" s="10"/>
      <c r="F167" s="88">
        <f>E167</f>
        <v>0</v>
      </c>
      <c r="G167" s="93"/>
      <c r="H167" s="93"/>
      <c r="I167" s="93"/>
      <c r="J167" s="39"/>
      <c r="K167" s="41"/>
    </row>
    <row r="168" spans="1:11" x14ac:dyDescent="0.25">
      <c r="B168" s="100" t="str">
        <f xml:space="preserve"> ( 'Facility Detail'!$B$604 + 2 ) &amp; " Surplus Applied to " &amp; ( 'Facility Detail'!$B$604 + 1 )</f>
        <v>2015 Surplus Applied to 2014</v>
      </c>
      <c r="C168" s="41"/>
      <c r="D168" s="78"/>
      <c r="E168" s="88">
        <f>F168</f>
        <v>0</v>
      </c>
      <c r="F168" s="10"/>
      <c r="G168" s="93"/>
      <c r="H168" s="93"/>
      <c r="I168" s="93"/>
      <c r="J168" s="39"/>
      <c r="K168" s="41"/>
    </row>
    <row r="169" spans="1:11" x14ac:dyDescent="0.25">
      <c r="B169" s="100" t="str">
        <f xml:space="preserve"> ( 'Facility Detail'!$B$604 + 2 ) &amp; " Surplus Applied to " &amp; ( 'Facility Detail'!$B$604 + 3 )</f>
        <v>2015 Surplus Applied to 2016</v>
      </c>
      <c r="C169" s="41"/>
      <c r="D169" s="78"/>
      <c r="E169" s="94"/>
      <c r="F169" s="10"/>
      <c r="G169" s="158">
        <f>F169</f>
        <v>0</v>
      </c>
      <c r="H169" s="158">
        <f>G169</f>
        <v>0</v>
      </c>
      <c r="I169" s="158">
        <f>H169</f>
        <v>0</v>
      </c>
      <c r="J169" s="39"/>
      <c r="K169" s="41"/>
    </row>
    <row r="170" spans="1:11" x14ac:dyDescent="0.25">
      <c r="B170" s="100" t="str">
        <f xml:space="preserve"> ( 'Facility Detail'!$B$604 +3 ) &amp; " Surplus Applied to " &amp; ( 'Facility Detail'!$B$604 + 2 )</f>
        <v>2016 Surplus Applied to 2015</v>
      </c>
      <c r="C170" s="41"/>
      <c r="D170" s="79"/>
      <c r="E170" s="95"/>
      <c r="F170" s="76">
        <f>G170</f>
        <v>0</v>
      </c>
      <c r="G170" s="159"/>
      <c r="H170" s="159"/>
      <c r="I170" s="159"/>
      <c r="J170" s="39"/>
      <c r="K170" s="41"/>
    </row>
    <row r="171" spans="1:11" x14ac:dyDescent="0.25">
      <c r="B171" s="100" t="str">
        <f xml:space="preserve"> ( 'Facility Detail'!$B$604 +3 ) &amp; " Surplus Applied to " &amp; ( 'Facility Detail'!$B$604 + 4 )</f>
        <v>2016 Surplus Applied to 2017</v>
      </c>
      <c r="C171" s="41"/>
      <c r="D171" s="164"/>
      <c r="E171" s="164"/>
      <c r="F171" s="27"/>
      <c r="G171" s="165"/>
      <c r="H171" s="165"/>
      <c r="I171" s="165"/>
      <c r="J171" s="39"/>
      <c r="K171" s="41"/>
    </row>
    <row r="172" spans="1:11" x14ac:dyDescent="0.25">
      <c r="B172" s="44" t="s">
        <v>31</v>
      </c>
      <c r="D172" s="7">
        <f xml:space="preserve"> D166 - D165</f>
        <v>0</v>
      </c>
      <c r="E172" s="7">
        <f xml:space="preserve"> E165 + E168 - E167 - E166</f>
        <v>0</v>
      </c>
      <c r="F172" s="7">
        <f>F167+F170-F168-F169</f>
        <v>0</v>
      </c>
      <c r="G172" s="7">
        <f>G169-G170</f>
        <v>0</v>
      </c>
      <c r="H172" s="7">
        <f>H169-H170</f>
        <v>0</v>
      </c>
      <c r="I172" s="7">
        <f>I169-I170</f>
        <v>0</v>
      </c>
      <c r="J172" s="39"/>
      <c r="K172" s="41"/>
    </row>
    <row r="173" spans="1:11" x14ac:dyDescent="0.25">
      <c r="B173" s="6"/>
      <c r="D173" s="7"/>
      <c r="E173" s="7"/>
      <c r="F173" s="7"/>
      <c r="G173" s="7"/>
      <c r="H173" s="7"/>
      <c r="I173" s="7"/>
      <c r="J173" s="39"/>
      <c r="K173" s="41"/>
    </row>
    <row r="174" spans="1:11" x14ac:dyDescent="0.25">
      <c r="B174" s="107" t="s">
        <v>27</v>
      </c>
      <c r="C174" s="89"/>
      <c r="D174" s="123"/>
      <c r="E174" s="124"/>
      <c r="F174" s="125"/>
      <c r="G174" s="125"/>
      <c r="H174" s="125"/>
      <c r="I174" s="125"/>
      <c r="J174" s="39"/>
      <c r="K174" s="41"/>
    </row>
    <row r="175" spans="1:11" x14ac:dyDescent="0.25">
      <c r="B175" s="6"/>
      <c r="D175" s="7"/>
      <c r="E175" s="7"/>
      <c r="F175" s="7"/>
      <c r="G175" s="7"/>
      <c r="H175" s="7"/>
      <c r="I175" s="7"/>
      <c r="J175" s="39"/>
      <c r="K175" s="41"/>
    </row>
    <row r="176" spans="1:11" ht="15.75" x14ac:dyDescent="0.25">
      <c r="A176" s="103" t="s">
        <v>39</v>
      </c>
      <c r="C176" s="89"/>
      <c r="D176" s="57">
        <f t="shared" ref="D176:I176" si="21" xml:space="preserve"> D151 + D156 - D162 + D172 + D174</f>
        <v>45808</v>
      </c>
      <c r="E176" s="58">
        <f t="shared" si="21"/>
        <v>45808</v>
      </c>
      <c r="F176" s="59">
        <f t="shared" si="21"/>
        <v>45808</v>
      </c>
      <c r="G176" s="59">
        <f t="shared" si="21"/>
        <v>45808</v>
      </c>
      <c r="H176" s="59">
        <f t="shared" si="21"/>
        <v>45808</v>
      </c>
      <c r="I176" s="59">
        <f t="shared" si="21"/>
        <v>45808</v>
      </c>
      <c r="J176" s="39"/>
      <c r="K176" s="41"/>
    </row>
    <row r="177" spans="1:11" x14ac:dyDescent="0.25">
      <c r="B177" s="6"/>
      <c r="D177" s="7"/>
      <c r="E177" s="7"/>
      <c r="F177" s="7"/>
      <c r="G177" s="39"/>
      <c r="H177" s="39"/>
      <c r="I177" s="39"/>
      <c r="J177" s="39"/>
      <c r="K177" s="41"/>
    </row>
    <row r="178" spans="1:11" ht="15.75" thickBot="1" x14ac:dyDescent="0.3">
      <c r="J178" s="41"/>
      <c r="K178" s="41"/>
    </row>
    <row r="179" spans="1:11" x14ac:dyDescent="0.25">
      <c r="A179" s="8"/>
      <c r="B179" s="8"/>
      <c r="C179" s="8"/>
      <c r="D179" s="8"/>
      <c r="E179" s="8"/>
      <c r="F179" s="8"/>
      <c r="G179" s="8"/>
      <c r="H179" s="8"/>
      <c r="I179" s="8"/>
      <c r="J179" s="41"/>
      <c r="K179" s="41"/>
    </row>
    <row r="180" spans="1:11" x14ac:dyDescent="0.25">
      <c r="B180" s="41"/>
      <c r="C180" s="41"/>
      <c r="D180" s="41"/>
      <c r="E180" s="41"/>
      <c r="F180" s="41"/>
      <c r="G180" s="41"/>
      <c r="H180" s="41"/>
      <c r="I180" s="41"/>
      <c r="J180" s="41"/>
      <c r="K180" s="41"/>
    </row>
    <row r="181" spans="1:11" ht="21" x14ac:dyDescent="0.35">
      <c r="A181" s="16" t="s">
        <v>4</v>
      </c>
      <c r="B181" s="16"/>
      <c r="C181" s="54" t="str">
        <f>B6</f>
        <v>Cabinet Gorge #4</v>
      </c>
      <c r="D181" s="55"/>
      <c r="E181" s="26"/>
      <c r="F181" s="26"/>
      <c r="J181" s="41"/>
      <c r="K181" s="41"/>
    </row>
    <row r="182" spans="1:11" x14ac:dyDescent="0.25">
      <c r="J182" s="41"/>
      <c r="K182" s="41"/>
    </row>
    <row r="183" spans="1:11" ht="18.75" x14ac:dyDescent="0.3">
      <c r="A183" s="9" t="s">
        <v>33</v>
      </c>
      <c r="B183" s="9"/>
      <c r="D183" s="2">
        <v>2013</v>
      </c>
      <c r="E183" s="2">
        <f>D183+1</f>
        <v>2014</v>
      </c>
      <c r="F183" s="2">
        <f>E183+1</f>
        <v>2015</v>
      </c>
      <c r="G183" s="2">
        <f>F183+1</f>
        <v>2016</v>
      </c>
      <c r="H183" s="2">
        <f>G183+1</f>
        <v>2017</v>
      </c>
      <c r="I183" s="2">
        <f>H183+1</f>
        <v>2018</v>
      </c>
      <c r="J183" s="28"/>
      <c r="K183" s="41"/>
    </row>
    <row r="184" spans="1:11" x14ac:dyDescent="0.25">
      <c r="B184" s="100" t="str">
        <f>"Total MWh Produced / Purchased from " &amp; C181</f>
        <v>Total MWh Produced / Purchased from Cabinet Gorge #4</v>
      </c>
      <c r="C184" s="89"/>
      <c r="D184" s="3">
        <v>20517</v>
      </c>
      <c r="E184" s="4">
        <v>20517</v>
      </c>
      <c r="F184" s="5">
        <v>20517</v>
      </c>
      <c r="G184" s="5">
        <v>20517</v>
      </c>
      <c r="H184" s="5">
        <v>20517</v>
      </c>
      <c r="I184" s="5">
        <v>20517</v>
      </c>
      <c r="J184" s="27"/>
      <c r="K184" s="41"/>
    </row>
    <row r="185" spans="1:11" x14ac:dyDescent="0.25">
      <c r="B185" s="100" t="s">
        <v>38</v>
      </c>
      <c r="C185" s="89"/>
      <c r="D185" s="69">
        <v>1</v>
      </c>
      <c r="E185" s="70">
        <v>1</v>
      </c>
      <c r="F185" s="71">
        <v>1</v>
      </c>
      <c r="G185" s="71">
        <v>1</v>
      </c>
      <c r="H185" s="71">
        <v>1</v>
      </c>
      <c r="I185" s="71">
        <v>1</v>
      </c>
      <c r="J185" s="27"/>
      <c r="K185" s="41"/>
    </row>
    <row r="186" spans="1:11" x14ac:dyDescent="0.25">
      <c r="B186" s="100" t="s">
        <v>32</v>
      </c>
      <c r="C186" s="89"/>
      <c r="D186" s="62">
        <v>1</v>
      </c>
      <c r="E186" s="63">
        <v>1</v>
      </c>
      <c r="F186" s="64">
        <v>1</v>
      </c>
      <c r="G186" s="64">
        <v>1</v>
      </c>
      <c r="H186" s="64">
        <v>1</v>
      </c>
      <c r="I186" s="64">
        <v>1</v>
      </c>
      <c r="J186" s="27"/>
      <c r="K186" s="41"/>
    </row>
    <row r="187" spans="1:11" x14ac:dyDescent="0.25">
      <c r="B187" s="97" t="s">
        <v>34</v>
      </c>
      <c r="C187" s="98"/>
      <c r="D187" s="49">
        <f t="shared" ref="D187:I187" si="22" xml:space="preserve"> D184 * D185 * D186</f>
        <v>20517</v>
      </c>
      <c r="E187" s="49">
        <f t="shared" si="22"/>
        <v>20517</v>
      </c>
      <c r="F187" s="49">
        <f t="shared" si="22"/>
        <v>20517</v>
      </c>
      <c r="G187" s="49">
        <f t="shared" si="22"/>
        <v>20517</v>
      </c>
      <c r="H187" s="49">
        <f t="shared" si="22"/>
        <v>20517</v>
      </c>
      <c r="I187" s="49">
        <f t="shared" si="22"/>
        <v>20517</v>
      </c>
      <c r="J187" s="27"/>
      <c r="K187" s="41"/>
    </row>
    <row r="188" spans="1:11" x14ac:dyDescent="0.25">
      <c r="B188" s="26"/>
      <c r="C188" s="41"/>
      <c r="D188" s="48"/>
      <c r="E188" s="48"/>
      <c r="F188" s="48"/>
      <c r="G188" s="48"/>
      <c r="H188" s="48"/>
      <c r="I188" s="48"/>
      <c r="J188" s="27"/>
      <c r="K188" s="41"/>
    </row>
    <row r="189" spans="1:11" ht="18.75" x14ac:dyDescent="0.3">
      <c r="A189" s="56" t="s">
        <v>36</v>
      </c>
      <c r="C189" s="41"/>
      <c r="D189" s="2">
        <f>D183</f>
        <v>2013</v>
      </c>
      <c r="E189" s="2">
        <f>D189+1</f>
        <v>2014</v>
      </c>
      <c r="F189" s="2">
        <f>E189+1</f>
        <v>2015</v>
      </c>
      <c r="G189" s="2">
        <f>F189+1</f>
        <v>2016</v>
      </c>
      <c r="H189" s="2">
        <f>G189+1</f>
        <v>2017</v>
      </c>
      <c r="I189" s="2">
        <f>H189+1</f>
        <v>2018</v>
      </c>
      <c r="J189" s="27"/>
      <c r="K189" s="41"/>
    </row>
    <row r="190" spans="1:11" x14ac:dyDescent="0.25">
      <c r="B190" s="100" t="s">
        <v>25</v>
      </c>
      <c r="C190" s="89"/>
      <c r="D190" s="65">
        <f>IF( $E6 = "Eligible", D187 * 'Facility Detail'!$B$601, 0 )</f>
        <v>0</v>
      </c>
      <c r="E190" s="13">
        <f>IF( $E6 = "Eligible", E187 * 'Facility Detail'!$B$601, 0 )</f>
        <v>0</v>
      </c>
      <c r="F190" s="14">
        <f>IF( $E6 = "Eligible", F187 * 'Facility Detail'!$B$601, 0 )</f>
        <v>0</v>
      </c>
      <c r="G190" s="14">
        <f>IF( $E6 = "Eligible", G187 * 'Facility Detail'!$B$601, 0 )</f>
        <v>0</v>
      </c>
      <c r="H190" s="14">
        <f>IF( $E6 = "Eligible", H187 * 'Facility Detail'!$B$601, 0 )</f>
        <v>0</v>
      </c>
      <c r="I190" s="14">
        <f>IF( $E6 = "Eligible", I187 * 'Facility Detail'!$B$601, 0 )</f>
        <v>0</v>
      </c>
      <c r="J190" s="27"/>
      <c r="K190" s="41"/>
    </row>
    <row r="191" spans="1:11" x14ac:dyDescent="0.25">
      <c r="B191" s="100" t="s">
        <v>6</v>
      </c>
      <c r="C191" s="89"/>
      <c r="D191" s="66">
        <f t="shared" ref="D191:I191" si="23">IF( $F6 = "Eligible", D187, 0 )</f>
        <v>0</v>
      </c>
      <c r="E191" s="67">
        <f t="shared" si="23"/>
        <v>0</v>
      </c>
      <c r="F191" s="68">
        <f t="shared" si="23"/>
        <v>0</v>
      </c>
      <c r="G191" s="68">
        <f t="shared" si="23"/>
        <v>0</v>
      </c>
      <c r="H191" s="68">
        <f t="shared" si="23"/>
        <v>0</v>
      </c>
      <c r="I191" s="68">
        <f t="shared" si="23"/>
        <v>0</v>
      </c>
      <c r="J191" s="27"/>
      <c r="K191" s="41"/>
    </row>
    <row r="192" spans="1:11" x14ac:dyDescent="0.25">
      <c r="B192" s="99" t="s">
        <v>45</v>
      </c>
      <c r="C192" s="98"/>
      <c r="D192" s="51">
        <f t="shared" ref="D192:I192" si="24">SUM(D190:D191)</f>
        <v>0</v>
      </c>
      <c r="E192" s="52">
        <f t="shared" si="24"/>
        <v>0</v>
      </c>
      <c r="F192" s="52">
        <f t="shared" si="24"/>
        <v>0</v>
      </c>
      <c r="G192" s="52">
        <f t="shared" si="24"/>
        <v>0</v>
      </c>
      <c r="H192" s="52">
        <f t="shared" si="24"/>
        <v>0</v>
      </c>
      <c r="I192" s="52">
        <f t="shared" si="24"/>
        <v>0</v>
      </c>
      <c r="J192" s="27"/>
      <c r="K192" s="41"/>
    </row>
    <row r="193" spans="1:11" x14ac:dyDescent="0.25">
      <c r="B193" s="41"/>
      <c r="C193" s="41"/>
      <c r="D193" s="50"/>
      <c r="E193" s="42"/>
      <c r="F193" s="42"/>
      <c r="G193" s="42"/>
      <c r="H193" s="42"/>
      <c r="I193" s="42"/>
      <c r="J193" s="27"/>
      <c r="K193" s="41"/>
    </row>
    <row r="194" spans="1:11" ht="18.75" x14ac:dyDescent="0.3">
      <c r="A194" s="53" t="s">
        <v>43</v>
      </c>
      <c r="C194" s="41"/>
      <c r="D194" s="2">
        <f>D183</f>
        <v>2013</v>
      </c>
      <c r="E194" s="2">
        <f>D194+1</f>
        <v>2014</v>
      </c>
      <c r="F194" s="2">
        <f>E194+1</f>
        <v>2015</v>
      </c>
      <c r="G194" s="2">
        <f>F194+1</f>
        <v>2016</v>
      </c>
      <c r="H194" s="2">
        <f>G194+1</f>
        <v>2017</v>
      </c>
      <c r="I194" s="2">
        <f>H194+1</f>
        <v>2018</v>
      </c>
      <c r="J194" s="27"/>
      <c r="K194" s="41"/>
    </row>
    <row r="195" spans="1:11" x14ac:dyDescent="0.25">
      <c r="B195" s="100" t="s">
        <v>47</v>
      </c>
      <c r="C195" s="89"/>
      <c r="D195" s="108">
        <v>0</v>
      </c>
      <c r="E195" s="109">
        <v>0</v>
      </c>
      <c r="F195" s="110">
        <v>0</v>
      </c>
      <c r="G195" s="110">
        <v>0</v>
      </c>
      <c r="H195" s="110">
        <v>0</v>
      </c>
      <c r="I195" s="110">
        <v>0</v>
      </c>
      <c r="J195" s="27"/>
      <c r="K195" s="41"/>
    </row>
    <row r="196" spans="1:11" x14ac:dyDescent="0.25">
      <c r="B196" s="101" t="s">
        <v>35</v>
      </c>
      <c r="C196" s="102"/>
      <c r="D196" s="111">
        <v>0</v>
      </c>
      <c r="E196" s="112">
        <v>0</v>
      </c>
      <c r="F196" s="113">
        <v>0</v>
      </c>
      <c r="G196" s="113">
        <v>0</v>
      </c>
      <c r="H196" s="113">
        <v>0</v>
      </c>
      <c r="I196" s="113">
        <v>0</v>
      </c>
      <c r="J196" s="27"/>
      <c r="K196" s="41"/>
    </row>
    <row r="197" spans="1:11" x14ac:dyDescent="0.25">
      <c r="B197" s="114" t="s">
        <v>49</v>
      </c>
      <c r="C197" s="106"/>
      <c r="D197" s="72">
        <v>0</v>
      </c>
      <c r="E197" s="73">
        <v>0</v>
      </c>
      <c r="F197" s="74">
        <v>0</v>
      </c>
      <c r="G197" s="74">
        <v>0</v>
      </c>
      <c r="H197" s="74">
        <v>0</v>
      </c>
      <c r="I197" s="74">
        <v>0</v>
      </c>
      <c r="J197" s="27"/>
      <c r="K197" s="41"/>
    </row>
    <row r="198" spans="1:11" x14ac:dyDescent="0.25">
      <c r="B198" s="44" t="s">
        <v>50</v>
      </c>
      <c r="D198" s="7">
        <f t="shared" ref="D198:I198" si="25">SUM(D195:D197)</f>
        <v>0</v>
      </c>
      <c r="E198" s="7">
        <f t="shared" si="25"/>
        <v>0</v>
      </c>
      <c r="F198" s="7">
        <f t="shared" si="25"/>
        <v>0</v>
      </c>
      <c r="G198" s="7">
        <f t="shared" si="25"/>
        <v>0</v>
      </c>
      <c r="H198" s="7">
        <f t="shared" si="25"/>
        <v>0</v>
      </c>
      <c r="I198" s="7">
        <f t="shared" si="25"/>
        <v>0</v>
      </c>
      <c r="J198" s="39"/>
      <c r="K198" s="41"/>
    </row>
    <row r="199" spans="1:11" x14ac:dyDescent="0.25">
      <c r="B199" s="6"/>
      <c r="D199" s="7"/>
      <c r="E199" s="7"/>
      <c r="F199" s="7"/>
      <c r="G199" s="7"/>
      <c r="H199" s="7"/>
      <c r="I199" s="7"/>
      <c r="J199" s="39"/>
      <c r="K199" s="41"/>
    </row>
    <row r="200" spans="1:11" ht="18.75" x14ac:dyDescent="0.3">
      <c r="A200" s="9" t="s">
        <v>51</v>
      </c>
      <c r="D200" s="2">
        <f>D183</f>
        <v>2013</v>
      </c>
      <c r="E200" s="2">
        <f>D200+1</f>
        <v>2014</v>
      </c>
      <c r="F200" s="2">
        <f>E200+1</f>
        <v>2015</v>
      </c>
      <c r="G200" s="2">
        <f>F200+1</f>
        <v>2016</v>
      </c>
      <c r="H200" s="2">
        <f>G200+1</f>
        <v>2017</v>
      </c>
      <c r="I200" s="2">
        <f>H200+1</f>
        <v>2018</v>
      </c>
      <c r="J200" s="39"/>
      <c r="K200" s="41"/>
    </row>
    <row r="201" spans="1:11" x14ac:dyDescent="0.25">
      <c r="B201" s="100" t="str">
        <f xml:space="preserve"> 'Facility Detail'!$B$604 &amp; " Surplus Applied to " &amp; ( 'Facility Detail'!$B$604 + 1 )</f>
        <v>2013 Surplus Applied to 2014</v>
      </c>
      <c r="C201" s="89"/>
      <c r="D201" s="3"/>
      <c r="E201" s="75">
        <f>D201</f>
        <v>0</v>
      </c>
      <c r="F201" s="156"/>
      <c r="G201" s="77"/>
      <c r="H201" s="77"/>
      <c r="I201" s="77"/>
      <c r="J201" s="39"/>
      <c r="K201" s="41"/>
    </row>
    <row r="202" spans="1:11" x14ac:dyDescent="0.25">
      <c r="B202" s="100" t="str">
        <f xml:space="preserve"> ( 'Facility Detail'!$B$604 + 1 ) &amp; " Surplus Applied to " &amp; ( 'Facility Detail'!$B$604 )</f>
        <v>2014 Surplus Applied to 2013</v>
      </c>
      <c r="C202" s="89"/>
      <c r="D202" s="157">
        <f>E202</f>
        <v>0</v>
      </c>
      <c r="E202" s="10"/>
      <c r="F202" s="94"/>
      <c r="G202" s="93"/>
      <c r="H202" s="93"/>
      <c r="I202" s="93"/>
      <c r="J202" s="39"/>
      <c r="K202" s="41"/>
    </row>
    <row r="203" spans="1:11" x14ac:dyDescent="0.25">
      <c r="B203" s="100" t="str">
        <f xml:space="preserve"> ( 'Facility Detail'!$B$604 + 1 ) &amp; " Surplus Applied to " &amp; ( 'Facility Detail'!$B$604 + 2 )</f>
        <v>2014 Surplus Applied to 2015</v>
      </c>
      <c r="C203" s="89"/>
      <c r="D203" s="78"/>
      <c r="E203" s="10"/>
      <c r="F203" s="88">
        <f>E203</f>
        <v>0</v>
      </c>
      <c r="G203" s="93"/>
      <c r="H203" s="93"/>
      <c r="I203" s="93"/>
      <c r="J203" s="39"/>
      <c r="K203" s="41"/>
    </row>
    <row r="204" spans="1:11" x14ac:dyDescent="0.25">
      <c r="B204" s="100" t="str">
        <f xml:space="preserve"> ( 'Facility Detail'!$B$604 + 2 ) &amp; " Surplus Applied to " &amp; ( 'Facility Detail'!$B$604 + 1 )</f>
        <v>2015 Surplus Applied to 2014</v>
      </c>
      <c r="C204" s="89"/>
      <c r="D204" s="78"/>
      <c r="E204" s="88">
        <f>F204</f>
        <v>0</v>
      </c>
      <c r="F204" s="10"/>
      <c r="G204" s="93"/>
      <c r="H204" s="93"/>
      <c r="I204" s="93"/>
      <c r="J204" s="39"/>
      <c r="K204" s="41"/>
    </row>
    <row r="205" spans="1:11" x14ac:dyDescent="0.25">
      <c r="B205" s="100" t="str">
        <f xml:space="preserve"> ( 'Facility Detail'!$B$604 + 2 ) &amp; " Surplus Applied to " &amp; ( 'Facility Detail'!$B$604 + 3 )</f>
        <v>2015 Surplus Applied to 2016</v>
      </c>
      <c r="C205" s="41"/>
      <c r="D205" s="78"/>
      <c r="E205" s="94"/>
      <c r="F205" s="10"/>
      <c r="G205" s="158">
        <f>F205</f>
        <v>0</v>
      </c>
      <c r="H205" s="158">
        <f>G205</f>
        <v>0</v>
      </c>
      <c r="I205" s="158">
        <f>H205</f>
        <v>0</v>
      </c>
      <c r="J205" s="39"/>
      <c r="K205" s="41"/>
    </row>
    <row r="206" spans="1:11" x14ac:dyDescent="0.25">
      <c r="B206" s="100" t="str">
        <f xml:space="preserve"> ( 'Facility Detail'!$B$604 +3 ) &amp; " Surplus Applied to " &amp; ( 'Facility Detail'!$B$604 + 2 )</f>
        <v>2016 Surplus Applied to 2015</v>
      </c>
      <c r="C206" s="41"/>
      <c r="D206" s="79"/>
      <c r="E206" s="95"/>
      <c r="F206" s="76">
        <f>G206</f>
        <v>0</v>
      </c>
      <c r="G206" s="159"/>
      <c r="H206" s="159"/>
      <c r="I206" s="159"/>
      <c r="J206" s="39"/>
      <c r="K206" s="41"/>
    </row>
    <row r="207" spans="1:11" x14ac:dyDescent="0.25">
      <c r="B207" s="100" t="str">
        <f xml:space="preserve"> ( 'Facility Detail'!$B$604 +3 ) &amp; " Surplus Applied to " &amp; ( 'Facility Detail'!$B$604 + 4 )</f>
        <v>2016 Surplus Applied to 2017</v>
      </c>
      <c r="C207" s="41"/>
      <c r="D207" s="164"/>
      <c r="E207" s="164"/>
      <c r="F207" s="27"/>
      <c r="G207" s="165"/>
      <c r="H207" s="165"/>
      <c r="I207" s="165"/>
      <c r="J207" s="39"/>
      <c r="K207" s="41"/>
    </row>
    <row r="208" spans="1:11" x14ac:dyDescent="0.25">
      <c r="B208" s="44" t="s">
        <v>31</v>
      </c>
      <c r="D208" s="7">
        <f xml:space="preserve"> D202 - D201</f>
        <v>0</v>
      </c>
      <c r="E208" s="7">
        <f xml:space="preserve"> E201 + E204 - E203 - E202</f>
        <v>0</v>
      </c>
      <c r="F208" s="7">
        <f>F203+F206-F204-F205</f>
        <v>0</v>
      </c>
      <c r="G208" s="7">
        <f>G205-G206</f>
        <v>0</v>
      </c>
      <c r="H208" s="7">
        <f>H205-H206</f>
        <v>0</v>
      </c>
      <c r="I208" s="7">
        <f>I205-I206</f>
        <v>0</v>
      </c>
      <c r="J208" s="39"/>
      <c r="K208" s="41"/>
    </row>
    <row r="209" spans="1:11" x14ac:dyDescent="0.25">
      <c r="B209" s="6"/>
      <c r="D209" s="7"/>
      <c r="E209" s="7"/>
      <c r="F209" s="7"/>
      <c r="G209" s="7"/>
      <c r="H209" s="7"/>
      <c r="I209" s="7"/>
      <c r="J209" s="39"/>
      <c r="K209" s="41"/>
    </row>
    <row r="210" spans="1:11" x14ac:dyDescent="0.25">
      <c r="B210" s="107" t="s">
        <v>27</v>
      </c>
      <c r="C210" s="89"/>
      <c r="D210" s="123"/>
      <c r="E210" s="124"/>
      <c r="F210" s="125"/>
      <c r="G210" s="125"/>
      <c r="H210" s="125"/>
      <c r="I210" s="125"/>
      <c r="J210" s="39"/>
      <c r="K210" s="41"/>
    </row>
    <row r="211" spans="1:11" x14ac:dyDescent="0.25">
      <c r="B211" s="6"/>
      <c r="D211" s="7"/>
      <c r="E211" s="7"/>
      <c r="F211" s="7"/>
      <c r="G211" s="7"/>
      <c r="H211" s="7"/>
      <c r="I211" s="7"/>
      <c r="J211" s="39"/>
      <c r="K211" s="41"/>
    </row>
    <row r="212" spans="1:11" ht="15.75" x14ac:dyDescent="0.25">
      <c r="A212" s="103" t="s">
        <v>39</v>
      </c>
      <c r="C212" s="89"/>
      <c r="D212" s="57">
        <f t="shared" ref="D212:I212" si="26" xml:space="preserve"> D187 + D192 - D198 + D208 + D210</f>
        <v>20517</v>
      </c>
      <c r="E212" s="58">
        <f t="shared" si="26"/>
        <v>20517</v>
      </c>
      <c r="F212" s="59">
        <f t="shared" si="26"/>
        <v>20517</v>
      </c>
      <c r="G212" s="59">
        <f t="shared" si="26"/>
        <v>20517</v>
      </c>
      <c r="H212" s="59">
        <f t="shared" si="26"/>
        <v>20517</v>
      </c>
      <c r="I212" s="59">
        <f t="shared" si="26"/>
        <v>20517</v>
      </c>
      <c r="J212" s="39"/>
      <c r="K212" s="41"/>
    </row>
    <row r="213" spans="1:11" x14ac:dyDescent="0.25">
      <c r="B213" s="6"/>
      <c r="D213" s="7"/>
      <c r="E213" s="7"/>
      <c r="F213" s="7"/>
      <c r="G213" s="39"/>
      <c r="H213" s="39"/>
      <c r="I213" s="39"/>
      <c r="J213" s="39"/>
      <c r="K213" s="41"/>
    </row>
    <row r="214" spans="1:11" ht="15.75" thickBot="1" x14ac:dyDescent="0.3">
      <c r="J214" s="41"/>
      <c r="K214" s="41"/>
    </row>
    <row r="215" spans="1:11" x14ac:dyDescent="0.25">
      <c r="A215" s="8"/>
      <c r="B215" s="8"/>
      <c r="C215" s="8"/>
      <c r="D215" s="8"/>
      <c r="E215" s="8"/>
      <c r="F215" s="8"/>
      <c r="G215" s="8"/>
      <c r="H215" s="8"/>
      <c r="I215" s="8"/>
      <c r="J215" s="41"/>
      <c r="K215" s="41"/>
    </row>
    <row r="216" spans="1:11" x14ac:dyDescent="0.25">
      <c r="B216" s="41"/>
      <c r="C216" s="41"/>
      <c r="D216" s="41"/>
      <c r="E216" s="41"/>
      <c r="F216" s="41"/>
      <c r="G216" s="41"/>
      <c r="H216" s="41"/>
      <c r="I216" s="41"/>
      <c r="J216" s="41"/>
      <c r="K216" s="41"/>
    </row>
    <row r="217" spans="1:11" ht="21" x14ac:dyDescent="0.35">
      <c r="A217" s="16" t="s">
        <v>4</v>
      </c>
      <c r="B217" s="16"/>
      <c r="C217" s="54" t="str">
        <f>B7</f>
        <v>Noxon Rapids #1</v>
      </c>
      <c r="D217" s="55"/>
      <c r="E217" s="26"/>
      <c r="F217" s="26"/>
      <c r="J217" s="41"/>
      <c r="K217" s="41"/>
    </row>
    <row r="218" spans="1:11" x14ac:dyDescent="0.25">
      <c r="J218" s="41"/>
      <c r="K218" s="41"/>
    </row>
    <row r="219" spans="1:11" ht="18.75" x14ac:dyDescent="0.3">
      <c r="A219" s="9" t="s">
        <v>33</v>
      </c>
      <c r="B219" s="9"/>
      <c r="D219" s="2">
        <v>2013</v>
      </c>
      <c r="E219" s="2">
        <f>D219+1</f>
        <v>2014</v>
      </c>
      <c r="F219" s="2">
        <f>E219+1</f>
        <v>2015</v>
      </c>
      <c r="G219" s="2">
        <f>F219+1</f>
        <v>2016</v>
      </c>
      <c r="H219" s="2">
        <f>G219+1</f>
        <v>2017</v>
      </c>
      <c r="I219" s="2">
        <f>H219+1</f>
        <v>2018</v>
      </c>
      <c r="J219" s="28"/>
      <c r="K219" s="41"/>
    </row>
    <row r="220" spans="1:11" x14ac:dyDescent="0.25">
      <c r="B220" s="100" t="str">
        <f>"Total MWh Produced / Purchased from " &amp; C217</f>
        <v>Total MWh Produced / Purchased from Noxon Rapids #1</v>
      </c>
      <c r="C220" s="89"/>
      <c r="D220" s="3">
        <v>21435</v>
      </c>
      <c r="E220" s="4">
        <v>21435</v>
      </c>
      <c r="F220" s="5">
        <v>21435</v>
      </c>
      <c r="G220" s="5">
        <v>21435</v>
      </c>
      <c r="H220" s="5">
        <v>21435</v>
      </c>
      <c r="I220" s="5">
        <v>21435</v>
      </c>
      <c r="J220" s="27"/>
      <c r="K220" s="41"/>
    </row>
    <row r="221" spans="1:11" x14ac:dyDescent="0.25">
      <c r="B221" s="100" t="s">
        <v>38</v>
      </c>
      <c r="C221" s="89"/>
      <c r="D221" s="69">
        <v>1</v>
      </c>
      <c r="E221" s="70">
        <v>1</v>
      </c>
      <c r="F221" s="71">
        <v>1</v>
      </c>
      <c r="G221" s="71">
        <v>1</v>
      </c>
      <c r="H221" s="71">
        <v>1</v>
      </c>
      <c r="I221" s="71">
        <v>1</v>
      </c>
      <c r="J221" s="27"/>
      <c r="K221" s="41"/>
    </row>
    <row r="222" spans="1:11" x14ac:dyDescent="0.25">
      <c r="B222" s="100" t="s">
        <v>32</v>
      </c>
      <c r="C222" s="89"/>
      <c r="D222" s="62">
        <v>1</v>
      </c>
      <c r="E222" s="63">
        <v>1</v>
      </c>
      <c r="F222" s="64">
        <v>1</v>
      </c>
      <c r="G222" s="64">
        <v>1</v>
      </c>
      <c r="H222" s="64">
        <v>1</v>
      </c>
      <c r="I222" s="64">
        <v>1</v>
      </c>
      <c r="J222" s="27"/>
      <c r="K222" s="41"/>
    </row>
    <row r="223" spans="1:11" x14ac:dyDescent="0.25">
      <c r="B223" s="97" t="s">
        <v>34</v>
      </c>
      <c r="C223" s="98"/>
      <c r="D223" s="49">
        <f t="shared" ref="D223:I223" si="27" xml:space="preserve"> D220 * D221 * D222</f>
        <v>21435</v>
      </c>
      <c r="E223" s="49">
        <f t="shared" si="27"/>
        <v>21435</v>
      </c>
      <c r="F223" s="49">
        <f t="shared" si="27"/>
        <v>21435</v>
      </c>
      <c r="G223" s="49">
        <f t="shared" si="27"/>
        <v>21435</v>
      </c>
      <c r="H223" s="49">
        <f t="shared" si="27"/>
        <v>21435</v>
      </c>
      <c r="I223" s="49">
        <f t="shared" si="27"/>
        <v>21435</v>
      </c>
      <c r="J223" s="27"/>
      <c r="K223" s="41"/>
    </row>
    <row r="224" spans="1:11" x14ac:dyDescent="0.25">
      <c r="B224" s="26"/>
      <c r="C224" s="41"/>
      <c r="D224" s="48"/>
      <c r="E224" s="48"/>
      <c r="F224" s="48"/>
      <c r="G224" s="48"/>
      <c r="H224" s="48"/>
      <c r="I224" s="48"/>
      <c r="J224" s="27"/>
      <c r="K224" s="41"/>
    </row>
    <row r="225" spans="1:11" ht="18.75" x14ac:dyDescent="0.3">
      <c r="A225" s="56" t="s">
        <v>36</v>
      </c>
      <c r="C225" s="41"/>
      <c r="D225" s="2">
        <f>D219</f>
        <v>2013</v>
      </c>
      <c r="E225" s="2">
        <f>D225+1</f>
        <v>2014</v>
      </c>
      <c r="F225" s="2">
        <f>E225+1</f>
        <v>2015</v>
      </c>
      <c r="G225" s="2">
        <f>F225+1</f>
        <v>2016</v>
      </c>
      <c r="H225" s="2">
        <f>G225+1</f>
        <v>2017</v>
      </c>
      <c r="I225" s="2">
        <f>H225+1</f>
        <v>2018</v>
      </c>
      <c r="J225" s="27"/>
      <c r="K225" s="41"/>
    </row>
    <row r="226" spans="1:11" x14ac:dyDescent="0.25">
      <c r="B226" s="100" t="s">
        <v>25</v>
      </c>
      <c r="C226" s="89"/>
      <c r="D226" s="65">
        <f>IF( $E7 = "Eligible", D223 * 'Facility Detail'!$B$601, 0 )</f>
        <v>0</v>
      </c>
      <c r="E226" s="13">
        <f>IF( $E7 = "Eligible", E223 * 'Facility Detail'!$B$601, 0 )</f>
        <v>0</v>
      </c>
      <c r="F226" s="14">
        <f>IF( $E7 = "Eligible", F223 * 'Facility Detail'!$B$601, 0 )</f>
        <v>0</v>
      </c>
      <c r="G226" s="14">
        <f>IF( $E7 = "Eligible", G223 * 'Facility Detail'!$B$601, 0 )</f>
        <v>0</v>
      </c>
      <c r="H226" s="14">
        <f>IF( $E7 = "Eligible", H223 * 'Facility Detail'!$B$601, 0 )</f>
        <v>0</v>
      </c>
      <c r="I226" s="14">
        <f>IF( $E7 = "Eligible", I223 * 'Facility Detail'!$B$601, 0 )</f>
        <v>0</v>
      </c>
      <c r="J226" s="27"/>
      <c r="K226" s="41"/>
    </row>
    <row r="227" spans="1:11" x14ac:dyDescent="0.25">
      <c r="B227" s="100" t="s">
        <v>6</v>
      </c>
      <c r="C227" s="89"/>
      <c r="D227" s="66">
        <f t="shared" ref="D227:I227" si="28">IF( $F7 = "Eligible", D223, 0 )</f>
        <v>0</v>
      </c>
      <c r="E227" s="67">
        <f t="shared" si="28"/>
        <v>0</v>
      </c>
      <c r="F227" s="68">
        <f t="shared" si="28"/>
        <v>0</v>
      </c>
      <c r="G227" s="68">
        <f t="shared" si="28"/>
        <v>0</v>
      </c>
      <c r="H227" s="68">
        <f t="shared" si="28"/>
        <v>0</v>
      </c>
      <c r="I227" s="68">
        <f t="shared" si="28"/>
        <v>0</v>
      </c>
      <c r="J227" s="27"/>
      <c r="K227" s="41"/>
    </row>
    <row r="228" spans="1:11" x14ac:dyDescent="0.25">
      <c r="B228" s="99" t="s">
        <v>45</v>
      </c>
      <c r="C228" s="98"/>
      <c r="D228" s="51">
        <f t="shared" ref="D228:I228" si="29">SUM(D226:D227)</f>
        <v>0</v>
      </c>
      <c r="E228" s="52">
        <f t="shared" si="29"/>
        <v>0</v>
      </c>
      <c r="F228" s="52">
        <f t="shared" si="29"/>
        <v>0</v>
      </c>
      <c r="G228" s="52">
        <f t="shared" si="29"/>
        <v>0</v>
      </c>
      <c r="H228" s="52">
        <f t="shared" si="29"/>
        <v>0</v>
      </c>
      <c r="I228" s="52">
        <f t="shared" si="29"/>
        <v>0</v>
      </c>
      <c r="J228" s="27"/>
      <c r="K228" s="41"/>
    </row>
    <row r="229" spans="1:11" x14ac:dyDescent="0.25">
      <c r="B229" s="41"/>
      <c r="C229" s="41"/>
      <c r="D229" s="50"/>
      <c r="E229" s="42"/>
      <c r="F229" s="42"/>
      <c r="G229" s="42"/>
      <c r="H229" s="42"/>
      <c r="I229" s="42"/>
      <c r="J229" s="27"/>
      <c r="K229" s="41"/>
    </row>
    <row r="230" spans="1:11" ht="18.75" x14ac:dyDescent="0.3">
      <c r="A230" s="53" t="s">
        <v>43</v>
      </c>
      <c r="C230" s="41"/>
      <c r="D230" s="2">
        <f>D219</f>
        <v>2013</v>
      </c>
      <c r="E230" s="2">
        <f>D230+1</f>
        <v>2014</v>
      </c>
      <c r="F230" s="2">
        <f>E230+1</f>
        <v>2015</v>
      </c>
      <c r="G230" s="2">
        <f>F230+1</f>
        <v>2016</v>
      </c>
      <c r="H230" s="2">
        <f>G230+1</f>
        <v>2017</v>
      </c>
      <c r="I230" s="2">
        <f>H230+1</f>
        <v>2018</v>
      </c>
      <c r="J230" s="27"/>
      <c r="K230" s="41"/>
    </row>
    <row r="231" spans="1:11" x14ac:dyDescent="0.25">
      <c r="B231" s="100" t="s">
        <v>47</v>
      </c>
      <c r="C231" s="89"/>
      <c r="D231" s="108">
        <v>0</v>
      </c>
      <c r="E231" s="109">
        <v>0</v>
      </c>
      <c r="F231" s="110">
        <v>0</v>
      </c>
      <c r="G231" s="110">
        <v>0</v>
      </c>
      <c r="H231" s="110">
        <v>0</v>
      </c>
      <c r="I231" s="110">
        <v>0</v>
      </c>
      <c r="J231" s="27"/>
      <c r="K231" s="41"/>
    </row>
    <row r="232" spans="1:11" x14ac:dyDescent="0.25">
      <c r="B232" s="101" t="s">
        <v>35</v>
      </c>
      <c r="C232" s="102"/>
      <c r="D232" s="111">
        <v>0</v>
      </c>
      <c r="E232" s="112">
        <v>0</v>
      </c>
      <c r="F232" s="113">
        <v>0</v>
      </c>
      <c r="G232" s="113">
        <v>0</v>
      </c>
      <c r="H232" s="113">
        <v>0</v>
      </c>
      <c r="I232" s="113">
        <v>0</v>
      </c>
      <c r="J232" s="27"/>
      <c r="K232" s="41"/>
    </row>
    <row r="233" spans="1:11" x14ac:dyDescent="0.25">
      <c r="B233" s="114" t="s">
        <v>49</v>
      </c>
      <c r="C233" s="106"/>
      <c r="D233" s="72">
        <v>0</v>
      </c>
      <c r="E233" s="73">
        <v>0</v>
      </c>
      <c r="F233" s="74">
        <v>0</v>
      </c>
      <c r="G233" s="74">
        <v>0</v>
      </c>
      <c r="H233" s="74">
        <v>0</v>
      </c>
      <c r="I233" s="74">
        <v>0</v>
      </c>
      <c r="J233" s="27"/>
      <c r="K233" s="41"/>
    </row>
    <row r="234" spans="1:11" x14ac:dyDescent="0.25">
      <c r="B234" s="44" t="s">
        <v>50</v>
      </c>
      <c r="D234" s="7">
        <f t="shared" ref="D234:I234" si="30">SUM(D231:D233)</f>
        <v>0</v>
      </c>
      <c r="E234" s="7">
        <f t="shared" si="30"/>
        <v>0</v>
      </c>
      <c r="F234" s="7">
        <f t="shared" si="30"/>
        <v>0</v>
      </c>
      <c r="G234" s="7">
        <f t="shared" si="30"/>
        <v>0</v>
      </c>
      <c r="H234" s="7">
        <f t="shared" si="30"/>
        <v>0</v>
      </c>
      <c r="I234" s="7">
        <f t="shared" si="30"/>
        <v>0</v>
      </c>
      <c r="J234" s="39"/>
      <c r="K234" s="41"/>
    </row>
    <row r="235" spans="1:11" x14ac:dyDescent="0.25">
      <c r="B235" s="6"/>
      <c r="D235" s="7"/>
      <c r="E235" s="7"/>
      <c r="F235" s="7"/>
      <c r="G235" s="7"/>
      <c r="H235" s="7"/>
      <c r="I235" s="7"/>
      <c r="J235" s="39"/>
      <c r="K235" s="41"/>
    </row>
    <row r="236" spans="1:11" ht="18.75" x14ac:dyDescent="0.3">
      <c r="A236" s="9" t="s">
        <v>51</v>
      </c>
      <c r="D236" s="2">
        <f>D219</f>
        <v>2013</v>
      </c>
      <c r="E236" s="2">
        <f>D236+1</f>
        <v>2014</v>
      </c>
      <c r="F236" s="2">
        <f>E236+1</f>
        <v>2015</v>
      </c>
      <c r="G236" s="2">
        <f>F236+1</f>
        <v>2016</v>
      </c>
      <c r="H236" s="2">
        <f>G236+1</f>
        <v>2017</v>
      </c>
      <c r="I236" s="2">
        <f>H236+1</f>
        <v>2018</v>
      </c>
      <c r="J236" s="39"/>
      <c r="K236" s="41"/>
    </row>
    <row r="237" spans="1:11" x14ac:dyDescent="0.25">
      <c r="B237" s="100" t="str">
        <f xml:space="preserve"> 'Facility Detail'!$B$604 &amp; " Surplus Applied to " &amp; ( 'Facility Detail'!$B$604 + 1 )</f>
        <v>2013 Surplus Applied to 2014</v>
      </c>
      <c r="C237" s="89"/>
      <c r="D237" s="3"/>
      <c r="E237" s="75">
        <f>D237</f>
        <v>0</v>
      </c>
      <c r="F237" s="156"/>
      <c r="G237" s="77"/>
      <c r="H237" s="77"/>
      <c r="I237" s="77"/>
      <c r="J237" s="39"/>
      <c r="K237" s="41"/>
    </row>
    <row r="238" spans="1:11" x14ac:dyDescent="0.25">
      <c r="B238" s="100" t="str">
        <f xml:space="preserve"> ( 'Facility Detail'!$B$604 + 1 ) &amp; " Surplus Applied to " &amp; ( 'Facility Detail'!$B$604 )</f>
        <v>2014 Surplus Applied to 2013</v>
      </c>
      <c r="C238" s="89"/>
      <c r="D238" s="157">
        <f>E238</f>
        <v>0</v>
      </c>
      <c r="E238" s="10"/>
      <c r="F238" s="94"/>
      <c r="G238" s="93"/>
      <c r="H238" s="93"/>
      <c r="I238" s="93"/>
      <c r="J238" s="39"/>
      <c r="K238" s="41"/>
    </row>
    <row r="239" spans="1:11" x14ac:dyDescent="0.25">
      <c r="B239" s="100" t="str">
        <f xml:space="preserve"> ( 'Facility Detail'!$B$604 + 1 ) &amp; " Surplus Applied to " &amp; ( 'Facility Detail'!$B$604 + 2 )</f>
        <v>2014 Surplus Applied to 2015</v>
      </c>
      <c r="C239" s="89"/>
      <c r="D239" s="78"/>
      <c r="E239" s="10"/>
      <c r="F239" s="88">
        <f>E239</f>
        <v>0</v>
      </c>
      <c r="G239" s="93"/>
      <c r="H239" s="93"/>
      <c r="I239" s="93"/>
      <c r="J239" s="39"/>
      <c r="K239" s="41"/>
    </row>
    <row r="240" spans="1:11" x14ac:dyDescent="0.25">
      <c r="B240" s="100" t="str">
        <f xml:space="preserve"> ( 'Facility Detail'!$B$604 + 2 ) &amp; " Surplus Applied to " &amp; ( 'Facility Detail'!$B$604 + 1 )</f>
        <v>2015 Surplus Applied to 2014</v>
      </c>
      <c r="C240" s="89"/>
      <c r="D240" s="78"/>
      <c r="E240" s="88">
        <f>F240</f>
        <v>0</v>
      </c>
      <c r="F240" s="10"/>
      <c r="G240" s="93"/>
      <c r="H240" s="93"/>
      <c r="I240" s="93"/>
      <c r="J240" s="39"/>
      <c r="K240" s="41"/>
    </row>
    <row r="241" spans="1:11" x14ac:dyDescent="0.25">
      <c r="B241" s="100" t="str">
        <f xml:space="preserve"> ( 'Facility Detail'!$B$604 + 2 ) &amp; " Surplus Applied to " &amp; ( 'Facility Detail'!$B$604 + 3 )</f>
        <v>2015 Surplus Applied to 2016</v>
      </c>
      <c r="C241" s="41"/>
      <c r="D241" s="78"/>
      <c r="E241" s="94"/>
      <c r="F241" s="10"/>
      <c r="G241" s="158">
        <f>F241</f>
        <v>0</v>
      </c>
      <c r="H241" s="158">
        <f>G241</f>
        <v>0</v>
      </c>
      <c r="I241" s="158">
        <f>H241</f>
        <v>0</v>
      </c>
      <c r="J241" s="39"/>
      <c r="K241" s="41"/>
    </row>
    <row r="242" spans="1:11" x14ac:dyDescent="0.25">
      <c r="B242" s="100" t="str">
        <f xml:space="preserve"> ( 'Facility Detail'!$B$604 +3 ) &amp; " Surplus Applied to " &amp; ( 'Facility Detail'!$B$604 + 2 )</f>
        <v>2016 Surplus Applied to 2015</v>
      </c>
      <c r="C242" s="41"/>
      <c r="D242" s="79"/>
      <c r="E242" s="95"/>
      <c r="F242" s="76">
        <f>G242</f>
        <v>0</v>
      </c>
      <c r="G242" s="159"/>
      <c r="H242" s="159"/>
      <c r="I242" s="159"/>
      <c r="J242" s="39"/>
      <c r="K242" s="41"/>
    </row>
    <row r="243" spans="1:11" x14ac:dyDescent="0.25">
      <c r="B243" s="100" t="str">
        <f xml:space="preserve"> ( 'Facility Detail'!$B$604 +3 ) &amp; " Surplus Applied to " &amp; ( 'Facility Detail'!$B$604 + 4 )</f>
        <v>2016 Surplus Applied to 2017</v>
      </c>
      <c r="C243" s="41"/>
      <c r="D243" s="164"/>
      <c r="E243" s="164"/>
      <c r="F243" s="27"/>
      <c r="G243" s="165"/>
      <c r="H243" s="165"/>
      <c r="I243" s="165"/>
      <c r="J243" s="39"/>
      <c r="K243" s="41"/>
    </row>
    <row r="244" spans="1:11" x14ac:dyDescent="0.25">
      <c r="B244" s="44" t="s">
        <v>31</v>
      </c>
      <c r="D244" s="7">
        <f xml:space="preserve"> D238 - D237</f>
        <v>0</v>
      </c>
      <c r="E244" s="7">
        <f xml:space="preserve"> E237 + E240 - E239 - E238</f>
        <v>0</v>
      </c>
      <c r="F244" s="7">
        <f>F239+F242-F240-F241</f>
        <v>0</v>
      </c>
      <c r="G244" s="7">
        <f>G241-G242</f>
        <v>0</v>
      </c>
      <c r="H244" s="7">
        <f>H241-H242</f>
        <v>0</v>
      </c>
      <c r="I244" s="7">
        <f>I241-I242</f>
        <v>0</v>
      </c>
      <c r="J244" s="39"/>
      <c r="K244" s="41"/>
    </row>
    <row r="245" spans="1:11" x14ac:dyDescent="0.25">
      <c r="B245" s="6"/>
      <c r="D245" s="7"/>
      <c r="E245" s="7"/>
      <c r="F245" s="7"/>
      <c r="G245" s="7"/>
      <c r="H245" s="7"/>
      <c r="I245" s="7"/>
      <c r="J245" s="39"/>
      <c r="K245" s="41"/>
    </row>
    <row r="246" spans="1:11" x14ac:dyDescent="0.25">
      <c r="B246" s="107" t="s">
        <v>27</v>
      </c>
      <c r="C246" s="89"/>
      <c r="D246" s="123"/>
      <c r="E246" s="124"/>
      <c r="F246" s="125"/>
      <c r="G246" s="125"/>
      <c r="H246" s="125"/>
      <c r="I246" s="125"/>
      <c r="J246" s="39"/>
      <c r="K246" s="41"/>
    </row>
    <row r="247" spans="1:11" x14ac:dyDescent="0.25">
      <c r="B247" s="6"/>
      <c r="D247" s="7"/>
      <c r="E247" s="7"/>
      <c r="F247" s="7"/>
      <c r="G247" s="7"/>
      <c r="H247" s="7"/>
      <c r="I247" s="7"/>
      <c r="J247" s="39"/>
      <c r="K247" s="41"/>
    </row>
    <row r="248" spans="1:11" ht="15.75" x14ac:dyDescent="0.25">
      <c r="A248" s="103" t="s">
        <v>39</v>
      </c>
      <c r="C248" s="89"/>
      <c r="D248" s="57">
        <f t="shared" ref="D248:I248" si="31" xml:space="preserve"> D223 + D228 - D234 + D244 + D246</f>
        <v>21435</v>
      </c>
      <c r="E248" s="58">
        <f t="shared" si="31"/>
        <v>21435</v>
      </c>
      <c r="F248" s="59">
        <f t="shared" si="31"/>
        <v>21435</v>
      </c>
      <c r="G248" s="59">
        <f t="shared" si="31"/>
        <v>21435</v>
      </c>
      <c r="H248" s="59">
        <f t="shared" si="31"/>
        <v>21435</v>
      </c>
      <c r="I248" s="59">
        <f t="shared" si="31"/>
        <v>21435</v>
      </c>
      <c r="J248" s="39"/>
      <c r="K248" s="41"/>
    </row>
    <row r="249" spans="1:11" x14ac:dyDescent="0.25">
      <c r="B249" s="6"/>
      <c r="D249" s="7"/>
      <c r="E249" s="7"/>
      <c r="F249" s="7"/>
      <c r="G249" s="39"/>
      <c r="H249" s="39"/>
      <c r="I249" s="39"/>
      <c r="J249" s="39"/>
      <c r="K249" s="41"/>
    </row>
    <row r="250" spans="1:11" ht="15.75" thickBot="1" x14ac:dyDescent="0.3">
      <c r="J250" s="41"/>
      <c r="K250" s="41"/>
    </row>
    <row r="251" spans="1:11" x14ac:dyDescent="0.25">
      <c r="A251" s="8"/>
      <c r="B251" s="8"/>
      <c r="C251" s="8"/>
      <c r="D251" s="8"/>
      <c r="E251" s="8"/>
      <c r="F251" s="8"/>
      <c r="G251" s="8"/>
      <c r="H251" s="8"/>
      <c r="I251" s="8"/>
      <c r="J251" s="41"/>
      <c r="K251" s="41"/>
    </row>
    <row r="252" spans="1:11" x14ac:dyDescent="0.25">
      <c r="B252" s="41"/>
      <c r="C252" s="41"/>
      <c r="D252" s="41"/>
      <c r="E252" s="41"/>
      <c r="F252" s="41"/>
      <c r="G252" s="41"/>
      <c r="H252" s="41"/>
      <c r="I252" s="41"/>
      <c r="J252" s="41"/>
      <c r="K252" s="41"/>
    </row>
    <row r="253" spans="1:11" ht="21" x14ac:dyDescent="0.35">
      <c r="A253" s="16" t="s">
        <v>4</v>
      </c>
      <c r="B253" s="16"/>
      <c r="C253" s="54" t="str">
        <f>B8</f>
        <v>Noxon Rapids #2</v>
      </c>
      <c r="D253" s="55"/>
      <c r="E253" s="26"/>
      <c r="F253" s="26"/>
      <c r="J253" s="41"/>
      <c r="K253" s="41"/>
    </row>
    <row r="254" spans="1:11" x14ac:dyDescent="0.25">
      <c r="J254" s="41"/>
      <c r="K254" s="41"/>
    </row>
    <row r="255" spans="1:11" ht="18.75" x14ac:dyDescent="0.3">
      <c r="A255" s="9" t="s">
        <v>33</v>
      </c>
      <c r="B255" s="9"/>
      <c r="D255" s="2">
        <v>2013</v>
      </c>
      <c r="E255" s="2">
        <f>D255+1</f>
        <v>2014</v>
      </c>
      <c r="F255" s="2">
        <f>E255+1</f>
        <v>2015</v>
      </c>
      <c r="G255" s="2">
        <f>F255+1</f>
        <v>2016</v>
      </c>
      <c r="H255" s="2">
        <f>G255+1</f>
        <v>2017</v>
      </c>
      <c r="I255" s="2">
        <f>H255+1</f>
        <v>2018</v>
      </c>
      <c r="J255" s="28"/>
      <c r="K255" s="41"/>
    </row>
    <row r="256" spans="1:11" x14ac:dyDescent="0.25">
      <c r="B256" s="100" t="str">
        <f>"Total MWh Produced / Purchased from " &amp; C253</f>
        <v>Total MWh Produced / Purchased from Noxon Rapids #2</v>
      </c>
      <c r="C256" s="89"/>
      <c r="D256" s="3">
        <v>7709</v>
      </c>
      <c r="E256" s="3">
        <v>7709</v>
      </c>
      <c r="F256" s="3">
        <v>7709</v>
      </c>
      <c r="G256" s="3">
        <v>7709</v>
      </c>
      <c r="H256" s="3">
        <v>7709</v>
      </c>
      <c r="I256" s="3">
        <v>7709</v>
      </c>
      <c r="J256" s="27"/>
      <c r="K256" s="41"/>
    </row>
    <row r="257" spans="1:11" x14ac:dyDescent="0.25">
      <c r="B257" s="100" t="s">
        <v>38</v>
      </c>
      <c r="C257" s="89"/>
      <c r="D257" s="69">
        <v>1</v>
      </c>
      <c r="E257" s="70">
        <v>1</v>
      </c>
      <c r="F257" s="71">
        <v>1</v>
      </c>
      <c r="G257" s="71">
        <v>1</v>
      </c>
      <c r="H257" s="71">
        <v>1</v>
      </c>
      <c r="I257" s="71">
        <v>1</v>
      </c>
      <c r="J257" s="27"/>
      <c r="K257" s="41"/>
    </row>
    <row r="258" spans="1:11" x14ac:dyDescent="0.25">
      <c r="B258" s="100" t="s">
        <v>32</v>
      </c>
      <c r="C258" s="89"/>
      <c r="D258" s="62">
        <v>1</v>
      </c>
      <c r="E258" s="63">
        <v>1</v>
      </c>
      <c r="F258" s="64">
        <v>1</v>
      </c>
      <c r="G258" s="64">
        <v>1</v>
      </c>
      <c r="H258" s="64">
        <v>1</v>
      </c>
      <c r="I258" s="64">
        <v>1</v>
      </c>
      <c r="J258" s="27"/>
      <c r="K258" s="41"/>
    </row>
    <row r="259" spans="1:11" x14ac:dyDescent="0.25">
      <c r="B259" s="97" t="s">
        <v>34</v>
      </c>
      <c r="C259" s="98"/>
      <c r="D259" s="49">
        <f t="shared" ref="D259:I259" si="32" xml:space="preserve"> D256 * D257 * D258</f>
        <v>7709</v>
      </c>
      <c r="E259" s="49">
        <f t="shared" si="32"/>
        <v>7709</v>
      </c>
      <c r="F259" s="49">
        <f t="shared" si="32"/>
        <v>7709</v>
      </c>
      <c r="G259" s="49">
        <f t="shared" si="32"/>
        <v>7709</v>
      </c>
      <c r="H259" s="49">
        <f t="shared" si="32"/>
        <v>7709</v>
      </c>
      <c r="I259" s="49">
        <f t="shared" si="32"/>
        <v>7709</v>
      </c>
      <c r="J259" s="27"/>
      <c r="K259" s="41"/>
    </row>
    <row r="260" spans="1:11" x14ac:dyDescent="0.25">
      <c r="B260" s="26"/>
      <c r="C260" s="41"/>
      <c r="D260" s="48"/>
      <c r="E260" s="48"/>
      <c r="F260" s="48"/>
      <c r="G260" s="48"/>
      <c r="H260" s="48"/>
      <c r="I260" s="48"/>
      <c r="J260" s="27"/>
      <c r="K260" s="41"/>
    </row>
    <row r="261" spans="1:11" ht="18.75" x14ac:dyDescent="0.3">
      <c r="A261" s="56" t="s">
        <v>36</v>
      </c>
      <c r="C261" s="41"/>
      <c r="D261" s="2">
        <f>D255</f>
        <v>2013</v>
      </c>
      <c r="E261" s="2">
        <f>D261+1</f>
        <v>2014</v>
      </c>
      <c r="F261" s="2">
        <f>E261+1</f>
        <v>2015</v>
      </c>
      <c r="G261" s="2">
        <f>F261+1</f>
        <v>2016</v>
      </c>
      <c r="H261" s="2">
        <f>G261+1</f>
        <v>2017</v>
      </c>
      <c r="I261" s="2">
        <f>H261+1</f>
        <v>2018</v>
      </c>
      <c r="J261" s="27"/>
      <c r="K261" s="41"/>
    </row>
    <row r="262" spans="1:11" x14ac:dyDescent="0.25">
      <c r="B262" s="100" t="s">
        <v>25</v>
      </c>
      <c r="C262" s="89"/>
      <c r="D262" s="65">
        <f>IF( $E8 = "Eligible", D259 * 'Facility Detail'!$B$601, 0 )</f>
        <v>0</v>
      </c>
      <c r="E262" s="13">
        <f>IF( $E8 = "Eligible", E259 * 'Facility Detail'!$B$601, 0 )</f>
        <v>0</v>
      </c>
      <c r="F262" s="14">
        <f>IF( $E8 = "Eligible", F259 * 'Facility Detail'!$B$601, 0 )</f>
        <v>0</v>
      </c>
      <c r="G262" s="14">
        <f>IF( $E8 = "Eligible", G259 * 'Facility Detail'!$B$601, 0 )</f>
        <v>0</v>
      </c>
      <c r="H262" s="14">
        <f>IF( $E8 = "Eligible", H259 * 'Facility Detail'!$B$601, 0 )</f>
        <v>0</v>
      </c>
      <c r="I262" s="14">
        <f>IF( $E8 = "Eligible", I259 * 'Facility Detail'!$B$601, 0 )</f>
        <v>0</v>
      </c>
      <c r="J262" s="27"/>
      <c r="K262" s="41"/>
    </row>
    <row r="263" spans="1:11" x14ac:dyDescent="0.25">
      <c r="B263" s="100" t="s">
        <v>6</v>
      </c>
      <c r="C263" s="89"/>
      <c r="D263" s="66">
        <f t="shared" ref="D263:I263" si="33">IF( $F8 = "Eligible", D259, 0 )</f>
        <v>0</v>
      </c>
      <c r="E263" s="67">
        <f t="shared" si="33"/>
        <v>0</v>
      </c>
      <c r="F263" s="68">
        <f t="shared" si="33"/>
        <v>0</v>
      </c>
      <c r="G263" s="68">
        <f t="shared" si="33"/>
        <v>0</v>
      </c>
      <c r="H263" s="68">
        <f t="shared" si="33"/>
        <v>0</v>
      </c>
      <c r="I263" s="68">
        <f t="shared" si="33"/>
        <v>0</v>
      </c>
      <c r="J263" s="27"/>
      <c r="K263" s="41"/>
    </row>
    <row r="264" spans="1:11" x14ac:dyDescent="0.25">
      <c r="B264" s="99" t="s">
        <v>45</v>
      </c>
      <c r="C264" s="98"/>
      <c r="D264" s="51">
        <f t="shared" ref="D264:I264" si="34">SUM(D262:D263)</f>
        <v>0</v>
      </c>
      <c r="E264" s="52">
        <f t="shared" si="34"/>
        <v>0</v>
      </c>
      <c r="F264" s="52">
        <f t="shared" si="34"/>
        <v>0</v>
      </c>
      <c r="G264" s="52">
        <f t="shared" si="34"/>
        <v>0</v>
      </c>
      <c r="H264" s="52">
        <f t="shared" si="34"/>
        <v>0</v>
      </c>
      <c r="I264" s="52">
        <f t="shared" si="34"/>
        <v>0</v>
      </c>
      <c r="J264" s="27"/>
      <c r="K264" s="41"/>
    </row>
    <row r="265" spans="1:11" x14ac:dyDescent="0.25">
      <c r="B265" s="41"/>
      <c r="C265" s="41"/>
      <c r="D265" s="50"/>
      <c r="E265" s="42"/>
      <c r="F265" s="42"/>
      <c r="G265" s="42"/>
      <c r="H265" s="42"/>
      <c r="I265" s="42"/>
      <c r="J265" s="27"/>
      <c r="K265" s="41"/>
    </row>
    <row r="266" spans="1:11" ht="18.75" x14ac:dyDescent="0.3">
      <c r="A266" s="53" t="s">
        <v>43</v>
      </c>
      <c r="C266" s="41"/>
      <c r="D266" s="2">
        <f>D255</f>
        <v>2013</v>
      </c>
      <c r="E266" s="2">
        <f>D266+1</f>
        <v>2014</v>
      </c>
      <c r="F266" s="2">
        <f>E266+1</f>
        <v>2015</v>
      </c>
      <c r="G266" s="2">
        <f>F266+1</f>
        <v>2016</v>
      </c>
      <c r="H266" s="2">
        <f>G266+1</f>
        <v>2017</v>
      </c>
      <c r="I266" s="2">
        <f>H266+1</f>
        <v>2018</v>
      </c>
      <c r="J266" s="27"/>
      <c r="K266" s="41"/>
    </row>
    <row r="267" spans="1:11" x14ac:dyDescent="0.25">
      <c r="B267" s="100" t="s">
        <v>47</v>
      </c>
      <c r="C267" s="89"/>
      <c r="D267" s="108">
        <v>0</v>
      </c>
      <c r="E267" s="109">
        <v>0</v>
      </c>
      <c r="F267" s="110">
        <v>0</v>
      </c>
      <c r="G267" s="110">
        <v>0</v>
      </c>
      <c r="H267" s="110">
        <v>0</v>
      </c>
      <c r="I267" s="110">
        <v>0</v>
      </c>
      <c r="J267" s="27"/>
      <c r="K267" s="41"/>
    </row>
    <row r="268" spans="1:11" x14ac:dyDescent="0.25">
      <c r="B268" s="101" t="s">
        <v>35</v>
      </c>
      <c r="C268" s="102"/>
      <c r="D268" s="111">
        <v>0</v>
      </c>
      <c r="E268" s="112">
        <v>0</v>
      </c>
      <c r="F268" s="113">
        <v>0</v>
      </c>
      <c r="G268" s="113">
        <v>0</v>
      </c>
      <c r="H268" s="113">
        <v>0</v>
      </c>
      <c r="I268" s="113">
        <v>0</v>
      </c>
      <c r="J268" s="27"/>
      <c r="K268" s="41"/>
    </row>
    <row r="269" spans="1:11" x14ac:dyDescent="0.25">
      <c r="B269" s="114" t="s">
        <v>49</v>
      </c>
      <c r="C269" s="106"/>
      <c r="D269" s="72">
        <v>0</v>
      </c>
      <c r="E269" s="73">
        <v>0</v>
      </c>
      <c r="F269" s="74">
        <v>0</v>
      </c>
      <c r="G269" s="74">
        <v>0</v>
      </c>
      <c r="H269" s="74">
        <v>0</v>
      </c>
      <c r="I269" s="74">
        <v>0</v>
      </c>
      <c r="J269" s="27"/>
      <c r="K269" s="41"/>
    </row>
    <row r="270" spans="1:11" x14ac:dyDescent="0.25">
      <c r="B270" s="44" t="s">
        <v>50</v>
      </c>
      <c r="D270" s="7">
        <f t="shared" ref="D270:I270" si="35">SUM(D267:D269)</f>
        <v>0</v>
      </c>
      <c r="E270" s="7">
        <f t="shared" si="35"/>
        <v>0</v>
      </c>
      <c r="F270" s="7">
        <f t="shared" si="35"/>
        <v>0</v>
      </c>
      <c r="G270" s="7">
        <f t="shared" si="35"/>
        <v>0</v>
      </c>
      <c r="H270" s="7">
        <f t="shared" si="35"/>
        <v>0</v>
      </c>
      <c r="I270" s="7">
        <f t="shared" si="35"/>
        <v>0</v>
      </c>
      <c r="J270" s="39"/>
      <c r="K270" s="41"/>
    </row>
    <row r="271" spans="1:11" x14ac:dyDescent="0.25">
      <c r="B271" s="6"/>
      <c r="D271" s="7"/>
      <c r="E271" s="7"/>
      <c r="F271" s="7"/>
      <c r="G271" s="7"/>
      <c r="H271" s="7"/>
      <c r="I271" s="7"/>
      <c r="J271" s="39"/>
      <c r="K271" s="41"/>
    </row>
    <row r="272" spans="1:11" ht="18.75" x14ac:dyDescent="0.3">
      <c r="A272" s="9" t="s">
        <v>51</v>
      </c>
      <c r="D272" s="2">
        <f>D255</f>
        <v>2013</v>
      </c>
      <c r="E272" s="2">
        <f>D272+1</f>
        <v>2014</v>
      </c>
      <c r="F272" s="2">
        <f>E272+1</f>
        <v>2015</v>
      </c>
      <c r="G272" s="2">
        <f>F272+1</f>
        <v>2016</v>
      </c>
      <c r="H272" s="2">
        <f>G272+1</f>
        <v>2017</v>
      </c>
      <c r="I272" s="2">
        <f>H272+1</f>
        <v>2018</v>
      </c>
      <c r="J272" s="39"/>
      <c r="K272" s="41"/>
    </row>
    <row r="273" spans="1:11" x14ac:dyDescent="0.25">
      <c r="B273" s="100" t="str">
        <f xml:space="preserve"> 'Facility Detail'!$B$604 &amp; " Surplus Applied to " &amp; ( 'Facility Detail'!$B$604 + 1 )</f>
        <v>2013 Surplus Applied to 2014</v>
      </c>
      <c r="C273" s="89"/>
      <c r="D273" s="3"/>
      <c r="E273" s="75">
        <f>D273</f>
        <v>0</v>
      </c>
      <c r="F273" s="156"/>
      <c r="G273" s="77"/>
      <c r="H273" s="77"/>
      <c r="I273" s="77"/>
      <c r="J273" s="39"/>
      <c r="K273" s="41"/>
    </row>
    <row r="274" spans="1:11" x14ac:dyDescent="0.25">
      <c r="B274" s="100" t="str">
        <f xml:space="preserve"> ( 'Facility Detail'!$B$604 + 1 ) &amp; " Surplus Applied to " &amp; ( 'Facility Detail'!$B$604 )</f>
        <v>2014 Surplus Applied to 2013</v>
      </c>
      <c r="C274" s="89"/>
      <c r="D274" s="157">
        <f>E274</f>
        <v>0</v>
      </c>
      <c r="E274" s="10"/>
      <c r="F274" s="94"/>
      <c r="G274" s="93"/>
      <c r="H274" s="93"/>
      <c r="I274" s="93"/>
      <c r="J274" s="39"/>
      <c r="K274" s="41"/>
    </row>
    <row r="275" spans="1:11" x14ac:dyDescent="0.25">
      <c r="B275" s="100" t="str">
        <f xml:space="preserve"> ( 'Facility Detail'!$B$604 + 1 ) &amp; " Surplus Applied to " &amp; ( 'Facility Detail'!$B$604 + 2 )</f>
        <v>2014 Surplus Applied to 2015</v>
      </c>
      <c r="C275" s="89"/>
      <c r="D275" s="78"/>
      <c r="E275" s="10"/>
      <c r="F275" s="88">
        <f>E275</f>
        <v>0</v>
      </c>
      <c r="G275" s="93"/>
      <c r="H275" s="93"/>
      <c r="I275" s="93"/>
      <c r="J275" s="39"/>
      <c r="K275" s="41"/>
    </row>
    <row r="276" spans="1:11" x14ac:dyDescent="0.25">
      <c r="B276" s="100" t="str">
        <f xml:space="preserve"> ( 'Facility Detail'!$B$604 + 2 ) &amp; " Surplus Applied to " &amp; ( 'Facility Detail'!$B$604 + 1 )</f>
        <v>2015 Surplus Applied to 2014</v>
      </c>
      <c r="C276" s="89"/>
      <c r="D276" s="78"/>
      <c r="E276" s="88">
        <f>F276</f>
        <v>0</v>
      </c>
      <c r="F276" s="10"/>
      <c r="G276" s="93"/>
      <c r="H276" s="93"/>
      <c r="I276" s="93"/>
      <c r="J276" s="39"/>
      <c r="K276" s="41"/>
    </row>
    <row r="277" spans="1:11" x14ac:dyDescent="0.25">
      <c r="B277" s="100" t="str">
        <f xml:space="preserve"> ( 'Facility Detail'!$B$604 + 2 ) &amp; " Surplus Applied to " &amp; ( 'Facility Detail'!$B$604 + 3 )</f>
        <v>2015 Surplus Applied to 2016</v>
      </c>
      <c r="C277" s="41"/>
      <c r="D277" s="78"/>
      <c r="E277" s="94"/>
      <c r="F277" s="10"/>
      <c r="G277" s="158">
        <f>F277</f>
        <v>0</v>
      </c>
      <c r="H277" s="158">
        <f>G277</f>
        <v>0</v>
      </c>
      <c r="I277" s="158">
        <f>H277</f>
        <v>0</v>
      </c>
      <c r="J277" s="39"/>
      <c r="K277" s="41"/>
    </row>
    <row r="278" spans="1:11" x14ac:dyDescent="0.25">
      <c r="B278" s="100" t="str">
        <f xml:space="preserve"> ( 'Facility Detail'!$B$604 +3 ) &amp; " Surplus Applied to " &amp; ( 'Facility Detail'!$B$604 + 2 )</f>
        <v>2016 Surplus Applied to 2015</v>
      </c>
      <c r="C278" s="41"/>
      <c r="D278" s="79"/>
      <c r="E278" s="95"/>
      <c r="F278" s="76">
        <f>G278</f>
        <v>0</v>
      </c>
      <c r="G278" s="159"/>
      <c r="H278" s="159"/>
      <c r="I278" s="159"/>
      <c r="J278" s="39"/>
      <c r="K278" s="41"/>
    </row>
    <row r="279" spans="1:11" x14ac:dyDescent="0.25">
      <c r="B279" s="100" t="str">
        <f xml:space="preserve"> ( 'Facility Detail'!$B$604 +3 ) &amp; " Surplus Applied to " &amp; ( 'Facility Detail'!$B$604 + 4 )</f>
        <v>2016 Surplus Applied to 2017</v>
      </c>
      <c r="C279" s="41"/>
      <c r="D279" s="164"/>
      <c r="E279" s="164"/>
      <c r="F279" s="27"/>
      <c r="G279" s="165"/>
      <c r="H279" s="165"/>
      <c r="I279" s="165"/>
      <c r="J279" s="39"/>
      <c r="K279" s="41"/>
    </row>
    <row r="280" spans="1:11" x14ac:dyDescent="0.25">
      <c r="B280" s="44" t="s">
        <v>31</v>
      </c>
      <c r="D280" s="7">
        <f xml:space="preserve"> D274 - D273</f>
        <v>0</v>
      </c>
      <c r="E280" s="7">
        <f xml:space="preserve"> E273 + E276 - E275 - E274</f>
        <v>0</v>
      </c>
      <c r="F280" s="7">
        <f>F275+F278-F276-F277</f>
        <v>0</v>
      </c>
      <c r="G280" s="7">
        <f>G277-G278</f>
        <v>0</v>
      </c>
      <c r="H280" s="7">
        <f>H277-H278</f>
        <v>0</v>
      </c>
      <c r="I280" s="7">
        <f>I277-I278</f>
        <v>0</v>
      </c>
      <c r="J280" s="39"/>
      <c r="K280" s="41"/>
    </row>
    <row r="281" spans="1:11" x14ac:dyDescent="0.25">
      <c r="B281" s="6"/>
      <c r="D281" s="7"/>
      <c r="E281" s="7"/>
      <c r="F281" s="7"/>
      <c r="G281" s="7"/>
      <c r="H281" s="7"/>
      <c r="I281" s="7"/>
      <c r="J281" s="39"/>
      <c r="K281" s="41"/>
    </row>
    <row r="282" spans="1:11" x14ac:dyDescent="0.25">
      <c r="B282" s="107" t="s">
        <v>27</v>
      </c>
      <c r="C282" s="89"/>
      <c r="D282" s="123"/>
      <c r="E282" s="124"/>
      <c r="F282" s="125"/>
      <c r="G282" s="125"/>
      <c r="H282" s="125"/>
      <c r="I282" s="125"/>
      <c r="J282" s="39"/>
      <c r="K282" s="41"/>
    </row>
    <row r="283" spans="1:11" x14ac:dyDescent="0.25">
      <c r="B283" s="6"/>
      <c r="D283" s="7"/>
      <c r="E283" s="7"/>
      <c r="F283" s="7"/>
      <c r="G283" s="7"/>
      <c r="H283" s="7"/>
      <c r="I283" s="7"/>
      <c r="J283" s="39"/>
      <c r="K283" s="41"/>
    </row>
    <row r="284" spans="1:11" ht="15.75" x14ac:dyDescent="0.25">
      <c r="A284" s="103" t="s">
        <v>39</v>
      </c>
      <c r="C284" s="89"/>
      <c r="D284" s="57">
        <f t="shared" ref="D284:I284" si="36" xml:space="preserve"> D259 + D264 - D270 + D280 + D282</f>
        <v>7709</v>
      </c>
      <c r="E284" s="58">
        <f t="shared" si="36"/>
        <v>7709</v>
      </c>
      <c r="F284" s="59">
        <f t="shared" si="36"/>
        <v>7709</v>
      </c>
      <c r="G284" s="59">
        <f t="shared" si="36"/>
        <v>7709</v>
      </c>
      <c r="H284" s="59">
        <f t="shared" si="36"/>
        <v>7709</v>
      </c>
      <c r="I284" s="59">
        <f t="shared" si="36"/>
        <v>7709</v>
      </c>
      <c r="J284" s="39"/>
      <c r="K284" s="41"/>
    </row>
    <row r="285" spans="1:11" x14ac:dyDescent="0.25">
      <c r="B285" s="6"/>
      <c r="D285" s="7"/>
      <c r="E285" s="7"/>
      <c r="F285" s="7"/>
      <c r="G285" s="39"/>
      <c r="H285" s="39"/>
      <c r="I285" s="39"/>
      <c r="J285" s="39"/>
      <c r="K285" s="41"/>
    </row>
    <row r="286" spans="1:11" ht="15.75" thickBot="1" x14ac:dyDescent="0.3">
      <c r="J286" s="41"/>
      <c r="K286" s="41"/>
    </row>
    <row r="287" spans="1:11" x14ac:dyDescent="0.25">
      <c r="A287" s="8"/>
      <c r="B287" s="8"/>
      <c r="C287" s="8"/>
      <c r="D287" s="8"/>
      <c r="E287" s="8"/>
      <c r="F287" s="8"/>
      <c r="G287" s="8"/>
      <c r="H287" s="8"/>
      <c r="I287" s="8"/>
      <c r="J287" s="41"/>
      <c r="K287" s="41"/>
    </row>
    <row r="288" spans="1:11" x14ac:dyDescent="0.25">
      <c r="B288" s="41"/>
      <c r="C288" s="41"/>
      <c r="D288" s="41"/>
      <c r="E288" s="41"/>
      <c r="F288" s="41"/>
      <c r="G288" s="41"/>
      <c r="H288" s="41"/>
      <c r="I288" s="41"/>
      <c r="J288" s="41"/>
      <c r="K288" s="41"/>
    </row>
    <row r="289" spans="1:11" ht="21" x14ac:dyDescent="0.35">
      <c r="A289" s="16" t="s">
        <v>4</v>
      </c>
      <c r="B289" s="16"/>
      <c r="C289" s="54" t="str">
        <f>B9</f>
        <v>Noxon Rapids #3</v>
      </c>
      <c r="D289" s="55"/>
      <c r="E289" s="26"/>
      <c r="F289" s="26"/>
      <c r="J289" s="41"/>
      <c r="K289" s="41"/>
    </row>
    <row r="290" spans="1:11" x14ac:dyDescent="0.25">
      <c r="J290" s="41"/>
      <c r="K290" s="41"/>
    </row>
    <row r="291" spans="1:11" ht="18.75" x14ac:dyDescent="0.3">
      <c r="A291" s="9" t="s">
        <v>33</v>
      </c>
      <c r="B291" s="9"/>
      <c r="D291" s="2">
        <v>2013</v>
      </c>
      <c r="E291" s="2">
        <f>D291+1</f>
        <v>2014</v>
      </c>
      <c r="F291" s="2">
        <f>E291+1</f>
        <v>2015</v>
      </c>
      <c r="G291" s="2">
        <f>F291+1</f>
        <v>2016</v>
      </c>
      <c r="H291" s="2">
        <f>G291+1</f>
        <v>2017</v>
      </c>
      <c r="I291" s="2">
        <f>H291+1</f>
        <v>2018</v>
      </c>
      <c r="J291" s="28"/>
      <c r="K291" s="41"/>
    </row>
    <row r="292" spans="1:11" x14ac:dyDescent="0.25">
      <c r="B292" s="100" t="str">
        <f>"Total MWh Produced / Purchased from " &amp; C289</f>
        <v>Total MWh Produced / Purchased from Noxon Rapids #3</v>
      </c>
      <c r="C292" s="89"/>
      <c r="D292" s="3">
        <v>14529</v>
      </c>
      <c r="E292" s="3">
        <v>14529</v>
      </c>
      <c r="F292" s="3">
        <v>14529</v>
      </c>
      <c r="G292" s="3">
        <v>14529</v>
      </c>
      <c r="H292" s="3">
        <v>14529</v>
      </c>
      <c r="I292" s="3">
        <v>14529</v>
      </c>
      <c r="J292" s="27"/>
      <c r="K292" s="41"/>
    </row>
    <row r="293" spans="1:11" x14ac:dyDescent="0.25">
      <c r="B293" s="100" t="s">
        <v>38</v>
      </c>
      <c r="C293" s="89"/>
      <c r="D293" s="69">
        <v>1</v>
      </c>
      <c r="E293" s="70">
        <v>1</v>
      </c>
      <c r="F293" s="71">
        <v>1</v>
      </c>
      <c r="G293" s="71">
        <v>1</v>
      </c>
      <c r="H293" s="71">
        <v>1</v>
      </c>
      <c r="I293" s="71">
        <v>1</v>
      </c>
      <c r="J293" s="27"/>
      <c r="K293" s="41"/>
    </row>
    <row r="294" spans="1:11" x14ac:dyDescent="0.25">
      <c r="B294" s="100" t="s">
        <v>32</v>
      </c>
      <c r="C294" s="89"/>
      <c r="D294" s="62">
        <v>1</v>
      </c>
      <c r="E294" s="63">
        <v>1</v>
      </c>
      <c r="F294" s="64">
        <v>1</v>
      </c>
      <c r="G294" s="64">
        <v>1</v>
      </c>
      <c r="H294" s="64">
        <v>1</v>
      </c>
      <c r="I294" s="64">
        <v>1</v>
      </c>
      <c r="J294" s="27"/>
      <c r="K294" s="41"/>
    </row>
    <row r="295" spans="1:11" x14ac:dyDescent="0.25">
      <c r="B295" s="97" t="s">
        <v>34</v>
      </c>
      <c r="C295" s="98"/>
      <c r="D295" s="49">
        <f t="shared" ref="D295:I295" si="37" xml:space="preserve"> D292 * D293 * D294</f>
        <v>14529</v>
      </c>
      <c r="E295" s="49">
        <f t="shared" si="37"/>
        <v>14529</v>
      </c>
      <c r="F295" s="49">
        <f t="shared" si="37"/>
        <v>14529</v>
      </c>
      <c r="G295" s="49">
        <f t="shared" si="37"/>
        <v>14529</v>
      </c>
      <c r="H295" s="49">
        <f t="shared" si="37"/>
        <v>14529</v>
      </c>
      <c r="I295" s="49">
        <f t="shared" si="37"/>
        <v>14529</v>
      </c>
      <c r="J295" s="27"/>
      <c r="K295" s="41"/>
    </row>
    <row r="296" spans="1:11" x14ac:dyDescent="0.25">
      <c r="B296" s="26"/>
      <c r="C296" s="41"/>
      <c r="D296" s="48"/>
      <c r="E296" s="48"/>
      <c r="F296" s="48"/>
      <c r="G296" s="48"/>
      <c r="H296" s="48"/>
      <c r="I296" s="48"/>
      <c r="J296" s="27"/>
      <c r="K296" s="41"/>
    </row>
    <row r="297" spans="1:11" ht="18.75" x14ac:dyDescent="0.3">
      <c r="A297" s="56" t="s">
        <v>36</v>
      </c>
      <c r="C297" s="41"/>
      <c r="D297" s="2">
        <f>D291</f>
        <v>2013</v>
      </c>
      <c r="E297" s="2">
        <f>D297+1</f>
        <v>2014</v>
      </c>
      <c r="F297" s="2">
        <f>E297+1</f>
        <v>2015</v>
      </c>
      <c r="G297" s="2">
        <f>F297+1</f>
        <v>2016</v>
      </c>
      <c r="H297" s="2">
        <f>G297+1</f>
        <v>2017</v>
      </c>
      <c r="I297" s="2">
        <f>H297+1</f>
        <v>2018</v>
      </c>
      <c r="J297" s="27"/>
      <c r="K297" s="41"/>
    </row>
    <row r="298" spans="1:11" x14ac:dyDescent="0.25">
      <c r="B298" s="100" t="s">
        <v>25</v>
      </c>
      <c r="C298" s="89"/>
      <c r="D298" s="65">
        <f>IF( $E9 = "Eligible", D295 * 'Facility Detail'!$B$601, 0 )</f>
        <v>0</v>
      </c>
      <c r="E298" s="13">
        <f>IF( $E9 = "Eligible", E295 * 'Facility Detail'!$B$601, 0 )</f>
        <v>0</v>
      </c>
      <c r="F298" s="14">
        <f>IF( $E9 = "Eligible", F295 * 'Facility Detail'!$B$601, 0 )</f>
        <v>0</v>
      </c>
      <c r="G298" s="14">
        <f>IF( $E9 = "Eligible", G295 * 'Facility Detail'!$B$601, 0 )</f>
        <v>0</v>
      </c>
      <c r="H298" s="14">
        <f>IF( $E9 = "Eligible", H295 * 'Facility Detail'!$B$601, 0 )</f>
        <v>0</v>
      </c>
      <c r="I298" s="14">
        <f>IF( $E9 = "Eligible", I295 * 'Facility Detail'!$B$601, 0 )</f>
        <v>0</v>
      </c>
      <c r="J298" s="27"/>
      <c r="K298" s="41"/>
    </row>
    <row r="299" spans="1:11" x14ac:dyDescent="0.25">
      <c r="B299" s="100" t="s">
        <v>6</v>
      </c>
      <c r="C299" s="89"/>
      <c r="D299" s="66">
        <f t="shared" ref="D299:I299" si="38">IF( $F9 = "Eligible", D295, 0 )</f>
        <v>0</v>
      </c>
      <c r="E299" s="67">
        <f t="shared" si="38"/>
        <v>0</v>
      </c>
      <c r="F299" s="68">
        <f t="shared" si="38"/>
        <v>0</v>
      </c>
      <c r="G299" s="68">
        <f t="shared" si="38"/>
        <v>0</v>
      </c>
      <c r="H299" s="68">
        <f t="shared" si="38"/>
        <v>0</v>
      </c>
      <c r="I299" s="68">
        <f t="shared" si="38"/>
        <v>0</v>
      </c>
      <c r="J299" s="27"/>
      <c r="K299" s="41"/>
    </row>
    <row r="300" spans="1:11" x14ac:dyDescent="0.25">
      <c r="B300" s="99" t="s">
        <v>45</v>
      </c>
      <c r="C300" s="98"/>
      <c r="D300" s="51">
        <f t="shared" ref="D300:I300" si="39">SUM(D298:D299)</f>
        <v>0</v>
      </c>
      <c r="E300" s="52">
        <f t="shared" si="39"/>
        <v>0</v>
      </c>
      <c r="F300" s="52">
        <f t="shared" si="39"/>
        <v>0</v>
      </c>
      <c r="G300" s="52">
        <f t="shared" si="39"/>
        <v>0</v>
      </c>
      <c r="H300" s="52">
        <f t="shared" si="39"/>
        <v>0</v>
      </c>
      <c r="I300" s="52">
        <f t="shared" si="39"/>
        <v>0</v>
      </c>
      <c r="J300" s="27"/>
      <c r="K300" s="41"/>
    </row>
    <row r="301" spans="1:11" x14ac:dyDescent="0.25">
      <c r="B301" s="41"/>
      <c r="C301" s="41"/>
      <c r="D301" s="50"/>
      <c r="E301" s="42"/>
      <c r="F301" s="42"/>
      <c r="G301" s="42"/>
      <c r="H301" s="42"/>
      <c r="I301" s="42"/>
      <c r="J301" s="27"/>
      <c r="K301" s="41"/>
    </row>
    <row r="302" spans="1:11" ht="18.75" x14ac:dyDescent="0.3">
      <c r="A302" s="53" t="s">
        <v>43</v>
      </c>
      <c r="C302" s="41"/>
      <c r="D302" s="2">
        <f>D291</f>
        <v>2013</v>
      </c>
      <c r="E302" s="2">
        <f>D302+1</f>
        <v>2014</v>
      </c>
      <c r="F302" s="2">
        <f>E302+1</f>
        <v>2015</v>
      </c>
      <c r="G302" s="2">
        <f>F302+1</f>
        <v>2016</v>
      </c>
      <c r="H302" s="2">
        <f>G302+1</f>
        <v>2017</v>
      </c>
      <c r="I302" s="2">
        <f>H302+1</f>
        <v>2018</v>
      </c>
      <c r="J302" s="27"/>
      <c r="K302" s="41"/>
    </row>
    <row r="303" spans="1:11" x14ac:dyDescent="0.25">
      <c r="B303" s="100" t="s">
        <v>47</v>
      </c>
      <c r="C303" s="89"/>
      <c r="D303" s="108">
        <v>0</v>
      </c>
      <c r="E303" s="109">
        <v>0</v>
      </c>
      <c r="F303" s="110">
        <v>0</v>
      </c>
      <c r="G303" s="110">
        <v>0</v>
      </c>
      <c r="H303" s="110">
        <v>0</v>
      </c>
      <c r="I303" s="110">
        <v>0</v>
      </c>
      <c r="J303" s="27"/>
      <c r="K303" s="41"/>
    </row>
    <row r="304" spans="1:11" x14ac:dyDescent="0.25">
      <c r="B304" s="101" t="s">
        <v>35</v>
      </c>
      <c r="C304" s="102"/>
      <c r="D304" s="111">
        <v>0</v>
      </c>
      <c r="E304" s="112">
        <v>0</v>
      </c>
      <c r="F304" s="113">
        <v>0</v>
      </c>
      <c r="G304" s="113">
        <v>0</v>
      </c>
      <c r="H304" s="113">
        <v>0</v>
      </c>
      <c r="I304" s="113">
        <v>0</v>
      </c>
      <c r="J304" s="27"/>
      <c r="K304" s="41"/>
    </row>
    <row r="305" spans="1:11" x14ac:dyDescent="0.25">
      <c r="B305" s="114" t="s">
        <v>49</v>
      </c>
      <c r="C305" s="106"/>
      <c r="D305" s="72">
        <v>0</v>
      </c>
      <c r="E305" s="73">
        <v>0</v>
      </c>
      <c r="F305" s="74">
        <v>0</v>
      </c>
      <c r="G305" s="74">
        <v>0</v>
      </c>
      <c r="H305" s="74">
        <v>0</v>
      </c>
      <c r="I305" s="74">
        <v>0</v>
      </c>
      <c r="J305" s="27"/>
      <c r="K305" s="41"/>
    </row>
    <row r="306" spans="1:11" x14ac:dyDescent="0.25">
      <c r="B306" s="44" t="s">
        <v>50</v>
      </c>
      <c r="D306" s="7">
        <f t="shared" ref="D306:I306" si="40">SUM(D303:D305)</f>
        <v>0</v>
      </c>
      <c r="E306" s="7">
        <f t="shared" si="40"/>
        <v>0</v>
      </c>
      <c r="F306" s="7">
        <f t="shared" si="40"/>
        <v>0</v>
      </c>
      <c r="G306" s="7">
        <f t="shared" si="40"/>
        <v>0</v>
      </c>
      <c r="H306" s="7">
        <f t="shared" si="40"/>
        <v>0</v>
      </c>
      <c r="I306" s="7">
        <f t="shared" si="40"/>
        <v>0</v>
      </c>
      <c r="J306" s="39"/>
      <c r="K306" s="41"/>
    </row>
    <row r="307" spans="1:11" x14ac:dyDescent="0.25">
      <c r="B307" s="6"/>
      <c r="D307" s="7"/>
      <c r="E307" s="7"/>
      <c r="F307" s="7"/>
      <c r="G307" s="7"/>
      <c r="H307" s="7"/>
      <c r="I307" s="7"/>
      <c r="J307" s="39"/>
      <c r="K307" s="41"/>
    </row>
    <row r="308" spans="1:11" ht="18.75" x14ac:dyDescent="0.3">
      <c r="A308" s="9" t="s">
        <v>51</v>
      </c>
      <c r="D308" s="2">
        <f>D291</f>
        <v>2013</v>
      </c>
      <c r="E308" s="2">
        <f>D308+1</f>
        <v>2014</v>
      </c>
      <c r="F308" s="2">
        <f>E308+1</f>
        <v>2015</v>
      </c>
      <c r="G308" s="2">
        <f>F308+1</f>
        <v>2016</v>
      </c>
      <c r="H308" s="2">
        <f>G308+1</f>
        <v>2017</v>
      </c>
      <c r="I308" s="2">
        <f>H308+1</f>
        <v>2018</v>
      </c>
      <c r="J308" s="39"/>
      <c r="K308" s="41"/>
    </row>
    <row r="309" spans="1:11" x14ac:dyDescent="0.25">
      <c r="B309" s="100" t="str">
        <f xml:space="preserve"> 'Facility Detail'!$B$604 &amp; " Surplus Applied to " &amp; ( 'Facility Detail'!$B$604 + 1 )</f>
        <v>2013 Surplus Applied to 2014</v>
      </c>
      <c r="C309" s="89"/>
      <c r="D309" s="3"/>
      <c r="E309" s="75">
        <f>D309</f>
        <v>0</v>
      </c>
      <c r="F309" s="156"/>
      <c r="G309" s="77"/>
      <c r="H309" s="77"/>
      <c r="I309" s="77"/>
      <c r="J309" s="39"/>
      <c r="K309" s="41"/>
    </row>
    <row r="310" spans="1:11" x14ac:dyDescent="0.25">
      <c r="B310" s="100" t="str">
        <f xml:space="preserve"> ( 'Facility Detail'!$B$604 + 1 ) &amp; " Surplus Applied to " &amp; ( 'Facility Detail'!$B$604 )</f>
        <v>2014 Surplus Applied to 2013</v>
      </c>
      <c r="C310" s="89"/>
      <c r="D310" s="157">
        <f>E310</f>
        <v>0</v>
      </c>
      <c r="E310" s="10"/>
      <c r="F310" s="94"/>
      <c r="G310" s="93"/>
      <c r="H310" s="93"/>
      <c r="I310" s="93"/>
      <c r="J310" s="39"/>
      <c r="K310" s="41"/>
    </row>
    <row r="311" spans="1:11" x14ac:dyDescent="0.25">
      <c r="B311" s="100" t="str">
        <f xml:space="preserve"> ( 'Facility Detail'!$B$604 + 1 ) &amp; " Surplus Applied to " &amp; ( 'Facility Detail'!$B$604 + 2 )</f>
        <v>2014 Surplus Applied to 2015</v>
      </c>
      <c r="C311" s="89"/>
      <c r="D311" s="78"/>
      <c r="E311" s="10"/>
      <c r="F311" s="88">
        <f>E311</f>
        <v>0</v>
      </c>
      <c r="G311" s="93"/>
      <c r="H311" s="93"/>
      <c r="I311" s="93"/>
      <c r="J311" s="39"/>
      <c r="K311" s="41"/>
    </row>
    <row r="312" spans="1:11" x14ac:dyDescent="0.25">
      <c r="B312" s="100" t="str">
        <f xml:space="preserve"> ( 'Facility Detail'!$B$604 + 2 ) &amp; " Surplus Applied to " &amp; ( 'Facility Detail'!$B$604 + 1 )</f>
        <v>2015 Surplus Applied to 2014</v>
      </c>
      <c r="C312" s="89"/>
      <c r="D312" s="78"/>
      <c r="E312" s="88">
        <f>F312</f>
        <v>0</v>
      </c>
      <c r="F312" s="10"/>
      <c r="G312" s="93"/>
      <c r="H312" s="93"/>
      <c r="I312" s="93"/>
      <c r="J312" s="39"/>
      <c r="K312" s="41"/>
    </row>
    <row r="313" spans="1:11" x14ac:dyDescent="0.25">
      <c r="B313" s="100" t="str">
        <f xml:space="preserve"> ( 'Facility Detail'!$B$604 + 2 ) &amp; " Surplus Applied to " &amp; ( 'Facility Detail'!$B$604 + 3 )</f>
        <v>2015 Surplus Applied to 2016</v>
      </c>
      <c r="C313" s="41"/>
      <c r="D313" s="78"/>
      <c r="E313" s="94"/>
      <c r="F313" s="10"/>
      <c r="G313" s="158">
        <f>F313</f>
        <v>0</v>
      </c>
      <c r="H313" s="158">
        <f>G313</f>
        <v>0</v>
      </c>
      <c r="I313" s="158">
        <f>H313</f>
        <v>0</v>
      </c>
      <c r="J313" s="39"/>
      <c r="K313" s="41"/>
    </row>
    <row r="314" spans="1:11" x14ac:dyDescent="0.25">
      <c r="B314" s="100" t="str">
        <f xml:space="preserve"> ( 'Facility Detail'!$B$604 +3 ) &amp; " Surplus Applied to " &amp; ( 'Facility Detail'!$B$604 + 2 )</f>
        <v>2016 Surplus Applied to 2015</v>
      </c>
      <c r="C314" s="41"/>
      <c r="D314" s="79"/>
      <c r="E314" s="95"/>
      <c r="F314" s="76">
        <f>G314</f>
        <v>0</v>
      </c>
      <c r="G314" s="159"/>
      <c r="H314" s="159"/>
      <c r="I314" s="159"/>
      <c r="J314" s="39"/>
      <c r="K314" s="41"/>
    </row>
    <row r="315" spans="1:11" x14ac:dyDescent="0.25">
      <c r="B315" s="100" t="str">
        <f xml:space="preserve"> ( 'Facility Detail'!$B$604 +3 ) &amp; " Surplus Applied to " &amp; ( 'Facility Detail'!$B$604 + 4 )</f>
        <v>2016 Surplus Applied to 2017</v>
      </c>
      <c r="C315" s="41"/>
      <c r="D315" s="164"/>
      <c r="E315" s="164"/>
      <c r="F315" s="27"/>
      <c r="G315" s="165"/>
      <c r="H315" s="165"/>
      <c r="I315" s="165"/>
      <c r="J315" s="39"/>
      <c r="K315" s="41"/>
    </row>
    <row r="316" spans="1:11" x14ac:dyDescent="0.25">
      <c r="B316" s="44" t="s">
        <v>31</v>
      </c>
      <c r="D316" s="7">
        <f xml:space="preserve"> D310 - D309</f>
        <v>0</v>
      </c>
      <c r="E316" s="7">
        <f xml:space="preserve"> E309 + E312 - E311 - E310</f>
        <v>0</v>
      </c>
      <c r="F316" s="7">
        <f>F311+F314-F312-F313</f>
        <v>0</v>
      </c>
      <c r="G316" s="7">
        <f>G313-G314</f>
        <v>0</v>
      </c>
      <c r="H316" s="7">
        <f>H313-H314</f>
        <v>0</v>
      </c>
      <c r="I316" s="7">
        <f>I313-I314</f>
        <v>0</v>
      </c>
      <c r="J316" s="39"/>
      <c r="K316" s="41"/>
    </row>
    <row r="317" spans="1:11" x14ac:dyDescent="0.25">
      <c r="B317" s="6"/>
      <c r="D317" s="7"/>
      <c r="E317" s="7"/>
      <c r="F317" s="7"/>
      <c r="G317" s="7"/>
      <c r="H317" s="7"/>
      <c r="I317" s="7"/>
      <c r="J317" s="39"/>
      <c r="K317" s="41"/>
    </row>
    <row r="318" spans="1:11" x14ac:dyDescent="0.25">
      <c r="B318" s="107" t="s">
        <v>27</v>
      </c>
      <c r="C318" s="89"/>
      <c r="D318" s="123"/>
      <c r="E318" s="124"/>
      <c r="F318" s="125"/>
      <c r="G318" s="125"/>
      <c r="H318" s="125"/>
      <c r="I318" s="125"/>
      <c r="J318" s="39"/>
      <c r="K318" s="41"/>
    </row>
    <row r="319" spans="1:11" x14ac:dyDescent="0.25">
      <c r="B319" s="6"/>
      <c r="D319" s="7"/>
      <c r="E319" s="7"/>
      <c r="F319" s="7"/>
      <c r="G319" s="7"/>
      <c r="H319" s="7"/>
      <c r="I319" s="7"/>
      <c r="J319" s="39"/>
      <c r="K319" s="41"/>
    </row>
    <row r="320" spans="1:11" ht="15.75" x14ac:dyDescent="0.25">
      <c r="A320" s="103" t="s">
        <v>39</v>
      </c>
      <c r="C320" s="89"/>
      <c r="D320" s="57">
        <f t="shared" ref="D320:I320" si="41" xml:space="preserve"> D295 + D300 - D306 + D316 + D318</f>
        <v>14529</v>
      </c>
      <c r="E320" s="58">
        <f t="shared" si="41"/>
        <v>14529</v>
      </c>
      <c r="F320" s="59">
        <f t="shared" si="41"/>
        <v>14529</v>
      </c>
      <c r="G320" s="59">
        <f t="shared" si="41"/>
        <v>14529</v>
      </c>
      <c r="H320" s="59">
        <f t="shared" si="41"/>
        <v>14529</v>
      </c>
      <c r="I320" s="59">
        <f t="shared" si="41"/>
        <v>14529</v>
      </c>
      <c r="J320" s="39"/>
      <c r="K320" s="41"/>
    </row>
    <row r="321" spans="1:11" x14ac:dyDescent="0.25">
      <c r="B321" s="6"/>
      <c r="D321" s="7"/>
      <c r="E321" s="7"/>
      <c r="F321" s="7"/>
      <c r="G321" s="39"/>
      <c r="H321" s="39"/>
      <c r="I321" s="39"/>
      <c r="J321" s="39"/>
      <c r="K321" s="41"/>
    </row>
    <row r="322" spans="1:11" ht="15.75" thickBot="1" x14ac:dyDescent="0.3">
      <c r="J322" s="41"/>
      <c r="K322" s="41"/>
    </row>
    <row r="323" spans="1:11" x14ac:dyDescent="0.25">
      <c r="A323" s="8"/>
      <c r="B323" s="8"/>
      <c r="C323" s="8"/>
      <c r="D323" s="8"/>
      <c r="E323" s="8"/>
      <c r="F323" s="8"/>
      <c r="G323" s="8"/>
      <c r="H323" s="8"/>
      <c r="I323" s="8"/>
      <c r="J323" s="41"/>
      <c r="K323" s="41"/>
    </row>
    <row r="324" spans="1:11" x14ac:dyDescent="0.25">
      <c r="B324" s="41"/>
      <c r="C324" s="41"/>
      <c r="D324" s="41"/>
      <c r="E324" s="41"/>
      <c r="F324" s="41"/>
      <c r="G324" s="41"/>
      <c r="H324" s="41"/>
      <c r="I324" s="41"/>
      <c r="J324" s="41"/>
      <c r="K324" s="41"/>
    </row>
    <row r="325" spans="1:11" ht="21" x14ac:dyDescent="0.35">
      <c r="A325" s="16" t="s">
        <v>4</v>
      </c>
      <c r="B325" s="16"/>
      <c r="C325" s="54" t="str">
        <f>B10</f>
        <v>Noxon Rapids #4</v>
      </c>
      <c r="D325" s="55"/>
      <c r="E325" s="26"/>
      <c r="F325" s="26"/>
      <c r="J325" s="41"/>
      <c r="K325" s="41"/>
    </row>
    <row r="326" spans="1:11" x14ac:dyDescent="0.25">
      <c r="J326" s="41"/>
      <c r="K326" s="41"/>
    </row>
    <row r="327" spans="1:11" ht="18.75" x14ac:dyDescent="0.3">
      <c r="A327" s="9" t="s">
        <v>95</v>
      </c>
      <c r="B327" s="9"/>
      <c r="D327" s="2">
        <v>2013</v>
      </c>
      <c r="E327" s="2">
        <f>D327+1</f>
        <v>2014</v>
      </c>
      <c r="F327" s="2">
        <f>E327+1</f>
        <v>2015</v>
      </c>
      <c r="G327" s="2">
        <f>F327+1</f>
        <v>2016</v>
      </c>
      <c r="H327" s="2">
        <f>G327+1</f>
        <v>2017</v>
      </c>
      <c r="I327" s="2">
        <f>H327+1</f>
        <v>2018</v>
      </c>
      <c r="J327" s="28"/>
      <c r="K327" s="41"/>
    </row>
    <row r="328" spans="1:11" x14ac:dyDescent="0.25">
      <c r="B328" s="100" t="str">
        <f>"Total MWh Produced / Purchased from " &amp; C325</f>
        <v>Total MWh Produced / Purchased from Noxon Rapids #4</v>
      </c>
      <c r="C328" s="89"/>
      <c r="D328" s="3">
        <v>10934</v>
      </c>
      <c r="E328" s="4">
        <v>12024</v>
      </c>
      <c r="F328" s="5">
        <v>12024</v>
      </c>
      <c r="G328" s="5">
        <v>12024</v>
      </c>
      <c r="H328" s="5">
        <v>12024</v>
      </c>
      <c r="I328" s="5">
        <v>12024</v>
      </c>
      <c r="J328" s="27"/>
      <c r="K328" s="41"/>
    </row>
    <row r="329" spans="1:11" x14ac:dyDescent="0.25">
      <c r="B329" s="100" t="s">
        <v>38</v>
      </c>
      <c r="C329" s="89"/>
      <c r="D329" s="69">
        <v>1</v>
      </c>
      <c r="E329" s="70">
        <v>1</v>
      </c>
      <c r="F329" s="71">
        <v>1</v>
      </c>
      <c r="G329" s="71">
        <v>1</v>
      </c>
      <c r="H329" s="71">
        <v>1</v>
      </c>
      <c r="I329" s="71">
        <v>1</v>
      </c>
      <c r="J329" s="27"/>
      <c r="K329" s="41"/>
    </row>
    <row r="330" spans="1:11" x14ac:dyDescent="0.25">
      <c r="B330" s="100" t="s">
        <v>32</v>
      </c>
      <c r="C330" s="89"/>
      <c r="D330" s="62">
        <v>1</v>
      </c>
      <c r="E330" s="63">
        <v>1</v>
      </c>
      <c r="F330" s="64">
        <v>1</v>
      </c>
      <c r="G330" s="64">
        <v>1</v>
      </c>
      <c r="H330" s="64">
        <v>1</v>
      </c>
      <c r="I330" s="64">
        <v>1</v>
      </c>
      <c r="J330" s="27"/>
      <c r="K330" s="41"/>
    </row>
    <row r="331" spans="1:11" x14ac:dyDescent="0.25">
      <c r="B331" s="97" t="s">
        <v>34</v>
      </c>
      <c r="C331" s="98"/>
      <c r="D331" s="49">
        <f t="shared" ref="D331:I331" si="42" xml:space="preserve"> D328 * D329 * D330</f>
        <v>10934</v>
      </c>
      <c r="E331" s="49">
        <f t="shared" si="42"/>
        <v>12024</v>
      </c>
      <c r="F331" s="49">
        <f t="shared" si="42"/>
        <v>12024</v>
      </c>
      <c r="G331" s="49">
        <f t="shared" si="42"/>
        <v>12024</v>
      </c>
      <c r="H331" s="49">
        <f t="shared" si="42"/>
        <v>12024</v>
      </c>
      <c r="I331" s="49">
        <f t="shared" si="42"/>
        <v>12024</v>
      </c>
      <c r="J331" s="27"/>
      <c r="K331" s="41"/>
    </row>
    <row r="332" spans="1:11" x14ac:dyDescent="0.25">
      <c r="B332" s="26"/>
      <c r="C332" s="41"/>
      <c r="D332" s="48"/>
      <c r="E332" s="48"/>
      <c r="F332" s="48"/>
      <c r="G332" s="48"/>
      <c r="H332" s="48"/>
      <c r="I332" s="48"/>
      <c r="J332" s="27"/>
      <c r="K332" s="41"/>
    </row>
    <row r="333" spans="1:11" ht="18.75" x14ac:dyDescent="0.3">
      <c r="A333" s="56" t="s">
        <v>36</v>
      </c>
      <c r="C333" s="41"/>
      <c r="D333" s="2">
        <f>D327</f>
        <v>2013</v>
      </c>
      <c r="E333" s="2">
        <f>D333+1</f>
        <v>2014</v>
      </c>
      <c r="F333" s="2">
        <f>E333+1</f>
        <v>2015</v>
      </c>
      <c r="G333" s="2">
        <f>F333+1</f>
        <v>2016</v>
      </c>
      <c r="H333" s="2">
        <f>G333+1</f>
        <v>2017</v>
      </c>
      <c r="I333" s="2">
        <f>H333+1</f>
        <v>2018</v>
      </c>
      <c r="J333" s="27"/>
      <c r="K333" s="41"/>
    </row>
    <row r="334" spans="1:11" x14ac:dyDescent="0.25">
      <c r="B334" s="100" t="s">
        <v>25</v>
      </c>
      <c r="C334" s="89"/>
      <c r="D334" s="65">
        <f>IF( $E10 = "Eligible", D331 * 'Facility Detail'!$B$601, 0 )</f>
        <v>0</v>
      </c>
      <c r="E334" s="13">
        <f>IF( $E10 = "Eligible", E331 * 'Facility Detail'!$B$601, 0 )</f>
        <v>0</v>
      </c>
      <c r="F334" s="14">
        <f>IF( $E10 = "Eligible", F331 * 'Facility Detail'!$B$601, 0 )</f>
        <v>0</v>
      </c>
      <c r="G334" s="14">
        <f>IF( $E10 = "Eligible", G331 * 'Facility Detail'!$B$601, 0 )</f>
        <v>0</v>
      </c>
      <c r="H334" s="14">
        <f>IF( $E10 = "Eligible", H331 * 'Facility Detail'!$B$601, 0 )</f>
        <v>0</v>
      </c>
      <c r="I334" s="14">
        <f>IF( $E10 = "Eligible", I331 * 'Facility Detail'!$B$601, 0 )</f>
        <v>0</v>
      </c>
      <c r="J334" s="27"/>
      <c r="K334" s="41"/>
    </row>
    <row r="335" spans="1:11" x14ac:dyDescent="0.25">
      <c r="B335" s="100" t="s">
        <v>6</v>
      </c>
      <c r="C335" s="89"/>
      <c r="D335" s="66">
        <f t="shared" ref="D335:I335" si="43">IF( $F10 = "Eligible", D331, 0 )</f>
        <v>0</v>
      </c>
      <c r="E335" s="67">
        <f t="shared" si="43"/>
        <v>0</v>
      </c>
      <c r="F335" s="68">
        <f t="shared" si="43"/>
        <v>0</v>
      </c>
      <c r="G335" s="68">
        <f t="shared" si="43"/>
        <v>0</v>
      </c>
      <c r="H335" s="68">
        <f t="shared" si="43"/>
        <v>0</v>
      </c>
      <c r="I335" s="68">
        <f t="shared" si="43"/>
        <v>0</v>
      </c>
      <c r="J335" s="27"/>
      <c r="K335" s="41"/>
    </row>
    <row r="336" spans="1:11" x14ac:dyDescent="0.25">
      <c r="B336" s="99" t="s">
        <v>45</v>
      </c>
      <c r="C336" s="98"/>
      <c r="D336" s="51">
        <f t="shared" ref="D336:I336" si="44">SUM(D334:D335)</f>
        <v>0</v>
      </c>
      <c r="E336" s="52">
        <f t="shared" si="44"/>
        <v>0</v>
      </c>
      <c r="F336" s="52">
        <f t="shared" si="44"/>
        <v>0</v>
      </c>
      <c r="G336" s="52">
        <f t="shared" si="44"/>
        <v>0</v>
      </c>
      <c r="H336" s="52">
        <f t="shared" si="44"/>
        <v>0</v>
      </c>
      <c r="I336" s="52">
        <f t="shared" si="44"/>
        <v>0</v>
      </c>
      <c r="J336" s="27"/>
      <c r="K336" s="41"/>
    </row>
    <row r="337" spans="1:11" x14ac:dyDescent="0.25">
      <c r="B337" s="41"/>
      <c r="C337" s="41"/>
      <c r="D337" s="50"/>
      <c r="E337" s="42"/>
      <c r="F337" s="42"/>
      <c r="G337" s="42"/>
      <c r="H337" s="42"/>
      <c r="I337" s="42"/>
      <c r="J337" s="27"/>
      <c r="K337" s="41"/>
    </row>
    <row r="338" spans="1:11" ht="18.75" x14ac:dyDescent="0.3">
      <c r="A338" s="53" t="s">
        <v>43</v>
      </c>
      <c r="C338" s="41"/>
      <c r="D338" s="2">
        <f>D327</f>
        <v>2013</v>
      </c>
      <c r="E338" s="2">
        <f>D338+1</f>
        <v>2014</v>
      </c>
      <c r="F338" s="2">
        <f>E338+1</f>
        <v>2015</v>
      </c>
      <c r="G338" s="2">
        <f>F338+1</f>
        <v>2016</v>
      </c>
      <c r="H338" s="2">
        <f>G338+1</f>
        <v>2017</v>
      </c>
      <c r="I338" s="2">
        <f>H338+1</f>
        <v>2018</v>
      </c>
      <c r="J338" s="27"/>
      <c r="K338" s="41"/>
    </row>
    <row r="339" spans="1:11" x14ac:dyDescent="0.25">
      <c r="B339" s="100" t="s">
        <v>47</v>
      </c>
      <c r="C339" s="89"/>
      <c r="D339" s="108">
        <v>0</v>
      </c>
      <c r="E339" s="109">
        <v>0</v>
      </c>
      <c r="F339" s="110">
        <v>0</v>
      </c>
      <c r="G339" s="110">
        <v>0</v>
      </c>
      <c r="H339" s="110">
        <v>0</v>
      </c>
      <c r="I339" s="110">
        <v>0</v>
      </c>
      <c r="J339" s="27"/>
      <c r="K339" s="41"/>
    </row>
    <row r="340" spans="1:11" x14ac:dyDescent="0.25">
      <c r="B340" s="101" t="s">
        <v>35</v>
      </c>
      <c r="C340" s="102"/>
      <c r="D340" s="111">
        <v>0</v>
      </c>
      <c r="E340" s="112">
        <v>0</v>
      </c>
      <c r="F340" s="113">
        <v>0</v>
      </c>
      <c r="G340" s="113">
        <v>0</v>
      </c>
      <c r="H340" s="113">
        <v>0</v>
      </c>
      <c r="I340" s="113">
        <v>0</v>
      </c>
      <c r="J340" s="27"/>
      <c r="K340" s="41"/>
    </row>
    <row r="341" spans="1:11" x14ac:dyDescent="0.25">
      <c r="B341" s="114" t="s">
        <v>49</v>
      </c>
      <c r="C341" s="106"/>
      <c r="D341" s="72">
        <v>0</v>
      </c>
      <c r="E341" s="73">
        <v>0</v>
      </c>
      <c r="F341" s="74">
        <v>0</v>
      </c>
      <c r="G341" s="74">
        <v>0</v>
      </c>
      <c r="H341" s="74">
        <v>0</v>
      </c>
      <c r="I341" s="74">
        <v>0</v>
      </c>
      <c r="J341" s="27"/>
      <c r="K341" s="41"/>
    </row>
    <row r="342" spans="1:11" x14ac:dyDescent="0.25">
      <c r="B342" s="44" t="s">
        <v>50</v>
      </c>
      <c r="D342" s="7">
        <f t="shared" ref="D342:I342" si="45">SUM(D339:D341)</f>
        <v>0</v>
      </c>
      <c r="E342" s="7">
        <f t="shared" si="45"/>
        <v>0</v>
      </c>
      <c r="F342" s="7">
        <f t="shared" si="45"/>
        <v>0</v>
      </c>
      <c r="G342" s="7">
        <f t="shared" si="45"/>
        <v>0</v>
      </c>
      <c r="H342" s="7">
        <f t="shared" si="45"/>
        <v>0</v>
      </c>
      <c r="I342" s="7">
        <f t="shared" si="45"/>
        <v>0</v>
      </c>
      <c r="J342" s="39"/>
      <c r="K342" s="41"/>
    </row>
    <row r="343" spans="1:11" x14ac:dyDescent="0.25">
      <c r="B343" s="6"/>
      <c r="D343" s="7"/>
      <c r="E343" s="7"/>
      <c r="F343" s="7"/>
      <c r="G343" s="7"/>
      <c r="H343" s="7"/>
      <c r="I343" s="7"/>
      <c r="J343" s="39"/>
      <c r="K343" s="41"/>
    </row>
    <row r="344" spans="1:11" ht="18.75" x14ac:dyDescent="0.3">
      <c r="A344" s="9" t="s">
        <v>51</v>
      </c>
      <c r="D344" s="2">
        <f>D327</f>
        <v>2013</v>
      </c>
      <c r="E344" s="2">
        <f>D344+1</f>
        <v>2014</v>
      </c>
      <c r="F344" s="2">
        <f>E344+1</f>
        <v>2015</v>
      </c>
      <c r="G344" s="2">
        <f>F344+1</f>
        <v>2016</v>
      </c>
      <c r="H344" s="2">
        <f>G344+1</f>
        <v>2017</v>
      </c>
      <c r="I344" s="2">
        <f>H344+1</f>
        <v>2018</v>
      </c>
      <c r="J344" s="39"/>
      <c r="K344" s="41"/>
    </row>
    <row r="345" spans="1:11" x14ac:dyDescent="0.25">
      <c r="B345" s="100" t="str">
        <f xml:space="preserve"> 'Facility Detail'!$B$604 &amp; " Surplus Applied to " &amp; ( 'Facility Detail'!$B$604 + 1 )</f>
        <v>2013 Surplus Applied to 2014</v>
      </c>
      <c r="C345" s="89"/>
      <c r="D345" s="3"/>
      <c r="E345" s="75">
        <f>D345</f>
        <v>0</v>
      </c>
      <c r="F345" s="156"/>
      <c r="G345" s="77"/>
      <c r="H345" s="77"/>
      <c r="I345" s="77"/>
      <c r="J345" s="39"/>
      <c r="K345" s="41"/>
    </row>
    <row r="346" spans="1:11" x14ac:dyDescent="0.25">
      <c r="B346" s="100" t="str">
        <f xml:space="preserve"> ( 'Facility Detail'!$B$604 + 1 ) &amp; " Surplus Applied to " &amp; ( 'Facility Detail'!$B$604 )</f>
        <v>2014 Surplus Applied to 2013</v>
      </c>
      <c r="C346" s="89"/>
      <c r="D346" s="157">
        <f>E346</f>
        <v>0</v>
      </c>
      <c r="E346" s="10"/>
      <c r="F346" s="94"/>
      <c r="G346" s="93"/>
      <c r="H346" s="93"/>
      <c r="I346" s="93"/>
      <c r="J346" s="39"/>
      <c r="K346" s="41"/>
    </row>
    <row r="347" spans="1:11" x14ac:dyDescent="0.25">
      <c r="B347" s="100" t="str">
        <f xml:space="preserve"> ( 'Facility Detail'!$B$604 + 1 ) &amp; " Surplus Applied to " &amp; ( 'Facility Detail'!$B$604 + 2 )</f>
        <v>2014 Surplus Applied to 2015</v>
      </c>
      <c r="C347" s="89"/>
      <c r="D347" s="78"/>
      <c r="E347" s="10"/>
      <c r="F347" s="88">
        <f>E347</f>
        <v>0</v>
      </c>
      <c r="G347" s="93"/>
      <c r="H347" s="93"/>
      <c r="I347" s="93"/>
      <c r="J347" s="39"/>
      <c r="K347" s="41"/>
    </row>
    <row r="348" spans="1:11" x14ac:dyDescent="0.25">
      <c r="B348" s="100" t="str">
        <f xml:space="preserve"> ( 'Facility Detail'!$B$604 + 2 ) &amp; " Surplus Applied to " &amp; ( 'Facility Detail'!$B$604 + 1 )</f>
        <v>2015 Surplus Applied to 2014</v>
      </c>
      <c r="C348" s="89"/>
      <c r="D348" s="78"/>
      <c r="E348" s="88">
        <f>F348</f>
        <v>0</v>
      </c>
      <c r="F348" s="10"/>
      <c r="G348" s="93"/>
      <c r="H348" s="93"/>
      <c r="I348" s="93"/>
      <c r="J348" s="39"/>
      <c r="K348" s="41"/>
    </row>
    <row r="349" spans="1:11" x14ac:dyDescent="0.25">
      <c r="B349" s="100" t="str">
        <f xml:space="preserve"> ( 'Facility Detail'!$B$604 + 2 ) &amp; " Surplus Applied to " &amp; ( 'Facility Detail'!$B$604 + 3 )</f>
        <v>2015 Surplus Applied to 2016</v>
      </c>
      <c r="C349" s="41"/>
      <c r="D349" s="78"/>
      <c r="E349" s="94"/>
      <c r="F349" s="10"/>
      <c r="G349" s="158">
        <f>F349</f>
        <v>0</v>
      </c>
      <c r="H349" s="158">
        <f>G349</f>
        <v>0</v>
      </c>
      <c r="I349" s="158">
        <f>H349</f>
        <v>0</v>
      </c>
      <c r="J349" s="39"/>
      <c r="K349" s="41"/>
    </row>
    <row r="350" spans="1:11" x14ac:dyDescent="0.25">
      <c r="B350" s="100" t="str">
        <f xml:space="preserve"> ( 'Facility Detail'!$B$604 +3 ) &amp; " Surplus Applied to " &amp; ( 'Facility Detail'!$B$604 + 2 )</f>
        <v>2016 Surplus Applied to 2015</v>
      </c>
      <c r="C350" s="41"/>
      <c r="D350" s="79"/>
      <c r="E350" s="95"/>
      <c r="F350" s="76">
        <f>G350</f>
        <v>0</v>
      </c>
      <c r="G350" s="159"/>
      <c r="H350" s="159"/>
      <c r="I350" s="159"/>
      <c r="J350" s="39"/>
      <c r="K350" s="41"/>
    </row>
    <row r="351" spans="1:11" x14ac:dyDescent="0.25">
      <c r="B351" s="100" t="str">
        <f xml:space="preserve"> ( 'Facility Detail'!$B$604 +3 ) &amp; " Surplus Applied to " &amp; ( 'Facility Detail'!$B$604 + 4 )</f>
        <v>2016 Surplus Applied to 2017</v>
      </c>
      <c r="C351" s="41"/>
      <c r="D351" s="164"/>
      <c r="E351" s="164"/>
      <c r="F351" s="27"/>
      <c r="G351" s="165"/>
      <c r="H351" s="165"/>
      <c r="I351" s="165"/>
      <c r="J351" s="39"/>
      <c r="K351" s="41"/>
    </row>
    <row r="352" spans="1:11" x14ac:dyDescent="0.25">
      <c r="B352" s="44" t="s">
        <v>31</v>
      </c>
      <c r="D352" s="7">
        <f xml:space="preserve"> D346 - D345</f>
        <v>0</v>
      </c>
      <c r="E352" s="7">
        <f xml:space="preserve"> E345 + E348 - E347 - E346</f>
        <v>0</v>
      </c>
      <c r="F352" s="7">
        <f>F347+F350-F348-F349</f>
        <v>0</v>
      </c>
      <c r="G352" s="7">
        <f>G349-G350</f>
        <v>0</v>
      </c>
      <c r="H352" s="7">
        <f>H349-H350</f>
        <v>0</v>
      </c>
      <c r="I352" s="7">
        <f>I349-I350</f>
        <v>0</v>
      </c>
      <c r="J352" s="39"/>
      <c r="K352" s="41"/>
    </row>
    <row r="353" spans="1:11" x14ac:dyDescent="0.25">
      <c r="B353" s="6"/>
      <c r="D353" s="7"/>
      <c r="E353" s="7"/>
      <c r="F353" s="7"/>
      <c r="G353" s="7"/>
      <c r="H353" s="7"/>
      <c r="I353" s="7"/>
      <c r="J353" s="39"/>
      <c r="K353" s="41"/>
    </row>
    <row r="354" spans="1:11" x14ac:dyDescent="0.25">
      <c r="B354" s="107" t="s">
        <v>27</v>
      </c>
      <c r="C354" s="89"/>
      <c r="D354" s="123"/>
      <c r="E354" s="124"/>
      <c r="F354" s="125"/>
      <c r="G354" s="125"/>
      <c r="H354" s="125"/>
      <c r="I354" s="125"/>
      <c r="J354" s="39"/>
      <c r="K354" s="41"/>
    </row>
    <row r="355" spans="1:11" x14ac:dyDescent="0.25">
      <c r="B355" s="6"/>
      <c r="D355" s="7"/>
      <c r="E355" s="7"/>
      <c r="F355" s="7"/>
      <c r="G355" s="7"/>
      <c r="H355" s="7"/>
      <c r="I355" s="7"/>
      <c r="J355" s="39"/>
      <c r="K355" s="41"/>
    </row>
    <row r="356" spans="1:11" ht="15.75" x14ac:dyDescent="0.25">
      <c r="A356" s="103" t="s">
        <v>39</v>
      </c>
      <c r="C356" s="89"/>
      <c r="D356" s="57">
        <f t="shared" ref="D356:I356" si="46" xml:space="preserve"> D331 + D336 - D342 + D352 + D354</f>
        <v>10934</v>
      </c>
      <c r="E356" s="58">
        <f t="shared" si="46"/>
        <v>12024</v>
      </c>
      <c r="F356" s="59">
        <f t="shared" si="46"/>
        <v>12024</v>
      </c>
      <c r="G356" s="59">
        <f t="shared" si="46"/>
        <v>12024</v>
      </c>
      <c r="H356" s="59">
        <f t="shared" si="46"/>
        <v>12024</v>
      </c>
      <c r="I356" s="59">
        <f t="shared" si="46"/>
        <v>12024</v>
      </c>
      <c r="J356" s="39"/>
      <c r="K356" s="41"/>
    </row>
    <row r="357" spans="1:11" x14ac:dyDescent="0.25">
      <c r="B357" s="6"/>
      <c r="D357" s="7"/>
      <c r="E357" s="7"/>
      <c r="F357" s="7"/>
      <c r="G357" s="39"/>
      <c r="H357" s="39"/>
      <c r="I357" s="39"/>
      <c r="J357" s="39"/>
      <c r="K357" s="41"/>
    </row>
    <row r="358" spans="1:11" ht="15.75" thickBot="1" x14ac:dyDescent="0.3">
      <c r="A358" s="1" t="s">
        <v>96</v>
      </c>
      <c r="J358" s="41"/>
      <c r="K358" s="41"/>
    </row>
    <row r="359" spans="1:11" x14ac:dyDescent="0.25">
      <c r="A359" s="8"/>
      <c r="B359" s="8"/>
      <c r="C359" s="8"/>
      <c r="D359" s="8"/>
      <c r="E359" s="8"/>
      <c r="F359" s="8"/>
      <c r="G359" s="8"/>
      <c r="H359" s="8"/>
      <c r="I359" s="8"/>
      <c r="J359" s="41"/>
      <c r="K359" s="41"/>
    </row>
    <row r="360" spans="1:11" x14ac:dyDescent="0.25">
      <c r="B360" s="41"/>
      <c r="C360" s="41"/>
      <c r="D360" s="41"/>
      <c r="E360" s="41"/>
      <c r="F360" s="41"/>
      <c r="G360" s="41"/>
      <c r="H360" s="41"/>
      <c r="I360" s="41"/>
      <c r="J360" s="41"/>
      <c r="K360" s="41"/>
    </row>
    <row r="361" spans="1:11" ht="21" x14ac:dyDescent="0.35">
      <c r="A361" s="16" t="s">
        <v>4</v>
      </c>
      <c r="B361" s="16"/>
      <c r="C361" s="54" t="str">
        <f>B11</f>
        <v>Wanapum Fish Bypass</v>
      </c>
      <c r="D361" s="55"/>
      <c r="E361" s="26"/>
      <c r="F361" s="26"/>
      <c r="J361" s="41"/>
      <c r="K361" s="41"/>
    </row>
    <row r="362" spans="1:11" x14ac:dyDescent="0.25">
      <c r="J362" s="41"/>
      <c r="K362" s="41"/>
    </row>
    <row r="363" spans="1:11" ht="18.75" x14ac:dyDescent="0.3">
      <c r="A363" s="9" t="s">
        <v>95</v>
      </c>
      <c r="B363" s="9"/>
      <c r="D363" s="2">
        <v>2013</v>
      </c>
      <c r="E363" s="2">
        <f>D363+1</f>
        <v>2014</v>
      </c>
      <c r="F363" s="2">
        <f>E363+1</f>
        <v>2015</v>
      </c>
      <c r="G363" s="2">
        <f>F363+1</f>
        <v>2016</v>
      </c>
      <c r="H363" s="2">
        <f>G363+1</f>
        <v>2017</v>
      </c>
      <c r="I363" s="2">
        <f>H363+1</f>
        <v>2018</v>
      </c>
      <c r="J363" s="28"/>
      <c r="K363" s="41"/>
    </row>
    <row r="364" spans="1:11" x14ac:dyDescent="0.25">
      <c r="B364" s="100" t="str">
        <f>"Total MWh Produced / Purchased from " &amp; C361</f>
        <v>Total MWh Produced / Purchased from Wanapum Fish Bypass</v>
      </c>
      <c r="C364" s="89"/>
      <c r="D364" s="3">
        <v>22206</v>
      </c>
      <c r="E364" s="4">
        <v>0</v>
      </c>
      <c r="F364" s="5">
        <v>0</v>
      </c>
      <c r="G364" s="5">
        <v>0</v>
      </c>
      <c r="H364" s="5">
        <v>0</v>
      </c>
      <c r="I364" s="5">
        <v>0</v>
      </c>
      <c r="J364" s="27"/>
      <c r="K364" s="41"/>
    </row>
    <row r="365" spans="1:11" x14ac:dyDescent="0.25">
      <c r="B365" s="100" t="s">
        <v>38</v>
      </c>
      <c r="C365" s="89"/>
      <c r="D365" s="69">
        <v>1</v>
      </c>
      <c r="E365" s="70">
        <v>1</v>
      </c>
      <c r="F365" s="71">
        <v>1</v>
      </c>
      <c r="G365" s="71">
        <v>1</v>
      </c>
      <c r="H365" s="71">
        <v>1</v>
      </c>
      <c r="I365" s="71">
        <v>1</v>
      </c>
      <c r="J365" s="27"/>
      <c r="K365" s="41"/>
    </row>
    <row r="366" spans="1:11" x14ac:dyDescent="0.25">
      <c r="B366" s="100" t="s">
        <v>32</v>
      </c>
      <c r="C366" s="89"/>
      <c r="D366" s="62">
        <v>1</v>
      </c>
      <c r="E366" s="63">
        <v>1</v>
      </c>
      <c r="F366" s="64">
        <v>1</v>
      </c>
      <c r="G366" s="64">
        <v>1</v>
      </c>
      <c r="H366" s="64">
        <v>1</v>
      </c>
      <c r="I366" s="64">
        <v>1</v>
      </c>
      <c r="J366" s="27"/>
      <c r="K366" s="41"/>
    </row>
    <row r="367" spans="1:11" x14ac:dyDescent="0.25">
      <c r="B367" s="97" t="s">
        <v>34</v>
      </c>
      <c r="C367" s="98"/>
      <c r="D367" s="49">
        <f t="shared" ref="D367:I367" si="47" xml:space="preserve"> D364 * D365 * D366</f>
        <v>22206</v>
      </c>
      <c r="E367" s="49">
        <f t="shared" si="47"/>
        <v>0</v>
      </c>
      <c r="F367" s="49">
        <f t="shared" si="47"/>
        <v>0</v>
      </c>
      <c r="G367" s="49">
        <f t="shared" si="47"/>
        <v>0</v>
      </c>
      <c r="H367" s="49">
        <f t="shared" si="47"/>
        <v>0</v>
      </c>
      <c r="I367" s="49">
        <f t="shared" si="47"/>
        <v>0</v>
      </c>
      <c r="J367" s="27"/>
      <c r="K367" s="41"/>
    </row>
    <row r="368" spans="1:11" x14ac:dyDescent="0.25">
      <c r="B368" s="26"/>
      <c r="C368" s="41"/>
      <c r="D368" s="48"/>
      <c r="E368" s="48"/>
      <c r="F368" s="48"/>
      <c r="G368" s="48"/>
      <c r="H368" s="48"/>
      <c r="I368" s="48"/>
      <c r="J368" s="27"/>
      <c r="K368" s="41"/>
    </row>
    <row r="369" spans="1:11" ht="18.75" x14ac:dyDescent="0.3">
      <c r="A369" s="56" t="s">
        <v>36</v>
      </c>
      <c r="C369" s="41"/>
      <c r="D369" s="2">
        <f>D363</f>
        <v>2013</v>
      </c>
      <c r="E369" s="2">
        <f>D369+1</f>
        <v>2014</v>
      </c>
      <c r="F369" s="2">
        <f>E369+1</f>
        <v>2015</v>
      </c>
      <c r="G369" s="2">
        <f>F369+1</f>
        <v>2016</v>
      </c>
      <c r="H369" s="2">
        <f>G369+1</f>
        <v>2017</v>
      </c>
      <c r="I369" s="2">
        <f>H369+1</f>
        <v>2018</v>
      </c>
      <c r="J369" s="27"/>
      <c r="K369" s="41"/>
    </row>
    <row r="370" spans="1:11" x14ac:dyDescent="0.25">
      <c r="B370" s="100" t="s">
        <v>25</v>
      </c>
      <c r="C370" s="89"/>
      <c r="D370" s="65">
        <f>IF( $E11 = "Eligible", D367 * 'Facility Detail'!$B$601, 0 )</f>
        <v>0</v>
      </c>
      <c r="E370" s="13">
        <f>IF( $E11 = "Eligible", E367 * 'Facility Detail'!$B$601, 0 )</f>
        <v>0</v>
      </c>
      <c r="F370" s="14">
        <f>IF( $E11 = "Eligible", F367 * 'Facility Detail'!$B$601, 0 )</f>
        <v>0</v>
      </c>
      <c r="G370" s="14">
        <f>IF( $E11 = "Eligible", G367 * 'Facility Detail'!$B$601, 0 )</f>
        <v>0</v>
      </c>
      <c r="H370" s="14">
        <f>IF( $E11 = "Eligible", H367 * 'Facility Detail'!$B$601, 0 )</f>
        <v>0</v>
      </c>
      <c r="I370" s="14">
        <f>IF( $E11 = "Eligible", I367 * 'Facility Detail'!$B$601, 0 )</f>
        <v>0</v>
      </c>
      <c r="J370" s="27"/>
      <c r="K370" s="41"/>
    </row>
    <row r="371" spans="1:11" x14ac:dyDescent="0.25">
      <c r="B371" s="100" t="s">
        <v>6</v>
      </c>
      <c r="C371" s="89"/>
      <c r="D371" s="66">
        <f t="shared" ref="D371:I371" si="48">IF( $F11 = "Eligible", D367, 0 )</f>
        <v>0</v>
      </c>
      <c r="E371" s="67">
        <f t="shared" si="48"/>
        <v>0</v>
      </c>
      <c r="F371" s="68">
        <f t="shared" si="48"/>
        <v>0</v>
      </c>
      <c r="G371" s="68">
        <f t="shared" si="48"/>
        <v>0</v>
      </c>
      <c r="H371" s="68">
        <f t="shared" si="48"/>
        <v>0</v>
      </c>
      <c r="I371" s="68">
        <f t="shared" si="48"/>
        <v>0</v>
      </c>
      <c r="J371" s="27"/>
      <c r="K371" s="41"/>
    </row>
    <row r="372" spans="1:11" x14ac:dyDescent="0.25">
      <c r="B372" s="99" t="s">
        <v>45</v>
      </c>
      <c r="C372" s="98"/>
      <c r="D372" s="51">
        <f t="shared" ref="D372:I372" si="49">SUM(D370:D371)</f>
        <v>0</v>
      </c>
      <c r="E372" s="52">
        <f t="shared" si="49"/>
        <v>0</v>
      </c>
      <c r="F372" s="52">
        <f t="shared" si="49"/>
        <v>0</v>
      </c>
      <c r="G372" s="52">
        <f t="shared" si="49"/>
        <v>0</v>
      </c>
      <c r="H372" s="52">
        <f t="shared" si="49"/>
        <v>0</v>
      </c>
      <c r="I372" s="52">
        <f t="shared" si="49"/>
        <v>0</v>
      </c>
      <c r="J372" s="27"/>
      <c r="K372" s="41"/>
    </row>
    <row r="373" spans="1:11" x14ac:dyDescent="0.25">
      <c r="B373" s="41"/>
      <c r="C373" s="41"/>
      <c r="D373" s="50"/>
      <c r="E373" s="42"/>
      <c r="F373" s="42"/>
      <c r="G373" s="42"/>
      <c r="H373" s="42"/>
      <c r="I373" s="42"/>
      <c r="J373" s="27"/>
      <c r="K373" s="41"/>
    </row>
    <row r="374" spans="1:11" ht="18.75" x14ac:dyDescent="0.3">
      <c r="A374" s="53" t="s">
        <v>43</v>
      </c>
      <c r="C374" s="41"/>
      <c r="D374" s="2">
        <f>D363</f>
        <v>2013</v>
      </c>
      <c r="E374" s="2">
        <f>D374+1</f>
        <v>2014</v>
      </c>
      <c r="F374" s="2">
        <f>E374+1</f>
        <v>2015</v>
      </c>
      <c r="G374" s="2">
        <f>F374+1</f>
        <v>2016</v>
      </c>
      <c r="H374" s="2">
        <f>G374+1</f>
        <v>2017</v>
      </c>
      <c r="I374" s="2">
        <f>H374+1</f>
        <v>2018</v>
      </c>
      <c r="J374" s="27"/>
      <c r="K374" s="41"/>
    </row>
    <row r="375" spans="1:11" x14ac:dyDescent="0.25">
      <c r="B375" s="100" t="s">
        <v>47</v>
      </c>
      <c r="C375" s="89"/>
      <c r="D375" s="108"/>
      <c r="E375" s="109"/>
      <c r="F375" s="110"/>
      <c r="G375" s="110"/>
      <c r="H375" s="110"/>
      <c r="I375" s="110"/>
      <c r="J375" s="27"/>
      <c r="K375" s="41"/>
    </row>
    <row r="376" spans="1:11" x14ac:dyDescent="0.25">
      <c r="B376" s="101" t="s">
        <v>35</v>
      </c>
      <c r="C376" s="102"/>
      <c r="D376" s="111"/>
      <c r="E376" s="112"/>
      <c r="F376" s="113"/>
      <c r="G376" s="113"/>
      <c r="H376" s="113"/>
      <c r="I376" s="113"/>
      <c r="J376" s="27"/>
      <c r="K376" s="41"/>
    </row>
    <row r="377" spans="1:11" x14ac:dyDescent="0.25">
      <c r="B377" s="114" t="s">
        <v>49</v>
      </c>
      <c r="C377" s="106"/>
      <c r="D377" s="72"/>
      <c r="E377" s="73"/>
      <c r="F377" s="74"/>
      <c r="G377" s="74"/>
      <c r="H377" s="74"/>
      <c r="I377" s="74"/>
      <c r="J377" s="27"/>
      <c r="K377" s="41"/>
    </row>
    <row r="378" spans="1:11" x14ac:dyDescent="0.25">
      <c r="B378" s="44" t="s">
        <v>50</v>
      </c>
      <c r="D378" s="7">
        <f t="shared" ref="D378:I378" si="50">SUM(D375:D377)</f>
        <v>0</v>
      </c>
      <c r="E378" s="7">
        <f t="shared" si="50"/>
        <v>0</v>
      </c>
      <c r="F378" s="7">
        <f t="shared" si="50"/>
        <v>0</v>
      </c>
      <c r="G378" s="7">
        <f t="shared" si="50"/>
        <v>0</v>
      </c>
      <c r="H378" s="7">
        <f t="shared" si="50"/>
        <v>0</v>
      </c>
      <c r="I378" s="7">
        <f t="shared" si="50"/>
        <v>0</v>
      </c>
      <c r="J378" s="39"/>
      <c r="K378" s="41"/>
    </row>
    <row r="379" spans="1:11" x14ac:dyDescent="0.25">
      <c r="B379" s="6"/>
      <c r="D379" s="7"/>
      <c r="E379" s="7"/>
      <c r="F379" s="7"/>
      <c r="G379" s="7"/>
      <c r="H379" s="7"/>
      <c r="I379" s="7"/>
      <c r="J379" s="39"/>
      <c r="K379" s="41"/>
    </row>
    <row r="380" spans="1:11" ht="18.75" x14ac:dyDescent="0.3">
      <c r="A380" s="9" t="s">
        <v>51</v>
      </c>
      <c r="D380" s="2">
        <f>D363</f>
        <v>2013</v>
      </c>
      <c r="E380" s="2">
        <f>D380+1</f>
        <v>2014</v>
      </c>
      <c r="F380" s="2">
        <f>E380+1</f>
        <v>2015</v>
      </c>
      <c r="G380" s="2">
        <f>F380+1</f>
        <v>2016</v>
      </c>
      <c r="H380" s="2">
        <f>G380+1</f>
        <v>2017</v>
      </c>
      <c r="I380" s="2">
        <f>H380+1</f>
        <v>2018</v>
      </c>
      <c r="J380" s="39"/>
      <c r="K380" s="41"/>
    </row>
    <row r="381" spans="1:11" x14ac:dyDescent="0.25">
      <c r="B381" s="100" t="str">
        <f xml:space="preserve"> 'Facility Detail'!$B$604 &amp; " Surplus Applied to " &amp; ( 'Facility Detail'!$B$604 + 1 )</f>
        <v>2013 Surplus Applied to 2014</v>
      </c>
      <c r="C381" s="89"/>
      <c r="D381" s="3"/>
      <c r="E381" s="75">
        <f>D381</f>
        <v>0</v>
      </c>
      <c r="F381" s="156"/>
      <c r="G381" s="77"/>
      <c r="H381" s="77"/>
      <c r="I381" s="77"/>
      <c r="J381" s="39"/>
      <c r="K381" s="41"/>
    </row>
    <row r="382" spans="1:11" x14ac:dyDescent="0.25">
      <c r="B382" s="100" t="str">
        <f xml:space="preserve"> ( 'Facility Detail'!$B$604 + 1 ) &amp; " Surplus Applied to " &amp; ( 'Facility Detail'!$B$604 )</f>
        <v>2014 Surplus Applied to 2013</v>
      </c>
      <c r="C382" s="89"/>
      <c r="D382" s="157">
        <f>E382</f>
        <v>0</v>
      </c>
      <c r="E382" s="10"/>
      <c r="F382" s="94"/>
      <c r="G382" s="93"/>
      <c r="H382" s="93"/>
      <c r="I382" s="93"/>
      <c r="J382" s="39"/>
      <c r="K382" s="41"/>
    </row>
    <row r="383" spans="1:11" x14ac:dyDescent="0.25">
      <c r="B383" s="100" t="str">
        <f xml:space="preserve"> ( 'Facility Detail'!$B$604 + 1 ) &amp; " Surplus Applied to " &amp; ( 'Facility Detail'!$B$604 + 2 )</f>
        <v>2014 Surplus Applied to 2015</v>
      </c>
      <c r="C383" s="89"/>
      <c r="D383" s="78"/>
      <c r="E383" s="10"/>
      <c r="F383" s="88">
        <f>E383</f>
        <v>0</v>
      </c>
      <c r="G383" s="93"/>
      <c r="H383" s="93"/>
      <c r="I383" s="93"/>
      <c r="J383" s="39"/>
      <c r="K383" s="41"/>
    </row>
    <row r="384" spans="1:11" x14ac:dyDescent="0.25">
      <c r="B384" s="100" t="str">
        <f xml:space="preserve"> ( 'Facility Detail'!$B$604 + 2 ) &amp; " Surplus Applied to " &amp; ( 'Facility Detail'!$B$604 + 1 )</f>
        <v>2015 Surplus Applied to 2014</v>
      </c>
      <c r="C384" s="89"/>
      <c r="D384" s="78"/>
      <c r="E384" s="88">
        <f>F384</f>
        <v>0</v>
      </c>
      <c r="F384" s="10"/>
      <c r="G384" s="93"/>
      <c r="H384" s="93"/>
      <c r="I384" s="93"/>
      <c r="J384" s="39"/>
      <c r="K384" s="41"/>
    </row>
    <row r="385" spans="1:11" x14ac:dyDescent="0.25">
      <c r="B385" s="100" t="str">
        <f xml:space="preserve"> ( 'Facility Detail'!$B$604 + 2 ) &amp; " Surplus Applied to " &amp; ( 'Facility Detail'!$B$604 + 3 )</f>
        <v>2015 Surplus Applied to 2016</v>
      </c>
      <c r="C385" s="41"/>
      <c r="D385" s="78"/>
      <c r="E385" s="94"/>
      <c r="F385" s="10"/>
      <c r="G385" s="158">
        <f>F385</f>
        <v>0</v>
      </c>
      <c r="H385" s="158">
        <f>G385</f>
        <v>0</v>
      </c>
      <c r="I385" s="158">
        <f>H385</f>
        <v>0</v>
      </c>
      <c r="J385" s="39"/>
      <c r="K385" s="41"/>
    </row>
    <row r="386" spans="1:11" x14ac:dyDescent="0.25">
      <c r="B386" s="100" t="str">
        <f xml:space="preserve"> ( 'Facility Detail'!$B$604 +3 ) &amp; " Surplus Applied to " &amp; ( 'Facility Detail'!$B$604 + 2 )</f>
        <v>2016 Surplus Applied to 2015</v>
      </c>
      <c r="C386" s="41"/>
      <c r="D386" s="79"/>
      <c r="E386" s="95"/>
      <c r="F386" s="76">
        <f>G386</f>
        <v>0</v>
      </c>
      <c r="G386" s="159"/>
      <c r="H386" s="159"/>
      <c r="I386" s="159"/>
      <c r="J386" s="39"/>
      <c r="K386" s="41"/>
    </row>
    <row r="387" spans="1:11" x14ac:dyDescent="0.25">
      <c r="B387" s="100" t="str">
        <f xml:space="preserve"> ( 'Facility Detail'!$B$604 +3 ) &amp; " Surplus Applied to " &amp; ( 'Facility Detail'!$B$604 + 4 )</f>
        <v>2016 Surplus Applied to 2017</v>
      </c>
      <c r="C387" s="41"/>
      <c r="D387" s="164"/>
      <c r="E387" s="164"/>
      <c r="F387" s="27"/>
      <c r="G387" s="165"/>
      <c r="H387" s="165"/>
      <c r="I387" s="165"/>
      <c r="J387" s="39"/>
      <c r="K387" s="41"/>
    </row>
    <row r="388" spans="1:11" x14ac:dyDescent="0.25">
      <c r="B388" s="44" t="s">
        <v>31</v>
      </c>
      <c r="D388" s="7">
        <f xml:space="preserve"> D382 - D381</f>
        <v>0</v>
      </c>
      <c r="E388" s="7">
        <f xml:space="preserve"> E381 + E384 - E383 - E382</f>
        <v>0</v>
      </c>
      <c r="F388" s="7">
        <f>F383+F386-F384-F385</f>
        <v>0</v>
      </c>
      <c r="G388" s="7">
        <f>G385-G386</f>
        <v>0</v>
      </c>
      <c r="H388" s="7">
        <f>H385-H386</f>
        <v>0</v>
      </c>
      <c r="I388" s="7">
        <f>I385-I386</f>
        <v>0</v>
      </c>
      <c r="J388" s="39"/>
      <c r="K388" s="41"/>
    </row>
    <row r="389" spans="1:11" x14ac:dyDescent="0.25">
      <c r="B389" s="6"/>
      <c r="D389" s="7"/>
      <c r="E389" s="7"/>
      <c r="F389" s="7"/>
      <c r="G389" s="7"/>
      <c r="H389" s="7"/>
      <c r="I389" s="7"/>
      <c r="J389" s="39"/>
      <c r="K389" s="41"/>
    </row>
    <row r="390" spans="1:11" x14ac:dyDescent="0.25">
      <c r="B390" s="107" t="s">
        <v>27</v>
      </c>
      <c r="C390" s="89"/>
      <c r="D390" s="123"/>
      <c r="E390" s="124"/>
      <c r="F390" s="125"/>
      <c r="G390" s="125"/>
      <c r="H390" s="125"/>
      <c r="I390" s="125"/>
      <c r="J390" s="39"/>
      <c r="K390" s="41"/>
    </row>
    <row r="391" spans="1:11" x14ac:dyDescent="0.25">
      <c r="B391" s="6"/>
      <c r="D391" s="7"/>
      <c r="E391" s="7"/>
      <c r="F391" s="7"/>
      <c r="G391" s="7"/>
      <c r="H391" s="7"/>
      <c r="I391" s="7"/>
      <c r="J391" s="39"/>
      <c r="K391" s="41"/>
    </row>
    <row r="392" spans="1:11" ht="15.75" x14ac:dyDescent="0.25">
      <c r="A392" s="103" t="s">
        <v>39</v>
      </c>
      <c r="C392" s="89"/>
      <c r="D392" s="57">
        <f t="shared" ref="D392:I392" si="51" xml:space="preserve"> D367 + D372 - D378 + D388 + D390</f>
        <v>22206</v>
      </c>
      <c r="E392" s="58">
        <f t="shared" si="51"/>
        <v>0</v>
      </c>
      <c r="F392" s="59">
        <f t="shared" si="51"/>
        <v>0</v>
      </c>
      <c r="G392" s="59">
        <f t="shared" si="51"/>
        <v>0</v>
      </c>
      <c r="H392" s="59">
        <f t="shared" si="51"/>
        <v>0</v>
      </c>
      <c r="I392" s="59">
        <f t="shared" si="51"/>
        <v>0</v>
      </c>
      <c r="J392" s="39"/>
      <c r="K392" s="41"/>
    </row>
    <row r="393" spans="1:11" x14ac:dyDescent="0.25">
      <c r="B393" s="6"/>
      <c r="D393" s="7"/>
      <c r="E393" s="7"/>
      <c r="F393" s="7"/>
      <c r="G393" s="39"/>
      <c r="H393" s="39"/>
      <c r="I393" s="39"/>
      <c r="J393" s="39"/>
      <c r="K393" s="41"/>
    </row>
    <row r="394" spans="1:11" ht="50.25" customHeight="1" thickBot="1" x14ac:dyDescent="0.3">
      <c r="A394" s="184" t="s">
        <v>109</v>
      </c>
      <c r="B394" s="184"/>
      <c r="C394" s="184"/>
      <c r="D394" s="184"/>
      <c r="E394" s="184"/>
      <c r="F394" s="184"/>
      <c r="J394" s="41"/>
      <c r="K394" s="41"/>
    </row>
    <row r="395" spans="1:11" x14ac:dyDescent="0.25">
      <c r="A395" s="8"/>
      <c r="B395" s="8"/>
      <c r="C395" s="8"/>
      <c r="D395" s="8"/>
      <c r="E395" s="8"/>
      <c r="F395" s="8"/>
      <c r="G395" s="8"/>
      <c r="H395" s="8"/>
      <c r="I395" s="8"/>
      <c r="J395" s="41"/>
      <c r="K395" s="41"/>
    </row>
    <row r="396" spans="1:11" x14ac:dyDescent="0.25">
      <c r="B396" s="41"/>
      <c r="C396" s="41"/>
      <c r="D396" s="41"/>
      <c r="E396" s="41"/>
      <c r="F396" s="41"/>
      <c r="G396" s="41"/>
      <c r="H396" s="41"/>
      <c r="I396" s="41"/>
      <c r="J396" s="41"/>
      <c r="K396" s="41"/>
    </row>
    <row r="397" spans="1:11" ht="21" x14ac:dyDescent="0.35">
      <c r="A397" s="16" t="s">
        <v>4</v>
      </c>
      <c r="B397" s="16"/>
      <c r="C397" s="54" t="str">
        <f>B12</f>
        <v>Palouse Wind</v>
      </c>
      <c r="D397" s="55"/>
      <c r="E397" s="26"/>
      <c r="F397" s="26"/>
      <c r="J397" s="41"/>
      <c r="K397" s="41"/>
    </row>
    <row r="398" spans="1:11" x14ac:dyDescent="0.25">
      <c r="J398" s="41"/>
      <c r="K398" s="41"/>
    </row>
    <row r="399" spans="1:11" ht="18.75" x14ac:dyDescent="0.3">
      <c r="A399" s="9" t="s">
        <v>33</v>
      </c>
      <c r="B399" s="9"/>
      <c r="D399" s="2">
        <v>2013</v>
      </c>
      <c r="E399" s="2">
        <f>D399+1</f>
        <v>2014</v>
      </c>
      <c r="F399" s="2">
        <f>E399+1</f>
        <v>2015</v>
      </c>
      <c r="G399" s="2">
        <f>F399+1</f>
        <v>2016</v>
      </c>
      <c r="H399" s="2">
        <f>G399+1</f>
        <v>2017</v>
      </c>
      <c r="I399" s="2">
        <f>H399+1</f>
        <v>2018</v>
      </c>
      <c r="J399" s="28"/>
      <c r="K399" s="41"/>
    </row>
    <row r="400" spans="1:11" x14ac:dyDescent="0.25">
      <c r="B400" s="100" t="str">
        <f>"Total MWh Produced / Purchased from " &amp; C397</f>
        <v>Total MWh Produced / Purchased from Palouse Wind</v>
      </c>
      <c r="C400" s="89"/>
      <c r="D400" s="3">
        <v>297027</v>
      </c>
      <c r="E400" s="4">
        <v>335291</v>
      </c>
      <c r="F400" s="5">
        <v>293563</v>
      </c>
      <c r="G400" s="5">
        <v>349771</v>
      </c>
      <c r="H400" s="5">
        <v>315430</v>
      </c>
      <c r="I400" s="5">
        <v>315430</v>
      </c>
      <c r="J400" s="27"/>
      <c r="K400" s="41"/>
    </row>
    <row r="401" spans="1:11" x14ac:dyDescent="0.25">
      <c r="B401" s="100" t="s">
        <v>38</v>
      </c>
      <c r="C401" s="89"/>
      <c r="D401" s="69">
        <v>1</v>
      </c>
      <c r="E401" s="70">
        <v>1</v>
      </c>
      <c r="F401" s="71">
        <v>1</v>
      </c>
      <c r="G401" s="71">
        <v>1</v>
      </c>
      <c r="H401" s="71">
        <v>1</v>
      </c>
      <c r="I401" s="71">
        <v>1</v>
      </c>
      <c r="J401" s="27"/>
      <c r="K401" s="41"/>
    </row>
    <row r="402" spans="1:11" x14ac:dyDescent="0.25">
      <c r="B402" s="100" t="s">
        <v>32</v>
      </c>
      <c r="C402" s="89"/>
      <c r="D402" s="62">
        <v>1</v>
      </c>
      <c r="E402" s="63">
        <v>1</v>
      </c>
      <c r="F402" s="64">
        <v>1</v>
      </c>
      <c r="G402" s="64">
        <v>1</v>
      </c>
      <c r="H402" s="64">
        <v>1</v>
      </c>
      <c r="I402" s="64">
        <v>1</v>
      </c>
      <c r="J402" s="27"/>
      <c r="K402" s="41"/>
    </row>
    <row r="403" spans="1:11" x14ac:dyDescent="0.25">
      <c r="B403" s="97" t="s">
        <v>34</v>
      </c>
      <c r="C403" s="98"/>
      <c r="D403" s="49">
        <f t="shared" ref="D403:I403" si="52" xml:space="preserve"> D400 * D401 * D402</f>
        <v>297027</v>
      </c>
      <c r="E403" s="49">
        <f t="shared" si="52"/>
        <v>335291</v>
      </c>
      <c r="F403" s="49">
        <f t="shared" si="52"/>
        <v>293563</v>
      </c>
      <c r="G403" s="49">
        <f t="shared" si="52"/>
        <v>349771</v>
      </c>
      <c r="H403" s="49">
        <f t="shared" si="52"/>
        <v>315430</v>
      </c>
      <c r="I403" s="49">
        <f t="shared" si="52"/>
        <v>315430</v>
      </c>
      <c r="J403" s="27">
        <f>H403+H408</f>
        <v>378516</v>
      </c>
      <c r="K403" s="41"/>
    </row>
    <row r="404" spans="1:11" x14ac:dyDescent="0.25">
      <c r="B404" s="26"/>
      <c r="C404" s="41"/>
      <c r="D404" s="48"/>
      <c r="E404" s="48"/>
      <c r="F404" s="48"/>
      <c r="G404" s="48"/>
      <c r="H404" s="48"/>
      <c r="I404" s="48"/>
      <c r="J404" s="27"/>
      <c r="K404" s="41"/>
    </row>
    <row r="405" spans="1:11" ht="18.75" x14ac:dyDescent="0.3">
      <c r="A405" s="56" t="s">
        <v>36</v>
      </c>
      <c r="C405" s="41"/>
      <c r="D405" s="2">
        <f>D399</f>
        <v>2013</v>
      </c>
      <c r="E405" s="2">
        <f>D405+1</f>
        <v>2014</v>
      </c>
      <c r="F405" s="2">
        <f>E405+1</f>
        <v>2015</v>
      </c>
      <c r="G405" s="2">
        <f>F405+1</f>
        <v>2016</v>
      </c>
      <c r="H405" s="2">
        <f>G405+1</f>
        <v>2017</v>
      </c>
      <c r="I405" s="2">
        <f>H405+1</f>
        <v>2018</v>
      </c>
      <c r="J405" s="27"/>
      <c r="K405" s="41"/>
    </row>
    <row r="406" spans="1:11" x14ac:dyDescent="0.25">
      <c r="B406" s="100" t="s">
        <v>25</v>
      </c>
      <c r="C406" s="89"/>
      <c r="D406" s="65">
        <f>IF( $E12 = "Eligible", D403 * 'Facility Detail'!$B$601, 0 )</f>
        <v>59405.4</v>
      </c>
      <c r="E406" s="65">
        <f>IF( $E12 = "Eligible", E403 * 'Facility Detail'!$B$601, 0 )</f>
        <v>67058.2</v>
      </c>
      <c r="F406" s="65">
        <f>IF( $E12 = "Eligible", F403 * 'Facility Detail'!$B$601, 0 )</f>
        <v>58712.600000000006</v>
      </c>
      <c r="G406" s="172">
        <f>ROUND(IF( $E12 = "Eligible", G403 * 'Facility Detail'!$B$601, 0 ),0)</f>
        <v>69954</v>
      </c>
      <c r="H406" s="172">
        <f>ROUND(IF( $E12 = "Eligible", H403 * 'Facility Detail'!$B$601, 0 ),0)</f>
        <v>63086</v>
      </c>
      <c r="I406" s="172">
        <f>ROUND(IF( $E12 = "Eligible", I403 * 'Facility Detail'!$B$601, 0 ),0)</f>
        <v>63086</v>
      </c>
      <c r="J406" s="27"/>
      <c r="K406" s="41"/>
    </row>
    <row r="407" spans="1:11" x14ac:dyDescent="0.25">
      <c r="B407" s="100" t="s">
        <v>6</v>
      </c>
      <c r="C407" s="89"/>
      <c r="D407" s="66">
        <f t="shared" ref="D407:I407" si="53">IF( $F12 = "Eligible", D403, 0 )</f>
        <v>0</v>
      </c>
      <c r="E407" s="67">
        <f t="shared" si="53"/>
        <v>0</v>
      </c>
      <c r="F407" s="68">
        <f t="shared" si="53"/>
        <v>0</v>
      </c>
      <c r="G407" s="68">
        <f t="shared" si="53"/>
        <v>0</v>
      </c>
      <c r="H407" s="68">
        <f t="shared" si="53"/>
        <v>0</v>
      </c>
      <c r="I407" s="68">
        <f t="shared" si="53"/>
        <v>0</v>
      </c>
      <c r="J407" s="27"/>
      <c r="K407" s="41"/>
    </row>
    <row r="408" spans="1:11" x14ac:dyDescent="0.25">
      <c r="B408" s="99" t="s">
        <v>45</v>
      </c>
      <c r="C408" s="98"/>
      <c r="D408" s="51">
        <f t="shared" ref="D408:I408" si="54">SUM(D406:D407)</f>
        <v>59405.4</v>
      </c>
      <c r="E408" s="52">
        <f t="shared" si="54"/>
        <v>67058.2</v>
      </c>
      <c r="F408" s="52">
        <f t="shared" si="54"/>
        <v>58712.600000000006</v>
      </c>
      <c r="G408" s="52">
        <f t="shared" si="54"/>
        <v>69954</v>
      </c>
      <c r="H408" s="52">
        <f t="shared" si="54"/>
        <v>63086</v>
      </c>
      <c r="I408" s="52">
        <f t="shared" si="54"/>
        <v>63086</v>
      </c>
      <c r="J408" s="27"/>
      <c r="K408" s="41"/>
    </row>
    <row r="409" spans="1:11" x14ac:dyDescent="0.25">
      <c r="B409" s="41"/>
      <c r="C409" s="41"/>
      <c r="D409" s="50"/>
      <c r="E409" s="42"/>
      <c r="F409" s="42"/>
      <c r="G409" s="42"/>
      <c r="H409" s="42"/>
      <c r="I409" s="42"/>
      <c r="J409" s="27"/>
      <c r="K409" s="41"/>
    </row>
    <row r="410" spans="1:11" ht="18.75" x14ac:dyDescent="0.3">
      <c r="A410" s="53" t="s">
        <v>43</v>
      </c>
      <c r="C410" s="41"/>
      <c r="D410" s="2">
        <f>D399</f>
        <v>2013</v>
      </c>
      <c r="E410" s="2">
        <f>D410+1</f>
        <v>2014</v>
      </c>
      <c r="F410" s="2">
        <f>E410+1</f>
        <v>2015</v>
      </c>
      <c r="G410" s="2">
        <f>F410+1</f>
        <v>2016</v>
      </c>
      <c r="H410" s="2">
        <f>G410+1</f>
        <v>2017</v>
      </c>
      <c r="I410" s="2">
        <f>H410+1</f>
        <v>2018</v>
      </c>
      <c r="J410" s="27"/>
      <c r="K410" s="41"/>
    </row>
    <row r="411" spans="1:11" x14ac:dyDescent="0.25">
      <c r="B411" s="100" t="s">
        <v>47</v>
      </c>
      <c r="C411" s="89"/>
      <c r="D411" s="108">
        <v>-61450</v>
      </c>
      <c r="E411" s="109">
        <v>-297027</v>
      </c>
      <c r="F411" s="110">
        <v>-293563</v>
      </c>
      <c r="G411" s="110">
        <v>-254068</v>
      </c>
      <c r="H411" s="110">
        <v>-40549</v>
      </c>
      <c r="I411" s="110">
        <v>0</v>
      </c>
      <c r="J411" s="27"/>
      <c r="K411" s="41"/>
    </row>
    <row r="412" spans="1:11" x14ac:dyDescent="0.25">
      <c r="B412" s="101" t="s">
        <v>35</v>
      </c>
      <c r="C412" s="102"/>
      <c r="D412" s="111">
        <v>0</v>
      </c>
      <c r="E412" s="112">
        <v>0</v>
      </c>
      <c r="F412" s="113">
        <v>0</v>
      </c>
      <c r="G412" s="113">
        <v>0</v>
      </c>
      <c r="H412" s="113">
        <v>0</v>
      </c>
      <c r="I412" s="113">
        <v>0</v>
      </c>
      <c r="J412" s="27"/>
      <c r="K412" s="41"/>
    </row>
    <row r="413" spans="1:11" x14ac:dyDescent="0.25">
      <c r="B413" s="114" t="s">
        <v>49</v>
      </c>
      <c r="C413" s="106"/>
      <c r="D413" s="72">
        <v>-12290</v>
      </c>
      <c r="E413" s="73">
        <v>-59405</v>
      </c>
      <c r="F413" s="74">
        <f>0.2*F411</f>
        <v>-58712.600000000006</v>
      </c>
      <c r="G413" s="74">
        <f>ROUND(0.2*G411,0)</f>
        <v>-50814</v>
      </c>
      <c r="H413" s="74">
        <f t="shared" ref="H413:I413" si="55">ROUND(0.2*H411,0)</f>
        <v>-8110</v>
      </c>
      <c r="I413" s="74">
        <f t="shared" si="55"/>
        <v>0</v>
      </c>
      <c r="J413" s="27"/>
      <c r="K413" s="41"/>
    </row>
    <row r="414" spans="1:11" x14ac:dyDescent="0.25">
      <c r="B414" s="44" t="s">
        <v>50</v>
      </c>
      <c r="D414" s="7">
        <f t="shared" ref="D414:I414" si="56">SUM(D411:D413)</f>
        <v>-73740</v>
      </c>
      <c r="E414" s="7">
        <f t="shared" si="56"/>
        <v>-356432</v>
      </c>
      <c r="F414" s="7">
        <f t="shared" si="56"/>
        <v>-352275.6</v>
      </c>
      <c r="G414" s="7">
        <f t="shared" si="56"/>
        <v>-304882</v>
      </c>
      <c r="H414" s="7">
        <f t="shared" si="56"/>
        <v>-48659</v>
      </c>
      <c r="I414" s="7">
        <f t="shared" si="56"/>
        <v>0</v>
      </c>
      <c r="J414" s="39"/>
      <c r="K414" s="41"/>
    </row>
    <row r="415" spans="1:11" x14ac:dyDescent="0.25">
      <c r="B415" s="6"/>
      <c r="D415" s="7"/>
      <c r="E415" s="7"/>
      <c r="F415" s="7"/>
      <c r="G415" s="7"/>
      <c r="H415" s="7"/>
      <c r="I415" s="7"/>
      <c r="J415" s="39"/>
      <c r="K415" s="41"/>
    </row>
    <row r="416" spans="1:11" ht="18.75" x14ac:dyDescent="0.3">
      <c r="A416" s="9" t="s">
        <v>51</v>
      </c>
      <c r="D416" s="2">
        <f>D399</f>
        <v>2013</v>
      </c>
      <c r="E416" s="2">
        <f>D416+1</f>
        <v>2014</v>
      </c>
      <c r="F416" s="2">
        <f>E416+1</f>
        <v>2015</v>
      </c>
      <c r="G416" s="2">
        <f>F416+1</f>
        <v>2016</v>
      </c>
      <c r="H416" s="2">
        <f>G416+1</f>
        <v>2017</v>
      </c>
      <c r="I416" s="2">
        <f>H416+1</f>
        <v>2018</v>
      </c>
      <c r="J416" s="39"/>
      <c r="K416" s="41"/>
    </row>
    <row r="417" spans="1:11" x14ac:dyDescent="0.25">
      <c r="B417" s="100" t="str">
        <f xml:space="preserve"> 'Facility Detail'!$B$604 &amp; " Surplus Applied to " &amp; ( 'Facility Detail'!$B$604 + 1 )</f>
        <v>2013 Surplus Applied to 2014</v>
      </c>
      <c r="C417" s="89"/>
      <c r="D417" s="3"/>
      <c r="E417" s="75">
        <f>D417</f>
        <v>0</v>
      </c>
      <c r="F417" s="156"/>
      <c r="G417" s="77"/>
      <c r="H417" s="77"/>
      <c r="I417" s="77"/>
      <c r="J417" s="39"/>
      <c r="K417" s="41"/>
    </row>
    <row r="418" spans="1:11" x14ac:dyDescent="0.25">
      <c r="B418" s="100" t="str">
        <f xml:space="preserve"> ( 'Facility Detail'!$B$604 + 1 ) &amp; " Surplus Applied to " &amp; ( 'Facility Detail'!$B$604 )</f>
        <v>2014 Surplus Applied to 2013</v>
      </c>
      <c r="C418" s="89"/>
      <c r="D418" s="157">
        <f>E418</f>
        <v>0</v>
      </c>
      <c r="E418" s="10"/>
      <c r="F418" s="94"/>
      <c r="G418" s="93"/>
      <c r="H418" s="93"/>
      <c r="I418" s="93"/>
      <c r="J418" s="39"/>
      <c r="K418" s="41"/>
    </row>
    <row r="419" spans="1:11" x14ac:dyDescent="0.25">
      <c r="B419" s="100" t="str">
        <f xml:space="preserve"> ( 'Facility Detail'!$B$604 + 1 ) &amp; " Surplus Applied to " &amp; ( 'Facility Detail'!$B$604 + 2 )</f>
        <v>2014 Surplus Applied to 2015</v>
      </c>
      <c r="C419" s="89"/>
      <c r="D419" s="78"/>
      <c r="E419" s="10"/>
      <c r="F419" s="88">
        <f>E419</f>
        <v>0</v>
      </c>
      <c r="G419" s="93"/>
      <c r="H419" s="93"/>
      <c r="I419" s="93"/>
      <c r="J419" s="39"/>
      <c r="K419" s="41"/>
    </row>
    <row r="420" spans="1:11" x14ac:dyDescent="0.25">
      <c r="B420" s="100" t="str">
        <f xml:space="preserve"> ( 'Facility Detail'!$B$604 + 2 ) &amp; " Surplus Applied to " &amp; ( 'Facility Detail'!$B$604 + 1 )</f>
        <v>2015 Surplus Applied to 2014</v>
      </c>
      <c r="C420" s="89"/>
      <c r="D420" s="78"/>
      <c r="E420" s="88">
        <f>F420</f>
        <v>0</v>
      </c>
      <c r="F420" s="10"/>
      <c r="G420" s="93"/>
      <c r="H420" s="93"/>
      <c r="I420" s="93"/>
      <c r="J420" s="39"/>
      <c r="K420" s="41"/>
    </row>
    <row r="421" spans="1:11" x14ac:dyDescent="0.25">
      <c r="B421" s="100" t="str">
        <f xml:space="preserve"> ( 'Facility Detail'!$B$604 + 2 ) &amp; " Surplus Applied to " &amp; ( 'Facility Detail'!$B$604 + 3 )</f>
        <v>2015 Surplus Applied to 2016</v>
      </c>
      <c r="C421" s="41"/>
      <c r="D421" s="78"/>
      <c r="E421" s="94"/>
      <c r="F421" s="10"/>
      <c r="G421" s="170">
        <f>F421</f>
        <v>0</v>
      </c>
      <c r="H421" s="93">
        <f>G421</f>
        <v>0</v>
      </c>
      <c r="I421" s="93">
        <f>H421</f>
        <v>0</v>
      </c>
      <c r="J421" s="39"/>
      <c r="K421" s="41"/>
    </row>
    <row r="422" spans="1:11" x14ac:dyDescent="0.25">
      <c r="B422" s="100" t="str">
        <f xml:space="preserve"> ( 'Facility Detail'!$B$604 +3 ) &amp; " Surplus Applied to " &amp; ( 'Facility Detail'!$B$604 + 2 )</f>
        <v>2016 Surplus Applied to 2015</v>
      </c>
      <c r="C422" s="41"/>
      <c r="D422" s="79"/>
      <c r="E422" s="95"/>
      <c r="F422" s="76">
        <f>G422</f>
        <v>0</v>
      </c>
      <c r="G422" s="10"/>
      <c r="H422" s="93"/>
      <c r="I422" s="93"/>
      <c r="J422" s="39"/>
      <c r="K422" s="41"/>
    </row>
    <row r="423" spans="1:11" x14ac:dyDescent="0.25">
      <c r="B423" s="100" t="str">
        <f xml:space="preserve"> ( 'Facility Detail'!$B$604 +3 ) &amp; " Surplus Applied to " &amp; ( 'Facility Detail'!$B$604 + 4 )</f>
        <v>2016 Surplus Applied to 2017</v>
      </c>
      <c r="C423" s="41"/>
      <c r="D423" s="93"/>
      <c r="E423" s="93"/>
      <c r="F423" s="93"/>
      <c r="G423" s="10"/>
      <c r="H423" s="170">
        <f>G423</f>
        <v>0</v>
      </c>
      <c r="I423" s="93"/>
      <c r="J423" s="39"/>
      <c r="K423" s="41"/>
    </row>
    <row r="424" spans="1:11" x14ac:dyDescent="0.25">
      <c r="B424" s="100" t="str">
        <f xml:space="preserve"> ( 'Facility Detail'!$B$604 +4 ) &amp; " Surplus Applied to " &amp; ( 'Facility Detail'!$B$604 + 3 )</f>
        <v>2017 Surplus Applied to 2016</v>
      </c>
      <c r="C424" s="41"/>
      <c r="D424" s="93"/>
      <c r="E424" s="93"/>
      <c r="F424" s="93"/>
      <c r="G424" s="170">
        <f>H424</f>
        <v>133880</v>
      </c>
      <c r="H424" s="10">
        <v>133880</v>
      </c>
      <c r="I424" s="93"/>
      <c r="J424" s="39"/>
      <c r="K424" s="41"/>
    </row>
    <row r="425" spans="1:11" x14ac:dyDescent="0.25">
      <c r="B425" s="100" t="str">
        <f xml:space="preserve"> ( 'Facility Detail'!$B$604 +4 ) &amp; " Surplus Applied to " &amp; ( 'Facility Detail'!$B$604 + 5 )</f>
        <v>2017 Surplus Applied to 2018</v>
      </c>
      <c r="C425" s="41"/>
      <c r="D425" s="93"/>
      <c r="E425" s="93"/>
      <c r="F425" s="93"/>
      <c r="G425" s="93"/>
      <c r="H425" s="10"/>
      <c r="I425" s="170">
        <f>H425</f>
        <v>0</v>
      </c>
      <c r="J425" s="39"/>
      <c r="K425" s="41"/>
    </row>
    <row r="426" spans="1:11" x14ac:dyDescent="0.25">
      <c r="B426" s="100" t="str">
        <f xml:space="preserve"> ( 'Facility Detail'!$B$604 +5 ) &amp; " Surplus Applied to " &amp; ( 'Facility Detail'!$B$604 + 4 )</f>
        <v>2018 Surplus Applied to 2017</v>
      </c>
      <c r="C426" s="41"/>
      <c r="D426" s="93"/>
      <c r="E426" s="93"/>
      <c r="F426" s="93"/>
      <c r="G426" s="93"/>
      <c r="H426" s="170">
        <f>I426</f>
        <v>65336</v>
      </c>
      <c r="I426" s="10">
        <v>65336</v>
      </c>
      <c r="J426" s="39"/>
      <c r="K426" s="41"/>
    </row>
    <row r="427" spans="1:11" x14ac:dyDescent="0.25">
      <c r="B427" s="100" t="str">
        <f xml:space="preserve"> ( 'Facility Detail'!$B$604 + 5 ) &amp; " Surplus Applied to " &amp; ( 'Facility Detail'!$B$604 + 6 )</f>
        <v>2018 Surplus Applied to 2019</v>
      </c>
      <c r="C427" s="41"/>
      <c r="D427" s="93"/>
      <c r="E427" s="93"/>
      <c r="F427" s="93"/>
      <c r="G427" s="93"/>
      <c r="H427" s="93"/>
      <c r="I427" s="10"/>
      <c r="J427" s="39"/>
      <c r="K427" s="41"/>
    </row>
    <row r="428" spans="1:11" x14ac:dyDescent="0.25">
      <c r="B428" s="44" t="s">
        <v>31</v>
      </c>
      <c r="D428" s="7">
        <f xml:space="preserve"> D418 - D417</f>
        <v>0</v>
      </c>
      <c r="E428" s="7">
        <f xml:space="preserve"> E417 + E420 - E419 - E418</f>
        <v>0</v>
      </c>
      <c r="F428" s="7">
        <f>F419+F422-F420-F421</f>
        <v>0</v>
      </c>
      <c r="G428" s="7">
        <f>G421+G424-G422-G423</f>
        <v>133880</v>
      </c>
      <c r="H428" s="7">
        <f>H423+H426-H424-H425</f>
        <v>-68544</v>
      </c>
      <c r="I428" s="7">
        <f>I425-I426-I427</f>
        <v>-65336</v>
      </c>
      <c r="J428" s="39"/>
      <c r="K428" s="41"/>
    </row>
    <row r="429" spans="1:11" x14ac:dyDescent="0.25">
      <c r="B429" s="6"/>
      <c r="D429" s="7"/>
      <c r="E429" s="7"/>
      <c r="F429" s="7"/>
      <c r="G429" s="7"/>
      <c r="H429" s="7"/>
      <c r="I429" s="7"/>
      <c r="J429" s="39"/>
      <c r="K429" s="41"/>
    </row>
    <row r="430" spans="1:11" x14ac:dyDescent="0.25">
      <c r="B430" s="107" t="s">
        <v>27</v>
      </c>
      <c r="C430" s="89"/>
      <c r="D430" s="123"/>
      <c r="E430" s="124"/>
      <c r="F430" s="125"/>
      <c r="G430" s="125"/>
      <c r="H430" s="125"/>
      <c r="I430" s="125"/>
      <c r="J430" s="39"/>
      <c r="K430" s="41"/>
    </row>
    <row r="431" spans="1:11" x14ac:dyDescent="0.25">
      <c r="B431" s="6"/>
      <c r="D431" s="7"/>
      <c r="E431" s="7"/>
      <c r="F431" s="7"/>
      <c r="G431" s="7"/>
      <c r="H431" s="7"/>
      <c r="I431" s="7"/>
      <c r="J431" s="39"/>
      <c r="K431" s="41"/>
    </row>
    <row r="432" spans="1:11" ht="15.75" x14ac:dyDescent="0.25">
      <c r="A432" s="103" t="s">
        <v>39</v>
      </c>
      <c r="C432" s="89"/>
      <c r="D432" s="57">
        <f t="shared" ref="D432:I432" si="57" xml:space="preserve"> D403 + D408 + D414 + D428 + D430</f>
        <v>282692.40000000002</v>
      </c>
      <c r="E432" s="58">
        <f t="shared" si="57"/>
        <v>45917.200000000012</v>
      </c>
      <c r="F432" s="59">
        <f xml:space="preserve"> F403 + F408 + F414 + F428 + F430</f>
        <v>0</v>
      </c>
      <c r="G432" s="59">
        <f t="shared" si="57"/>
        <v>248723</v>
      </c>
      <c r="H432" s="59">
        <f t="shared" si="57"/>
        <v>261313</v>
      </c>
      <c r="I432" s="59">
        <f t="shared" si="57"/>
        <v>313180</v>
      </c>
      <c r="J432" s="39"/>
      <c r="K432" s="41"/>
    </row>
    <row r="433" spans="1:11" ht="50.25" customHeight="1" thickBot="1" x14ac:dyDescent="0.3">
      <c r="A433" s="184"/>
      <c r="B433" s="184"/>
      <c r="C433" s="184"/>
      <c r="D433" s="184"/>
      <c r="E433" s="184"/>
      <c r="F433" s="184"/>
      <c r="J433" s="41"/>
      <c r="K433" s="41"/>
    </row>
    <row r="434" spans="1:11" x14ac:dyDescent="0.25">
      <c r="A434" s="8"/>
      <c r="B434" s="8"/>
      <c r="C434" s="8"/>
      <c r="D434" s="8"/>
      <c r="E434" s="8"/>
      <c r="F434" s="8"/>
      <c r="G434" s="8"/>
      <c r="H434" s="8"/>
      <c r="I434" s="8"/>
      <c r="J434" s="41"/>
      <c r="K434" s="41"/>
    </row>
    <row r="435" spans="1:11" ht="21" x14ac:dyDescent="0.35">
      <c r="A435" s="16" t="s">
        <v>4</v>
      </c>
      <c r="B435" s="16"/>
      <c r="C435" s="54" t="str">
        <f>B13</f>
        <v>EWEB (Stateline) Wind REC Purchase</v>
      </c>
      <c r="D435" s="55"/>
      <c r="E435" s="26"/>
      <c r="F435" s="26"/>
      <c r="J435" s="39"/>
      <c r="K435" s="41"/>
    </row>
    <row r="436" spans="1:11" x14ac:dyDescent="0.25">
      <c r="J436" s="39"/>
      <c r="K436" s="41"/>
    </row>
    <row r="437" spans="1:11" ht="18.75" x14ac:dyDescent="0.3">
      <c r="A437" s="9" t="s">
        <v>33</v>
      </c>
      <c r="B437" s="9"/>
      <c r="D437" s="2">
        <v>2013</v>
      </c>
      <c r="E437" s="2">
        <f>D437+1</f>
        <v>2014</v>
      </c>
      <c r="F437" s="2">
        <f>E437+1</f>
        <v>2015</v>
      </c>
      <c r="G437" s="2">
        <f>F437+1</f>
        <v>2016</v>
      </c>
      <c r="H437" s="2">
        <f>G437+1</f>
        <v>2017</v>
      </c>
      <c r="I437" s="2">
        <f>H437+1</f>
        <v>2018</v>
      </c>
      <c r="J437" s="39"/>
      <c r="K437" s="41"/>
    </row>
    <row r="438" spans="1:11" x14ac:dyDescent="0.25">
      <c r="B438" s="100" t="str">
        <f>"Total MWh Produced / Purchased from " &amp; C435</f>
        <v>Total MWh Produced / Purchased from EWEB (Stateline) Wind REC Purchase</v>
      </c>
      <c r="C438" s="89"/>
      <c r="D438" s="3">
        <v>0</v>
      </c>
      <c r="E438" s="4">
        <v>0</v>
      </c>
      <c r="F438" s="5">
        <v>50000</v>
      </c>
      <c r="G438" s="5">
        <v>0</v>
      </c>
      <c r="H438" s="5">
        <v>0</v>
      </c>
      <c r="I438" s="5">
        <v>0</v>
      </c>
      <c r="J438" s="39"/>
      <c r="K438" s="41"/>
    </row>
    <row r="439" spans="1:11" x14ac:dyDescent="0.25">
      <c r="B439" s="100" t="s">
        <v>38</v>
      </c>
      <c r="C439" s="89"/>
      <c r="D439" s="69">
        <v>1</v>
      </c>
      <c r="E439" s="70">
        <v>1</v>
      </c>
      <c r="F439" s="71">
        <v>1</v>
      </c>
      <c r="G439" s="71">
        <v>1</v>
      </c>
      <c r="H439" s="71">
        <v>1</v>
      </c>
      <c r="I439" s="71">
        <v>1</v>
      </c>
      <c r="J439" s="39"/>
      <c r="K439" s="41"/>
    </row>
    <row r="440" spans="1:11" x14ac:dyDescent="0.25">
      <c r="B440" s="100" t="s">
        <v>32</v>
      </c>
      <c r="C440" s="89"/>
      <c r="D440" s="62">
        <v>1</v>
      </c>
      <c r="E440" s="63">
        <v>1</v>
      </c>
      <c r="F440" s="64">
        <v>1</v>
      </c>
      <c r="G440" s="64">
        <v>1</v>
      </c>
      <c r="H440" s="64">
        <v>1</v>
      </c>
      <c r="I440" s="64">
        <v>1</v>
      </c>
      <c r="J440" s="39"/>
      <c r="K440" s="41"/>
    </row>
    <row r="441" spans="1:11" x14ac:dyDescent="0.25">
      <c r="B441" s="97" t="s">
        <v>34</v>
      </c>
      <c r="C441" s="98"/>
      <c r="D441" s="49">
        <f t="shared" ref="D441:I441" si="58" xml:space="preserve"> D438 * D439 * D440</f>
        <v>0</v>
      </c>
      <c r="E441" s="49">
        <f t="shared" si="58"/>
        <v>0</v>
      </c>
      <c r="F441" s="49">
        <f t="shared" si="58"/>
        <v>50000</v>
      </c>
      <c r="G441" s="49">
        <f t="shared" si="58"/>
        <v>0</v>
      </c>
      <c r="H441" s="49">
        <f t="shared" si="58"/>
        <v>0</v>
      </c>
      <c r="I441" s="49">
        <f t="shared" si="58"/>
        <v>0</v>
      </c>
      <c r="J441" s="39"/>
      <c r="K441" s="41"/>
    </row>
    <row r="442" spans="1:11" x14ac:dyDescent="0.25">
      <c r="B442" s="26"/>
      <c r="C442" s="41"/>
      <c r="D442" s="48"/>
      <c r="E442" s="48"/>
      <c r="F442" s="48"/>
      <c r="G442" s="48"/>
      <c r="H442" s="48"/>
      <c r="I442" s="48"/>
      <c r="J442" s="39"/>
      <c r="K442" s="41"/>
    </row>
    <row r="443" spans="1:11" ht="18.75" x14ac:dyDescent="0.3">
      <c r="A443" s="56" t="s">
        <v>36</v>
      </c>
      <c r="C443" s="41"/>
      <c r="D443" s="2">
        <f>D437</f>
        <v>2013</v>
      </c>
      <c r="E443" s="2">
        <v>2013</v>
      </c>
      <c r="F443" s="2">
        <f>E443+1</f>
        <v>2014</v>
      </c>
      <c r="G443" s="2">
        <f>F443+1</f>
        <v>2015</v>
      </c>
      <c r="H443" s="2">
        <f>G443+1</f>
        <v>2016</v>
      </c>
      <c r="I443" s="2">
        <f>H443+1</f>
        <v>2017</v>
      </c>
      <c r="J443" s="39"/>
      <c r="K443" s="41"/>
    </row>
    <row r="444" spans="1:11" x14ac:dyDescent="0.25">
      <c r="B444" s="100" t="s">
        <v>25</v>
      </c>
      <c r="C444" s="89"/>
      <c r="D444" s="65">
        <f>IF( $E45 = "Eligible", D441 * 'Facility Detail'!$B$601, 0 )</f>
        <v>0</v>
      </c>
      <c r="E444" s="65">
        <f>IF( $E45 = "Eligible", E441 * 'Facility Detail'!$B$601, 0 )</f>
        <v>0</v>
      </c>
      <c r="F444" s="65">
        <f>IF( $E45 = "Eligible", F441 * 'Facility Detail'!$B$601, 0 )</f>
        <v>0</v>
      </c>
      <c r="G444" s="65">
        <f>IF( $E45 = "Eligible", G441 * 'Facility Detail'!$B$601, 0 )</f>
        <v>0</v>
      </c>
      <c r="H444" s="65">
        <f>IF( $E45 = "Eligible", H441 * 'Facility Detail'!$B$601, 0 )</f>
        <v>0</v>
      </c>
      <c r="I444" s="65">
        <f>IF( $E45 = "Eligible", I441 * 'Facility Detail'!$B$601, 0 )</f>
        <v>0</v>
      </c>
      <c r="J444" s="39"/>
      <c r="K444" s="41"/>
    </row>
    <row r="445" spans="1:11" x14ac:dyDescent="0.25">
      <c r="B445" s="100" t="s">
        <v>6</v>
      </c>
      <c r="C445" s="89"/>
      <c r="D445" s="66">
        <f t="shared" ref="D445:I445" si="59">IF( $F45 = "Eligible", D441, 0 )</f>
        <v>0</v>
      </c>
      <c r="E445" s="67">
        <f t="shared" si="59"/>
        <v>0</v>
      </c>
      <c r="F445" s="68">
        <f t="shared" si="59"/>
        <v>0</v>
      </c>
      <c r="G445" s="68">
        <f t="shared" si="59"/>
        <v>0</v>
      </c>
      <c r="H445" s="68">
        <f t="shared" si="59"/>
        <v>0</v>
      </c>
      <c r="I445" s="68">
        <f t="shared" si="59"/>
        <v>0</v>
      </c>
      <c r="J445" s="39"/>
      <c r="K445" s="41"/>
    </row>
    <row r="446" spans="1:11" x14ac:dyDescent="0.25">
      <c r="B446" s="99" t="s">
        <v>45</v>
      </c>
      <c r="C446" s="98"/>
      <c r="D446" s="51">
        <f t="shared" ref="D446:I446" si="60">SUM(D444:D445)</f>
        <v>0</v>
      </c>
      <c r="E446" s="52">
        <f t="shared" si="60"/>
        <v>0</v>
      </c>
      <c r="F446" s="52">
        <f t="shared" si="60"/>
        <v>0</v>
      </c>
      <c r="G446" s="52">
        <f t="shared" si="60"/>
        <v>0</v>
      </c>
      <c r="H446" s="52">
        <f t="shared" si="60"/>
        <v>0</v>
      </c>
      <c r="I446" s="52">
        <f t="shared" si="60"/>
        <v>0</v>
      </c>
      <c r="J446" s="39"/>
      <c r="K446" s="41"/>
    </row>
    <row r="447" spans="1:11" x14ac:dyDescent="0.25">
      <c r="B447" s="41"/>
      <c r="C447" s="41"/>
      <c r="D447" s="50"/>
      <c r="E447" s="42"/>
      <c r="F447" s="42"/>
      <c r="G447" s="42"/>
      <c r="H447" s="42"/>
      <c r="I447" s="42"/>
      <c r="J447" s="39"/>
      <c r="K447" s="41"/>
    </row>
    <row r="448" spans="1:11" ht="18.75" x14ac:dyDescent="0.3">
      <c r="A448" s="53" t="s">
        <v>43</v>
      </c>
      <c r="C448" s="41"/>
      <c r="D448" s="2">
        <f>D437</f>
        <v>2013</v>
      </c>
      <c r="E448" s="2">
        <f>D448+1</f>
        <v>2014</v>
      </c>
      <c r="F448" s="2">
        <f>E448+1</f>
        <v>2015</v>
      </c>
      <c r="G448" s="2">
        <f>F448+1</f>
        <v>2016</v>
      </c>
      <c r="H448" s="2">
        <f>G448+1</f>
        <v>2017</v>
      </c>
      <c r="I448" s="2">
        <f>H448+1</f>
        <v>2018</v>
      </c>
      <c r="J448" s="39"/>
      <c r="K448" s="41"/>
    </row>
    <row r="449" spans="1:11" x14ac:dyDescent="0.25">
      <c r="B449" s="100" t="s">
        <v>47</v>
      </c>
      <c r="C449" s="89"/>
      <c r="D449" s="108">
        <v>0</v>
      </c>
      <c r="E449" s="109">
        <v>0</v>
      </c>
      <c r="F449" s="110">
        <v>0</v>
      </c>
      <c r="G449" s="110">
        <v>0</v>
      </c>
      <c r="H449" s="110"/>
      <c r="I449" s="110"/>
      <c r="J449" s="39"/>
      <c r="K449" s="41"/>
    </row>
    <row r="450" spans="1:11" x14ac:dyDescent="0.25">
      <c r="B450" s="101" t="s">
        <v>35</v>
      </c>
      <c r="C450" s="102"/>
      <c r="D450" s="111">
        <v>0</v>
      </c>
      <c r="E450" s="112">
        <v>0</v>
      </c>
      <c r="F450" s="113">
        <v>0</v>
      </c>
      <c r="G450" s="113">
        <v>0</v>
      </c>
      <c r="H450" s="113">
        <v>0</v>
      </c>
      <c r="I450" s="113"/>
      <c r="J450" s="39"/>
      <c r="K450" s="41"/>
    </row>
    <row r="451" spans="1:11" x14ac:dyDescent="0.25">
      <c r="B451" s="114" t="s">
        <v>49</v>
      </c>
      <c r="C451" s="106"/>
      <c r="D451" s="72"/>
      <c r="E451" s="73"/>
      <c r="F451" s="74"/>
      <c r="G451" s="74"/>
      <c r="H451" s="74"/>
      <c r="I451" s="74"/>
      <c r="J451" s="39"/>
      <c r="K451" s="41"/>
    </row>
    <row r="452" spans="1:11" x14ac:dyDescent="0.25">
      <c r="B452" s="44" t="s">
        <v>50</v>
      </c>
      <c r="D452" s="7">
        <f t="shared" ref="D452:I452" si="61">SUM(D449:D451)</f>
        <v>0</v>
      </c>
      <c r="E452" s="7">
        <f t="shared" si="61"/>
        <v>0</v>
      </c>
      <c r="F452" s="7">
        <f t="shared" si="61"/>
        <v>0</v>
      </c>
      <c r="G452" s="7">
        <f t="shared" si="61"/>
        <v>0</v>
      </c>
      <c r="H452" s="7">
        <f t="shared" si="61"/>
        <v>0</v>
      </c>
      <c r="I452" s="7">
        <f t="shared" si="61"/>
        <v>0</v>
      </c>
      <c r="J452" s="39"/>
      <c r="K452" s="41"/>
    </row>
    <row r="453" spans="1:11" x14ac:dyDescent="0.25">
      <c r="B453" s="6"/>
      <c r="D453" s="7"/>
      <c r="E453" s="7"/>
      <c r="F453" s="7"/>
      <c r="G453" s="7"/>
      <c r="H453" s="7"/>
      <c r="I453" s="7"/>
      <c r="J453" s="39"/>
      <c r="K453" s="41"/>
    </row>
    <row r="454" spans="1:11" ht="18.75" x14ac:dyDescent="0.3">
      <c r="A454" s="9" t="s">
        <v>51</v>
      </c>
      <c r="D454" s="2">
        <f>D437</f>
        <v>2013</v>
      </c>
      <c r="E454" s="2">
        <f>D454+1</f>
        <v>2014</v>
      </c>
      <c r="F454" s="2">
        <f>E454+1</f>
        <v>2015</v>
      </c>
      <c r="G454" s="2">
        <f>F454+1</f>
        <v>2016</v>
      </c>
      <c r="H454" s="2">
        <f>G454+1</f>
        <v>2017</v>
      </c>
      <c r="I454" s="2">
        <f>H454+1</f>
        <v>2018</v>
      </c>
      <c r="J454" s="39"/>
      <c r="K454" s="41"/>
    </row>
    <row r="455" spans="1:11" x14ac:dyDescent="0.25">
      <c r="B455" s="100" t="str">
        <f xml:space="preserve"> 'Facility Detail'!$B$604 &amp; " Surplus Applied to " &amp; ( 'Facility Detail'!$B$604 + 1 )</f>
        <v>2013 Surplus Applied to 2014</v>
      </c>
      <c r="C455" s="89"/>
      <c r="D455" s="3"/>
      <c r="E455" s="75">
        <f>D455</f>
        <v>0</v>
      </c>
      <c r="F455" s="156"/>
      <c r="G455" s="77"/>
      <c r="H455" s="77"/>
      <c r="I455" s="77"/>
      <c r="J455" s="39"/>
      <c r="K455" s="41"/>
    </row>
    <row r="456" spans="1:11" x14ac:dyDescent="0.25">
      <c r="B456" s="100" t="str">
        <f xml:space="preserve"> ( 'Facility Detail'!$B$604 + 1 ) &amp; " Surplus Applied to " &amp; ( 'Facility Detail'!$B$604 )</f>
        <v>2014 Surplus Applied to 2013</v>
      </c>
      <c r="C456" s="89"/>
      <c r="D456" s="157">
        <f>E456</f>
        <v>0</v>
      </c>
      <c r="E456" s="10"/>
      <c r="F456" s="94"/>
      <c r="G456" s="93"/>
      <c r="H456" s="93"/>
      <c r="I456" s="93"/>
      <c r="J456" s="39"/>
      <c r="K456" s="41"/>
    </row>
    <row r="457" spans="1:11" x14ac:dyDescent="0.25">
      <c r="B457" s="100" t="str">
        <f xml:space="preserve"> ( 'Facility Detail'!$B$604 + 1 ) &amp; " Surplus Applied to " &amp; ( 'Facility Detail'!$B$604 + 2 )</f>
        <v>2014 Surplus Applied to 2015</v>
      </c>
      <c r="C457" s="89"/>
      <c r="D457" s="78"/>
      <c r="E457" s="10"/>
      <c r="F457" s="88">
        <f>E457</f>
        <v>0</v>
      </c>
      <c r="G457" s="93"/>
      <c r="H457" s="93"/>
      <c r="I457" s="93"/>
      <c r="J457" s="39"/>
      <c r="K457" s="41"/>
    </row>
    <row r="458" spans="1:11" x14ac:dyDescent="0.25">
      <c r="B458" s="100" t="str">
        <f xml:space="preserve"> ( 'Facility Detail'!$B$604 + 2 ) &amp; " Surplus Applied to " &amp; ( 'Facility Detail'!$B$604 + 1 )</f>
        <v>2015 Surplus Applied to 2014</v>
      </c>
      <c r="C458" s="89"/>
      <c r="D458" s="78"/>
      <c r="E458" s="88">
        <f>F458</f>
        <v>0</v>
      </c>
      <c r="F458" s="10"/>
      <c r="G458" s="93"/>
      <c r="H458" s="93"/>
      <c r="I458" s="93"/>
      <c r="J458" s="39"/>
      <c r="K458" s="41"/>
    </row>
    <row r="459" spans="1:11" x14ac:dyDescent="0.25">
      <c r="B459" s="100" t="str">
        <f xml:space="preserve"> ( 'Facility Detail'!$B$604 + 2 ) &amp; " Surplus Applied to " &amp; ( 'Facility Detail'!$B$604 + 3 )</f>
        <v>2015 Surplus Applied to 2016</v>
      </c>
      <c r="C459" s="41"/>
      <c r="D459" s="78"/>
      <c r="E459" s="94"/>
      <c r="F459" s="10">
        <v>49617</v>
      </c>
      <c r="G459" s="158">
        <f>F459</f>
        <v>49617</v>
      </c>
      <c r="H459" s="93"/>
      <c r="I459" s="93"/>
      <c r="J459" s="39"/>
      <c r="K459" s="41"/>
    </row>
    <row r="460" spans="1:11" x14ac:dyDescent="0.25">
      <c r="B460" s="100" t="str">
        <f xml:space="preserve"> ( 'Facility Detail'!$B$604 +3 ) &amp; " Surplus Applied to " &amp; ( 'Facility Detail'!$B$604 + 2 )</f>
        <v>2016 Surplus Applied to 2015</v>
      </c>
      <c r="C460" s="41"/>
      <c r="D460" s="79"/>
      <c r="E460" s="95"/>
      <c r="F460" s="76">
        <f>G460</f>
        <v>0</v>
      </c>
      <c r="G460" s="159"/>
      <c r="H460" s="93"/>
      <c r="I460" s="93"/>
      <c r="J460" s="39"/>
      <c r="K460" s="41"/>
    </row>
    <row r="461" spans="1:11" x14ac:dyDescent="0.25">
      <c r="B461" s="100" t="str">
        <f xml:space="preserve"> ( 'Facility Detail'!$B$604 +3 ) &amp; " Surplus Applied to " &amp; ( 'Facility Detail'!$B$604 + 4 )</f>
        <v>2016 Surplus Applied to 2017</v>
      </c>
      <c r="C461" s="41"/>
      <c r="D461" s="164"/>
      <c r="E461" s="164"/>
      <c r="F461" s="164"/>
      <c r="G461" s="165">
        <v>49617</v>
      </c>
      <c r="H461" s="93"/>
      <c r="I461" s="93"/>
      <c r="J461" s="39"/>
      <c r="K461" s="41"/>
    </row>
    <row r="462" spans="1:11" x14ac:dyDescent="0.25">
      <c r="B462" s="44" t="s">
        <v>31</v>
      </c>
      <c r="D462" s="7">
        <f xml:space="preserve"> D456 - D455</f>
        <v>0</v>
      </c>
      <c r="E462" s="7">
        <f xml:space="preserve"> E455 + E458 - E457 - E456</f>
        <v>0</v>
      </c>
      <c r="F462" s="7">
        <f>F457+F460-F458-F459</f>
        <v>-49617</v>
      </c>
      <c r="G462" s="7">
        <f>G459-G460</f>
        <v>49617</v>
      </c>
      <c r="H462" s="7">
        <f>H459+H460</f>
        <v>0</v>
      </c>
      <c r="I462" s="7">
        <f>I459+I460</f>
        <v>0</v>
      </c>
      <c r="J462" s="39"/>
      <c r="K462" s="41"/>
    </row>
    <row r="463" spans="1:11" x14ac:dyDescent="0.25">
      <c r="B463" s="6"/>
      <c r="D463" s="7"/>
      <c r="E463" s="7"/>
      <c r="F463" s="7"/>
      <c r="G463" s="7"/>
      <c r="H463" s="7"/>
      <c r="I463" s="7"/>
      <c r="J463" s="39"/>
      <c r="K463" s="41"/>
    </row>
    <row r="464" spans="1:11" x14ac:dyDescent="0.25">
      <c r="B464" s="107" t="s">
        <v>27</v>
      </c>
      <c r="C464" s="89"/>
      <c r="D464" s="123"/>
      <c r="E464" s="124"/>
      <c r="F464" s="125"/>
      <c r="G464" s="125"/>
      <c r="H464" s="125"/>
      <c r="I464" s="125"/>
      <c r="J464" s="39"/>
      <c r="K464" s="41"/>
    </row>
    <row r="465" spans="1:11" x14ac:dyDescent="0.25">
      <c r="B465" s="6"/>
      <c r="D465" s="7"/>
      <c r="E465" s="7"/>
      <c r="F465" s="7"/>
      <c r="G465" s="7"/>
      <c r="H465" s="7"/>
      <c r="I465" s="7"/>
      <c r="J465" s="39"/>
      <c r="K465" s="41"/>
    </row>
    <row r="466" spans="1:11" ht="15.75" x14ac:dyDescent="0.25">
      <c r="A466" s="103" t="s">
        <v>39</v>
      </c>
      <c r="C466" s="89"/>
      <c r="D466" s="57">
        <f t="shared" ref="D466:I466" si="62" xml:space="preserve"> D441 + D446 + D452 + D462 + D464</f>
        <v>0</v>
      </c>
      <c r="E466" s="58">
        <f t="shared" si="62"/>
        <v>0</v>
      </c>
      <c r="F466" s="59">
        <f t="shared" si="62"/>
        <v>383</v>
      </c>
      <c r="G466" s="59">
        <f t="shared" si="62"/>
        <v>49617</v>
      </c>
      <c r="H466" s="59">
        <f t="shared" si="62"/>
        <v>0</v>
      </c>
      <c r="I466" s="59">
        <f t="shared" si="62"/>
        <v>0</v>
      </c>
      <c r="J466" s="39"/>
      <c r="K466" s="41"/>
    </row>
    <row r="467" spans="1:11" x14ac:dyDescent="0.25">
      <c r="B467" s="6"/>
      <c r="D467" s="7"/>
      <c r="E467" s="7"/>
      <c r="F467" s="7"/>
      <c r="G467" s="39"/>
      <c r="H467" s="39"/>
      <c r="I467" s="39"/>
      <c r="J467" s="39"/>
      <c r="K467" s="41"/>
    </row>
    <row r="468" spans="1:11" x14ac:dyDescent="0.25">
      <c r="B468" s="6"/>
      <c r="D468" s="7"/>
      <c r="E468" s="7"/>
      <c r="F468" s="7"/>
      <c r="G468" s="39"/>
      <c r="H468" s="39"/>
      <c r="I468" s="39"/>
      <c r="J468" s="39"/>
      <c r="K468" s="41"/>
    </row>
    <row r="469" spans="1:11" ht="15.75" thickBot="1" x14ac:dyDescent="0.3">
      <c r="A469" s="183"/>
      <c r="B469" s="183"/>
      <c r="C469" s="183"/>
      <c r="D469" s="183"/>
      <c r="E469" s="183"/>
      <c r="F469" s="183"/>
      <c r="J469" s="41"/>
      <c r="K469" s="41"/>
    </row>
    <row r="470" spans="1:11" x14ac:dyDescent="0.25">
      <c r="A470" s="8"/>
      <c r="B470" s="8"/>
      <c r="C470" s="8"/>
      <c r="D470" s="8"/>
      <c r="E470" s="8"/>
      <c r="F470" s="8"/>
      <c r="G470" s="8"/>
      <c r="H470" s="8"/>
      <c r="I470" s="8"/>
      <c r="J470" s="41"/>
      <c r="K470" s="41"/>
    </row>
    <row r="471" spans="1:11" ht="21" x14ac:dyDescent="0.35">
      <c r="A471" s="16" t="s">
        <v>4</v>
      </c>
      <c r="B471" s="16"/>
      <c r="C471" s="54" t="str">
        <f>B14</f>
        <v>Nine Mile #1</v>
      </c>
      <c r="D471" s="55"/>
      <c r="E471" s="26"/>
      <c r="F471" s="26"/>
      <c r="J471" s="39"/>
      <c r="K471" s="41"/>
    </row>
    <row r="472" spans="1:11" x14ac:dyDescent="0.25">
      <c r="J472" s="39"/>
      <c r="K472" s="41"/>
    </row>
    <row r="473" spans="1:11" ht="18.75" x14ac:dyDescent="0.3">
      <c r="A473" s="9" t="s">
        <v>95</v>
      </c>
      <c r="B473" s="9"/>
      <c r="D473" s="2">
        <v>2013</v>
      </c>
      <c r="E473" s="2">
        <f>D473+1</f>
        <v>2014</v>
      </c>
      <c r="F473" s="2">
        <f>E473+1</f>
        <v>2015</v>
      </c>
      <c r="G473" s="2">
        <f>F473+1</f>
        <v>2016</v>
      </c>
      <c r="H473" s="2">
        <f>G473+1</f>
        <v>2017</v>
      </c>
      <c r="I473" s="2">
        <f>H473+1</f>
        <v>2018</v>
      </c>
      <c r="J473" s="39"/>
      <c r="K473" s="41"/>
    </row>
    <row r="474" spans="1:11" x14ac:dyDescent="0.25">
      <c r="B474" s="100" t="str">
        <f>"Total MWh Produced / Purchased from " &amp; C471</f>
        <v>Total MWh Produced / Purchased from Nine Mile #1</v>
      </c>
      <c r="C474" s="89"/>
      <c r="D474" s="3">
        <v>0</v>
      </c>
      <c r="E474" s="4">
        <v>0</v>
      </c>
      <c r="F474" s="5">
        <v>0</v>
      </c>
      <c r="G474" s="5">
        <v>416</v>
      </c>
      <c r="H474" s="5">
        <v>8804</v>
      </c>
      <c r="I474" s="5">
        <v>8804</v>
      </c>
      <c r="J474" s="39"/>
      <c r="K474" s="41"/>
    </row>
    <row r="475" spans="1:11" x14ac:dyDescent="0.25">
      <c r="B475" s="100" t="s">
        <v>38</v>
      </c>
      <c r="C475" s="89"/>
      <c r="D475" s="69">
        <v>1</v>
      </c>
      <c r="E475" s="70">
        <v>1</v>
      </c>
      <c r="F475" s="71">
        <v>1</v>
      </c>
      <c r="G475" s="71">
        <v>1</v>
      </c>
      <c r="H475" s="71">
        <v>1</v>
      </c>
      <c r="I475" s="71">
        <v>1</v>
      </c>
      <c r="J475" s="39"/>
      <c r="K475" s="41"/>
    </row>
    <row r="476" spans="1:11" x14ac:dyDescent="0.25">
      <c r="B476" s="100" t="s">
        <v>32</v>
      </c>
      <c r="C476" s="89"/>
      <c r="D476" s="62">
        <v>1</v>
      </c>
      <c r="E476" s="63">
        <v>1</v>
      </c>
      <c r="F476" s="64">
        <v>1</v>
      </c>
      <c r="G476" s="64">
        <v>1</v>
      </c>
      <c r="H476" s="64">
        <v>1</v>
      </c>
      <c r="I476" s="64">
        <v>1</v>
      </c>
      <c r="J476" s="39"/>
      <c r="K476" s="41"/>
    </row>
    <row r="477" spans="1:11" x14ac:dyDescent="0.25">
      <c r="B477" s="97" t="s">
        <v>34</v>
      </c>
      <c r="C477" s="98"/>
      <c r="D477" s="49">
        <f t="shared" ref="D477:I477" si="63" xml:space="preserve"> D474 * D475 * D476</f>
        <v>0</v>
      </c>
      <c r="E477" s="49">
        <f t="shared" si="63"/>
        <v>0</v>
      </c>
      <c r="F477" s="49">
        <f t="shared" si="63"/>
        <v>0</v>
      </c>
      <c r="G477" s="49">
        <f t="shared" si="63"/>
        <v>416</v>
      </c>
      <c r="H477" s="49">
        <f t="shared" si="63"/>
        <v>8804</v>
      </c>
      <c r="I477" s="49">
        <f t="shared" si="63"/>
        <v>8804</v>
      </c>
      <c r="J477" s="39"/>
      <c r="K477" s="41"/>
    </row>
    <row r="478" spans="1:11" x14ac:dyDescent="0.25">
      <c r="B478" s="26"/>
      <c r="C478" s="41"/>
      <c r="D478" s="48"/>
      <c r="E478" s="48"/>
      <c r="F478" s="48"/>
      <c r="G478" s="48"/>
      <c r="H478" s="48"/>
      <c r="I478" s="48"/>
      <c r="J478" s="39"/>
      <c r="K478" s="41"/>
    </row>
    <row r="479" spans="1:11" ht="18.75" x14ac:dyDescent="0.3">
      <c r="A479" s="56" t="s">
        <v>36</v>
      </c>
      <c r="C479" s="41"/>
      <c r="D479" s="2">
        <f>D473</f>
        <v>2013</v>
      </c>
      <c r="E479" s="2">
        <f>D479+1</f>
        <v>2014</v>
      </c>
      <c r="F479" s="2">
        <f>E479+1</f>
        <v>2015</v>
      </c>
      <c r="G479" s="2">
        <f>F479+1</f>
        <v>2016</v>
      </c>
      <c r="H479" s="2">
        <f>G479+1</f>
        <v>2017</v>
      </c>
      <c r="I479" s="2">
        <f>H479+1</f>
        <v>2018</v>
      </c>
      <c r="J479" s="39"/>
      <c r="K479" s="41"/>
    </row>
    <row r="480" spans="1:11" x14ac:dyDescent="0.25">
      <c r="B480" s="100" t="s">
        <v>25</v>
      </c>
      <c r="C480" s="89"/>
      <c r="D480" s="65">
        <f>IF( $E82 = "Eligible", D477 * 'Facility Detail'!$B$601, 0 )</f>
        <v>0</v>
      </c>
      <c r="E480" s="65">
        <f>IF( $E82 = "Eligible", E477 * 'Facility Detail'!$B$601, 0 )</f>
        <v>0</v>
      </c>
      <c r="F480" s="65">
        <f>IF( $E82 = "Eligible", F477 * 'Facility Detail'!$B$601, 0 )</f>
        <v>0</v>
      </c>
      <c r="G480" s="65">
        <f>IF( $E82 = "Eligible", G477 * 'Facility Detail'!$B$601, 0 )</f>
        <v>0</v>
      </c>
      <c r="H480" s="65">
        <f>IF( $E82 = "Eligible", H477 * 'Facility Detail'!$B$601, 0 )</f>
        <v>0</v>
      </c>
      <c r="I480" s="65">
        <f>IF( $E82 = "Eligible", I477 * 'Facility Detail'!$B$601, 0 )</f>
        <v>0</v>
      </c>
      <c r="J480" s="39"/>
      <c r="K480" s="41"/>
    </row>
    <row r="481" spans="1:11" x14ac:dyDescent="0.25">
      <c r="B481" s="100" t="s">
        <v>6</v>
      </c>
      <c r="C481" s="89"/>
      <c r="D481" s="66">
        <f t="shared" ref="D481:I481" si="64">IF( $F82 = "Eligible", D477, 0 )</f>
        <v>0</v>
      </c>
      <c r="E481" s="67">
        <f t="shared" si="64"/>
        <v>0</v>
      </c>
      <c r="F481" s="68">
        <f t="shared" si="64"/>
        <v>0</v>
      </c>
      <c r="G481" s="68">
        <f t="shared" si="64"/>
        <v>0</v>
      </c>
      <c r="H481" s="68">
        <f t="shared" si="64"/>
        <v>0</v>
      </c>
      <c r="I481" s="68">
        <f t="shared" si="64"/>
        <v>0</v>
      </c>
      <c r="J481" s="39"/>
      <c r="K481" s="41"/>
    </row>
    <row r="482" spans="1:11" x14ac:dyDescent="0.25">
      <c r="B482" s="99" t="s">
        <v>45</v>
      </c>
      <c r="C482" s="98"/>
      <c r="D482" s="51">
        <f t="shared" ref="D482:I482" si="65">SUM(D480:D481)</f>
        <v>0</v>
      </c>
      <c r="E482" s="52">
        <f t="shared" si="65"/>
        <v>0</v>
      </c>
      <c r="F482" s="52">
        <f t="shared" si="65"/>
        <v>0</v>
      </c>
      <c r="G482" s="52">
        <f t="shared" si="65"/>
        <v>0</v>
      </c>
      <c r="H482" s="52">
        <f t="shared" si="65"/>
        <v>0</v>
      </c>
      <c r="I482" s="52">
        <f t="shared" si="65"/>
        <v>0</v>
      </c>
      <c r="J482" s="39"/>
      <c r="K482" s="41"/>
    </row>
    <row r="483" spans="1:11" x14ac:dyDescent="0.25">
      <c r="B483" s="41"/>
      <c r="C483" s="41"/>
      <c r="D483" s="50"/>
      <c r="E483" s="42"/>
      <c r="F483" s="42"/>
      <c r="G483" s="42"/>
      <c r="H483" s="42"/>
      <c r="I483" s="42"/>
      <c r="J483" s="39"/>
      <c r="K483" s="41"/>
    </row>
    <row r="484" spans="1:11" ht="18.75" x14ac:dyDescent="0.3">
      <c r="A484" s="53" t="s">
        <v>43</v>
      </c>
      <c r="C484" s="41"/>
      <c r="D484" s="2">
        <f>D473</f>
        <v>2013</v>
      </c>
      <c r="E484" s="2">
        <f>D484+1</f>
        <v>2014</v>
      </c>
      <c r="F484" s="2">
        <f>E484+1</f>
        <v>2015</v>
      </c>
      <c r="G484" s="2">
        <f>F484+1</f>
        <v>2016</v>
      </c>
      <c r="H484" s="2">
        <f>G484+1</f>
        <v>2017</v>
      </c>
      <c r="I484" s="2">
        <f>H484+1</f>
        <v>2018</v>
      </c>
      <c r="J484" s="39"/>
      <c r="K484" s="41"/>
    </row>
    <row r="485" spans="1:11" x14ac:dyDescent="0.25">
      <c r="B485" s="100" t="s">
        <v>47</v>
      </c>
      <c r="C485" s="89"/>
      <c r="D485" s="108">
        <v>0</v>
      </c>
      <c r="E485" s="109">
        <v>0</v>
      </c>
      <c r="F485" s="110">
        <v>0</v>
      </c>
      <c r="G485" s="110"/>
      <c r="H485" s="110"/>
      <c r="I485" s="110"/>
      <c r="J485" s="39"/>
      <c r="K485" s="41"/>
    </row>
    <row r="486" spans="1:11" x14ac:dyDescent="0.25">
      <c r="B486" s="101" t="s">
        <v>35</v>
      </c>
      <c r="C486" s="102"/>
      <c r="D486" s="111">
        <v>0</v>
      </c>
      <c r="E486" s="112">
        <v>0</v>
      </c>
      <c r="F486" s="113">
        <v>0</v>
      </c>
      <c r="G486" s="113">
        <v>0</v>
      </c>
      <c r="H486" s="113">
        <v>0</v>
      </c>
      <c r="I486" s="113">
        <v>0</v>
      </c>
      <c r="J486" s="39"/>
      <c r="K486" s="41"/>
    </row>
    <row r="487" spans="1:11" x14ac:dyDescent="0.25">
      <c r="B487" s="114" t="s">
        <v>49</v>
      </c>
      <c r="C487" s="106"/>
      <c r="D487" s="72"/>
      <c r="E487" s="73"/>
      <c r="F487" s="74"/>
      <c r="G487" s="74"/>
      <c r="H487" s="74"/>
      <c r="I487" s="74"/>
      <c r="J487" s="39"/>
      <c r="K487" s="41"/>
    </row>
    <row r="488" spans="1:11" x14ac:dyDescent="0.25">
      <c r="B488" s="44" t="s">
        <v>50</v>
      </c>
      <c r="D488" s="7">
        <f t="shared" ref="D488:I488" si="66">SUM(D485:D487)</f>
        <v>0</v>
      </c>
      <c r="E488" s="7">
        <f t="shared" si="66"/>
        <v>0</v>
      </c>
      <c r="F488" s="7">
        <f t="shared" si="66"/>
        <v>0</v>
      </c>
      <c r="G488" s="7">
        <f t="shared" si="66"/>
        <v>0</v>
      </c>
      <c r="H488" s="7">
        <f t="shared" si="66"/>
        <v>0</v>
      </c>
      <c r="I488" s="7">
        <f t="shared" si="66"/>
        <v>0</v>
      </c>
      <c r="J488" s="39"/>
      <c r="K488" s="41"/>
    </row>
    <row r="489" spans="1:11" x14ac:dyDescent="0.25">
      <c r="B489" s="6"/>
      <c r="D489" s="7"/>
      <c r="E489" s="7"/>
      <c r="F489" s="7"/>
      <c r="G489" s="7"/>
      <c r="H489" s="7"/>
      <c r="I489" s="7"/>
      <c r="J489" s="39"/>
      <c r="K489" s="41"/>
    </row>
    <row r="490" spans="1:11" ht="18.75" x14ac:dyDescent="0.3">
      <c r="A490" s="9" t="s">
        <v>51</v>
      </c>
      <c r="D490" s="2">
        <f>D473</f>
        <v>2013</v>
      </c>
      <c r="E490" s="2">
        <f>D490+1</f>
        <v>2014</v>
      </c>
      <c r="F490" s="2">
        <f>E490+1</f>
        <v>2015</v>
      </c>
      <c r="G490" s="2">
        <f>F490+1</f>
        <v>2016</v>
      </c>
      <c r="H490" s="2">
        <f>G490+1</f>
        <v>2017</v>
      </c>
      <c r="I490" s="2">
        <f>H490+1</f>
        <v>2018</v>
      </c>
      <c r="J490" s="39"/>
      <c r="K490" s="41"/>
    </row>
    <row r="491" spans="1:11" x14ac:dyDescent="0.25">
      <c r="B491" s="100" t="str">
        <f xml:space="preserve"> 'Facility Detail'!$B$604 &amp; " Surplus Applied to " &amp; ( 'Facility Detail'!$B$604 + 1 )</f>
        <v>2013 Surplus Applied to 2014</v>
      </c>
      <c r="C491" s="89"/>
      <c r="D491" s="3"/>
      <c r="E491" s="75">
        <f>D491</f>
        <v>0</v>
      </c>
      <c r="F491" s="156"/>
      <c r="G491" s="77"/>
      <c r="H491" s="77"/>
      <c r="I491" s="77"/>
      <c r="J491" s="39"/>
      <c r="K491" s="41"/>
    </row>
    <row r="492" spans="1:11" x14ac:dyDescent="0.25">
      <c r="B492" s="100" t="str">
        <f xml:space="preserve"> ( 'Facility Detail'!$B$604 + 1 ) &amp; " Surplus Applied to " &amp; ( 'Facility Detail'!$B$604 )</f>
        <v>2014 Surplus Applied to 2013</v>
      </c>
      <c r="C492" s="89"/>
      <c r="D492" s="157">
        <f>E492</f>
        <v>0</v>
      </c>
      <c r="E492" s="10"/>
      <c r="F492" s="94"/>
      <c r="G492" s="93"/>
      <c r="H492" s="93"/>
      <c r="I492" s="93"/>
      <c r="J492" s="39"/>
      <c r="K492" s="41"/>
    </row>
    <row r="493" spans="1:11" x14ac:dyDescent="0.25">
      <c r="B493" s="100" t="str">
        <f xml:space="preserve"> ( 'Facility Detail'!$B$604 + 1 ) &amp; " Surplus Applied to " &amp; ( 'Facility Detail'!$B$604 + 2 )</f>
        <v>2014 Surplus Applied to 2015</v>
      </c>
      <c r="C493" s="89"/>
      <c r="D493" s="78"/>
      <c r="E493" s="10"/>
      <c r="F493" s="88">
        <f>E493</f>
        <v>0</v>
      </c>
      <c r="G493" s="93"/>
      <c r="H493" s="93"/>
      <c r="I493" s="93"/>
      <c r="J493" s="39"/>
      <c r="K493" s="41"/>
    </row>
    <row r="494" spans="1:11" x14ac:dyDescent="0.25">
      <c r="B494" s="100" t="str">
        <f xml:space="preserve"> ( 'Facility Detail'!$B$604 + 2 ) &amp; " Surplus Applied to " &amp; ( 'Facility Detail'!$B$604 + 1 )</f>
        <v>2015 Surplus Applied to 2014</v>
      </c>
      <c r="C494" s="89"/>
      <c r="D494" s="78"/>
      <c r="E494" s="88">
        <f>F494</f>
        <v>0</v>
      </c>
      <c r="F494" s="10"/>
      <c r="G494" s="93"/>
      <c r="H494" s="93"/>
      <c r="I494" s="93"/>
      <c r="J494" s="39"/>
      <c r="K494" s="41"/>
    </row>
    <row r="495" spans="1:11" x14ac:dyDescent="0.25">
      <c r="B495" s="100" t="str">
        <f xml:space="preserve"> ( 'Facility Detail'!$B$604 + 2 ) &amp; " Surplus Applied to " &amp; ( 'Facility Detail'!$B$604 + 3 )</f>
        <v>2015 Surplus Applied to 2016</v>
      </c>
      <c r="C495" s="41"/>
      <c r="D495" s="78"/>
      <c r="E495" s="94"/>
      <c r="F495" s="10"/>
      <c r="G495" s="158">
        <f>F495</f>
        <v>0</v>
      </c>
      <c r="H495" s="158">
        <f>G495</f>
        <v>0</v>
      </c>
      <c r="I495" s="158">
        <f>H495</f>
        <v>0</v>
      </c>
      <c r="J495" s="39"/>
      <c r="K495" s="41"/>
    </row>
    <row r="496" spans="1:11" x14ac:dyDescent="0.25">
      <c r="B496" s="100" t="str">
        <f xml:space="preserve"> ( 'Facility Detail'!$B$604 +3 ) &amp; " Surplus Applied to " &amp; ( 'Facility Detail'!$B$604 + 2 )</f>
        <v>2016 Surplus Applied to 2015</v>
      </c>
      <c r="C496" s="41"/>
      <c r="D496" s="79"/>
      <c r="E496" s="95"/>
      <c r="F496" s="76">
        <f>G496</f>
        <v>0</v>
      </c>
      <c r="G496" s="159"/>
      <c r="H496" s="159"/>
      <c r="I496" s="159"/>
      <c r="J496" s="39"/>
      <c r="K496" s="41"/>
    </row>
    <row r="497" spans="1:12" x14ac:dyDescent="0.25">
      <c r="B497" s="100" t="str">
        <f xml:space="preserve"> ( 'Facility Detail'!$B$604 +3 ) &amp; " Surplus Applied to " &amp; ( 'Facility Detail'!$B$604 + 4 )</f>
        <v>2016 Surplus Applied to 2017</v>
      </c>
      <c r="C497" s="41"/>
      <c r="D497" s="164"/>
      <c r="E497" s="164"/>
      <c r="F497" s="27"/>
      <c r="G497" s="165"/>
      <c r="H497" s="165"/>
      <c r="I497" s="165"/>
      <c r="J497" s="39"/>
      <c r="K497" s="41"/>
    </row>
    <row r="498" spans="1:12" x14ac:dyDescent="0.25">
      <c r="B498" s="44" t="s">
        <v>31</v>
      </c>
      <c r="D498" s="7">
        <f xml:space="preserve"> D492 - D491</f>
        <v>0</v>
      </c>
      <c r="E498" s="7">
        <f xml:space="preserve"> E491 + E494 - E493 - E492</f>
        <v>0</v>
      </c>
      <c r="F498" s="7">
        <f>F493+F496-F494-F495</f>
        <v>0</v>
      </c>
      <c r="G498" s="7">
        <f>G495-G496</f>
        <v>0</v>
      </c>
      <c r="H498" s="7">
        <f>H495-H496</f>
        <v>0</v>
      </c>
      <c r="I498" s="7">
        <f>I495-I496</f>
        <v>0</v>
      </c>
      <c r="J498" s="39"/>
      <c r="K498" s="41"/>
    </row>
    <row r="499" spans="1:12" x14ac:dyDescent="0.25">
      <c r="B499" s="6"/>
      <c r="D499" s="7"/>
      <c r="E499" s="7"/>
      <c r="F499" s="7"/>
      <c r="G499" s="7"/>
      <c r="H499" s="7"/>
      <c r="I499" s="7"/>
      <c r="J499" s="39"/>
      <c r="K499" s="41"/>
    </row>
    <row r="500" spans="1:12" x14ac:dyDescent="0.25">
      <c r="B500" s="107" t="s">
        <v>27</v>
      </c>
      <c r="C500" s="89"/>
      <c r="D500" s="123"/>
      <c r="E500" s="124"/>
      <c r="F500" s="125"/>
      <c r="G500" s="125"/>
      <c r="H500" s="125"/>
      <c r="I500" s="125"/>
      <c r="J500" s="39"/>
      <c r="K500" s="41"/>
    </row>
    <row r="501" spans="1:12" x14ac:dyDescent="0.25">
      <c r="B501" s="6"/>
      <c r="D501" s="7"/>
      <c r="E501" s="7"/>
      <c r="F501" s="7"/>
      <c r="G501" s="7"/>
      <c r="H501" s="7"/>
      <c r="I501" s="7"/>
      <c r="J501" s="39"/>
      <c r="K501" s="41"/>
    </row>
    <row r="502" spans="1:12" ht="15.75" x14ac:dyDescent="0.25">
      <c r="A502" s="103" t="s">
        <v>39</v>
      </c>
      <c r="C502" s="89"/>
      <c r="D502" s="57">
        <f t="shared" ref="D502:I502" si="67" xml:space="preserve"> D477 + D482 + D488 + D498 + D500</f>
        <v>0</v>
      </c>
      <c r="E502" s="58">
        <f t="shared" si="67"/>
        <v>0</v>
      </c>
      <c r="F502" s="59">
        <f t="shared" si="67"/>
        <v>0</v>
      </c>
      <c r="G502" s="59">
        <f t="shared" si="67"/>
        <v>416</v>
      </c>
      <c r="H502" s="59">
        <f t="shared" si="67"/>
        <v>8804</v>
      </c>
      <c r="I502" s="59">
        <f t="shared" si="67"/>
        <v>8804</v>
      </c>
      <c r="J502" s="39"/>
      <c r="K502" s="41"/>
    </row>
    <row r="503" spans="1:12" x14ac:dyDescent="0.25">
      <c r="B503" s="6"/>
      <c r="D503" s="7"/>
      <c r="E503" s="7"/>
      <c r="F503" s="7"/>
      <c r="G503" s="39"/>
      <c r="H503" s="39"/>
      <c r="I503" s="39"/>
      <c r="J503" s="39"/>
      <c r="K503" s="41"/>
    </row>
    <row r="504" spans="1:12" x14ac:dyDescent="0.25">
      <c r="B504" s="6"/>
      <c r="D504" s="7"/>
      <c r="E504" s="7"/>
      <c r="F504" s="7"/>
      <c r="G504" s="39"/>
      <c r="H504" s="39"/>
      <c r="I504" s="39"/>
      <c r="J504" s="39"/>
      <c r="K504" s="41"/>
    </row>
    <row r="505" spans="1:12" ht="15.75" customHeight="1" thickBot="1" x14ac:dyDescent="0.3">
      <c r="A505" s="185" t="s">
        <v>114</v>
      </c>
      <c r="B505" s="185"/>
      <c r="C505" s="185"/>
      <c r="D505" s="185"/>
      <c r="E505" s="185"/>
      <c r="F505" s="185"/>
      <c r="G505" s="185"/>
      <c r="H505" s="185"/>
      <c r="I505" s="185"/>
      <c r="J505" s="168"/>
      <c r="K505" s="168"/>
      <c r="L505" s="168"/>
    </row>
    <row r="506" spans="1:12" x14ac:dyDescent="0.25">
      <c r="A506" s="8"/>
      <c r="B506" s="8"/>
      <c r="C506" s="8"/>
      <c r="D506" s="8"/>
      <c r="E506" s="8"/>
      <c r="F506" s="8"/>
      <c r="G506" s="8"/>
      <c r="H506" s="8"/>
      <c r="I506" s="8"/>
      <c r="J506" s="41"/>
      <c r="K506" s="41"/>
    </row>
    <row r="507" spans="1:12" ht="21" x14ac:dyDescent="0.35">
      <c r="A507" s="16" t="s">
        <v>4</v>
      </c>
      <c r="B507" s="16"/>
      <c r="C507" s="54" t="str">
        <f>B15</f>
        <v>Nine Mile #2</v>
      </c>
      <c r="D507" s="55"/>
      <c r="E507" s="26"/>
      <c r="F507" s="26"/>
      <c r="J507" s="39"/>
      <c r="K507" s="41"/>
    </row>
    <row r="508" spans="1:12" x14ac:dyDescent="0.25">
      <c r="J508" s="39"/>
      <c r="K508" s="41"/>
    </row>
    <row r="509" spans="1:12" ht="18.75" x14ac:dyDescent="0.3">
      <c r="A509" s="9" t="s">
        <v>95</v>
      </c>
      <c r="B509" s="9"/>
      <c r="D509" s="2">
        <v>2013</v>
      </c>
      <c r="E509" s="2">
        <f>D509+1</f>
        <v>2014</v>
      </c>
      <c r="F509" s="2">
        <f>E509+1</f>
        <v>2015</v>
      </c>
      <c r="G509" s="2">
        <f>F509+1</f>
        <v>2016</v>
      </c>
      <c r="H509" s="2">
        <f>G509+1</f>
        <v>2017</v>
      </c>
      <c r="I509" s="2">
        <f>H509+1</f>
        <v>2018</v>
      </c>
      <c r="J509" s="39"/>
      <c r="K509" s="41"/>
    </row>
    <row r="510" spans="1:12" x14ac:dyDescent="0.25">
      <c r="B510" s="100" t="str">
        <f>"Total MWh Produced / Purchased from " &amp; C507</f>
        <v>Total MWh Produced / Purchased from Nine Mile #2</v>
      </c>
      <c r="C510" s="89"/>
      <c r="D510" s="3">
        <v>0</v>
      </c>
      <c r="E510" s="4">
        <v>0</v>
      </c>
      <c r="F510" s="5">
        <v>0</v>
      </c>
      <c r="G510" s="5">
        <v>977</v>
      </c>
      <c r="H510" s="5">
        <v>13146</v>
      </c>
      <c r="I510" s="5">
        <v>13146</v>
      </c>
      <c r="J510" s="39"/>
      <c r="K510" s="41"/>
    </row>
    <row r="511" spans="1:12" x14ac:dyDescent="0.25">
      <c r="B511" s="100" t="s">
        <v>38</v>
      </c>
      <c r="C511" s="89"/>
      <c r="D511" s="69">
        <v>1</v>
      </c>
      <c r="E511" s="70">
        <v>1</v>
      </c>
      <c r="F511" s="71">
        <v>1</v>
      </c>
      <c r="G511" s="71">
        <v>1</v>
      </c>
      <c r="H511" s="71">
        <v>1</v>
      </c>
      <c r="I511" s="71">
        <v>1</v>
      </c>
      <c r="J511" s="39"/>
      <c r="K511" s="41"/>
    </row>
    <row r="512" spans="1:12" x14ac:dyDescent="0.25">
      <c r="B512" s="100" t="s">
        <v>32</v>
      </c>
      <c r="C512" s="89"/>
      <c r="D512" s="62">
        <v>1</v>
      </c>
      <c r="E512" s="63">
        <v>1</v>
      </c>
      <c r="F512" s="64">
        <v>1</v>
      </c>
      <c r="G512" s="64">
        <v>1</v>
      </c>
      <c r="H512" s="64">
        <v>1</v>
      </c>
      <c r="I512" s="64">
        <v>1</v>
      </c>
      <c r="J512" s="39"/>
      <c r="K512" s="41"/>
    </row>
    <row r="513" spans="1:11" x14ac:dyDescent="0.25">
      <c r="B513" s="97" t="s">
        <v>34</v>
      </c>
      <c r="C513" s="98"/>
      <c r="D513" s="49">
        <f t="shared" ref="D513:I513" si="68" xml:space="preserve"> D510 * D511 * D512</f>
        <v>0</v>
      </c>
      <c r="E513" s="49">
        <f t="shared" si="68"/>
        <v>0</v>
      </c>
      <c r="F513" s="49">
        <f t="shared" si="68"/>
        <v>0</v>
      </c>
      <c r="G513" s="49">
        <f t="shared" si="68"/>
        <v>977</v>
      </c>
      <c r="H513" s="49">
        <f t="shared" si="68"/>
        <v>13146</v>
      </c>
      <c r="I513" s="49">
        <f t="shared" si="68"/>
        <v>13146</v>
      </c>
      <c r="J513" s="39"/>
      <c r="K513" s="41"/>
    </row>
    <row r="514" spans="1:11" x14ac:dyDescent="0.25">
      <c r="B514" s="26"/>
      <c r="C514" s="41"/>
      <c r="D514" s="48"/>
      <c r="E514" s="48"/>
      <c r="F514" s="48"/>
      <c r="G514" s="48"/>
      <c r="H514" s="48"/>
      <c r="I514" s="48"/>
      <c r="J514" s="39"/>
      <c r="K514" s="41"/>
    </row>
    <row r="515" spans="1:11" ht="18.75" x14ac:dyDescent="0.3">
      <c r="A515" s="56" t="s">
        <v>36</v>
      </c>
      <c r="C515" s="41"/>
      <c r="D515" s="2">
        <f>D509</f>
        <v>2013</v>
      </c>
      <c r="E515" s="2">
        <f>D515+1</f>
        <v>2014</v>
      </c>
      <c r="F515" s="2">
        <f>E515+1</f>
        <v>2015</v>
      </c>
      <c r="G515" s="2">
        <f>F515+1</f>
        <v>2016</v>
      </c>
      <c r="H515" s="2">
        <f>G515+1</f>
        <v>2017</v>
      </c>
      <c r="I515" s="2">
        <f>H515+1</f>
        <v>2018</v>
      </c>
      <c r="J515" s="39"/>
      <c r="K515" s="41"/>
    </row>
    <row r="516" spans="1:11" x14ac:dyDescent="0.25">
      <c r="B516" s="100" t="s">
        <v>25</v>
      </c>
      <c r="C516" s="89"/>
      <c r="D516" s="65">
        <f>IF( $E118 = "Eligible", D513 * 'Facility Detail'!$B$601, 0 )</f>
        <v>0</v>
      </c>
      <c r="E516" s="65">
        <f>IF( $E118 = "Eligible", E513 * 'Facility Detail'!$B$601, 0 )</f>
        <v>0</v>
      </c>
      <c r="F516" s="65">
        <f>IF( $E118 = "Eligible", F513 * 'Facility Detail'!$B$601, 0 )</f>
        <v>0</v>
      </c>
      <c r="G516" s="65">
        <f>IF( $E118 = "Eligible", G513 * 'Facility Detail'!$B$601, 0 )</f>
        <v>0</v>
      </c>
      <c r="H516" s="65">
        <f>IF( $E118 = "Eligible", H513 * 'Facility Detail'!$B$601, 0 )</f>
        <v>0</v>
      </c>
      <c r="I516" s="65">
        <f>IF( $E118 = "Eligible", I513 * 'Facility Detail'!$B$601, 0 )</f>
        <v>0</v>
      </c>
      <c r="J516" s="39"/>
      <c r="K516" s="41"/>
    </row>
    <row r="517" spans="1:11" x14ac:dyDescent="0.25">
      <c r="B517" s="100" t="s">
        <v>6</v>
      </c>
      <c r="C517" s="89"/>
      <c r="D517" s="66">
        <f t="shared" ref="D517:I517" si="69">IF( $F118 = "Eligible", D513, 0 )</f>
        <v>0</v>
      </c>
      <c r="E517" s="67">
        <f t="shared" si="69"/>
        <v>0</v>
      </c>
      <c r="F517" s="68">
        <f t="shared" si="69"/>
        <v>0</v>
      </c>
      <c r="G517" s="68">
        <f t="shared" si="69"/>
        <v>0</v>
      </c>
      <c r="H517" s="68">
        <f t="shared" si="69"/>
        <v>0</v>
      </c>
      <c r="I517" s="68">
        <f t="shared" si="69"/>
        <v>0</v>
      </c>
      <c r="J517" s="39"/>
      <c r="K517" s="41"/>
    </row>
    <row r="518" spans="1:11" x14ac:dyDescent="0.25">
      <c r="B518" s="99" t="s">
        <v>45</v>
      </c>
      <c r="C518" s="98"/>
      <c r="D518" s="51">
        <f t="shared" ref="D518:I518" si="70">SUM(D516:D517)</f>
        <v>0</v>
      </c>
      <c r="E518" s="52">
        <f t="shared" si="70"/>
        <v>0</v>
      </c>
      <c r="F518" s="52">
        <f t="shared" si="70"/>
        <v>0</v>
      </c>
      <c r="G518" s="52">
        <f t="shared" si="70"/>
        <v>0</v>
      </c>
      <c r="H518" s="52">
        <f t="shared" si="70"/>
        <v>0</v>
      </c>
      <c r="I518" s="52">
        <f t="shared" si="70"/>
        <v>0</v>
      </c>
      <c r="J518" s="39"/>
      <c r="K518" s="41"/>
    </row>
    <row r="519" spans="1:11" x14ac:dyDescent="0.25">
      <c r="B519" s="41"/>
      <c r="C519" s="41"/>
      <c r="D519" s="50"/>
      <c r="E519" s="42"/>
      <c r="F519" s="42"/>
      <c r="G519" s="42"/>
      <c r="H519" s="42"/>
      <c r="I519" s="42"/>
      <c r="J519" s="39"/>
      <c r="K519" s="41"/>
    </row>
    <row r="520" spans="1:11" ht="18.75" x14ac:dyDescent="0.3">
      <c r="A520" s="53" t="s">
        <v>43</v>
      </c>
      <c r="C520" s="41"/>
      <c r="D520" s="2">
        <f>D509</f>
        <v>2013</v>
      </c>
      <c r="E520" s="2">
        <f>D520+1</f>
        <v>2014</v>
      </c>
      <c r="F520" s="2">
        <f>E520+1</f>
        <v>2015</v>
      </c>
      <c r="G520" s="2">
        <f>F520+1</f>
        <v>2016</v>
      </c>
      <c r="H520" s="2">
        <f>G520+1</f>
        <v>2017</v>
      </c>
      <c r="I520" s="2">
        <f>H520+1</f>
        <v>2018</v>
      </c>
      <c r="J520" s="39"/>
      <c r="K520" s="41"/>
    </row>
    <row r="521" spans="1:11" x14ac:dyDescent="0.25">
      <c r="B521" s="100" t="s">
        <v>47</v>
      </c>
      <c r="C521" s="89"/>
      <c r="D521" s="108">
        <v>0</v>
      </c>
      <c r="E521" s="109">
        <v>0</v>
      </c>
      <c r="F521" s="110">
        <v>0</v>
      </c>
      <c r="G521" s="110"/>
      <c r="H521" s="110"/>
      <c r="I521" s="110"/>
      <c r="J521" s="39"/>
      <c r="K521" s="41"/>
    </row>
    <row r="522" spans="1:11" x14ac:dyDescent="0.25">
      <c r="B522" s="101" t="s">
        <v>35</v>
      </c>
      <c r="C522" s="102"/>
      <c r="D522" s="111">
        <v>0</v>
      </c>
      <c r="E522" s="112">
        <v>0</v>
      </c>
      <c r="F522" s="113">
        <v>0</v>
      </c>
      <c r="G522" s="113">
        <v>0</v>
      </c>
      <c r="H522" s="113">
        <v>0</v>
      </c>
      <c r="I522" s="113"/>
      <c r="J522" s="39"/>
      <c r="K522" s="41"/>
    </row>
    <row r="523" spans="1:11" x14ac:dyDescent="0.25">
      <c r="B523" s="114" t="s">
        <v>49</v>
      </c>
      <c r="C523" s="106"/>
      <c r="D523" s="72"/>
      <c r="E523" s="73"/>
      <c r="F523" s="74"/>
      <c r="G523" s="74"/>
      <c r="H523" s="74"/>
      <c r="I523" s="74"/>
      <c r="J523" s="39"/>
      <c r="K523" s="41"/>
    </row>
    <row r="524" spans="1:11" x14ac:dyDescent="0.25">
      <c r="B524" s="44" t="s">
        <v>50</v>
      </c>
      <c r="D524" s="7">
        <f t="shared" ref="D524:I524" si="71">SUM(D521:D523)</f>
        <v>0</v>
      </c>
      <c r="E524" s="7">
        <f t="shared" si="71"/>
        <v>0</v>
      </c>
      <c r="F524" s="7">
        <f t="shared" si="71"/>
        <v>0</v>
      </c>
      <c r="G524" s="7">
        <f t="shared" si="71"/>
        <v>0</v>
      </c>
      <c r="H524" s="7">
        <f t="shared" si="71"/>
        <v>0</v>
      </c>
      <c r="I524" s="7">
        <f t="shared" si="71"/>
        <v>0</v>
      </c>
      <c r="J524" s="39"/>
      <c r="K524" s="41"/>
    </row>
    <row r="525" spans="1:11" x14ac:dyDescent="0.25">
      <c r="B525" s="6"/>
      <c r="D525" s="7"/>
      <c r="E525" s="7"/>
      <c r="F525" s="7"/>
      <c r="G525" s="7"/>
      <c r="H525" s="7"/>
      <c r="I525" s="7"/>
      <c r="J525" s="39"/>
      <c r="K525" s="41"/>
    </row>
    <row r="526" spans="1:11" ht="18.75" x14ac:dyDescent="0.3">
      <c r="A526" s="9" t="s">
        <v>51</v>
      </c>
      <c r="D526" s="2">
        <f>D509</f>
        <v>2013</v>
      </c>
      <c r="E526" s="2">
        <f>D526+1</f>
        <v>2014</v>
      </c>
      <c r="F526" s="2">
        <f>E526+1</f>
        <v>2015</v>
      </c>
      <c r="G526" s="2">
        <f>F526+1</f>
        <v>2016</v>
      </c>
      <c r="H526" s="2">
        <f>G526+1</f>
        <v>2017</v>
      </c>
      <c r="I526" s="2">
        <f>H526+1</f>
        <v>2018</v>
      </c>
      <c r="J526" s="39"/>
      <c r="K526" s="41"/>
    </row>
    <row r="527" spans="1:11" x14ac:dyDescent="0.25">
      <c r="B527" s="100" t="str">
        <f xml:space="preserve"> 'Facility Detail'!$B$604 &amp; " Surplus Applied to " &amp; ( 'Facility Detail'!$B$604 + 1 )</f>
        <v>2013 Surplus Applied to 2014</v>
      </c>
      <c r="C527" s="89"/>
      <c r="D527" s="3"/>
      <c r="E527" s="75">
        <f>D527</f>
        <v>0</v>
      </c>
      <c r="F527" s="156"/>
      <c r="G527" s="77"/>
      <c r="H527" s="77"/>
      <c r="I527" s="77"/>
      <c r="J527" s="39"/>
      <c r="K527" s="41"/>
    </row>
    <row r="528" spans="1:11" x14ac:dyDescent="0.25">
      <c r="B528" s="100" t="str">
        <f xml:space="preserve"> ( 'Facility Detail'!$B$604 + 1 ) &amp; " Surplus Applied to " &amp; ( 'Facility Detail'!$B$604 )</f>
        <v>2014 Surplus Applied to 2013</v>
      </c>
      <c r="C528" s="89"/>
      <c r="D528" s="157">
        <f>E528</f>
        <v>0</v>
      </c>
      <c r="E528" s="10"/>
      <c r="F528" s="94"/>
      <c r="G528" s="93"/>
      <c r="H528" s="93"/>
      <c r="I528" s="93"/>
      <c r="J528" s="39"/>
      <c r="K528" s="41"/>
    </row>
    <row r="529" spans="1:12" x14ac:dyDescent="0.25">
      <c r="B529" s="100" t="str">
        <f xml:space="preserve"> ( 'Facility Detail'!$B$604 + 1 ) &amp; " Surplus Applied to " &amp; ( 'Facility Detail'!$B$604 + 2 )</f>
        <v>2014 Surplus Applied to 2015</v>
      </c>
      <c r="C529" s="89"/>
      <c r="D529" s="78"/>
      <c r="E529" s="10"/>
      <c r="F529" s="88">
        <f>E529</f>
        <v>0</v>
      </c>
      <c r="G529" s="93"/>
      <c r="H529" s="93"/>
      <c r="I529" s="93"/>
      <c r="J529" s="39"/>
      <c r="K529" s="41"/>
    </row>
    <row r="530" spans="1:12" x14ac:dyDescent="0.25">
      <c r="B530" s="100" t="str">
        <f xml:space="preserve"> ( 'Facility Detail'!$B$604 + 2 ) &amp; " Surplus Applied to " &amp; ( 'Facility Detail'!$B$604 + 1 )</f>
        <v>2015 Surplus Applied to 2014</v>
      </c>
      <c r="C530" s="89"/>
      <c r="D530" s="78"/>
      <c r="E530" s="88">
        <f>F530</f>
        <v>0</v>
      </c>
      <c r="F530" s="10"/>
      <c r="G530" s="93"/>
      <c r="H530" s="93"/>
      <c r="I530" s="93"/>
      <c r="J530" s="39"/>
      <c r="K530" s="41"/>
    </row>
    <row r="531" spans="1:12" x14ac:dyDescent="0.25">
      <c r="B531" s="100" t="str">
        <f xml:space="preserve"> ( 'Facility Detail'!$B$604 + 2 ) &amp; " Surplus Applied to " &amp; ( 'Facility Detail'!$B$604 + 3 )</f>
        <v>2015 Surplus Applied to 2016</v>
      </c>
      <c r="C531" s="41"/>
      <c r="D531" s="78"/>
      <c r="E531" s="94"/>
      <c r="F531" s="10"/>
      <c r="G531" s="158">
        <f>F531</f>
        <v>0</v>
      </c>
      <c r="H531" s="158">
        <f>G531</f>
        <v>0</v>
      </c>
      <c r="I531" s="158">
        <f>H531</f>
        <v>0</v>
      </c>
      <c r="J531" s="39"/>
      <c r="K531" s="41"/>
    </row>
    <row r="532" spans="1:12" x14ac:dyDescent="0.25">
      <c r="B532" s="100" t="str">
        <f xml:space="preserve"> ( 'Facility Detail'!$B$604 +3 ) &amp; " Surplus Applied to " &amp; ( 'Facility Detail'!$B$604 + 2 )</f>
        <v>2016 Surplus Applied to 2015</v>
      </c>
      <c r="C532" s="41"/>
      <c r="D532" s="79"/>
      <c r="E532" s="95"/>
      <c r="F532" s="76">
        <f>G532</f>
        <v>0</v>
      </c>
      <c r="G532" s="159"/>
      <c r="H532" s="159"/>
      <c r="I532" s="159"/>
      <c r="J532" s="39"/>
      <c r="K532" s="41"/>
    </row>
    <row r="533" spans="1:12" x14ac:dyDescent="0.25">
      <c r="B533" s="100" t="str">
        <f xml:space="preserve"> ( 'Facility Detail'!$B$604 +3 ) &amp; " Surplus Applied to " &amp; ( 'Facility Detail'!$B$604 + 4 )</f>
        <v>2016 Surplus Applied to 2017</v>
      </c>
      <c r="C533" s="41"/>
      <c r="D533" s="164"/>
      <c r="E533" s="164"/>
      <c r="F533" s="27"/>
      <c r="G533" s="165"/>
      <c r="H533" s="165"/>
      <c r="I533" s="165"/>
      <c r="J533" s="39"/>
      <c r="K533" s="41"/>
    </row>
    <row r="534" spans="1:12" x14ac:dyDescent="0.25">
      <c r="B534" s="44" t="s">
        <v>31</v>
      </c>
      <c r="D534" s="7">
        <f xml:space="preserve"> D528 - D527</f>
        <v>0</v>
      </c>
      <c r="E534" s="7">
        <f xml:space="preserve"> E527 + E530 - E529 - E528</f>
        <v>0</v>
      </c>
      <c r="F534" s="7">
        <f>F529+F532-F530-F531</f>
        <v>0</v>
      </c>
      <c r="G534" s="7">
        <f>G531-G532</f>
        <v>0</v>
      </c>
      <c r="H534" s="7">
        <f>H531-H532</f>
        <v>0</v>
      </c>
      <c r="I534" s="7">
        <f>I531-I532</f>
        <v>0</v>
      </c>
      <c r="J534" s="39"/>
      <c r="K534" s="41"/>
    </row>
    <row r="535" spans="1:12" x14ac:dyDescent="0.25">
      <c r="B535" s="6"/>
      <c r="D535" s="7"/>
      <c r="E535" s="7"/>
      <c r="F535" s="7"/>
      <c r="G535" s="7"/>
      <c r="H535" s="7"/>
      <c r="I535" s="7"/>
      <c r="J535" s="39"/>
      <c r="K535" s="41"/>
    </row>
    <row r="536" spans="1:12" x14ac:dyDescent="0.25">
      <c r="B536" s="107" t="s">
        <v>27</v>
      </c>
      <c r="C536" s="89"/>
      <c r="D536" s="123"/>
      <c r="E536" s="124"/>
      <c r="F536" s="125"/>
      <c r="G536" s="125"/>
      <c r="H536" s="125"/>
      <c r="I536" s="125"/>
      <c r="J536" s="39"/>
      <c r="K536" s="41"/>
    </row>
    <row r="537" spans="1:12" x14ac:dyDescent="0.25">
      <c r="B537" s="6"/>
      <c r="D537" s="7"/>
      <c r="E537" s="7"/>
      <c r="F537" s="7"/>
      <c r="G537" s="7"/>
      <c r="H537" s="7"/>
      <c r="I537" s="7"/>
      <c r="J537" s="39"/>
      <c r="K537" s="41"/>
    </row>
    <row r="538" spans="1:12" ht="15.75" x14ac:dyDescent="0.25">
      <c r="A538" s="103" t="s">
        <v>39</v>
      </c>
      <c r="C538" s="89"/>
      <c r="D538" s="57">
        <f t="shared" ref="D538:I538" si="72" xml:space="preserve"> D513 + D518 + D524 + D534 + D536</f>
        <v>0</v>
      </c>
      <c r="E538" s="58">
        <f t="shared" si="72"/>
        <v>0</v>
      </c>
      <c r="F538" s="59">
        <f t="shared" si="72"/>
        <v>0</v>
      </c>
      <c r="G538" s="59">
        <f t="shared" si="72"/>
        <v>977</v>
      </c>
      <c r="H538" s="59">
        <f t="shared" si="72"/>
        <v>13146</v>
      </c>
      <c r="I538" s="59">
        <f t="shared" si="72"/>
        <v>13146</v>
      </c>
      <c r="J538" s="39"/>
      <c r="K538" s="41"/>
    </row>
    <row r="539" spans="1:12" x14ac:dyDescent="0.25">
      <c r="B539" s="6"/>
      <c r="D539" s="7"/>
      <c r="E539" s="7"/>
      <c r="F539" s="7"/>
      <c r="G539" s="39"/>
      <c r="H539" s="39"/>
      <c r="I539" s="39"/>
      <c r="J539" s="39"/>
      <c r="K539" s="41"/>
    </row>
    <row r="540" spans="1:12" ht="15.75" customHeight="1" x14ac:dyDescent="0.25">
      <c r="A540" s="186" t="s">
        <v>115</v>
      </c>
      <c r="B540" s="186"/>
      <c r="C540" s="186"/>
      <c r="D540" s="186"/>
      <c r="E540" s="186"/>
      <c r="F540" s="186"/>
      <c r="G540" s="186"/>
      <c r="H540" s="186"/>
      <c r="I540" s="186"/>
      <c r="J540" s="39"/>
      <c r="K540" s="41"/>
    </row>
    <row r="541" spans="1:12" ht="15.75" customHeight="1" thickBot="1" x14ac:dyDescent="0.3">
      <c r="G541" s="168"/>
      <c r="H541" s="168"/>
      <c r="I541" s="168"/>
      <c r="J541" s="168"/>
      <c r="K541" s="168"/>
      <c r="L541" s="168"/>
    </row>
    <row r="542" spans="1:12" x14ac:dyDescent="0.25">
      <c r="A542" s="8"/>
      <c r="B542" s="8"/>
      <c r="C542" s="8"/>
      <c r="D542" s="8"/>
      <c r="E542" s="8"/>
      <c r="F542" s="8"/>
      <c r="G542" s="8"/>
      <c r="H542" s="8"/>
      <c r="I542" s="8"/>
      <c r="J542" s="41"/>
      <c r="K542" s="41"/>
    </row>
    <row r="543" spans="1:12" ht="21" x14ac:dyDescent="0.35">
      <c r="A543" s="16" t="s">
        <v>4</v>
      </c>
      <c r="B543" s="16"/>
      <c r="C543" s="54" t="str">
        <f>B16</f>
        <v>Kettle Falls</v>
      </c>
      <c r="D543" s="55"/>
      <c r="E543" s="26"/>
      <c r="F543" s="26"/>
      <c r="J543" s="39"/>
      <c r="K543" s="41"/>
    </row>
    <row r="544" spans="1:12" x14ac:dyDescent="0.25">
      <c r="J544" s="39"/>
      <c r="K544" s="41"/>
    </row>
    <row r="545" spans="1:11" ht="18.75" x14ac:dyDescent="0.3">
      <c r="A545" s="9" t="s">
        <v>95</v>
      </c>
      <c r="B545" s="9"/>
      <c r="D545" s="2">
        <v>2013</v>
      </c>
      <c r="E545" s="2">
        <f>D545+1</f>
        <v>2014</v>
      </c>
      <c r="F545" s="2">
        <f>E545+1</f>
        <v>2015</v>
      </c>
      <c r="G545" s="2">
        <f>F545+1</f>
        <v>2016</v>
      </c>
      <c r="H545" s="2">
        <f>G545+1</f>
        <v>2017</v>
      </c>
      <c r="I545" s="2">
        <f>H545+1</f>
        <v>2018</v>
      </c>
      <c r="J545" s="39"/>
      <c r="K545" s="41"/>
    </row>
    <row r="546" spans="1:11" x14ac:dyDescent="0.25">
      <c r="B546" s="100" t="str">
        <f>"Total MWh Produced / Purchased from " &amp; C543</f>
        <v>Total MWh Produced / Purchased from Kettle Falls</v>
      </c>
      <c r="C546" s="89"/>
      <c r="D546" s="3">
        <v>0</v>
      </c>
      <c r="E546" s="4">
        <v>0</v>
      </c>
      <c r="F546" s="5">
        <v>0</v>
      </c>
      <c r="G546" s="5">
        <v>323869</v>
      </c>
      <c r="H546" s="5">
        <v>287143</v>
      </c>
      <c r="I546" s="5">
        <v>287143</v>
      </c>
      <c r="J546" s="39"/>
      <c r="K546" s="41"/>
    </row>
    <row r="547" spans="1:11" x14ac:dyDescent="0.25">
      <c r="B547" s="100" t="s">
        <v>38</v>
      </c>
      <c r="C547" s="89"/>
      <c r="D547" s="69">
        <v>1</v>
      </c>
      <c r="E547" s="70">
        <v>1</v>
      </c>
      <c r="F547" s="71">
        <v>1</v>
      </c>
      <c r="G547" s="71">
        <v>1</v>
      </c>
      <c r="H547" s="71">
        <v>1</v>
      </c>
      <c r="I547" s="71">
        <v>1</v>
      </c>
      <c r="J547" s="39"/>
      <c r="K547" s="41"/>
    </row>
    <row r="548" spans="1:11" x14ac:dyDescent="0.25">
      <c r="B548" s="100" t="s">
        <v>32</v>
      </c>
      <c r="C548" s="89"/>
      <c r="D548" s="62">
        <v>1</v>
      </c>
      <c r="E548" s="63">
        <v>1</v>
      </c>
      <c r="F548" s="64">
        <v>1</v>
      </c>
      <c r="G548" s="64">
        <v>1</v>
      </c>
      <c r="H548" s="64">
        <v>1</v>
      </c>
      <c r="I548" s="64">
        <v>1</v>
      </c>
      <c r="J548" s="39"/>
      <c r="K548" s="41"/>
    </row>
    <row r="549" spans="1:11" x14ac:dyDescent="0.25">
      <c r="B549" s="97" t="s">
        <v>34</v>
      </c>
      <c r="C549" s="98"/>
      <c r="D549" s="49">
        <f t="shared" ref="D549:I549" si="73" xml:space="preserve"> D546 * D547 * D548</f>
        <v>0</v>
      </c>
      <c r="E549" s="49">
        <f t="shared" si="73"/>
        <v>0</v>
      </c>
      <c r="F549" s="49">
        <f t="shared" si="73"/>
        <v>0</v>
      </c>
      <c r="G549" s="49">
        <f t="shared" si="73"/>
        <v>323869</v>
      </c>
      <c r="H549" s="49">
        <f t="shared" si="73"/>
        <v>287143</v>
      </c>
      <c r="I549" s="49">
        <f t="shared" si="73"/>
        <v>287143</v>
      </c>
      <c r="J549" s="39"/>
      <c r="K549" s="41"/>
    </row>
    <row r="550" spans="1:11" x14ac:dyDescent="0.25">
      <c r="B550" s="26"/>
      <c r="C550" s="41"/>
      <c r="D550" s="48"/>
      <c r="E550" s="48"/>
      <c r="F550" s="48"/>
      <c r="G550" s="48"/>
      <c r="H550" s="48"/>
      <c r="I550" s="48"/>
      <c r="J550" s="39"/>
      <c r="K550" s="41"/>
    </row>
    <row r="551" spans="1:11" ht="18.75" x14ac:dyDescent="0.3">
      <c r="A551" s="56" t="s">
        <v>36</v>
      </c>
      <c r="C551" s="41"/>
      <c r="D551" s="2">
        <f>D545</f>
        <v>2013</v>
      </c>
      <c r="E551" s="2">
        <f>D551+1</f>
        <v>2014</v>
      </c>
      <c r="F551" s="2">
        <f>E551+1</f>
        <v>2015</v>
      </c>
      <c r="G551" s="2">
        <f>F551+1</f>
        <v>2016</v>
      </c>
      <c r="H551" s="2">
        <f>G551+1</f>
        <v>2017</v>
      </c>
      <c r="I551" s="2">
        <f>H551+1</f>
        <v>2018</v>
      </c>
      <c r="J551" s="39"/>
      <c r="K551" s="41"/>
    </row>
    <row r="552" spans="1:11" x14ac:dyDescent="0.25">
      <c r="B552" s="100" t="s">
        <v>25</v>
      </c>
      <c r="C552" s="89"/>
      <c r="D552" s="65">
        <f>IF( $E154 = "Eligible", D549 * 'Facility Detail'!$B$601, 0 )</f>
        <v>0</v>
      </c>
      <c r="E552" s="65">
        <f>IF( $E154 = "Eligible", E549 * 'Facility Detail'!$B$601, 0 )</f>
        <v>0</v>
      </c>
      <c r="F552" s="65">
        <f>IF( $E154 = "Eligible", F549 * 'Facility Detail'!$B$601, 0 )</f>
        <v>0</v>
      </c>
      <c r="G552" s="65">
        <f>IF( $E154 = "Eligible", G549 * 'Facility Detail'!$B$601, 0 )</f>
        <v>0</v>
      </c>
      <c r="H552" s="167">
        <f>IF( $E154 = "Eligible", H549 * 'Facility Detail'!$B$601, 0 )</f>
        <v>0</v>
      </c>
      <c r="I552" s="167">
        <f>IF( $E154 = "Eligible", I549 * 'Facility Detail'!$B$601, 0 )</f>
        <v>0</v>
      </c>
      <c r="J552" s="39"/>
      <c r="K552" s="41"/>
    </row>
    <row r="553" spans="1:11" x14ac:dyDescent="0.25">
      <c r="B553" s="100" t="s">
        <v>6</v>
      </c>
      <c r="C553" s="89"/>
      <c r="D553" s="66">
        <f t="shared" ref="D553:I553" si="74">IF( $F154 = "Eligible", D549, 0 )</f>
        <v>0</v>
      </c>
      <c r="E553" s="67">
        <f t="shared" si="74"/>
        <v>0</v>
      </c>
      <c r="F553" s="68">
        <f t="shared" si="74"/>
        <v>0</v>
      </c>
      <c r="G553" s="68">
        <f t="shared" si="74"/>
        <v>0</v>
      </c>
      <c r="H553" s="68">
        <f t="shared" si="74"/>
        <v>0</v>
      </c>
      <c r="I553" s="68">
        <f t="shared" si="74"/>
        <v>0</v>
      </c>
      <c r="J553" s="39"/>
      <c r="K553" s="41"/>
    </row>
    <row r="554" spans="1:11" x14ac:dyDescent="0.25">
      <c r="B554" s="99" t="s">
        <v>45</v>
      </c>
      <c r="C554" s="98"/>
      <c r="D554" s="51">
        <f t="shared" ref="D554:I554" si="75">SUM(D552:D553)</f>
        <v>0</v>
      </c>
      <c r="E554" s="52">
        <f t="shared" si="75"/>
        <v>0</v>
      </c>
      <c r="F554" s="52">
        <f t="shared" si="75"/>
        <v>0</v>
      </c>
      <c r="G554" s="52">
        <f t="shared" si="75"/>
        <v>0</v>
      </c>
      <c r="H554" s="52">
        <f t="shared" si="75"/>
        <v>0</v>
      </c>
      <c r="I554" s="52">
        <f t="shared" si="75"/>
        <v>0</v>
      </c>
      <c r="J554" s="39"/>
      <c r="K554" s="41"/>
    </row>
    <row r="555" spans="1:11" x14ac:dyDescent="0.25">
      <c r="B555" s="41"/>
      <c r="C555" s="41"/>
      <c r="D555" s="50"/>
      <c r="E555" s="42"/>
      <c r="F555" s="42"/>
      <c r="G555" s="42"/>
      <c r="H555" s="42"/>
      <c r="I555" s="42"/>
      <c r="J555" s="39"/>
      <c r="K555" s="41"/>
    </row>
    <row r="556" spans="1:11" ht="18.75" x14ac:dyDescent="0.3">
      <c r="A556" s="53" t="s">
        <v>43</v>
      </c>
      <c r="C556" s="41"/>
      <c r="D556" s="2">
        <f>D545</f>
        <v>2013</v>
      </c>
      <c r="E556" s="2">
        <f>D556+1</f>
        <v>2014</v>
      </c>
      <c r="F556" s="2">
        <f>E556+1</f>
        <v>2015</v>
      </c>
      <c r="G556" s="2">
        <f>F556+1</f>
        <v>2016</v>
      </c>
      <c r="H556" s="2">
        <f>G556+1</f>
        <v>2017</v>
      </c>
      <c r="I556" s="2">
        <f>H556+1</f>
        <v>2018</v>
      </c>
      <c r="J556" s="39"/>
      <c r="K556" s="41"/>
    </row>
    <row r="557" spans="1:11" x14ac:dyDescent="0.25">
      <c r="B557" s="100" t="s">
        <v>111</v>
      </c>
      <c r="C557" s="89"/>
      <c r="D557" s="108">
        <v>0</v>
      </c>
      <c r="E557" s="109">
        <v>0</v>
      </c>
      <c r="F557" s="110">
        <v>0</v>
      </c>
      <c r="G557" s="110">
        <v>-279882</v>
      </c>
      <c r="H557" s="110">
        <v>-234095</v>
      </c>
      <c r="I557" s="110">
        <v>-99118</v>
      </c>
      <c r="J557" s="39"/>
      <c r="K557" s="41"/>
    </row>
    <row r="558" spans="1:11" x14ac:dyDescent="0.25">
      <c r="B558" s="101" t="s">
        <v>35</v>
      </c>
      <c r="C558" s="102"/>
      <c r="D558" s="111">
        <v>0</v>
      </c>
      <c r="E558" s="112">
        <v>0</v>
      </c>
      <c r="F558" s="113">
        <v>0</v>
      </c>
      <c r="G558" s="113">
        <v>0</v>
      </c>
      <c r="H558" s="113">
        <v>0</v>
      </c>
      <c r="I558" s="113">
        <v>0</v>
      </c>
      <c r="J558" s="39"/>
      <c r="K558" s="41"/>
    </row>
    <row r="559" spans="1:11" x14ac:dyDescent="0.25">
      <c r="B559" s="114" t="s">
        <v>49</v>
      </c>
      <c r="C559" s="106"/>
      <c r="D559" s="72"/>
      <c r="E559" s="73"/>
      <c r="F559" s="74"/>
      <c r="G559" s="74"/>
      <c r="H559" s="74"/>
      <c r="I559" s="74"/>
      <c r="J559" s="39"/>
      <c r="K559" s="41"/>
    </row>
    <row r="560" spans="1:11" x14ac:dyDescent="0.25">
      <c r="B560" s="44" t="s">
        <v>50</v>
      </c>
      <c r="D560" s="7">
        <f t="shared" ref="D560:I560" si="76">SUM(D557:D559)</f>
        <v>0</v>
      </c>
      <c r="E560" s="7">
        <f t="shared" si="76"/>
        <v>0</v>
      </c>
      <c r="F560" s="7">
        <f t="shared" si="76"/>
        <v>0</v>
      </c>
      <c r="G560" s="7">
        <f t="shared" si="76"/>
        <v>-279882</v>
      </c>
      <c r="H560" s="7">
        <f t="shared" si="76"/>
        <v>-234095</v>
      </c>
      <c r="I560" s="7">
        <f t="shared" si="76"/>
        <v>-99118</v>
      </c>
      <c r="J560" s="39"/>
      <c r="K560" s="41"/>
    </row>
    <row r="561" spans="1:11" x14ac:dyDescent="0.25">
      <c r="B561" s="6"/>
      <c r="D561" s="7"/>
      <c r="E561" s="7"/>
      <c r="F561" s="7"/>
      <c r="G561" s="7"/>
      <c r="H561" s="7"/>
      <c r="I561" s="7"/>
      <c r="J561" s="39"/>
      <c r="K561" s="41"/>
    </row>
    <row r="562" spans="1:11" ht="18.75" x14ac:dyDescent="0.3">
      <c r="A562" s="9" t="s">
        <v>51</v>
      </c>
      <c r="D562" s="2">
        <f>D545</f>
        <v>2013</v>
      </c>
      <c r="E562" s="2">
        <f>D562+1</f>
        <v>2014</v>
      </c>
      <c r="F562" s="2">
        <f>E562+1</f>
        <v>2015</v>
      </c>
      <c r="G562" s="2">
        <f>F562+1</f>
        <v>2016</v>
      </c>
      <c r="H562" s="2">
        <f>G562+1</f>
        <v>2017</v>
      </c>
      <c r="I562" s="2">
        <f>H562+1</f>
        <v>2018</v>
      </c>
      <c r="J562" s="39"/>
      <c r="K562" s="41"/>
    </row>
    <row r="563" spans="1:11" x14ac:dyDescent="0.25">
      <c r="B563" s="100" t="str">
        <f xml:space="preserve"> 'Facility Detail'!$B$604 &amp; " Surplus Applied to " &amp; ( 'Facility Detail'!$B$604 + 1 )</f>
        <v>2013 Surplus Applied to 2014</v>
      </c>
      <c r="C563" s="89"/>
      <c r="D563" s="3"/>
      <c r="E563" s="75">
        <f>D563</f>
        <v>0</v>
      </c>
      <c r="F563" s="156"/>
      <c r="G563" s="77"/>
      <c r="H563" s="77"/>
      <c r="I563" s="77"/>
      <c r="J563" s="39"/>
      <c r="K563" s="41"/>
    </row>
    <row r="564" spans="1:11" x14ac:dyDescent="0.25">
      <c r="B564" s="100" t="str">
        <f xml:space="preserve"> ( 'Facility Detail'!$B$604 + 1 ) &amp; " Surplus Applied to " &amp; ( 'Facility Detail'!$B$604 )</f>
        <v>2014 Surplus Applied to 2013</v>
      </c>
      <c r="C564" s="89"/>
      <c r="D564" s="157">
        <f>E564</f>
        <v>0</v>
      </c>
      <c r="E564" s="10"/>
      <c r="F564" s="94"/>
      <c r="G564" s="93"/>
      <c r="H564" s="93"/>
      <c r="I564" s="93"/>
      <c r="J564" s="39"/>
      <c r="K564" s="41"/>
    </row>
    <row r="565" spans="1:11" x14ac:dyDescent="0.25">
      <c r="B565" s="100" t="str">
        <f xml:space="preserve"> ( 'Facility Detail'!$B$604 + 1 ) &amp; " Surplus Applied to " &amp; ( 'Facility Detail'!$B$604 + 2 )</f>
        <v>2014 Surplus Applied to 2015</v>
      </c>
      <c r="C565" s="89"/>
      <c r="D565" s="78"/>
      <c r="E565" s="10"/>
      <c r="F565" s="88">
        <f>E565</f>
        <v>0</v>
      </c>
      <c r="G565" s="93"/>
      <c r="H565" s="93"/>
      <c r="I565" s="93"/>
      <c r="J565" s="39"/>
      <c r="K565" s="41"/>
    </row>
    <row r="566" spans="1:11" x14ac:dyDescent="0.25">
      <c r="B566" s="100" t="str">
        <f xml:space="preserve"> ( 'Facility Detail'!$B$604 + 2 ) &amp; " Surplus Applied to " &amp; ( 'Facility Detail'!$B$604 + 1 )</f>
        <v>2015 Surplus Applied to 2014</v>
      </c>
      <c r="C566" s="89"/>
      <c r="D566" s="78"/>
      <c r="E566" s="88">
        <f>F566</f>
        <v>0</v>
      </c>
      <c r="F566" s="10"/>
      <c r="G566" s="93"/>
      <c r="H566" s="93"/>
      <c r="I566" s="93"/>
      <c r="J566" s="39"/>
      <c r="K566" s="41"/>
    </row>
    <row r="567" spans="1:11" x14ac:dyDescent="0.25">
      <c r="B567" s="100" t="str">
        <f xml:space="preserve"> ( 'Facility Detail'!$B$604 + 2 ) &amp; " Surplus Applied to " &amp; ( 'Facility Detail'!$B$604 + 3 )</f>
        <v>2015 Surplus Applied to 2016</v>
      </c>
      <c r="C567" s="41"/>
      <c r="D567" s="78"/>
      <c r="E567" s="94"/>
      <c r="F567" s="10"/>
      <c r="G567" s="158">
        <f>F567</f>
        <v>0</v>
      </c>
      <c r="H567" s="93"/>
      <c r="I567" s="93">
        <f>H567</f>
        <v>0</v>
      </c>
      <c r="J567" s="39"/>
      <c r="K567" s="41"/>
    </row>
    <row r="568" spans="1:11" x14ac:dyDescent="0.25">
      <c r="B568" s="100" t="str">
        <f xml:space="preserve"> ( 'Facility Detail'!$B$604 +3 ) &amp; " Surplus Applied to " &amp; ( 'Facility Detail'!$B$604 + 2 )</f>
        <v>2016 Surplus Applied to 2015</v>
      </c>
      <c r="C568" s="41"/>
      <c r="D568" s="79"/>
      <c r="E568" s="95"/>
      <c r="F568" s="76">
        <f>G568</f>
        <v>0</v>
      </c>
      <c r="G568" s="10"/>
      <c r="H568" s="93"/>
      <c r="I568" s="93"/>
      <c r="J568" s="39"/>
      <c r="K568" s="41"/>
    </row>
    <row r="569" spans="1:11" x14ac:dyDescent="0.25">
      <c r="B569" s="100" t="str">
        <f xml:space="preserve"> ( 'Facility Detail'!$B$604 +3 ) &amp; " Surplus Applied to " &amp; ( 'Facility Detail'!$B$604 + 4 )</f>
        <v>2016 Surplus Applied to 2017</v>
      </c>
      <c r="C569" s="41"/>
      <c r="D569" s="164"/>
      <c r="E569" s="164"/>
      <c r="F569" s="93"/>
      <c r="G569" s="10"/>
      <c r="H569" s="170">
        <f>G569</f>
        <v>0</v>
      </c>
      <c r="I569" s="93"/>
      <c r="J569" s="39"/>
      <c r="K569" s="41"/>
    </row>
    <row r="570" spans="1:11" x14ac:dyDescent="0.25">
      <c r="B570" s="100" t="str">
        <f xml:space="preserve"> ( 'Facility Detail'!$B$604 + 4 ) &amp; " Surplus Applied to " &amp; ( 'Facility Detail'!$B$604 + 3 )</f>
        <v>2017 Surplus Applied to 2016</v>
      </c>
      <c r="C570" s="41"/>
      <c r="D570" s="164"/>
      <c r="E570" s="164"/>
      <c r="F570" s="93"/>
      <c r="G570" s="170">
        <f>H570</f>
        <v>0</v>
      </c>
      <c r="H570" s="10"/>
      <c r="I570" s="93"/>
      <c r="J570" s="39"/>
      <c r="K570" s="41"/>
    </row>
    <row r="571" spans="1:11" x14ac:dyDescent="0.25">
      <c r="B571" s="100" t="str">
        <f xml:space="preserve"> ( 'Facility Detail'!$B$604 + 4 ) &amp; " Surplus Applied to " &amp; ( 'Facility Detail'!$B$604 + 5 )</f>
        <v>2017 Surplus Applied to 2018</v>
      </c>
      <c r="C571" s="41"/>
      <c r="D571" s="164"/>
      <c r="E571" s="164"/>
      <c r="F571" s="93"/>
      <c r="G571" s="93"/>
      <c r="H571" s="10"/>
      <c r="I571" s="170">
        <f>H571</f>
        <v>0</v>
      </c>
      <c r="J571" s="39"/>
      <c r="K571" s="41"/>
    </row>
    <row r="572" spans="1:11" x14ac:dyDescent="0.25">
      <c r="B572" s="100" t="str">
        <f xml:space="preserve"> ( 'Facility Detail'!$B$604 + 5 ) &amp; " Surplus Applied to " &amp; ( 'Facility Detail'!$B$604 + 4 )</f>
        <v>2018 Surplus Applied to 2017</v>
      </c>
      <c r="C572" s="41"/>
      <c r="D572" s="164"/>
      <c r="E572" s="164"/>
      <c r="F572" s="93"/>
      <c r="G572" s="93"/>
      <c r="H572" s="170">
        <f>I572</f>
        <v>0</v>
      </c>
      <c r="I572" s="10"/>
      <c r="J572" s="39"/>
      <c r="K572" s="41"/>
    </row>
    <row r="573" spans="1:11" x14ac:dyDescent="0.25">
      <c r="B573" s="100" t="str">
        <f xml:space="preserve"> ( 'Facility Detail'!$B$604 + 5 ) &amp; " Surplus Applied to " &amp; ( 'Facility Detail'!$B$604 + 6 )</f>
        <v>2018 Surplus Applied to 2019</v>
      </c>
      <c r="C573" s="41"/>
      <c r="D573" s="164"/>
      <c r="E573" s="164"/>
      <c r="F573" s="93"/>
      <c r="G573" s="93"/>
      <c r="H573" s="93"/>
      <c r="I573" s="10"/>
      <c r="J573" s="39"/>
      <c r="K573" s="41"/>
    </row>
    <row r="574" spans="1:11" x14ac:dyDescent="0.25">
      <c r="B574" s="44" t="s">
        <v>31</v>
      </c>
      <c r="D574" s="7">
        <f xml:space="preserve"> D564 - D563</f>
        <v>0</v>
      </c>
      <c r="E574" s="7">
        <f xml:space="preserve"> E563 + E566 - E565 - E564</f>
        <v>0</v>
      </c>
      <c r="F574" s="7">
        <f>F565+F568-F566-F567</f>
        <v>0</v>
      </c>
      <c r="G574" s="7">
        <f>G567-G568</f>
        <v>0</v>
      </c>
      <c r="H574" s="7">
        <f>H567-H568</f>
        <v>0</v>
      </c>
      <c r="I574" s="7">
        <f>I567-I568</f>
        <v>0</v>
      </c>
      <c r="J574" s="39"/>
      <c r="K574" s="41"/>
    </row>
    <row r="575" spans="1:11" x14ac:dyDescent="0.25">
      <c r="B575" s="6"/>
      <c r="D575" s="7"/>
      <c r="E575" s="7"/>
      <c r="F575" s="7"/>
      <c r="G575" s="7"/>
      <c r="H575" s="7"/>
      <c r="I575" s="7"/>
      <c r="J575" s="39"/>
      <c r="K575" s="41"/>
    </row>
    <row r="576" spans="1:11" x14ac:dyDescent="0.25">
      <c r="B576" s="107" t="s">
        <v>27</v>
      </c>
      <c r="C576" s="89"/>
      <c r="D576" s="123"/>
      <c r="E576" s="124"/>
      <c r="F576" s="125"/>
      <c r="G576" s="125"/>
      <c r="H576" s="125"/>
      <c r="I576" s="125"/>
      <c r="J576" s="39"/>
      <c r="K576" s="41"/>
    </row>
    <row r="577" spans="1:12" x14ac:dyDescent="0.25">
      <c r="B577" s="6"/>
      <c r="D577" s="7"/>
      <c r="E577" s="7"/>
      <c r="F577" s="7"/>
      <c r="G577" s="7"/>
      <c r="H577" s="7"/>
      <c r="I577" s="7"/>
      <c r="J577" s="39"/>
      <c r="K577" s="41"/>
    </row>
    <row r="578" spans="1:12" ht="15.75" x14ac:dyDescent="0.25">
      <c r="A578" s="103" t="s">
        <v>39</v>
      </c>
      <c r="C578" s="89"/>
      <c r="D578" s="57">
        <f t="shared" ref="D578:I578" si="77" xml:space="preserve"> D549 + D554 + D560 + D574 + D576</f>
        <v>0</v>
      </c>
      <c r="E578" s="58">
        <f t="shared" si="77"/>
        <v>0</v>
      </c>
      <c r="F578" s="59">
        <f t="shared" si="77"/>
        <v>0</v>
      </c>
      <c r="G578" s="59">
        <f t="shared" si="77"/>
        <v>43987</v>
      </c>
      <c r="H578" s="59">
        <f t="shared" si="77"/>
        <v>53048</v>
      </c>
      <c r="I578" s="59">
        <f t="shared" si="77"/>
        <v>188025</v>
      </c>
      <c r="J578" s="39"/>
      <c r="K578" s="41"/>
    </row>
    <row r="579" spans="1:12" x14ac:dyDescent="0.25">
      <c r="B579" s="6"/>
      <c r="D579" s="7"/>
      <c r="E579" s="7"/>
      <c r="F579" s="7"/>
      <c r="G579" s="39"/>
      <c r="H579" s="39"/>
      <c r="I579" s="39"/>
      <c r="J579" s="39"/>
      <c r="K579" s="41"/>
    </row>
    <row r="580" spans="1:12" x14ac:dyDescent="0.25">
      <c r="A580" s="1" t="s">
        <v>108</v>
      </c>
      <c r="B580" s="6"/>
      <c r="D580" s="7"/>
      <c r="E580" s="7"/>
      <c r="F580" s="7"/>
      <c r="G580" s="39"/>
      <c r="H580" s="39"/>
      <c r="I580" s="39"/>
      <c r="J580" s="39"/>
      <c r="K580" s="41"/>
    </row>
    <row r="581" spans="1:12" ht="15.75" customHeight="1" thickBot="1" x14ac:dyDescent="0.3">
      <c r="A581" s="183" t="s">
        <v>112</v>
      </c>
      <c r="B581" s="183"/>
      <c r="C581" s="183"/>
      <c r="D581" s="183"/>
      <c r="E581" s="183"/>
      <c r="F581" s="183"/>
      <c r="G581" s="168"/>
      <c r="H581" s="168"/>
      <c r="I581" s="168"/>
      <c r="J581" s="168"/>
      <c r="K581" s="168"/>
      <c r="L581" s="168"/>
    </row>
    <row r="582" spans="1:12" x14ac:dyDescent="0.25">
      <c r="A582" s="161"/>
      <c r="B582" s="161"/>
      <c r="C582" s="161"/>
      <c r="D582" s="161"/>
      <c r="E582" s="161"/>
      <c r="F582" s="161"/>
      <c r="H582" s="41"/>
      <c r="I582" s="41"/>
      <c r="J582" s="41"/>
      <c r="K582" s="41"/>
    </row>
    <row r="583" spans="1:12" x14ac:dyDescent="0.25">
      <c r="A583" s="161"/>
      <c r="B583" s="161"/>
      <c r="C583" s="161"/>
      <c r="D583" s="161"/>
      <c r="E583" s="161"/>
      <c r="F583" s="161"/>
      <c r="H583" s="41"/>
      <c r="I583" s="41"/>
      <c r="J583" s="41"/>
      <c r="K583" s="41"/>
    </row>
    <row r="584" spans="1:12" x14ac:dyDescent="0.25">
      <c r="A584" s="161"/>
      <c r="B584" s="161"/>
      <c r="C584" s="161"/>
      <c r="D584" s="161"/>
      <c r="E584" s="161"/>
      <c r="F584" s="161"/>
      <c r="H584" s="41"/>
      <c r="I584" s="41"/>
      <c r="J584" s="41"/>
      <c r="K584" s="41"/>
    </row>
    <row r="585" spans="1:12" x14ac:dyDescent="0.25">
      <c r="A585" s="161"/>
      <c r="B585" s="161"/>
      <c r="C585" s="161"/>
      <c r="D585" s="161"/>
      <c r="E585" s="161"/>
      <c r="F585" s="161"/>
      <c r="H585" s="41"/>
      <c r="I585" s="41"/>
      <c r="J585" s="41"/>
      <c r="K585" s="41"/>
    </row>
    <row r="586" spans="1:12" x14ac:dyDescent="0.25">
      <c r="A586" s="161"/>
      <c r="B586" s="161"/>
      <c r="C586" s="161"/>
      <c r="D586" s="161"/>
      <c r="E586" s="161"/>
      <c r="F586" s="161"/>
      <c r="H586" s="41"/>
      <c r="I586" s="41"/>
      <c r="J586" s="41"/>
      <c r="K586" s="41"/>
    </row>
    <row r="587" spans="1:12" x14ac:dyDescent="0.25">
      <c r="A587" s="161"/>
      <c r="B587" s="161"/>
      <c r="C587" s="161"/>
      <c r="D587" s="161"/>
      <c r="E587" s="161"/>
      <c r="F587" s="161"/>
      <c r="H587" s="41"/>
      <c r="I587" s="41"/>
      <c r="J587" s="41"/>
      <c r="K587" s="41"/>
    </row>
    <row r="588" spans="1:12" x14ac:dyDescent="0.25">
      <c r="A588" s="161"/>
      <c r="B588" s="161"/>
      <c r="C588" s="161"/>
      <c r="D588" s="161"/>
      <c r="E588" s="161"/>
      <c r="F588" s="161"/>
      <c r="H588" s="41"/>
      <c r="I588" s="41"/>
      <c r="J588" s="41"/>
      <c r="K588" s="41"/>
    </row>
    <row r="589" spans="1:12" x14ac:dyDescent="0.25">
      <c r="A589" s="161"/>
      <c r="B589" s="161"/>
      <c r="C589" s="161"/>
      <c r="D589" s="161"/>
      <c r="E589" s="161"/>
      <c r="F589" s="161"/>
      <c r="H589" s="41"/>
      <c r="I589" s="41"/>
      <c r="J589" s="41"/>
      <c r="K589" s="41"/>
    </row>
    <row r="590" spans="1:12" x14ac:dyDescent="0.25">
      <c r="A590" s="161"/>
      <c r="B590" s="161"/>
      <c r="C590" s="161"/>
      <c r="D590" s="161"/>
      <c r="E590" s="161"/>
      <c r="F590" s="161"/>
      <c r="H590" s="41"/>
      <c r="I590" s="41"/>
      <c r="J590" s="41"/>
      <c r="K590" s="41"/>
    </row>
    <row r="591" spans="1:12" x14ac:dyDescent="0.25">
      <c r="A591" s="161"/>
      <c r="B591" s="161"/>
      <c r="C591" s="161"/>
      <c r="D591" s="161"/>
      <c r="E591" s="161"/>
      <c r="F591" s="161"/>
      <c r="H591" s="41"/>
      <c r="I591" s="41"/>
      <c r="J591" s="41"/>
      <c r="K591" s="41"/>
    </row>
    <row r="594" spans="2:2" outlineLevel="1" x14ac:dyDescent="0.25"/>
    <row r="595" spans="2:2" outlineLevel="1" x14ac:dyDescent="0.25">
      <c r="B595" s="6" t="s">
        <v>42</v>
      </c>
    </row>
    <row r="596" spans="2:2" outlineLevel="1" x14ac:dyDescent="0.25">
      <c r="B596" s="18" t="s">
        <v>0</v>
      </c>
    </row>
    <row r="597" spans="2:2" outlineLevel="1" x14ac:dyDescent="0.25">
      <c r="B597" s="20" t="s">
        <v>1</v>
      </c>
    </row>
    <row r="598" spans="2:2" outlineLevel="1" x14ac:dyDescent="0.25">
      <c r="B598" s="21" t="s">
        <v>2</v>
      </c>
    </row>
    <row r="599" spans="2:2" outlineLevel="1" x14ac:dyDescent="0.25"/>
    <row r="600" spans="2:2" outlineLevel="1" x14ac:dyDescent="0.25">
      <c r="B600" s="6" t="s">
        <v>41</v>
      </c>
    </row>
    <row r="601" spans="2:2" outlineLevel="1" x14ac:dyDescent="0.25">
      <c r="B601" s="19">
        <v>0.2</v>
      </c>
    </row>
    <row r="602" spans="2:2" outlineLevel="1" x14ac:dyDescent="0.25"/>
    <row r="603" spans="2:2" outlineLevel="1" x14ac:dyDescent="0.25">
      <c r="B603" s="6" t="s">
        <v>8</v>
      </c>
    </row>
    <row r="604" spans="2:2" outlineLevel="1" x14ac:dyDescent="0.25">
      <c r="B604" s="19">
        <v>2013</v>
      </c>
    </row>
    <row r="605" spans="2:2" outlineLevel="1" x14ac:dyDescent="0.25"/>
    <row r="606" spans="2:2" outlineLevel="1" x14ac:dyDescent="0.25">
      <c r="B606" s="6" t="s">
        <v>89</v>
      </c>
    </row>
    <row r="607" spans="2:2" x14ac:dyDescent="0.25">
      <c r="B607" s="18"/>
    </row>
    <row r="608" spans="2:2" x14ac:dyDescent="0.25">
      <c r="B608" s="20" t="s">
        <v>76</v>
      </c>
    </row>
    <row r="609" spans="2:2" x14ac:dyDescent="0.25">
      <c r="B609" s="20" t="s">
        <v>81</v>
      </c>
    </row>
    <row r="610" spans="2:2" x14ac:dyDescent="0.25">
      <c r="B610" s="20" t="s">
        <v>79</v>
      </c>
    </row>
    <row r="611" spans="2:2" x14ac:dyDescent="0.25">
      <c r="B611" s="20" t="s">
        <v>82</v>
      </c>
    </row>
    <row r="612" spans="2:2" x14ac:dyDescent="0.25">
      <c r="B612" s="20" t="s">
        <v>83</v>
      </c>
    </row>
    <row r="613" spans="2:2" x14ac:dyDescent="0.25">
      <c r="B613" s="20" t="s">
        <v>84</v>
      </c>
    </row>
    <row r="614" spans="2:2" x14ac:dyDescent="0.25">
      <c r="B614" s="20" t="s">
        <v>85</v>
      </c>
    </row>
    <row r="615" spans="2:2" x14ac:dyDescent="0.25">
      <c r="B615" s="20" t="s">
        <v>86</v>
      </c>
    </row>
    <row r="616" spans="2:2" x14ac:dyDescent="0.25">
      <c r="B616" s="149" t="s">
        <v>87</v>
      </c>
    </row>
  </sheetData>
  <mergeCells count="7">
    <mergeCell ref="B33:F33"/>
    <mergeCell ref="A469:F469"/>
    <mergeCell ref="A394:F394"/>
    <mergeCell ref="A433:F433"/>
    <mergeCell ref="A581:F581"/>
    <mergeCell ref="A505:I505"/>
    <mergeCell ref="A540:I540"/>
  </mergeCells>
  <phoneticPr fontId="5" type="noConversion"/>
  <dataValidations disablePrompts="1" count="2">
    <dataValidation type="list" allowBlank="1" showInputMessage="1" showErrorMessage="1" sqref="E2:F31">
      <formula1>LaborBonus</formula1>
    </dataValidation>
    <dataValidation type="list" allowBlank="1" showInputMessage="1" showErrorMessage="1" sqref="D2:D12 D14:D16">
      <formula1>Facility</formula1>
    </dataValidation>
  </dataValidations>
  <pageMargins left="0.75" right="0.75" top="1" bottom="1" header="0.5" footer="0.5"/>
  <pageSetup scale="54" fitToHeight="2" orientation="portrait" r:id="rId1"/>
  <headerFooter alignWithMargins="0"/>
  <rowBreaks count="6" manualBreakCount="6">
    <brk id="71" max="8" man="1"/>
    <brk id="143" max="8" man="1"/>
    <brk id="215" max="8" man="1"/>
    <brk id="287" max="8" man="1"/>
    <brk id="359" max="8" man="1"/>
    <brk id="506"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5"/>
  <sheetViews>
    <sheetView showGridLines="0" view="pageBreakPreview" topLeftCell="A8" zoomScale="60" zoomScaleNormal="100" workbookViewId="0">
      <selection activeCell="G31" sqref="G31"/>
    </sheetView>
  </sheetViews>
  <sheetFormatPr defaultRowHeight="12.75" outlineLevelRow="1" x14ac:dyDescent="0.2"/>
  <cols>
    <col min="1" max="1" width="28.7109375" style="131" customWidth="1"/>
    <col min="2" max="2" width="25.140625" style="131" bestFit="1" customWidth="1"/>
    <col min="3" max="5" width="16.42578125" style="131" customWidth="1"/>
    <col min="6" max="7" width="14.28515625" style="131" customWidth="1"/>
    <col min="8" max="256" width="9.140625" style="131"/>
    <col min="257" max="257" width="27" style="131" customWidth="1"/>
    <col min="258" max="261" width="16.42578125" style="131" customWidth="1"/>
    <col min="262" max="263" width="14.28515625" style="131" customWidth="1"/>
    <col min="264" max="512" width="9.140625" style="131"/>
    <col min="513" max="513" width="27" style="131" customWidth="1"/>
    <col min="514" max="517" width="16.42578125" style="131" customWidth="1"/>
    <col min="518" max="519" width="14.28515625" style="131" customWidth="1"/>
    <col min="520" max="768" width="9.140625" style="131"/>
    <col min="769" max="769" width="27" style="131" customWidth="1"/>
    <col min="770" max="773" width="16.42578125" style="131" customWidth="1"/>
    <col min="774" max="775" width="14.28515625" style="131" customWidth="1"/>
    <col min="776" max="1024" width="9.140625" style="131"/>
    <col min="1025" max="1025" width="27" style="131" customWidth="1"/>
    <col min="1026" max="1029" width="16.42578125" style="131" customWidth="1"/>
    <col min="1030" max="1031" width="14.28515625" style="131" customWidth="1"/>
    <col min="1032" max="1280" width="9.140625" style="131"/>
    <col min="1281" max="1281" width="27" style="131" customWidth="1"/>
    <col min="1282" max="1285" width="16.42578125" style="131" customWidth="1"/>
    <col min="1286" max="1287" width="14.28515625" style="131" customWidth="1"/>
    <col min="1288" max="1536" width="9.140625" style="131"/>
    <col min="1537" max="1537" width="27" style="131" customWidth="1"/>
    <col min="1538" max="1541" width="16.42578125" style="131" customWidth="1"/>
    <col min="1542" max="1543" width="14.28515625" style="131" customWidth="1"/>
    <col min="1544" max="1792" width="9.140625" style="131"/>
    <col min="1793" max="1793" width="27" style="131" customWidth="1"/>
    <col min="1794" max="1797" width="16.42578125" style="131" customWidth="1"/>
    <col min="1798" max="1799" width="14.28515625" style="131" customWidth="1"/>
    <col min="1800" max="2048" width="9.140625" style="131"/>
    <col min="2049" max="2049" width="27" style="131" customWidth="1"/>
    <col min="2050" max="2053" width="16.42578125" style="131" customWidth="1"/>
    <col min="2054" max="2055" width="14.28515625" style="131" customWidth="1"/>
    <col min="2056" max="2304" width="9.140625" style="131"/>
    <col min="2305" max="2305" width="27" style="131" customWidth="1"/>
    <col min="2306" max="2309" width="16.42578125" style="131" customWidth="1"/>
    <col min="2310" max="2311" width="14.28515625" style="131" customWidth="1"/>
    <col min="2312" max="2560" width="9.140625" style="131"/>
    <col min="2561" max="2561" width="27" style="131" customWidth="1"/>
    <col min="2562" max="2565" width="16.42578125" style="131" customWidth="1"/>
    <col min="2566" max="2567" width="14.28515625" style="131" customWidth="1"/>
    <col min="2568" max="2816" width="9.140625" style="131"/>
    <col min="2817" max="2817" width="27" style="131" customWidth="1"/>
    <col min="2818" max="2821" width="16.42578125" style="131" customWidth="1"/>
    <col min="2822" max="2823" width="14.28515625" style="131" customWidth="1"/>
    <col min="2824" max="3072" width="9.140625" style="131"/>
    <col min="3073" max="3073" width="27" style="131" customWidth="1"/>
    <col min="3074" max="3077" width="16.42578125" style="131" customWidth="1"/>
    <col min="3078" max="3079" width="14.28515625" style="131" customWidth="1"/>
    <col min="3080" max="3328" width="9.140625" style="131"/>
    <col min="3329" max="3329" width="27" style="131" customWidth="1"/>
    <col min="3330" max="3333" width="16.42578125" style="131" customWidth="1"/>
    <col min="3334" max="3335" width="14.28515625" style="131" customWidth="1"/>
    <col min="3336" max="3584" width="9.140625" style="131"/>
    <col min="3585" max="3585" width="27" style="131" customWidth="1"/>
    <col min="3586" max="3589" width="16.42578125" style="131" customWidth="1"/>
    <col min="3590" max="3591" width="14.28515625" style="131" customWidth="1"/>
    <col min="3592" max="3840" width="9.140625" style="131"/>
    <col min="3841" max="3841" width="27" style="131" customWidth="1"/>
    <col min="3842" max="3845" width="16.42578125" style="131" customWidth="1"/>
    <col min="3846" max="3847" width="14.28515625" style="131" customWidth="1"/>
    <col min="3848" max="4096" width="9.140625" style="131"/>
    <col min="4097" max="4097" width="27" style="131" customWidth="1"/>
    <col min="4098" max="4101" width="16.42578125" style="131" customWidth="1"/>
    <col min="4102" max="4103" width="14.28515625" style="131" customWidth="1"/>
    <col min="4104" max="4352" width="9.140625" style="131"/>
    <col min="4353" max="4353" width="27" style="131" customWidth="1"/>
    <col min="4354" max="4357" width="16.42578125" style="131" customWidth="1"/>
    <col min="4358" max="4359" width="14.28515625" style="131" customWidth="1"/>
    <col min="4360" max="4608" width="9.140625" style="131"/>
    <col min="4609" max="4609" width="27" style="131" customWidth="1"/>
    <col min="4610" max="4613" width="16.42578125" style="131" customWidth="1"/>
    <col min="4614" max="4615" width="14.28515625" style="131" customWidth="1"/>
    <col min="4616" max="4864" width="9.140625" style="131"/>
    <col min="4865" max="4865" width="27" style="131" customWidth="1"/>
    <col min="4866" max="4869" width="16.42578125" style="131" customWidth="1"/>
    <col min="4870" max="4871" width="14.28515625" style="131" customWidth="1"/>
    <col min="4872" max="5120" width="9.140625" style="131"/>
    <col min="5121" max="5121" width="27" style="131" customWidth="1"/>
    <col min="5122" max="5125" width="16.42578125" style="131" customWidth="1"/>
    <col min="5126" max="5127" width="14.28515625" style="131" customWidth="1"/>
    <col min="5128" max="5376" width="9.140625" style="131"/>
    <col min="5377" max="5377" width="27" style="131" customWidth="1"/>
    <col min="5378" max="5381" width="16.42578125" style="131" customWidth="1"/>
    <col min="5382" max="5383" width="14.28515625" style="131" customWidth="1"/>
    <col min="5384" max="5632" width="9.140625" style="131"/>
    <col min="5633" max="5633" width="27" style="131" customWidth="1"/>
    <col min="5634" max="5637" width="16.42578125" style="131" customWidth="1"/>
    <col min="5638" max="5639" width="14.28515625" style="131" customWidth="1"/>
    <col min="5640" max="5888" width="9.140625" style="131"/>
    <col min="5889" max="5889" width="27" style="131" customWidth="1"/>
    <col min="5890" max="5893" width="16.42578125" style="131" customWidth="1"/>
    <col min="5894" max="5895" width="14.28515625" style="131" customWidth="1"/>
    <col min="5896" max="6144" width="9.140625" style="131"/>
    <col min="6145" max="6145" width="27" style="131" customWidth="1"/>
    <col min="6146" max="6149" width="16.42578125" style="131" customWidth="1"/>
    <col min="6150" max="6151" width="14.28515625" style="131" customWidth="1"/>
    <col min="6152" max="6400" width="9.140625" style="131"/>
    <col min="6401" max="6401" width="27" style="131" customWidth="1"/>
    <col min="6402" max="6405" width="16.42578125" style="131" customWidth="1"/>
    <col min="6406" max="6407" width="14.28515625" style="131" customWidth="1"/>
    <col min="6408" max="6656" width="9.140625" style="131"/>
    <col min="6657" max="6657" width="27" style="131" customWidth="1"/>
    <col min="6658" max="6661" width="16.42578125" style="131" customWidth="1"/>
    <col min="6662" max="6663" width="14.28515625" style="131" customWidth="1"/>
    <col min="6664" max="6912" width="9.140625" style="131"/>
    <col min="6913" max="6913" width="27" style="131" customWidth="1"/>
    <col min="6914" max="6917" width="16.42578125" style="131" customWidth="1"/>
    <col min="6918" max="6919" width="14.28515625" style="131" customWidth="1"/>
    <col min="6920" max="7168" width="9.140625" style="131"/>
    <col min="7169" max="7169" width="27" style="131" customWidth="1"/>
    <col min="7170" max="7173" width="16.42578125" style="131" customWidth="1"/>
    <col min="7174" max="7175" width="14.28515625" style="131" customWidth="1"/>
    <col min="7176" max="7424" width="9.140625" style="131"/>
    <col min="7425" max="7425" width="27" style="131" customWidth="1"/>
    <col min="7426" max="7429" width="16.42578125" style="131" customWidth="1"/>
    <col min="7430" max="7431" width="14.28515625" style="131" customWidth="1"/>
    <col min="7432" max="7680" width="9.140625" style="131"/>
    <col min="7681" max="7681" width="27" style="131" customWidth="1"/>
    <col min="7682" max="7685" width="16.42578125" style="131" customWidth="1"/>
    <col min="7686" max="7687" width="14.28515625" style="131" customWidth="1"/>
    <col min="7688" max="7936" width="9.140625" style="131"/>
    <col min="7937" max="7937" width="27" style="131" customWidth="1"/>
    <col min="7938" max="7941" width="16.42578125" style="131" customWidth="1"/>
    <col min="7942" max="7943" width="14.28515625" style="131" customWidth="1"/>
    <col min="7944" max="8192" width="9.140625" style="131"/>
    <col min="8193" max="8193" width="27" style="131" customWidth="1"/>
    <col min="8194" max="8197" width="16.42578125" style="131" customWidth="1"/>
    <col min="8198" max="8199" width="14.28515625" style="131" customWidth="1"/>
    <col min="8200" max="8448" width="9.140625" style="131"/>
    <col min="8449" max="8449" width="27" style="131" customWidth="1"/>
    <col min="8450" max="8453" width="16.42578125" style="131" customWidth="1"/>
    <col min="8454" max="8455" width="14.28515625" style="131" customWidth="1"/>
    <col min="8456" max="8704" width="9.140625" style="131"/>
    <col min="8705" max="8705" width="27" style="131" customWidth="1"/>
    <col min="8706" max="8709" width="16.42578125" style="131" customWidth="1"/>
    <col min="8710" max="8711" width="14.28515625" style="131" customWidth="1"/>
    <col min="8712" max="8960" width="9.140625" style="131"/>
    <col min="8961" max="8961" width="27" style="131" customWidth="1"/>
    <col min="8962" max="8965" width="16.42578125" style="131" customWidth="1"/>
    <col min="8966" max="8967" width="14.28515625" style="131" customWidth="1"/>
    <col min="8968" max="9216" width="9.140625" style="131"/>
    <col min="9217" max="9217" width="27" style="131" customWidth="1"/>
    <col min="9218" max="9221" width="16.42578125" style="131" customWidth="1"/>
    <col min="9222" max="9223" width="14.28515625" style="131" customWidth="1"/>
    <col min="9224" max="9472" width="9.140625" style="131"/>
    <col min="9473" max="9473" width="27" style="131" customWidth="1"/>
    <col min="9474" max="9477" width="16.42578125" style="131" customWidth="1"/>
    <col min="9478" max="9479" width="14.28515625" style="131" customWidth="1"/>
    <col min="9480" max="9728" width="9.140625" style="131"/>
    <col min="9729" max="9729" width="27" style="131" customWidth="1"/>
    <col min="9730" max="9733" width="16.42578125" style="131" customWidth="1"/>
    <col min="9734" max="9735" width="14.28515625" style="131" customWidth="1"/>
    <col min="9736" max="9984" width="9.140625" style="131"/>
    <col min="9985" max="9985" width="27" style="131" customWidth="1"/>
    <col min="9986" max="9989" width="16.42578125" style="131" customWidth="1"/>
    <col min="9990" max="9991" width="14.28515625" style="131" customWidth="1"/>
    <col min="9992" max="10240" width="9.140625" style="131"/>
    <col min="10241" max="10241" width="27" style="131" customWidth="1"/>
    <col min="10242" max="10245" width="16.42578125" style="131" customWidth="1"/>
    <col min="10246" max="10247" width="14.28515625" style="131" customWidth="1"/>
    <col min="10248" max="10496" width="9.140625" style="131"/>
    <col min="10497" max="10497" width="27" style="131" customWidth="1"/>
    <col min="10498" max="10501" width="16.42578125" style="131" customWidth="1"/>
    <col min="10502" max="10503" width="14.28515625" style="131" customWidth="1"/>
    <col min="10504" max="10752" width="9.140625" style="131"/>
    <col min="10753" max="10753" width="27" style="131" customWidth="1"/>
    <col min="10754" max="10757" width="16.42578125" style="131" customWidth="1"/>
    <col min="10758" max="10759" width="14.28515625" style="131" customWidth="1"/>
    <col min="10760" max="11008" width="9.140625" style="131"/>
    <col min="11009" max="11009" width="27" style="131" customWidth="1"/>
    <col min="11010" max="11013" width="16.42578125" style="131" customWidth="1"/>
    <col min="11014" max="11015" width="14.28515625" style="131" customWidth="1"/>
    <col min="11016" max="11264" width="9.140625" style="131"/>
    <col min="11265" max="11265" width="27" style="131" customWidth="1"/>
    <col min="11266" max="11269" width="16.42578125" style="131" customWidth="1"/>
    <col min="11270" max="11271" width="14.28515625" style="131" customWidth="1"/>
    <col min="11272" max="11520" width="9.140625" style="131"/>
    <col min="11521" max="11521" width="27" style="131" customWidth="1"/>
    <col min="11522" max="11525" width="16.42578125" style="131" customWidth="1"/>
    <col min="11526" max="11527" width="14.28515625" style="131" customWidth="1"/>
    <col min="11528" max="11776" width="9.140625" style="131"/>
    <col min="11777" max="11777" width="27" style="131" customWidth="1"/>
    <col min="11778" max="11781" width="16.42578125" style="131" customWidth="1"/>
    <col min="11782" max="11783" width="14.28515625" style="131" customWidth="1"/>
    <col min="11784" max="12032" width="9.140625" style="131"/>
    <col min="12033" max="12033" width="27" style="131" customWidth="1"/>
    <col min="12034" max="12037" width="16.42578125" style="131" customWidth="1"/>
    <col min="12038" max="12039" width="14.28515625" style="131" customWidth="1"/>
    <col min="12040" max="12288" width="9.140625" style="131"/>
    <col min="12289" max="12289" width="27" style="131" customWidth="1"/>
    <col min="12290" max="12293" width="16.42578125" style="131" customWidth="1"/>
    <col min="12294" max="12295" width="14.28515625" style="131" customWidth="1"/>
    <col min="12296" max="12544" width="9.140625" style="131"/>
    <col min="12545" max="12545" width="27" style="131" customWidth="1"/>
    <col min="12546" max="12549" width="16.42578125" style="131" customWidth="1"/>
    <col min="12550" max="12551" width="14.28515625" style="131" customWidth="1"/>
    <col min="12552" max="12800" width="9.140625" style="131"/>
    <col min="12801" max="12801" width="27" style="131" customWidth="1"/>
    <col min="12802" max="12805" width="16.42578125" style="131" customWidth="1"/>
    <col min="12806" max="12807" width="14.28515625" style="131" customWidth="1"/>
    <col min="12808" max="13056" width="9.140625" style="131"/>
    <col min="13057" max="13057" width="27" style="131" customWidth="1"/>
    <col min="13058" max="13061" width="16.42578125" style="131" customWidth="1"/>
    <col min="13062" max="13063" width="14.28515625" style="131" customWidth="1"/>
    <col min="13064" max="13312" width="9.140625" style="131"/>
    <col min="13313" max="13313" width="27" style="131" customWidth="1"/>
    <col min="13314" max="13317" width="16.42578125" style="131" customWidth="1"/>
    <col min="13318" max="13319" width="14.28515625" style="131" customWidth="1"/>
    <col min="13320" max="13568" width="9.140625" style="131"/>
    <col min="13569" max="13569" width="27" style="131" customWidth="1"/>
    <col min="13570" max="13573" width="16.42578125" style="131" customWidth="1"/>
    <col min="13574" max="13575" width="14.28515625" style="131" customWidth="1"/>
    <col min="13576" max="13824" width="9.140625" style="131"/>
    <col min="13825" max="13825" width="27" style="131" customWidth="1"/>
    <col min="13826" max="13829" width="16.42578125" style="131" customWidth="1"/>
    <col min="13830" max="13831" width="14.28515625" style="131" customWidth="1"/>
    <col min="13832" max="14080" width="9.140625" style="131"/>
    <col min="14081" max="14081" width="27" style="131" customWidth="1"/>
    <col min="14082" max="14085" width="16.42578125" style="131" customWidth="1"/>
    <col min="14086" max="14087" width="14.28515625" style="131" customWidth="1"/>
    <col min="14088" max="14336" width="9.140625" style="131"/>
    <col min="14337" max="14337" width="27" style="131" customWidth="1"/>
    <col min="14338" max="14341" width="16.42578125" style="131" customWidth="1"/>
    <col min="14342" max="14343" width="14.28515625" style="131" customWidth="1"/>
    <col min="14344" max="14592" width="9.140625" style="131"/>
    <col min="14593" max="14593" width="27" style="131" customWidth="1"/>
    <col min="14594" max="14597" width="16.42578125" style="131" customWidth="1"/>
    <col min="14598" max="14599" width="14.28515625" style="131" customWidth="1"/>
    <col min="14600" max="14848" width="9.140625" style="131"/>
    <col min="14849" max="14849" width="27" style="131" customWidth="1"/>
    <col min="14850" max="14853" width="16.42578125" style="131" customWidth="1"/>
    <col min="14854" max="14855" width="14.28515625" style="131" customWidth="1"/>
    <col min="14856" max="15104" width="9.140625" style="131"/>
    <col min="15105" max="15105" width="27" style="131" customWidth="1"/>
    <col min="15106" max="15109" width="16.42578125" style="131" customWidth="1"/>
    <col min="15110" max="15111" width="14.28515625" style="131" customWidth="1"/>
    <col min="15112" max="15360" width="9.140625" style="131"/>
    <col min="15361" max="15361" width="27" style="131" customWidth="1"/>
    <col min="15362" max="15365" width="16.42578125" style="131" customWidth="1"/>
    <col min="15366" max="15367" width="14.28515625" style="131" customWidth="1"/>
    <col min="15368" max="15616" width="9.140625" style="131"/>
    <col min="15617" max="15617" width="27" style="131" customWidth="1"/>
    <col min="15618" max="15621" width="16.42578125" style="131" customWidth="1"/>
    <col min="15622" max="15623" width="14.28515625" style="131" customWidth="1"/>
    <col min="15624" max="15872" width="9.140625" style="131"/>
    <col min="15873" max="15873" width="27" style="131" customWidth="1"/>
    <col min="15874" max="15877" width="16.42578125" style="131" customWidth="1"/>
    <col min="15878" max="15879" width="14.28515625" style="131" customWidth="1"/>
    <col min="15880" max="16128" width="9.140625" style="131"/>
    <col min="16129" max="16129" width="27" style="131" customWidth="1"/>
    <col min="16130" max="16133" width="16.42578125" style="131" customWidth="1"/>
    <col min="16134" max="16135" width="14.28515625" style="131" customWidth="1"/>
    <col min="16136" max="16384" width="9.140625" style="131"/>
  </cols>
  <sheetData>
    <row r="2" spans="1:6" ht="21" x14ac:dyDescent="0.35">
      <c r="A2" s="130" t="s">
        <v>80</v>
      </c>
    </row>
    <row r="4" spans="1:6" ht="15" x14ac:dyDescent="0.25">
      <c r="B4" s="132">
        <v>2013</v>
      </c>
      <c r="C4" s="132">
        <v>2014</v>
      </c>
      <c r="D4" s="132">
        <v>2015</v>
      </c>
      <c r="E4" s="132">
        <v>2016</v>
      </c>
      <c r="F4" s="132">
        <v>2017</v>
      </c>
    </row>
    <row r="5" spans="1:6" ht="15" x14ac:dyDescent="0.25">
      <c r="A5" s="133" t="s">
        <v>76</v>
      </c>
      <c r="B5" s="134">
        <f t="shared" ref="B5:F9" si="0" xml:space="preserve"> SUMIF( $B$21:$B$35, $A5, C$21:C$35 )</f>
        <v>282692.40000000002</v>
      </c>
      <c r="C5" s="135">
        <f t="shared" si="0"/>
        <v>45917.200000000012</v>
      </c>
      <c r="D5" s="136">
        <f t="shared" si="0"/>
        <v>383</v>
      </c>
      <c r="E5" s="136">
        <f t="shared" si="0"/>
        <v>298340</v>
      </c>
      <c r="F5" s="136">
        <f xml:space="preserve"> SUMIF( $B$21:$B$35, $A5, G$21:G$35 )</f>
        <v>261313</v>
      </c>
    </row>
    <row r="6" spans="1:6" ht="15" x14ac:dyDescent="0.25">
      <c r="A6" s="133" t="s">
        <v>81</v>
      </c>
      <c r="B6" s="137">
        <f t="shared" si="0"/>
        <v>0</v>
      </c>
      <c r="C6" s="138">
        <f t="shared" si="0"/>
        <v>0</v>
      </c>
      <c r="D6" s="139">
        <f t="shared" si="0"/>
        <v>0</v>
      </c>
      <c r="E6" s="139">
        <f t="shared" si="0"/>
        <v>0</v>
      </c>
      <c r="F6" s="139">
        <f t="shared" si="0"/>
        <v>0</v>
      </c>
    </row>
    <row r="7" spans="1:6" ht="15" x14ac:dyDescent="0.25">
      <c r="A7" s="133" t="s">
        <v>79</v>
      </c>
      <c r="B7" s="137">
        <f t="shared" si="0"/>
        <v>191205</v>
      </c>
      <c r="C7" s="138">
        <f t="shared" si="0"/>
        <v>170089</v>
      </c>
      <c r="D7" s="139">
        <f t="shared" si="0"/>
        <v>170089</v>
      </c>
      <c r="E7" s="139">
        <f t="shared" si="0"/>
        <v>171482</v>
      </c>
      <c r="F7" s="139">
        <f t="shared" si="0"/>
        <v>192039</v>
      </c>
    </row>
    <row r="8" spans="1:6" ht="15" x14ac:dyDescent="0.25">
      <c r="A8" s="133" t="s">
        <v>82</v>
      </c>
      <c r="B8" s="137">
        <f t="shared" si="0"/>
        <v>0</v>
      </c>
      <c r="C8" s="138">
        <f t="shared" si="0"/>
        <v>0</v>
      </c>
      <c r="D8" s="139">
        <f t="shared" si="0"/>
        <v>0</v>
      </c>
      <c r="E8" s="139">
        <f t="shared" si="0"/>
        <v>43987</v>
      </c>
      <c r="F8" s="139">
        <f t="shared" si="0"/>
        <v>53048</v>
      </c>
    </row>
    <row r="9" spans="1:6" ht="15" x14ac:dyDescent="0.25">
      <c r="A9" s="133" t="s">
        <v>83</v>
      </c>
      <c r="B9" s="137">
        <f t="shared" si="0"/>
        <v>0</v>
      </c>
      <c r="C9" s="138">
        <f t="shared" si="0"/>
        <v>0</v>
      </c>
      <c r="D9" s="139">
        <f t="shared" si="0"/>
        <v>0</v>
      </c>
      <c r="E9" s="139">
        <f t="shared" si="0"/>
        <v>0</v>
      </c>
      <c r="F9" s="139">
        <f t="shared" si="0"/>
        <v>0</v>
      </c>
    </row>
    <row r="10" spans="1:6" ht="15" x14ac:dyDescent="0.25">
      <c r="A10" s="133" t="s">
        <v>84</v>
      </c>
      <c r="B10" s="137">
        <f t="shared" ref="B10" si="1" xml:space="preserve"> SUMIF( $B$21:$B$31, $A10, C$21:C$31 )</f>
        <v>0</v>
      </c>
      <c r="C10" s="138">
        <f t="shared" ref="C10:F13" si="2" xml:space="preserve"> SUMIF( $B$21:$B$35, $A10, D$21:D$35 )</f>
        <v>0</v>
      </c>
      <c r="D10" s="139">
        <f t="shared" si="2"/>
        <v>0</v>
      </c>
      <c r="E10" s="139">
        <f t="shared" si="2"/>
        <v>0</v>
      </c>
      <c r="F10" s="139">
        <f t="shared" si="2"/>
        <v>0</v>
      </c>
    </row>
    <row r="11" spans="1:6" ht="15" x14ac:dyDescent="0.25">
      <c r="A11" s="133" t="s">
        <v>85</v>
      </c>
      <c r="B11" s="137">
        <f xml:space="preserve"> SUMIF( $B$21:$B$35, $A11, C$21:C$35 )</f>
        <v>0</v>
      </c>
      <c r="C11" s="138">
        <f t="shared" si="2"/>
        <v>0</v>
      </c>
      <c r="D11" s="139">
        <f t="shared" si="2"/>
        <v>0</v>
      </c>
      <c r="E11" s="139">
        <f t="shared" si="2"/>
        <v>0</v>
      </c>
      <c r="F11" s="139">
        <f t="shared" si="2"/>
        <v>0</v>
      </c>
    </row>
    <row r="12" spans="1:6" ht="15" x14ac:dyDescent="0.25">
      <c r="A12" s="133" t="s">
        <v>86</v>
      </c>
      <c r="B12" s="137">
        <f xml:space="preserve"> SUMIF( $B$21:$B$35, $A12, C$21:C$35 )</f>
        <v>0</v>
      </c>
      <c r="C12" s="138">
        <f t="shared" si="2"/>
        <v>0</v>
      </c>
      <c r="D12" s="139">
        <f t="shared" si="2"/>
        <v>0</v>
      </c>
      <c r="E12" s="139">
        <f t="shared" si="2"/>
        <v>0</v>
      </c>
      <c r="F12" s="139">
        <f t="shared" si="2"/>
        <v>0</v>
      </c>
    </row>
    <row r="13" spans="1:6" ht="15" x14ac:dyDescent="0.25">
      <c r="A13" s="133" t="s">
        <v>87</v>
      </c>
      <c r="B13" s="140">
        <f xml:space="preserve"> SUMIF( $B$21:$B$35, $A13, C$21:C$35 )</f>
        <v>0</v>
      </c>
      <c r="C13" s="141">
        <f t="shared" si="2"/>
        <v>0</v>
      </c>
      <c r="D13" s="142">
        <f t="shared" si="2"/>
        <v>0</v>
      </c>
      <c r="E13" s="142">
        <f t="shared" si="2"/>
        <v>0</v>
      </c>
      <c r="F13" s="142">
        <f t="shared" si="2"/>
        <v>0</v>
      </c>
    </row>
    <row r="14" spans="1:6" ht="15.75" x14ac:dyDescent="0.25">
      <c r="A14" s="143" t="s">
        <v>64</v>
      </c>
      <c r="B14" s="144">
        <f>SUM(B5:B13)</f>
        <v>473897.4</v>
      </c>
      <c r="C14" s="144">
        <f t="shared" ref="C14:D14" si="3">SUM(C5:C13)</f>
        <v>216006.2</v>
      </c>
      <c r="D14" s="144">
        <f t="shared" si="3"/>
        <v>170472</v>
      </c>
      <c r="E14" s="144">
        <f t="shared" ref="E14" si="4">SUM(E5:E13)</f>
        <v>513809</v>
      </c>
      <c r="F14" s="144">
        <f t="shared" ref="F14" si="5">SUM(F5:F13)</f>
        <v>506400</v>
      </c>
    </row>
    <row r="19" spans="1:7" outlineLevel="1" x14ac:dyDescent="0.2"/>
    <row r="20" spans="1:7" ht="15" outlineLevel="1" x14ac:dyDescent="0.25">
      <c r="A20" s="145" t="s">
        <v>48</v>
      </c>
      <c r="B20" s="146" t="s">
        <v>88</v>
      </c>
      <c r="C20" s="146">
        <v>2013</v>
      </c>
      <c r="D20" s="146">
        <v>2014</v>
      </c>
      <c r="E20" s="146">
        <v>2015</v>
      </c>
      <c r="F20" s="146">
        <v>2016</v>
      </c>
      <c r="G20" s="146">
        <v>2017</v>
      </c>
    </row>
    <row r="21" spans="1:7" ht="15" outlineLevel="1" x14ac:dyDescent="0.25">
      <c r="A21" s="147" t="str">
        <f>'Facility Detail'!B2</f>
        <v>Long Lake #3</v>
      </c>
      <c r="B21" s="147" t="str">
        <f xml:space="preserve"> IF( 'Facility Detail'!D2 = "", "", 'Facility Detail'!D2 )</f>
        <v>Water (Incremental Hydro)</v>
      </c>
      <c r="C21" s="134">
        <f>'Facility Detail'!D68</f>
        <v>14197</v>
      </c>
      <c r="D21" s="135">
        <f>'Facility Detail'!E68</f>
        <v>14197</v>
      </c>
      <c r="E21" s="136">
        <f>'Facility Detail'!F68</f>
        <v>14197</v>
      </c>
      <c r="F21" s="136">
        <f>'Facility Detail'!G68</f>
        <v>14197</v>
      </c>
      <c r="G21" s="136">
        <f>'Facility Detail'!H68</f>
        <v>14197</v>
      </c>
    </row>
    <row r="22" spans="1:7" ht="15" outlineLevel="1" x14ac:dyDescent="0.25">
      <c r="A22" s="148" t="str">
        <f>'Facility Detail'!B3</f>
        <v>Little Falls #4</v>
      </c>
      <c r="B22" s="148" t="str">
        <f xml:space="preserve"> IF( 'Facility Detail'!D3 = "", "", 'Facility Detail'!D3 )</f>
        <v>Water (Incremental Hydro)</v>
      </c>
      <c r="C22" s="137">
        <f>'Facility Detail'!D104</f>
        <v>4862</v>
      </c>
      <c r="D22" s="138">
        <f>'Facility Detail'!E104</f>
        <v>4862</v>
      </c>
      <c r="E22" s="139">
        <f>'Facility Detail'!F104</f>
        <v>4862</v>
      </c>
      <c r="F22" s="139">
        <f>'Facility Detail'!G104</f>
        <v>4862</v>
      </c>
      <c r="G22" s="139">
        <f>'Facility Detail'!H104</f>
        <v>4862</v>
      </c>
    </row>
    <row r="23" spans="1:7" ht="15" outlineLevel="1" x14ac:dyDescent="0.25">
      <c r="A23" s="148" t="str">
        <f>'Facility Detail'!B4</f>
        <v>Cabinet Gorge #2</v>
      </c>
      <c r="B23" s="148" t="str">
        <f xml:space="preserve"> IF( 'Facility Detail'!D4 = "", "", 'Facility Detail'!D4 )</f>
        <v>Water (Incremental Hydro)</v>
      </c>
      <c r="C23" s="137">
        <f>'Facility Detail'!D140</f>
        <v>29008</v>
      </c>
      <c r="D23" s="138">
        <f>'Facility Detail'!E140</f>
        <v>29008</v>
      </c>
      <c r="E23" s="139">
        <f>'Facility Detail'!F140</f>
        <v>29008</v>
      </c>
      <c r="F23" s="139">
        <f>'Facility Detail'!G140</f>
        <v>29008</v>
      </c>
      <c r="G23" s="139">
        <f>'Facility Detail'!H140</f>
        <v>29008</v>
      </c>
    </row>
    <row r="24" spans="1:7" ht="15" outlineLevel="1" x14ac:dyDescent="0.25">
      <c r="A24" s="148" t="str">
        <f>'Facility Detail'!B5</f>
        <v>Cabinet Gorge #3</v>
      </c>
      <c r="B24" s="148" t="str">
        <f xml:space="preserve"> IF( 'Facility Detail'!D5 = "", "", 'Facility Detail'!D5 )</f>
        <v>Water (Incremental Hydro)</v>
      </c>
      <c r="C24" s="137">
        <f>'Facility Detail'!D176</f>
        <v>45808</v>
      </c>
      <c r="D24" s="138">
        <f>'Facility Detail'!E176</f>
        <v>45808</v>
      </c>
      <c r="E24" s="139">
        <f>'Facility Detail'!F176</f>
        <v>45808</v>
      </c>
      <c r="F24" s="139">
        <f>'Facility Detail'!G176</f>
        <v>45808</v>
      </c>
      <c r="G24" s="139">
        <f>'Facility Detail'!H176</f>
        <v>45808</v>
      </c>
    </row>
    <row r="25" spans="1:7" ht="15" outlineLevel="1" x14ac:dyDescent="0.25">
      <c r="A25" s="148" t="str">
        <f>'Facility Detail'!B6</f>
        <v>Cabinet Gorge #4</v>
      </c>
      <c r="B25" s="148" t="str">
        <f xml:space="preserve"> IF( 'Facility Detail'!D6 = "", "", 'Facility Detail'!D6 )</f>
        <v>Water (Incremental Hydro)</v>
      </c>
      <c r="C25" s="137">
        <f>'Facility Detail'!D212</f>
        <v>20517</v>
      </c>
      <c r="D25" s="138">
        <f>'Facility Detail'!E212</f>
        <v>20517</v>
      </c>
      <c r="E25" s="139">
        <f>'Facility Detail'!F212</f>
        <v>20517</v>
      </c>
      <c r="F25" s="139">
        <f>'Facility Detail'!G212</f>
        <v>20517</v>
      </c>
      <c r="G25" s="139">
        <f>'Facility Detail'!H212</f>
        <v>20517</v>
      </c>
    </row>
    <row r="26" spans="1:7" ht="15" outlineLevel="1" x14ac:dyDescent="0.25">
      <c r="A26" s="148" t="str">
        <f>'Facility Detail'!B7</f>
        <v>Noxon Rapids #1</v>
      </c>
      <c r="B26" s="148" t="str">
        <f xml:space="preserve"> IF( 'Facility Detail'!D7 = "", "", 'Facility Detail'!D7 )</f>
        <v>Water (Incremental Hydro)</v>
      </c>
      <c r="C26" s="137">
        <f>'Facility Detail'!D248</f>
        <v>21435</v>
      </c>
      <c r="D26" s="138">
        <f>'Facility Detail'!E248</f>
        <v>21435</v>
      </c>
      <c r="E26" s="139">
        <f>'Facility Detail'!F248</f>
        <v>21435</v>
      </c>
      <c r="F26" s="139">
        <f>'Facility Detail'!G248</f>
        <v>21435</v>
      </c>
      <c r="G26" s="139">
        <f>'Facility Detail'!H248</f>
        <v>21435</v>
      </c>
    </row>
    <row r="27" spans="1:7" ht="15" outlineLevel="1" x14ac:dyDescent="0.25">
      <c r="A27" s="148" t="str">
        <f>'Facility Detail'!B8</f>
        <v>Noxon Rapids #2</v>
      </c>
      <c r="B27" s="148" t="str">
        <f xml:space="preserve"> IF( 'Facility Detail'!D8 = "", "", 'Facility Detail'!D8 )</f>
        <v>Water (Incremental Hydro)</v>
      </c>
      <c r="C27" s="137">
        <f>'Facility Detail'!D284</f>
        <v>7709</v>
      </c>
      <c r="D27" s="138">
        <f>'Facility Detail'!E284</f>
        <v>7709</v>
      </c>
      <c r="E27" s="139">
        <f>'Facility Detail'!F284</f>
        <v>7709</v>
      </c>
      <c r="F27" s="139">
        <f>'Facility Detail'!G284</f>
        <v>7709</v>
      </c>
      <c r="G27" s="139">
        <f>'Facility Detail'!H284</f>
        <v>7709</v>
      </c>
    </row>
    <row r="28" spans="1:7" ht="15" outlineLevel="1" x14ac:dyDescent="0.25">
      <c r="A28" s="148" t="str">
        <f>'Facility Detail'!B9</f>
        <v>Noxon Rapids #3</v>
      </c>
      <c r="B28" s="148" t="str">
        <f xml:space="preserve"> IF( 'Facility Detail'!D9 = "", "", 'Facility Detail'!D9 )</f>
        <v>Water (Incremental Hydro)</v>
      </c>
      <c r="C28" s="137">
        <f>'Facility Detail'!D320</f>
        <v>14529</v>
      </c>
      <c r="D28" s="138">
        <f>'Facility Detail'!E320</f>
        <v>14529</v>
      </c>
      <c r="E28" s="139">
        <f>'Facility Detail'!F320</f>
        <v>14529</v>
      </c>
      <c r="F28" s="139">
        <f>'Facility Detail'!G320</f>
        <v>14529</v>
      </c>
      <c r="G28" s="139">
        <f>'Facility Detail'!H320</f>
        <v>14529</v>
      </c>
    </row>
    <row r="29" spans="1:7" ht="15" outlineLevel="1" x14ac:dyDescent="0.25">
      <c r="A29" s="148" t="str">
        <f>'Facility Detail'!B10</f>
        <v>Noxon Rapids #4</v>
      </c>
      <c r="B29" s="148" t="str">
        <f xml:space="preserve"> IF( 'Facility Detail'!D10 = "", "", 'Facility Detail'!D10 )</f>
        <v>Water (Incremental Hydro)</v>
      </c>
      <c r="C29" s="137">
        <f>'Facility Detail'!D356</f>
        <v>10934</v>
      </c>
      <c r="D29" s="138">
        <f>'Facility Detail'!E356</f>
        <v>12024</v>
      </c>
      <c r="E29" s="139">
        <f>'Facility Detail'!F356</f>
        <v>12024</v>
      </c>
      <c r="F29" s="139">
        <f>'Facility Detail'!G356</f>
        <v>12024</v>
      </c>
      <c r="G29" s="139">
        <f>'Facility Detail'!H356</f>
        <v>12024</v>
      </c>
    </row>
    <row r="30" spans="1:7" ht="15" outlineLevel="1" x14ac:dyDescent="0.25">
      <c r="A30" s="148" t="str">
        <f>'Facility Detail'!B11</f>
        <v>Wanapum Fish Bypass</v>
      </c>
      <c r="B30" s="148" t="str">
        <f xml:space="preserve"> IF( 'Facility Detail'!D11 = "", "", 'Facility Detail'!D11 )</f>
        <v>Water (Incremental Hydro)</v>
      </c>
      <c r="C30" s="137">
        <f>'Facility Detail'!D392</f>
        <v>22206</v>
      </c>
      <c r="D30" s="138">
        <f>'Facility Detail'!E392</f>
        <v>0</v>
      </c>
      <c r="E30" s="138">
        <f>'Facility Detail'!F392</f>
        <v>0</v>
      </c>
      <c r="F30" s="138">
        <f>'Facility Detail'!G392</f>
        <v>0</v>
      </c>
      <c r="G30" s="138">
        <f>'Facility Detail'!H392</f>
        <v>0</v>
      </c>
    </row>
    <row r="31" spans="1:7" ht="15" outlineLevel="1" x14ac:dyDescent="0.25">
      <c r="A31" s="148" t="str">
        <f>'Facility Detail'!B12</f>
        <v>Palouse Wind</v>
      </c>
      <c r="B31" s="148" t="str">
        <f xml:space="preserve"> IF( 'Facility Detail'!D12 = "", "", 'Facility Detail'!D12 )</f>
        <v>Wind</v>
      </c>
      <c r="C31" s="137">
        <f>'Facility Detail'!D432</f>
        <v>282692.40000000002</v>
      </c>
      <c r="D31" s="166">
        <f>'Facility Detail'!E432</f>
        <v>45917.200000000012</v>
      </c>
      <c r="E31" s="139">
        <f>'Facility Detail'!F432</f>
        <v>0</v>
      </c>
      <c r="F31" s="139">
        <f>'Facility Detail'!G432</f>
        <v>248723</v>
      </c>
      <c r="G31" s="139">
        <f>'Facility Detail'!H432</f>
        <v>261313</v>
      </c>
    </row>
    <row r="32" spans="1:7" ht="15" outlineLevel="1" x14ac:dyDescent="0.25">
      <c r="A32" s="148" t="str">
        <f>'Facility Detail'!B13</f>
        <v>EWEB (Stateline) Wind REC Purchase</v>
      </c>
      <c r="B32" s="148" t="str">
        <f xml:space="preserve"> IF( 'Facility Detail'!D13 = "", "", 'Facility Detail'!D13 )</f>
        <v>Wind</v>
      </c>
      <c r="C32" s="137">
        <f>'Facility Detail'!D466</f>
        <v>0</v>
      </c>
      <c r="D32" s="137">
        <f>'Facility Detail'!E466</f>
        <v>0</v>
      </c>
      <c r="E32" s="137">
        <f>'Facility Detail'!F466</f>
        <v>383</v>
      </c>
      <c r="F32" s="137">
        <f>'Facility Detail'!G466</f>
        <v>49617</v>
      </c>
      <c r="G32" s="137">
        <f>'Facility Detail'!H466</f>
        <v>0</v>
      </c>
    </row>
    <row r="33" spans="1:7" ht="15" outlineLevel="1" x14ac:dyDescent="0.25">
      <c r="A33" s="148" t="str">
        <f>'Facility Detail'!B14</f>
        <v>Nine Mile #1</v>
      </c>
      <c r="B33" s="148" t="str">
        <f xml:space="preserve"> IF( 'Facility Detail'!D14 = "", "", 'Facility Detail'!D14 )</f>
        <v>Water (Incremental Hydro)</v>
      </c>
      <c r="C33" s="137">
        <f>'Facility Detail'!D502</f>
        <v>0</v>
      </c>
      <c r="D33" s="137">
        <f>'Facility Detail'!E502</f>
        <v>0</v>
      </c>
      <c r="E33" s="137">
        <f>'Facility Detail'!F502</f>
        <v>0</v>
      </c>
      <c r="F33" s="137">
        <f>'Facility Detail'!G502</f>
        <v>416</v>
      </c>
      <c r="G33" s="137">
        <f>'Facility Detail'!H502</f>
        <v>8804</v>
      </c>
    </row>
    <row r="34" spans="1:7" ht="15" outlineLevel="1" x14ac:dyDescent="0.25">
      <c r="A34" s="148" t="str">
        <f>'Facility Detail'!B15</f>
        <v>Nine Mile #2</v>
      </c>
      <c r="B34" s="148" t="str">
        <f xml:space="preserve"> IF( 'Facility Detail'!D15 = "", "", 'Facility Detail'!D15 )</f>
        <v>Water (Incremental Hydro)</v>
      </c>
      <c r="C34" s="137">
        <f>'Facility Detail'!D538</f>
        <v>0</v>
      </c>
      <c r="D34" s="137">
        <f>'Facility Detail'!E538</f>
        <v>0</v>
      </c>
      <c r="E34" s="137">
        <f>'Facility Detail'!F538</f>
        <v>0</v>
      </c>
      <c r="F34" s="137">
        <f>'Facility Detail'!G538</f>
        <v>977</v>
      </c>
      <c r="G34" s="137">
        <f>'Facility Detail'!H538</f>
        <v>13146</v>
      </c>
    </row>
    <row r="35" spans="1:7" ht="15" outlineLevel="1" x14ac:dyDescent="0.25">
      <c r="A35" s="148" t="str">
        <f>'Facility Detail'!B16</f>
        <v>Kettle Falls</v>
      </c>
      <c r="B35" s="148" t="str">
        <f xml:space="preserve"> IF( 'Facility Detail'!D16 = "", "", 'Facility Detail'!D16 )</f>
        <v>Biomass</v>
      </c>
      <c r="C35" s="137">
        <f>'Facility Detail'!D578</f>
        <v>0</v>
      </c>
      <c r="D35" s="137">
        <f>'Facility Detail'!E578</f>
        <v>0</v>
      </c>
      <c r="E35" s="137">
        <f>'Facility Detail'!F578</f>
        <v>0</v>
      </c>
      <c r="F35" s="137">
        <f>'Facility Detail'!G578</f>
        <v>43987</v>
      </c>
      <c r="G35" s="137">
        <f>'Facility Detail'!H578</f>
        <v>53048</v>
      </c>
    </row>
  </sheetData>
  <pageMargins left="0.7" right="0.7" top="0.75" bottom="0.75" header="0.3" footer="0.3"/>
  <pageSetup scale="9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9EC303289E123146BC0E2ADA93E52D6E" ma:contentTypeVersion="104" ma:contentTypeDescription="" ma:contentTypeScope="" ma:versionID="dd7eb42ae3ade6bba7a9e57a8dde52d6">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26c2ae407b9b0feeaee7be0625273c8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1af0c028-e016-4365-948e-cc2e26d65303"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Initial Filing</DocumentSetType>
    <Visibility xmlns="dc463f71-b30c-4ab2-9473-d307f9d35888" xsi:nil="true"/>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Closed</CaseStatus>
    <OpenedDate xmlns="dc463f71-b30c-4ab2-9473-d307f9d35888">2017-06-01T07:00:00+00:00</OpenedDate>
    <Date1 xmlns="dc463f71-b30c-4ab2-9473-d307f9d35888">2017-06-01T07:00:00+00:00</Date1>
    <IsDocumentOrder xmlns="dc463f71-b30c-4ab2-9473-d307f9d35888" xsi:nil="true"/>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170682</DocketNumber>
    <DelegatedOrder xmlns="dc463f71-b30c-4ab2-9473-d307f9d35888">false</DelegatedOrder>
    <SignificantOrder xmlns="dc463f71-b30c-4ab2-9473-d307f9d35888">false</SignificantOrder>
  </documentManagement>
</p:properties>
</file>

<file path=customXml/itemProps1.xml><?xml version="1.0" encoding="utf-8"?>
<ds:datastoreItem xmlns:ds="http://schemas.openxmlformats.org/officeDocument/2006/customXml" ds:itemID="{681FDB39-B72B-4BA8-A34E-148B825D32B8}"/>
</file>

<file path=customXml/itemProps2.xml><?xml version="1.0" encoding="utf-8"?>
<ds:datastoreItem xmlns:ds="http://schemas.openxmlformats.org/officeDocument/2006/customXml" ds:itemID="{583E5596-B948-4E02-A917-5A97C38A4654}"/>
</file>

<file path=customXml/itemProps3.xml><?xml version="1.0" encoding="utf-8"?>
<ds:datastoreItem xmlns:ds="http://schemas.openxmlformats.org/officeDocument/2006/customXml" ds:itemID="{BA1AB9DE-8313-4679-B4E1-218A934E0A0A}"/>
</file>

<file path=customXml/itemProps4.xml><?xml version="1.0" encoding="utf-8"?>
<ds:datastoreItem xmlns:ds="http://schemas.openxmlformats.org/officeDocument/2006/customXml" ds:itemID="{95E64CBA-5327-4495-8374-1BA677AEFED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Summary</vt:lpstr>
      <vt:lpstr>Facility Detail</vt:lpstr>
      <vt:lpstr>Generation Rollup</vt:lpstr>
      <vt:lpstr>Facility</vt:lpstr>
      <vt:lpstr>'Generation Rollup'!LaborBonus</vt:lpstr>
      <vt:lpstr>LaborBonus</vt:lpstr>
      <vt:lpstr>'Facility Detail'!Print_Area</vt:lpstr>
      <vt:lpstr>Summary!Print_Area</vt:lpstr>
    </vt:vector>
  </TitlesOfParts>
  <Company>Puget Sound Energy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Spencer Watts</dc:creator>
  <cp:lastModifiedBy>Bonfield, Shawn</cp:lastModifiedBy>
  <cp:lastPrinted>2017-05-30T17:40:05Z</cp:lastPrinted>
  <dcterms:created xsi:type="dcterms:W3CDTF">2011-06-02T16:07:19Z</dcterms:created>
  <dcterms:modified xsi:type="dcterms:W3CDTF">2017-05-30T17:43:33Z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0x0101006E56B4D1795A2E4DB2F0B01679ED314A009EC303289E123146BC0E2ADA93E52D6E</vt:lpwstr>
  </property>
  <property fmtid="{D5CDD505-2E9C-101B-9397-08002B2CF9AE}" pid="3" name="_docset_NoMedatataSyncRequired">
    <vt:lpwstr>False</vt:lpwstr>
  </property>
  <property fmtid="{D5CDD505-2E9C-101B-9397-08002B2CF9AE}" pid="4" name="IsEFSEC">
    <vt:bool>false</vt:bool>
  </property>
</Properties>
</file>